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omments2.xml" ContentType="application/vnd.openxmlformats-officedocument.spreadsheetml.comment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mco-my.sharepoint.us/personal/e444268_us_lmco_com/Documents/Documents/"/>
    </mc:Choice>
  </mc:AlternateContent>
  <xr:revisionPtr revIDLastSave="0" documentId="8_{22CC3392-26B7-4A96-A34F-B4F91EF67511}" xr6:coauthVersionLast="47" xr6:coauthVersionMax="47" xr10:uidLastSave="{00000000-0000-0000-0000-000000000000}"/>
  <bookViews>
    <workbookView xWindow="-120" yWindow="-120" windowWidth="29040" windowHeight="15720" firstSheet="1" activeTab="1" xr2:uid="{1500068F-0469-43F4-AE06-08D72477ADBC}"/>
  </bookViews>
  <sheets>
    <sheet name="Da Rules" sheetId="4" r:id="rId1"/>
    <sheet name="Rankings" sheetId="2" r:id="rId2"/>
    <sheet name="Leaderboard" sheetId="3" r:id="rId3"/>
    <sheet name="2026 Song of the Month" sheetId="16" r:id="rId4"/>
    <sheet name="Theme Thursday" sheetId="5" r:id="rId5"/>
    <sheet name="Mario Party" sheetId="13" r:id="rId6"/>
    <sheet name="2024 Song of the Year" sheetId="9" r:id="rId7"/>
    <sheet name="2024 Song of the Month" sheetId="8" r:id="rId8"/>
    <sheet name="2025 Song of the Month" sheetId="14" r:id="rId9"/>
    <sheet name="2025 Song of the Year" sheetId="15" r:id="rId10"/>
    <sheet name="Genres" sheetId="6" r:id="rId11"/>
    <sheet name="Graphs" sheetId="7" r:id="rId12"/>
    <sheet name="Artists" sheetId="17" r:id="rId13"/>
  </sheets>
  <definedNames>
    <definedName name="_xlnm._FilterDatabase" localSheetId="7" hidden="1">'2024 Song of the Month'!$Z$1:$AG$1</definedName>
    <definedName name="_xlnm._FilterDatabase" localSheetId="6" hidden="1">'2024 Song of the Year'!$Z$1:$AG$1</definedName>
    <definedName name="_xlnm._FilterDatabase" localSheetId="9" hidden="1">'2025 Song of the Year'!$Z$1:$AG$1</definedName>
    <definedName name="_xlnm._FilterDatabase" localSheetId="1" hidden="1">Rankings!$A$1:$U$151</definedName>
    <definedName name="_xlcn.WorksheetConnection_MPE_Moosic_Ranks.xlsxData1" hidden="1">Data[]</definedName>
    <definedName name="_xlcn.WorksheetConnection_RankingsDO1" hidden="1">Rankings!$D:$P</definedName>
    <definedName name="Classical">Genres!$K$2:$K$1048576</definedName>
    <definedName name="Country">Genres!$L$2:$L$1048576</definedName>
    <definedName name="Electronic">Genres!$M$2:$M$1048576</definedName>
    <definedName name="Hip_Hop">Genres!$N$2:$N$1048576</definedName>
    <definedName name="International">Genres!$O$2:$O$1048576</definedName>
    <definedName name="Jazz">Genres!$P$2:$P$1048576</definedName>
    <definedName name="Metal">Genres!$Q$2:$Q$1048576</definedName>
    <definedName name="Other">Genres!$V$2:$V$1048576</definedName>
    <definedName name="Parent_Genre">Genres!$J$2:$J$1048576</definedName>
    <definedName name="Pop">Genres!$R$2:$R$1048576</definedName>
    <definedName name="R_B">Genres!$S$2:$S$1048576</definedName>
    <definedName name="Rap">Genres!$T$2:$T$1048576</definedName>
    <definedName name="Rock">Genres!$U$2:$U$1048576</definedName>
  </definedNames>
  <calcPr calcId="191028"/>
  <pivotCaches>
    <pivotCache cacheId="6" r:id="rId14"/>
    <pivotCache cacheId="7" r:id="rId15"/>
    <pivotCache cacheId="8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Rankings!$D:$O"/>
          <x15:modelTable id="Data" name="Data" connection="WorksheetConnection_MPE_Moosic_Ranks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87" i="2" l="1"/>
  <c r="E2187" i="2"/>
  <c r="D2188" i="2"/>
  <c r="E2188" i="2"/>
  <c r="D2189" i="2"/>
  <c r="E2189" i="2"/>
  <c r="D2190" i="2"/>
  <c r="E2190" i="2"/>
  <c r="D2191" i="2"/>
  <c r="E2191" i="2"/>
  <c r="D2192" i="2"/>
  <c r="D2193" i="2" s="1"/>
  <c r="E2192" i="2"/>
  <c r="E2193" i="2"/>
  <c r="E2194" i="2"/>
  <c r="E2195" i="2"/>
  <c r="E2196" i="2"/>
  <c r="D2197" i="2"/>
  <c r="D2199" i="2" s="1"/>
  <c r="E2197" i="2"/>
  <c r="D2198" i="2"/>
  <c r="E2198" i="2"/>
  <c r="E2199" i="2"/>
  <c r="D2200" i="2"/>
  <c r="E2200" i="2"/>
  <c r="D2201" i="2"/>
  <c r="E2201" i="2"/>
  <c r="D2202" i="2"/>
  <c r="D2205" i="2" s="1"/>
  <c r="E2202" i="2"/>
  <c r="E2203" i="2"/>
  <c r="D2204" i="2"/>
  <c r="E2204" i="2"/>
  <c r="E2205" i="2"/>
  <c r="E2206" i="2"/>
  <c r="D2207" i="2"/>
  <c r="D2211" i="2" s="1"/>
  <c r="E2207" i="2"/>
  <c r="D2208" i="2"/>
  <c r="E2208" i="2"/>
  <c r="E2209" i="2"/>
  <c r="D2210" i="2"/>
  <c r="E2210" i="2"/>
  <c r="E2211" i="2"/>
  <c r="D2212" i="2"/>
  <c r="D2215" i="2" s="1"/>
  <c r="E2212" i="2"/>
  <c r="D2213" i="2"/>
  <c r="E2213" i="2"/>
  <c r="D2214" i="2"/>
  <c r="E2214" i="2"/>
  <c r="E2215" i="2"/>
  <c r="D2216" i="2"/>
  <c r="E2216" i="2"/>
  <c r="D2217" i="2"/>
  <c r="E2217" i="2"/>
  <c r="D2218" i="2"/>
  <c r="E2218" i="2"/>
  <c r="D2219" i="2"/>
  <c r="E2219" i="2"/>
  <c r="D2220" i="2"/>
  <c r="E2220" i="2"/>
  <c r="D2221" i="2"/>
  <c r="E2221" i="2"/>
  <c r="D2222" i="2"/>
  <c r="D2223" i="2" s="1"/>
  <c r="E2222" i="2"/>
  <c r="E2223" i="2"/>
  <c r="E2224" i="2"/>
  <c r="E2225" i="2"/>
  <c r="E222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L125" i="5"/>
  <c r="K125" i="5" s="1" a="1"/>
  <c r="K125" i="5" s="1"/>
  <c r="J118" i="5"/>
  <c r="L118" i="5" s="1"/>
  <c r="K118" i="5" s="1" a="1"/>
  <c r="K118" i="5" s="1"/>
  <c r="J119" i="5"/>
  <c r="L119" i="5" s="1"/>
  <c r="K119" i="5" s="1" a="1"/>
  <c r="K119" i="5" s="1"/>
  <c r="J120" i="5"/>
  <c r="L120" i="5" s="1"/>
  <c r="K120" i="5" s="1" a="1"/>
  <c r="K120" i="5" s="1"/>
  <c r="J121" i="5"/>
  <c r="L121" i="5" s="1"/>
  <c r="K121" i="5" s="1" a="1"/>
  <c r="K121" i="5" s="1"/>
  <c r="J122" i="5"/>
  <c r="L122" i="5" s="1"/>
  <c r="K122" i="5" s="1" a="1"/>
  <c r="K122" i="5" s="1"/>
  <c r="J123" i="5"/>
  <c r="L123" i="5" s="1"/>
  <c r="K123" i="5" s="1" a="1"/>
  <c r="K123" i="5" s="1"/>
  <c r="J124" i="5"/>
  <c r="L124" i="5" s="1"/>
  <c r="K124" i="5" s="1" a="1"/>
  <c r="K124" i="5" s="1"/>
  <c r="J125" i="5"/>
  <c r="J126" i="5"/>
  <c r="L126" i="5" s="1"/>
  <c r="K126" i="5" s="1" a="1"/>
  <c r="K126" i="5" s="1"/>
  <c r="J127" i="5"/>
  <c r="L127" i="5" s="1"/>
  <c r="K127" i="5" s="1" a="1"/>
  <c r="K127" i="5" s="1"/>
  <c r="D2147" i="2"/>
  <c r="D2151" i="2" s="1"/>
  <c r="E2147" i="2"/>
  <c r="E2148" i="2"/>
  <c r="E2149" i="2"/>
  <c r="D2150" i="2"/>
  <c r="E2150" i="2"/>
  <c r="E2151" i="2"/>
  <c r="D2152" i="2"/>
  <c r="D2154" i="2" s="1"/>
  <c r="E2152" i="2"/>
  <c r="E2153" i="2"/>
  <c r="E2154" i="2"/>
  <c r="E2155" i="2"/>
  <c r="E2156" i="2"/>
  <c r="D2157" i="2"/>
  <c r="D2160" i="2" s="1"/>
  <c r="E2157" i="2"/>
  <c r="D2158" i="2"/>
  <c r="E2158" i="2"/>
  <c r="D2159" i="2"/>
  <c r="E2159" i="2"/>
  <c r="E2160" i="2"/>
  <c r="E2161" i="2"/>
  <c r="D2162" i="2"/>
  <c r="D2163" i="2" s="1"/>
  <c r="E2162" i="2"/>
  <c r="E2163" i="2"/>
  <c r="E2164" i="2"/>
  <c r="E2165" i="2"/>
  <c r="E2166" i="2"/>
  <c r="D2167" i="2"/>
  <c r="D2169" i="2" s="1"/>
  <c r="E2167" i="2"/>
  <c r="E2168" i="2"/>
  <c r="E2169" i="2"/>
  <c r="E2170" i="2"/>
  <c r="E2171" i="2"/>
  <c r="D2172" i="2"/>
  <c r="D2175" i="2" s="1"/>
  <c r="E2172" i="2"/>
  <c r="E2173" i="2"/>
  <c r="E2174" i="2"/>
  <c r="E2175" i="2"/>
  <c r="E2176" i="2"/>
  <c r="D2177" i="2"/>
  <c r="D2181" i="2" s="1"/>
  <c r="E2177" i="2"/>
  <c r="E2178" i="2"/>
  <c r="E2179" i="2"/>
  <c r="E2180" i="2"/>
  <c r="E2181" i="2"/>
  <c r="D2182" i="2"/>
  <c r="D2185" i="2" s="1"/>
  <c r="E2182" i="2"/>
  <c r="E2183" i="2"/>
  <c r="E2184" i="2"/>
  <c r="E2185" i="2"/>
  <c r="E218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D2107" i="2"/>
  <c r="D2109" i="2" s="1"/>
  <c r="E2107" i="2"/>
  <c r="E2108" i="2"/>
  <c r="E2109" i="2"/>
  <c r="E2110" i="2"/>
  <c r="E2111" i="2"/>
  <c r="D2112" i="2"/>
  <c r="D2113" i="2" s="1"/>
  <c r="E2112" i="2"/>
  <c r="E2113" i="2"/>
  <c r="E2114" i="2"/>
  <c r="E2115" i="2"/>
  <c r="E2116" i="2"/>
  <c r="D2117" i="2"/>
  <c r="D2119" i="2" s="1"/>
  <c r="E2117" i="2"/>
  <c r="E2118" i="2"/>
  <c r="E2119" i="2"/>
  <c r="E2120" i="2"/>
  <c r="E2121" i="2"/>
  <c r="D2122" i="2"/>
  <c r="D2125" i="2" s="1"/>
  <c r="E2122" i="2"/>
  <c r="D2123" i="2"/>
  <c r="E2123" i="2"/>
  <c r="E2124" i="2"/>
  <c r="E2125" i="2"/>
  <c r="E2126" i="2"/>
  <c r="D2127" i="2"/>
  <c r="D2129" i="2" s="1"/>
  <c r="E2127" i="2"/>
  <c r="D2128" i="2"/>
  <c r="E2128" i="2"/>
  <c r="E2129" i="2"/>
  <c r="E2130" i="2"/>
  <c r="E2131" i="2"/>
  <c r="D2132" i="2"/>
  <c r="D2133" i="2" s="1"/>
  <c r="E2132" i="2"/>
  <c r="E2133" i="2"/>
  <c r="E2134" i="2"/>
  <c r="E2135" i="2"/>
  <c r="E2136" i="2"/>
  <c r="D2137" i="2"/>
  <c r="D2139" i="2" s="1"/>
  <c r="E2137" i="2"/>
  <c r="E2138" i="2"/>
  <c r="E2139" i="2"/>
  <c r="E2140" i="2"/>
  <c r="E2141" i="2"/>
  <c r="D2142" i="2"/>
  <c r="D2143" i="2" s="1"/>
  <c r="E2142" i="2"/>
  <c r="E2143" i="2"/>
  <c r="E2144" i="2"/>
  <c r="E2145" i="2"/>
  <c r="E214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D2067" i="2"/>
  <c r="D2068" i="2" s="1"/>
  <c r="E2067" i="2"/>
  <c r="E2068" i="2"/>
  <c r="E2069" i="2"/>
  <c r="E2070" i="2"/>
  <c r="E2071" i="2"/>
  <c r="D2072" i="2"/>
  <c r="D2076" i="2" s="1"/>
  <c r="E2072" i="2"/>
  <c r="E2073" i="2"/>
  <c r="E2074" i="2"/>
  <c r="E2075" i="2"/>
  <c r="E2076" i="2"/>
  <c r="D2077" i="2"/>
  <c r="D2080" i="2" s="1"/>
  <c r="E2077" i="2"/>
  <c r="D2078" i="2"/>
  <c r="E2078" i="2"/>
  <c r="E2079" i="2"/>
  <c r="E2080" i="2"/>
  <c r="E2081" i="2"/>
  <c r="D2082" i="2"/>
  <c r="D2084" i="2" s="1"/>
  <c r="E2082" i="2"/>
  <c r="E2083" i="2"/>
  <c r="E2084" i="2"/>
  <c r="E2085" i="2"/>
  <c r="E2086" i="2"/>
  <c r="D2087" i="2"/>
  <c r="D2090" i="2" s="1"/>
  <c r="E2087" i="2"/>
  <c r="E2088" i="2"/>
  <c r="E2089" i="2"/>
  <c r="E2090" i="2"/>
  <c r="E2091" i="2"/>
  <c r="D2092" i="2"/>
  <c r="D2096" i="2" s="1"/>
  <c r="E2092" i="2"/>
  <c r="E2093" i="2"/>
  <c r="E2094" i="2"/>
  <c r="E2095" i="2"/>
  <c r="E2096" i="2"/>
  <c r="D2097" i="2"/>
  <c r="D2098" i="2" s="1"/>
  <c r="E2097" i="2"/>
  <c r="E2098" i="2"/>
  <c r="E2099" i="2"/>
  <c r="E2100" i="2"/>
  <c r="E2101" i="2"/>
  <c r="D2102" i="2"/>
  <c r="D2106" i="2" s="1"/>
  <c r="E2102" i="2"/>
  <c r="E2103" i="2"/>
  <c r="E2104" i="2"/>
  <c r="E2105" i="2"/>
  <c r="E210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D2027" i="2"/>
  <c r="D2030" i="2" s="1"/>
  <c r="E2027" i="2"/>
  <c r="E2028" i="2"/>
  <c r="E2029" i="2"/>
  <c r="E2030" i="2"/>
  <c r="E2031" i="2"/>
  <c r="D2032" i="2"/>
  <c r="D2033" i="2" s="1"/>
  <c r="E2032" i="2"/>
  <c r="E2033" i="2"/>
  <c r="E2034" i="2"/>
  <c r="E2035" i="2"/>
  <c r="E2036" i="2"/>
  <c r="D2037" i="2"/>
  <c r="D2039" i="2" s="1"/>
  <c r="E2037" i="2"/>
  <c r="E2038" i="2"/>
  <c r="E2039" i="2"/>
  <c r="E2040" i="2"/>
  <c r="E2041" i="2"/>
  <c r="D2042" i="2"/>
  <c r="D2045" i="2" s="1"/>
  <c r="E2042" i="2"/>
  <c r="E2043" i="2"/>
  <c r="E2044" i="2"/>
  <c r="E2045" i="2"/>
  <c r="E2046" i="2"/>
  <c r="D2047" i="2"/>
  <c r="D2051" i="2" s="1"/>
  <c r="E2047" i="2"/>
  <c r="E2048" i="2"/>
  <c r="E2049" i="2"/>
  <c r="E2050" i="2"/>
  <c r="E2051" i="2"/>
  <c r="D2052" i="2"/>
  <c r="D2056" i="2" s="1"/>
  <c r="E2052" i="2"/>
  <c r="E2053" i="2"/>
  <c r="E2054" i="2"/>
  <c r="E2055" i="2"/>
  <c r="E2056" i="2"/>
  <c r="D2057" i="2"/>
  <c r="D2060" i="2" s="1"/>
  <c r="E2057" i="2"/>
  <c r="E2058" i="2"/>
  <c r="E2059" i="2"/>
  <c r="E2060" i="2"/>
  <c r="E2061" i="2"/>
  <c r="D2062" i="2"/>
  <c r="D2063" i="2" s="1"/>
  <c r="E2062" i="2"/>
  <c r="E2063" i="2"/>
  <c r="E2064" i="2"/>
  <c r="E2065" i="2"/>
  <c r="E206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R2215" i="2" l="1"/>
  <c r="T2215" i="2" s="1"/>
  <c r="R2224" i="2"/>
  <c r="T2224" i="2" s="1"/>
  <c r="R2216" i="2"/>
  <c r="T2216" i="2" s="1"/>
  <c r="R2222" i="2"/>
  <c r="T2222" i="2" s="1"/>
  <c r="R2223" i="2"/>
  <c r="T2223" i="2" s="1"/>
  <c r="R2226" i="2"/>
  <c r="T2226" i="2" s="1"/>
  <c r="R2225" i="2"/>
  <c r="T2225" i="2" s="1"/>
  <c r="R2219" i="2"/>
  <c r="T2219" i="2" s="1"/>
  <c r="R2218" i="2"/>
  <c r="T2218" i="2" s="1"/>
  <c r="R2217" i="2"/>
  <c r="T2217" i="2" s="1"/>
  <c r="R2213" i="2"/>
  <c r="T2213" i="2" s="1"/>
  <c r="R2212" i="2"/>
  <c r="T2212" i="2" s="1"/>
  <c r="R2214" i="2"/>
  <c r="T2214" i="2" s="1"/>
  <c r="R2221" i="2"/>
  <c r="T2221" i="2" s="1"/>
  <c r="R2220" i="2"/>
  <c r="T2220" i="2" s="1"/>
  <c r="R2208" i="2"/>
  <c r="T2208" i="2" s="1"/>
  <c r="R2209" i="2"/>
  <c r="T2209" i="2" s="1"/>
  <c r="R2207" i="2"/>
  <c r="T2207" i="2" s="1"/>
  <c r="R2199" i="2"/>
  <c r="T2199" i="2" s="1"/>
  <c r="R2211" i="2"/>
  <c r="T2211" i="2" s="1"/>
  <c r="R2205" i="2"/>
  <c r="T2205" i="2" s="1"/>
  <c r="R2210" i="2"/>
  <c r="T2210" i="2" s="1"/>
  <c r="R2204" i="2"/>
  <c r="T2204" i="2" s="1"/>
  <c r="R2203" i="2"/>
  <c r="T2203" i="2" s="1"/>
  <c r="R2197" i="2"/>
  <c r="T2197" i="2" s="1"/>
  <c r="R2195" i="2"/>
  <c r="T2195" i="2" s="1"/>
  <c r="R2206" i="2"/>
  <c r="T2206" i="2" s="1"/>
  <c r="R2202" i="2"/>
  <c r="T2202" i="2" s="1"/>
  <c r="R2200" i="2"/>
  <c r="T2200" i="2" s="1"/>
  <c r="R2201" i="2"/>
  <c r="T2201" i="2" s="1"/>
  <c r="R2198" i="2"/>
  <c r="T2198" i="2" s="1"/>
  <c r="R2196" i="2"/>
  <c r="T2196" i="2" s="1"/>
  <c r="R2194" i="2"/>
  <c r="T2194" i="2" s="1"/>
  <c r="R2193" i="2"/>
  <c r="T2193" i="2" s="1"/>
  <c r="R2192" i="2"/>
  <c r="T2192" i="2" s="1"/>
  <c r="R2191" i="2"/>
  <c r="T2191" i="2" s="1"/>
  <c r="R2190" i="2"/>
  <c r="T2190" i="2" s="1"/>
  <c r="R2189" i="2"/>
  <c r="T2189" i="2" s="1"/>
  <c r="R2188" i="2"/>
  <c r="T2188" i="2" s="1"/>
  <c r="R2187" i="2"/>
  <c r="T2187" i="2" s="1"/>
  <c r="R2180" i="2"/>
  <c r="T2180" i="2" s="1"/>
  <c r="R2184" i="2"/>
  <c r="T2184" i="2" s="1"/>
  <c r="R2186" i="2"/>
  <c r="T2186" i="2" s="1"/>
  <c r="R2182" i="2"/>
  <c r="T2182" i="2" s="1"/>
  <c r="R2177" i="2"/>
  <c r="T2177" i="2" s="1"/>
  <c r="R2183" i="2"/>
  <c r="T2183" i="2" s="1"/>
  <c r="R2185" i="2"/>
  <c r="T2185" i="2" s="1"/>
  <c r="R2179" i="2"/>
  <c r="T2179" i="2" s="1"/>
  <c r="R2174" i="2"/>
  <c r="T2174" i="2" s="1"/>
  <c r="R2175" i="2"/>
  <c r="T2175" i="2" s="1"/>
  <c r="R2172" i="2"/>
  <c r="T2172" i="2" s="1"/>
  <c r="R2173" i="2"/>
  <c r="T2173" i="2" s="1"/>
  <c r="R2176" i="2"/>
  <c r="T2176" i="2" s="1"/>
  <c r="R2181" i="2"/>
  <c r="T2181" i="2" s="1"/>
  <c r="R2178" i="2"/>
  <c r="T2178" i="2" s="1"/>
  <c r="D2209" i="2"/>
  <c r="D2203" i="2"/>
  <c r="D2224" i="2"/>
  <c r="D2206" i="2"/>
  <c r="D2194" i="2"/>
  <c r="D2225" i="2"/>
  <c r="D2226" i="2"/>
  <c r="D2196" i="2"/>
  <c r="D2195" i="2"/>
  <c r="D2044" i="2"/>
  <c r="D2104" i="2"/>
  <c r="D2085" i="2"/>
  <c r="D2124" i="2"/>
  <c r="D2093" i="2"/>
  <c r="D2184" i="2"/>
  <c r="D2050" i="2"/>
  <c r="D2170" i="2"/>
  <c r="D2155" i="2"/>
  <c r="D2058" i="2"/>
  <c r="D2126" i="2"/>
  <c r="D2161" i="2"/>
  <c r="D2079" i="2"/>
  <c r="D2168" i="2"/>
  <c r="D2059" i="2"/>
  <c r="D2049" i="2"/>
  <c r="D2081" i="2"/>
  <c r="D2074" i="2"/>
  <c r="D2075" i="2"/>
  <c r="D2105" i="2"/>
  <c r="D2138" i="2"/>
  <c r="D2178" i="2"/>
  <c r="D2073" i="2"/>
  <c r="D2103" i="2"/>
  <c r="D2183" i="2"/>
  <c r="D2055" i="2"/>
  <c r="D2061" i="2"/>
  <c r="D2048" i="2"/>
  <c r="D2031" i="2"/>
  <c r="D2135" i="2"/>
  <c r="D2054" i="2"/>
  <c r="D2118" i="2"/>
  <c r="D2038" i="2"/>
  <c r="D2091" i="2"/>
  <c r="D2171" i="2"/>
  <c r="D2053" i="2"/>
  <c r="D2110" i="2"/>
  <c r="D2029" i="2"/>
  <c r="D2101" i="2"/>
  <c r="D2095" i="2"/>
  <c r="D2089" i="2"/>
  <c r="D2083" i="2"/>
  <c r="D2071" i="2"/>
  <c r="D2131" i="2"/>
  <c r="D2153" i="2"/>
  <c r="D2100" i="2"/>
  <c r="D2094" i="2"/>
  <c r="D2088" i="2"/>
  <c r="D2070" i="2"/>
  <c r="D2108" i="2"/>
  <c r="D2166" i="2"/>
  <c r="D2028" i="2"/>
  <c r="D2130" i="2"/>
  <c r="D2180" i="2"/>
  <c r="D2069" i="2"/>
  <c r="D2136" i="2"/>
  <c r="D2099" i="2"/>
  <c r="D2086" i="2"/>
  <c r="D2186" i="2"/>
  <c r="D2156" i="2"/>
  <c r="D2141" i="2"/>
  <c r="D2148" i="2"/>
  <c r="D2111" i="2"/>
  <c r="D2140" i="2"/>
  <c r="D2174" i="2"/>
  <c r="D2179" i="2"/>
  <c r="D2173" i="2"/>
  <c r="D2149" i="2"/>
  <c r="D2165" i="2"/>
  <c r="D2176" i="2"/>
  <c r="D2164" i="2"/>
  <c r="D2146" i="2"/>
  <c r="D2134" i="2"/>
  <c r="D2116" i="2"/>
  <c r="D2145" i="2"/>
  <c r="D2121" i="2"/>
  <c r="D2115" i="2"/>
  <c r="D2144" i="2"/>
  <c r="D2120" i="2"/>
  <c r="D2114" i="2"/>
  <c r="D2043" i="2"/>
  <c r="D2065" i="2"/>
  <c r="D2041" i="2"/>
  <c r="D2035" i="2"/>
  <c r="D2064" i="2"/>
  <c r="D2046" i="2"/>
  <c r="D2040" i="2"/>
  <c r="D2034" i="2"/>
  <c r="D2066" i="2"/>
  <c r="D2036" i="2"/>
  <c r="D1987" i="2"/>
  <c r="D1990" i="2" s="1"/>
  <c r="E1987" i="2"/>
  <c r="E1988" i="2"/>
  <c r="E1989" i="2"/>
  <c r="E1990" i="2"/>
  <c r="E1991" i="2"/>
  <c r="D1992" i="2"/>
  <c r="D1993" i="2" s="1"/>
  <c r="E1992" i="2"/>
  <c r="E1993" i="2"/>
  <c r="E1994" i="2"/>
  <c r="E1995" i="2"/>
  <c r="E1996" i="2"/>
  <c r="D1997" i="2"/>
  <c r="D1999" i="2" s="1"/>
  <c r="E1997" i="2"/>
  <c r="E1998" i="2"/>
  <c r="E1999" i="2"/>
  <c r="E2000" i="2"/>
  <c r="E2001" i="2"/>
  <c r="D2002" i="2"/>
  <c r="D2005" i="2" s="1"/>
  <c r="E2002" i="2"/>
  <c r="E2003" i="2"/>
  <c r="E2004" i="2"/>
  <c r="E2005" i="2"/>
  <c r="E2006" i="2"/>
  <c r="D2007" i="2"/>
  <c r="D2011" i="2" s="1"/>
  <c r="E2007" i="2"/>
  <c r="E2008" i="2"/>
  <c r="E2009" i="2"/>
  <c r="E2010" i="2"/>
  <c r="E2011" i="2"/>
  <c r="D2012" i="2"/>
  <c r="D2013" i="2" s="1"/>
  <c r="E2012" i="2"/>
  <c r="E2013" i="2"/>
  <c r="E2014" i="2"/>
  <c r="E2015" i="2"/>
  <c r="E2016" i="2"/>
  <c r="D2017" i="2"/>
  <c r="D2019" i="2" s="1"/>
  <c r="E2017" i="2"/>
  <c r="E2018" i="2"/>
  <c r="E2019" i="2"/>
  <c r="E2020" i="2"/>
  <c r="E2021" i="2"/>
  <c r="D2022" i="2"/>
  <c r="D2023" i="2" s="1"/>
  <c r="E2022" i="2"/>
  <c r="E2023" i="2"/>
  <c r="E2024" i="2"/>
  <c r="E2025" i="2"/>
  <c r="E202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D1947" i="2"/>
  <c r="D1950" i="2" s="1"/>
  <c r="E1947" i="2"/>
  <c r="D1948" i="2"/>
  <c r="E1948" i="2"/>
  <c r="E1949" i="2"/>
  <c r="E1950" i="2"/>
  <c r="E1951" i="2"/>
  <c r="D1952" i="2"/>
  <c r="D1953" i="2" s="1"/>
  <c r="E1952" i="2"/>
  <c r="E1953" i="2"/>
  <c r="E1954" i="2"/>
  <c r="E1955" i="2"/>
  <c r="E1956" i="2"/>
  <c r="D1957" i="2"/>
  <c r="D1959" i="2" s="1"/>
  <c r="E1957" i="2"/>
  <c r="E1958" i="2"/>
  <c r="E1959" i="2"/>
  <c r="E1960" i="2"/>
  <c r="E1961" i="2"/>
  <c r="D1962" i="2"/>
  <c r="D1965" i="2" s="1"/>
  <c r="E1962" i="2"/>
  <c r="E1963" i="2"/>
  <c r="E1964" i="2"/>
  <c r="E1965" i="2"/>
  <c r="E1966" i="2"/>
  <c r="D1967" i="2"/>
  <c r="D1971" i="2" s="1"/>
  <c r="E1967" i="2"/>
  <c r="E1968" i="2"/>
  <c r="E1969" i="2"/>
  <c r="E1970" i="2"/>
  <c r="E1971" i="2"/>
  <c r="D1972" i="2"/>
  <c r="D1973" i="2" s="1"/>
  <c r="E1972" i="2"/>
  <c r="E1973" i="2"/>
  <c r="E1974" i="2"/>
  <c r="E1975" i="2"/>
  <c r="E1976" i="2"/>
  <c r="D1977" i="2"/>
  <c r="D1979" i="2" s="1"/>
  <c r="E1977" i="2"/>
  <c r="E1978" i="2"/>
  <c r="E1979" i="2"/>
  <c r="E1980" i="2"/>
  <c r="E1981" i="2"/>
  <c r="D1982" i="2"/>
  <c r="D1983" i="2" s="1"/>
  <c r="E1982" i="2"/>
  <c r="E1983" i="2"/>
  <c r="E1984" i="2"/>
  <c r="E1985" i="2"/>
  <c r="E198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R1" i="17"/>
  <c r="P1" i="17"/>
  <c r="N1" i="17"/>
  <c r="L1" i="17"/>
  <c r="J1" i="17"/>
  <c r="D1927" i="2"/>
  <c r="D1930" i="2" s="1"/>
  <c r="G1946" i="2"/>
  <c r="F1946" i="2"/>
  <c r="E1946" i="2"/>
  <c r="G1945" i="2"/>
  <c r="F1945" i="2"/>
  <c r="E1945" i="2"/>
  <c r="G1944" i="2"/>
  <c r="F1944" i="2"/>
  <c r="E1944" i="2"/>
  <c r="G1943" i="2"/>
  <c r="F1943" i="2"/>
  <c r="E1943" i="2"/>
  <c r="G1942" i="2"/>
  <c r="F1942" i="2"/>
  <c r="E1942" i="2"/>
  <c r="D1942" i="2"/>
  <c r="D1946" i="2" s="1"/>
  <c r="G1941" i="2"/>
  <c r="F1941" i="2"/>
  <c r="E1941" i="2"/>
  <c r="G1940" i="2"/>
  <c r="F1940" i="2"/>
  <c r="E1940" i="2"/>
  <c r="G1939" i="2"/>
  <c r="F1939" i="2"/>
  <c r="E1939" i="2"/>
  <c r="G1938" i="2"/>
  <c r="F1938" i="2"/>
  <c r="E1938" i="2"/>
  <c r="G1937" i="2"/>
  <c r="F1937" i="2"/>
  <c r="E1937" i="2"/>
  <c r="D1937" i="2"/>
  <c r="D1941" i="2" s="1"/>
  <c r="G1936" i="2"/>
  <c r="F1936" i="2"/>
  <c r="E1936" i="2"/>
  <c r="G1935" i="2"/>
  <c r="F1935" i="2"/>
  <c r="E1935" i="2"/>
  <c r="G1934" i="2"/>
  <c r="F1934" i="2"/>
  <c r="E1934" i="2"/>
  <c r="G1933" i="2"/>
  <c r="F1933" i="2"/>
  <c r="E1933" i="2"/>
  <c r="G1932" i="2"/>
  <c r="F1932" i="2"/>
  <c r="E1932" i="2"/>
  <c r="D1932" i="2"/>
  <c r="D1936" i="2" s="1"/>
  <c r="G1931" i="2"/>
  <c r="F1931" i="2"/>
  <c r="E1931" i="2"/>
  <c r="G1930" i="2"/>
  <c r="F1930" i="2"/>
  <c r="E1930" i="2"/>
  <c r="G1929" i="2"/>
  <c r="F1929" i="2"/>
  <c r="E1929" i="2"/>
  <c r="G1928" i="2"/>
  <c r="F1928" i="2"/>
  <c r="E1928" i="2"/>
  <c r="G1927" i="2"/>
  <c r="F1927" i="2"/>
  <c r="E1927" i="2"/>
  <c r="D1928" i="2" l="1"/>
  <c r="D1996" i="2"/>
  <c r="D2018" i="2"/>
  <c r="D2016" i="2"/>
  <c r="D2015" i="2"/>
  <c r="D2021" i="2"/>
  <c r="D1970" i="2"/>
  <c r="D1951" i="2"/>
  <c r="D2020" i="2"/>
  <c r="D1976" i="2"/>
  <c r="D1969" i="2"/>
  <c r="D1975" i="2"/>
  <c r="D1968" i="2"/>
  <c r="D1931" i="2"/>
  <c r="D1974" i="2"/>
  <c r="D2010" i="2"/>
  <c r="D2026" i="2"/>
  <c r="D1988" i="2"/>
  <c r="D1989" i="2"/>
  <c r="D2003" i="2"/>
  <c r="D2009" i="2"/>
  <c r="D2008" i="2"/>
  <c r="D1991" i="2"/>
  <c r="D2014" i="2"/>
  <c r="D1958" i="2"/>
  <c r="D1963" i="2"/>
  <c r="D2004" i="2"/>
  <c r="D1998" i="2"/>
  <c r="D2025" i="2"/>
  <c r="D2001" i="2"/>
  <c r="D2024" i="2"/>
  <c r="D2000" i="2"/>
  <c r="D1978" i="2"/>
  <c r="D1949" i="2"/>
  <c r="D1981" i="2"/>
  <c r="D1980" i="2"/>
  <c r="D1995" i="2"/>
  <c r="D2006" i="2"/>
  <c r="D1994" i="2"/>
  <c r="D1964" i="2"/>
  <c r="D1956" i="2"/>
  <c r="D1986" i="2"/>
  <c r="D1985" i="2"/>
  <c r="D1961" i="2"/>
  <c r="D1955" i="2"/>
  <c r="D1984" i="2"/>
  <c r="D1966" i="2"/>
  <c r="D1960" i="2"/>
  <c r="D1954" i="2"/>
  <c r="D1940" i="2"/>
  <c r="D1935" i="2"/>
  <c r="D1938" i="2"/>
  <c r="D1933" i="2"/>
  <c r="D1943" i="2"/>
  <c r="D1945" i="2"/>
  <c r="D1934" i="2"/>
  <c r="D1929" i="2"/>
  <c r="D1944" i="2"/>
  <c r="D1939" i="2"/>
  <c r="F1" i="17" l="1"/>
  <c r="E1" i="17"/>
  <c r="D1" i="17"/>
  <c r="C1" i="17"/>
  <c r="B1" i="17"/>
  <c r="J3" i="17" l="1" a="1"/>
  <c r="J3" i="17" s="1"/>
  <c r="J4" i="17" s="1" a="1"/>
  <c r="J4" i="17" s="1"/>
  <c r="K3" i="17"/>
  <c r="K4" i="17"/>
  <c r="K5" i="17"/>
  <c r="K6" i="17"/>
  <c r="K7" i="17"/>
  <c r="D1887" i="2"/>
  <c r="D1888" i="2" s="1"/>
  <c r="E1887" i="2"/>
  <c r="E1888" i="2"/>
  <c r="E1889" i="2"/>
  <c r="E1890" i="2"/>
  <c r="E1891" i="2"/>
  <c r="D1892" i="2"/>
  <c r="D1893" i="2" s="1"/>
  <c r="E1892" i="2"/>
  <c r="E1893" i="2"/>
  <c r="E1894" i="2"/>
  <c r="E1895" i="2"/>
  <c r="E1896" i="2"/>
  <c r="D1897" i="2"/>
  <c r="D1899" i="2" s="1"/>
  <c r="E1897" i="2"/>
  <c r="E1898" i="2"/>
  <c r="E1899" i="2"/>
  <c r="E1900" i="2"/>
  <c r="E1901" i="2"/>
  <c r="D1902" i="2"/>
  <c r="D1905" i="2" s="1"/>
  <c r="E1902" i="2"/>
  <c r="E1903" i="2"/>
  <c r="E1904" i="2"/>
  <c r="E1905" i="2"/>
  <c r="E1906" i="2"/>
  <c r="D1907" i="2"/>
  <c r="D1911" i="2" s="1"/>
  <c r="E1907" i="2"/>
  <c r="E1908" i="2"/>
  <c r="E1909" i="2"/>
  <c r="E1910" i="2"/>
  <c r="E1911" i="2"/>
  <c r="D1912" i="2"/>
  <c r="D1913" i="2" s="1"/>
  <c r="E1912" i="2"/>
  <c r="E1913" i="2"/>
  <c r="E1914" i="2"/>
  <c r="E1915" i="2"/>
  <c r="E1916" i="2"/>
  <c r="D1917" i="2"/>
  <c r="D1918" i="2" s="1"/>
  <c r="E1917" i="2"/>
  <c r="E1918" i="2"/>
  <c r="E1919" i="2"/>
  <c r="E1920" i="2"/>
  <c r="E1921" i="2"/>
  <c r="D1922" i="2"/>
  <c r="D1923" i="2" s="1"/>
  <c r="E1922" i="2"/>
  <c r="E1923" i="2"/>
  <c r="E1924" i="2"/>
  <c r="E1925" i="2"/>
  <c r="E192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D1847" i="2"/>
  <c r="D1850" i="2" s="1"/>
  <c r="E1847" i="2"/>
  <c r="E1848" i="2"/>
  <c r="E1849" i="2"/>
  <c r="E1850" i="2"/>
  <c r="E1851" i="2"/>
  <c r="D1852" i="2"/>
  <c r="D1856" i="2" s="1"/>
  <c r="E1852" i="2"/>
  <c r="E1853" i="2"/>
  <c r="E1854" i="2"/>
  <c r="E1855" i="2"/>
  <c r="E1856" i="2"/>
  <c r="D1857" i="2"/>
  <c r="D1859" i="2" s="1"/>
  <c r="E1857" i="2"/>
  <c r="E1858" i="2"/>
  <c r="E1859" i="2"/>
  <c r="E1860" i="2"/>
  <c r="E1861" i="2"/>
  <c r="D1862" i="2"/>
  <c r="D1864" i="2" s="1"/>
  <c r="E1862" i="2"/>
  <c r="E1863" i="2"/>
  <c r="E1864" i="2"/>
  <c r="E1865" i="2"/>
  <c r="E1866" i="2"/>
  <c r="D1867" i="2"/>
  <c r="D1868" i="2" s="1"/>
  <c r="E1867" i="2"/>
  <c r="E1868" i="2"/>
  <c r="E1869" i="2"/>
  <c r="E1870" i="2"/>
  <c r="E1871" i="2"/>
  <c r="D1872" i="2"/>
  <c r="D1874" i="2" s="1"/>
  <c r="E1872" i="2"/>
  <c r="E1873" i="2"/>
  <c r="E1874" i="2"/>
  <c r="E1875" i="2"/>
  <c r="E1876" i="2"/>
  <c r="D1877" i="2"/>
  <c r="D1880" i="2" s="1"/>
  <c r="E1877" i="2"/>
  <c r="E1878" i="2"/>
  <c r="E1879" i="2"/>
  <c r="E1880" i="2"/>
  <c r="E1881" i="2"/>
  <c r="D1882" i="2"/>
  <c r="D1886" i="2" s="1"/>
  <c r="E1882" i="2"/>
  <c r="E1883" i="2"/>
  <c r="E1884" i="2"/>
  <c r="E1885" i="2"/>
  <c r="E188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J96" i="5"/>
  <c r="D1807" i="2"/>
  <c r="D1808" i="2" s="1"/>
  <c r="E1807" i="2"/>
  <c r="E1808" i="2"/>
  <c r="E1809" i="2"/>
  <c r="E1810" i="2"/>
  <c r="E1811" i="2"/>
  <c r="D1812" i="2"/>
  <c r="D1814" i="2" s="1"/>
  <c r="E1812" i="2"/>
  <c r="E1813" i="2"/>
  <c r="E1814" i="2"/>
  <c r="E1815" i="2"/>
  <c r="E1816" i="2"/>
  <c r="D1817" i="2"/>
  <c r="D1820" i="2" s="1"/>
  <c r="E1817" i="2"/>
  <c r="E1818" i="2"/>
  <c r="E1819" i="2"/>
  <c r="E1820" i="2"/>
  <c r="E1821" i="2"/>
  <c r="D1822" i="2"/>
  <c r="D1826" i="2" s="1"/>
  <c r="E1822" i="2"/>
  <c r="E1823" i="2"/>
  <c r="E1824" i="2"/>
  <c r="E1825" i="2"/>
  <c r="E1826" i="2"/>
  <c r="D1827" i="2"/>
  <c r="D1828" i="2" s="1"/>
  <c r="E1827" i="2"/>
  <c r="E1828" i="2"/>
  <c r="E1829" i="2"/>
  <c r="E1830" i="2"/>
  <c r="E1831" i="2"/>
  <c r="D1832" i="2"/>
  <c r="D1835" i="2" s="1"/>
  <c r="E1832" i="2"/>
  <c r="E1833" i="2"/>
  <c r="E1834" i="2"/>
  <c r="E1835" i="2"/>
  <c r="E1836" i="2"/>
  <c r="D1837" i="2"/>
  <c r="D1838" i="2" s="1"/>
  <c r="E1837" i="2"/>
  <c r="E1838" i="2"/>
  <c r="E1839" i="2"/>
  <c r="E1840" i="2"/>
  <c r="E1841" i="2"/>
  <c r="D1842" i="2"/>
  <c r="D1844" i="2" s="1"/>
  <c r="E1842" i="2"/>
  <c r="E1843" i="2"/>
  <c r="E1844" i="2"/>
  <c r="E1845" i="2"/>
  <c r="E184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F1782" i="2"/>
  <c r="D1767" i="2"/>
  <c r="D1768" i="2" s="1"/>
  <c r="E1767" i="2"/>
  <c r="E1768" i="2"/>
  <c r="E1769" i="2"/>
  <c r="E1770" i="2"/>
  <c r="E1771" i="2"/>
  <c r="D1772" i="2"/>
  <c r="D1773" i="2" s="1"/>
  <c r="E1772" i="2"/>
  <c r="E1773" i="2"/>
  <c r="E1774" i="2"/>
  <c r="E1775" i="2"/>
  <c r="E1776" i="2"/>
  <c r="D1777" i="2"/>
  <c r="D1779" i="2" s="1"/>
  <c r="E1777" i="2"/>
  <c r="E1778" i="2"/>
  <c r="E1779" i="2"/>
  <c r="E1780" i="2"/>
  <c r="E1781" i="2"/>
  <c r="D1782" i="2"/>
  <c r="D1785" i="2" s="1"/>
  <c r="E1782" i="2"/>
  <c r="E1783" i="2"/>
  <c r="E1784" i="2"/>
  <c r="E1785" i="2"/>
  <c r="E1786" i="2"/>
  <c r="D1787" i="2"/>
  <c r="D1791" i="2" s="1"/>
  <c r="E1787" i="2"/>
  <c r="E1788" i="2"/>
  <c r="E1789" i="2"/>
  <c r="E1790" i="2"/>
  <c r="E1791" i="2"/>
  <c r="D1792" i="2"/>
  <c r="D1796" i="2" s="1"/>
  <c r="E1792" i="2"/>
  <c r="E1793" i="2"/>
  <c r="E1794" i="2"/>
  <c r="E1795" i="2"/>
  <c r="E1796" i="2"/>
  <c r="D1797" i="2"/>
  <c r="D1798" i="2" s="1"/>
  <c r="E1797" i="2"/>
  <c r="E1798" i="2"/>
  <c r="E1799" i="2"/>
  <c r="E1800" i="2"/>
  <c r="E1801" i="2"/>
  <c r="D1802" i="2"/>
  <c r="D1803" i="2" s="1"/>
  <c r="E1802" i="2"/>
  <c r="E1803" i="2"/>
  <c r="E1804" i="2"/>
  <c r="E1805" i="2"/>
  <c r="E180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D1727" i="2"/>
  <c r="D1728" i="2" s="1"/>
  <c r="E1727" i="2"/>
  <c r="E1728" i="2"/>
  <c r="E1729" i="2"/>
  <c r="E1730" i="2"/>
  <c r="E1731" i="2"/>
  <c r="D1732" i="2"/>
  <c r="D1733" i="2" s="1"/>
  <c r="E1732" i="2"/>
  <c r="E1733" i="2"/>
  <c r="E1734" i="2"/>
  <c r="E1735" i="2"/>
  <c r="E1736" i="2"/>
  <c r="D1737" i="2"/>
  <c r="D1739" i="2" s="1"/>
  <c r="E1737" i="2"/>
  <c r="E1738" i="2"/>
  <c r="E1739" i="2"/>
  <c r="E1740" i="2"/>
  <c r="E1741" i="2"/>
  <c r="D1742" i="2"/>
  <c r="D1745" i="2" s="1"/>
  <c r="E1742" i="2"/>
  <c r="E1743" i="2"/>
  <c r="E1744" i="2"/>
  <c r="E1745" i="2"/>
  <c r="E1746" i="2"/>
  <c r="D1747" i="2"/>
  <c r="D1751" i="2" s="1"/>
  <c r="E1747" i="2"/>
  <c r="E1748" i="2"/>
  <c r="E1749" i="2"/>
  <c r="E1750" i="2"/>
  <c r="E1751" i="2"/>
  <c r="D1752" i="2"/>
  <c r="D1754" i="2" s="1"/>
  <c r="E1752" i="2"/>
  <c r="E1753" i="2"/>
  <c r="E1754" i="2"/>
  <c r="E1755" i="2"/>
  <c r="E1756" i="2"/>
  <c r="D1757" i="2"/>
  <c r="D1758" i="2" s="1"/>
  <c r="E1757" i="2"/>
  <c r="E1758" i="2"/>
  <c r="E1759" i="2"/>
  <c r="E1760" i="2"/>
  <c r="E1761" i="2"/>
  <c r="D1762" i="2"/>
  <c r="D1763" i="2" s="1"/>
  <c r="E1762" i="2"/>
  <c r="E1763" i="2"/>
  <c r="E1764" i="2"/>
  <c r="E1765" i="2"/>
  <c r="E176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D1687" i="2"/>
  <c r="D1691" i="2" s="1"/>
  <c r="E1687" i="2"/>
  <c r="E1688" i="2"/>
  <c r="E1689" i="2"/>
  <c r="E1690" i="2"/>
  <c r="E1691" i="2"/>
  <c r="D1692" i="2"/>
  <c r="D1694" i="2" s="1"/>
  <c r="E1692" i="2"/>
  <c r="E1693" i="2"/>
  <c r="E1694" i="2"/>
  <c r="E1695" i="2"/>
  <c r="E1696" i="2"/>
  <c r="D1697" i="2"/>
  <c r="D1700" i="2" s="1"/>
  <c r="E1697" i="2"/>
  <c r="E1698" i="2"/>
  <c r="E1699" i="2"/>
  <c r="E1700" i="2"/>
  <c r="E1701" i="2"/>
  <c r="D1702" i="2"/>
  <c r="D1703" i="2" s="1"/>
  <c r="E1702" i="2"/>
  <c r="E1703" i="2"/>
  <c r="E1704" i="2"/>
  <c r="E1705" i="2"/>
  <c r="E1706" i="2"/>
  <c r="D1707" i="2"/>
  <c r="D1709" i="2" s="1"/>
  <c r="E1707" i="2"/>
  <c r="E1708" i="2"/>
  <c r="E1709" i="2"/>
  <c r="E1710" i="2"/>
  <c r="E1711" i="2"/>
  <c r="D1712" i="2"/>
  <c r="D1715" i="2" s="1"/>
  <c r="E1712" i="2"/>
  <c r="E1713" i="2"/>
  <c r="E1714" i="2"/>
  <c r="E1715" i="2"/>
  <c r="E1716" i="2"/>
  <c r="D1717" i="2"/>
  <c r="D1721" i="2" s="1"/>
  <c r="E1717" i="2"/>
  <c r="E1718" i="2"/>
  <c r="E1719" i="2"/>
  <c r="E1720" i="2"/>
  <c r="E1721" i="2"/>
  <c r="D1722" i="2"/>
  <c r="D1723" i="2" s="1"/>
  <c r="E1722" i="2"/>
  <c r="E1723" i="2"/>
  <c r="E1724" i="2"/>
  <c r="E1725" i="2"/>
  <c r="E172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D1647" i="2"/>
  <c r="D1648" i="2" s="1"/>
  <c r="E1647" i="2"/>
  <c r="E1648" i="2"/>
  <c r="E1649" i="2"/>
  <c r="E1650" i="2"/>
  <c r="E1651" i="2"/>
  <c r="D1652" i="2"/>
  <c r="D1654" i="2" s="1"/>
  <c r="E1652" i="2"/>
  <c r="E1653" i="2"/>
  <c r="E1654" i="2"/>
  <c r="E1655" i="2"/>
  <c r="E1656" i="2"/>
  <c r="D1657" i="2"/>
  <c r="D1659" i="2" s="1"/>
  <c r="E1657" i="2"/>
  <c r="E1658" i="2"/>
  <c r="E1659" i="2"/>
  <c r="E1660" i="2"/>
  <c r="E1661" i="2"/>
  <c r="D1662" i="2"/>
  <c r="D1665" i="2" s="1"/>
  <c r="E1662" i="2"/>
  <c r="E1663" i="2"/>
  <c r="E1664" i="2"/>
  <c r="E1665" i="2"/>
  <c r="E1666" i="2"/>
  <c r="D1667" i="2"/>
  <c r="D1671" i="2" s="1"/>
  <c r="E1667" i="2"/>
  <c r="E1668" i="2"/>
  <c r="E1669" i="2"/>
  <c r="E1670" i="2"/>
  <c r="E1671" i="2"/>
  <c r="D1672" i="2"/>
  <c r="D1676" i="2" s="1"/>
  <c r="E1672" i="2"/>
  <c r="E1673" i="2"/>
  <c r="E1674" i="2"/>
  <c r="E1675" i="2"/>
  <c r="E1676" i="2"/>
  <c r="D1677" i="2"/>
  <c r="D1679" i="2" s="1"/>
  <c r="E1677" i="2"/>
  <c r="E1678" i="2"/>
  <c r="E1679" i="2"/>
  <c r="E1680" i="2"/>
  <c r="E1681" i="2"/>
  <c r="D1682" i="2"/>
  <c r="D1683" i="2" s="1"/>
  <c r="E1682" i="2"/>
  <c r="E1683" i="2"/>
  <c r="E1684" i="2"/>
  <c r="E1685" i="2"/>
  <c r="E168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Z195" i="16"/>
  <c r="Z196" i="16"/>
  <c r="Z197" i="16"/>
  <c r="Z198" i="16"/>
  <c r="Z199" i="16"/>
  <c r="Z200" i="16"/>
  <c r="Z201" i="16"/>
  <c r="Z202" i="16"/>
  <c r="Z203" i="16"/>
  <c r="Z204" i="16"/>
  <c r="Z205" i="16"/>
  <c r="Z206" i="16"/>
  <c r="Z207" i="16"/>
  <c r="Z208" i="16"/>
  <c r="Z209" i="16"/>
  <c r="Z210" i="16"/>
  <c r="AG210" i="16" s="1"/>
  <c r="Z194" i="16"/>
  <c r="Z175" i="16"/>
  <c r="Z156" i="16"/>
  <c r="Z157" i="16"/>
  <c r="Z158" i="16"/>
  <c r="Z159" i="16"/>
  <c r="Z160" i="16"/>
  <c r="Z161" i="16"/>
  <c r="Z162" i="16"/>
  <c r="Z163" i="16"/>
  <c r="Z164" i="16"/>
  <c r="Z165" i="16"/>
  <c r="Z166" i="16"/>
  <c r="Z167" i="16"/>
  <c r="Z168" i="16"/>
  <c r="Z169" i="16"/>
  <c r="Z170" i="16"/>
  <c r="Z171" i="16"/>
  <c r="Z172" i="16"/>
  <c r="AG172" i="16" s="1"/>
  <c r="Z155" i="16"/>
  <c r="C210" i="16"/>
  <c r="D210" i="16" s="1"/>
  <c r="O210" i="16"/>
  <c r="Q210" i="16"/>
  <c r="C172" i="16"/>
  <c r="D172" i="16" s="1"/>
  <c r="E172" i="16" s="1"/>
  <c r="O172" i="16"/>
  <c r="Q172" i="16"/>
  <c r="C152" i="16"/>
  <c r="D152" i="16" s="1"/>
  <c r="E152" i="16" s="1"/>
  <c r="O152" i="16"/>
  <c r="Q152" i="16"/>
  <c r="C113" i="16"/>
  <c r="D113" i="16" s="1"/>
  <c r="AI113" i="16" s="1"/>
  <c r="O113" i="16"/>
  <c r="Q113" i="16"/>
  <c r="C55" i="16"/>
  <c r="D55" i="16" s="1"/>
  <c r="AI55" i="16" s="1"/>
  <c r="O55" i="16"/>
  <c r="Q55" i="16"/>
  <c r="J5" i="17" l="1" a="1"/>
  <c r="J5" i="17" s="1"/>
  <c r="J6" i="17" s="1" a="1"/>
  <c r="J6" i="17" s="1"/>
  <c r="D1909" i="2"/>
  <c r="D1908" i="2"/>
  <c r="D1889" i="2"/>
  <c r="D1916" i="2"/>
  <c r="D1915" i="2"/>
  <c r="D1914" i="2"/>
  <c r="D1891" i="2"/>
  <c r="D1898" i="2"/>
  <c r="D1890" i="2"/>
  <c r="D1698" i="2"/>
  <c r="D1921" i="2"/>
  <c r="D1920" i="2"/>
  <c r="D1919" i="2"/>
  <c r="D1771" i="2"/>
  <c r="D1904" i="2"/>
  <c r="D1910" i="2"/>
  <c r="D1903" i="2"/>
  <c r="D1769" i="2"/>
  <c r="D1925" i="2"/>
  <c r="D1901" i="2"/>
  <c r="D1895" i="2"/>
  <c r="D1863" i="2"/>
  <c r="D1926" i="2"/>
  <c r="D1896" i="2"/>
  <c r="D1924" i="2"/>
  <c r="D1906" i="2"/>
  <c r="D1900" i="2"/>
  <c r="D1894" i="2"/>
  <c r="D1770" i="2"/>
  <c r="D1860" i="2"/>
  <c r="D1810" i="2"/>
  <c r="D1749" i="2"/>
  <c r="D1809" i="2"/>
  <c r="D1841" i="2"/>
  <c r="D1858" i="2"/>
  <c r="D1840" i="2"/>
  <c r="D1811" i="2"/>
  <c r="D1834" i="2"/>
  <c r="D1854" i="2"/>
  <c r="D1778" i="2"/>
  <c r="D1833" i="2"/>
  <c r="D1719" i="2"/>
  <c r="D1748" i="2"/>
  <c r="D1836" i="2"/>
  <c r="D1668" i="2"/>
  <c r="D1726" i="2"/>
  <c r="D1818" i="2"/>
  <c r="D1884" i="2"/>
  <c r="D1869" i="2"/>
  <c r="D1839" i="2"/>
  <c r="D1824" i="2"/>
  <c r="D1866" i="2"/>
  <c r="D1801" i="2"/>
  <c r="D1793" i="2"/>
  <c r="D1881" i="2"/>
  <c r="D1865" i="2"/>
  <c r="D1800" i="2"/>
  <c r="D1830" i="2"/>
  <c r="D1871" i="2"/>
  <c r="D1750" i="2"/>
  <c r="D1821" i="2"/>
  <c r="D1848" i="2"/>
  <c r="D1799" i="2"/>
  <c r="D1878" i="2"/>
  <c r="D1870" i="2"/>
  <c r="D1845" i="2"/>
  <c r="D1753" i="2"/>
  <c r="D1843" i="2"/>
  <c r="D1831" i="2"/>
  <c r="D1825" i="2"/>
  <c r="D1819" i="2"/>
  <c r="D1813" i="2"/>
  <c r="D1885" i="2"/>
  <c r="D1879" i="2"/>
  <c r="D1873" i="2"/>
  <c r="D1861" i="2"/>
  <c r="D1855" i="2"/>
  <c r="D1849" i="2"/>
  <c r="D1718" i="2"/>
  <c r="D1794" i="2"/>
  <c r="D1829" i="2"/>
  <c r="D1823" i="2"/>
  <c r="D1883" i="2"/>
  <c r="D1853" i="2"/>
  <c r="D1846" i="2"/>
  <c r="D1756" i="2"/>
  <c r="D1816" i="2"/>
  <c r="D1876" i="2"/>
  <c r="D1875" i="2"/>
  <c r="D1851" i="2"/>
  <c r="D1755" i="2"/>
  <c r="D1731" i="2"/>
  <c r="D1815" i="2"/>
  <c r="D1713" i="2"/>
  <c r="D1738" i="2"/>
  <c r="D1720" i="2"/>
  <c r="D1761" i="2"/>
  <c r="D1789" i="2"/>
  <c r="D1699" i="2"/>
  <c r="D1693" i="2"/>
  <c r="D1743" i="2"/>
  <c r="D1795" i="2"/>
  <c r="D1714" i="2"/>
  <c r="D1788" i="2"/>
  <c r="D1689" i="2"/>
  <c r="D1759" i="2"/>
  <c r="D1730" i="2"/>
  <c r="D1784" i="2"/>
  <c r="D1690" i="2"/>
  <c r="D1724" i="2"/>
  <c r="D1701" i="2"/>
  <c r="D1695" i="2"/>
  <c r="D1760" i="2"/>
  <c r="D1725" i="2"/>
  <c r="D1696" i="2"/>
  <c r="D1688" i="2"/>
  <c r="D1729" i="2"/>
  <c r="D1790" i="2"/>
  <c r="D1783" i="2"/>
  <c r="D1708" i="2"/>
  <c r="D1744" i="2"/>
  <c r="D1806" i="2"/>
  <c r="D1706" i="2"/>
  <c r="D1776" i="2"/>
  <c r="D1705" i="2"/>
  <c r="D1765" i="2"/>
  <c r="D1775" i="2"/>
  <c r="D1716" i="2"/>
  <c r="D1710" i="2"/>
  <c r="D1704" i="2"/>
  <c r="D1764" i="2"/>
  <c r="D1746" i="2"/>
  <c r="D1740" i="2"/>
  <c r="D1734" i="2"/>
  <c r="D1804" i="2"/>
  <c r="D1786" i="2"/>
  <c r="D1780" i="2"/>
  <c r="D1774" i="2"/>
  <c r="D1766" i="2"/>
  <c r="D1736" i="2"/>
  <c r="D1735" i="2"/>
  <c r="D1781" i="2"/>
  <c r="D1711" i="2"/>
  <c r="D1741" i="2"/>
  <c r="D1805" i="2"/>
  <c r="D1650" i="2"/>
  <c r="D1663" i="2"/>
  <c r="D1651" i="2"/>
  <c r="D1649" i="2"/>
  <c r="D1678" i="2"/>
  <c r="D1675" i="2"/>
  <c r="D1674" i="2"/>
  <c r="D1673" i="2"/>
  <c r="D1681" i="2"/>
  <c r="D1680" i="2"/>
  <c r="D1664" i="2"/>
  <c r="D1658" i="2"/>
  <c r="D1670" i="2"/>
  <c r="D1669" i="2"/>
  <c r="D1685" i="2"/>
  <c r="D1655" i="2"/>
  <c r="D1686" i="2"/>
  <c r="D1661" i="2"/>
  <c r="D1684" i="2"/>
  <c r="D1666" i="2"/>
  <c r="D1660" i="2"/>
  <c r="D1653" i="2"/>
  <c r="D1656" i="2"/>
  <c r="E210" i="16"/>
  <c r="F210" i="16" s="1"/>
  <c r="A210" i="16" s="1"/>
  <c r="AI210" i="16"/>
  <c r="AI172" i="16"/>
  <c r="AI152" i="16"/>
  <c r="F172" i="16"/>
  <c r="A172" i="16" s="1"/>
  <c r="F152" i="16"/>
  <c r="A152" i="16" s="1"/>
  <c r="E113" i="16"/>
  <c r="E55" i="16"/>
  <c r="F55" i="16" s="1"/>
  <c r="J7" i="17" l="1" a="1"/>
  <c r="J7" i="17" s="1"/>
  <c r="F113" i="16"/>
  <c r="A113" i="16" s="1"/>
  <c r="A55" i="16"/>
  <c r="Q223" i="16" l="1"/>
  <c r="O223" i="16"/>
  <c r="C223" i="16"/>
  <c r="D223" i="16" s="1"/>
  <c r="Q222" i="16"/>
  <c r="O222" i="16"/>
  <c r="C222" i="16"/>
  <c r="D222" i="16" s="1"/>
  <c r="Q221" i="16"/>
  <c r="O221" i="16"/>
  <c r="C221" i="16"/>
  <c r="D221" i="16" s="1"/>
  <c r="AI221" i="16" s="1"/>
  <c r="Q220" i="16"/>
  <c r="O220" i="16"/>
  <c r="C220" i="16"/>
  <c r="D220" i="16" s="1"/>
  <c r="Q219" i="16"/>
  <c r="O219" i="16"/>
  <c r="C219" i="16"/>
  <c r="D219" i="16" s="1"/>
  <c r="AI219" i="16" s="1"/>
  <c r="Q218" i="16"/>
  <c r="O218" i="16"/>
  <c r="C218" i="16"/>
  <c r="D218" i="16" s="1"/>
  <c r="Q217" i="16"/>
  <c r="O217" i="16"/>
  <c r="C217" i="16"/>
  <c r="D217" i="16" s="1"/>
  <c r="AI217" i="16" s="1"/>
  <c r="Q216" i="16"/>
  <c r="O216" i="16"/>
  <c r="C216" i="16"/>
  <c r="D216" i="16" s="1"/>
  <c r="Q215" i="16"/>
  <c r="O215" i="16"/>
  <c r="C215" i="16"/>
  <c r="D215" i="16" s="1"/>
  <c r="Q214" i="16"/>
  <c r="O214" i="16"/>
  <c r="C214" i="16"/>
  <c r="D214" i="16" s="1"/>
  <c r="Z223" i="16"/>
  <c r="AG223" i="16" s="1"/>
  <c r="Q209" i="16"/>
  <c r="O209" i="16"/>
  <c r="C209" i="16"/>
  <c r="D209" i="16" s="1"/>
  <c r="Q208" i="16"/>
  <c r="O208" i="16"/>
  <c r="C208" i="16"/>
  <c r="D208" i="16" s="1"/>
  <c r="Q207" i="16"/>
  <c r="O207" i="16"/>
  <c r="C207" i="16"/>
  <c r="D207" i="16" s="1"/>
  <c r="Q206" i="16"/>
  <c r="O206" i="16"/>
  <c r="C206" i="16"/>
  <c r="D206" i="16" s="1"/>
  <c r="Q205" i="16"/>
  <c r="O205" i="16"/>
  <c r="C205" i="16"/>
  <c r="D205" i="16" s="1"/>
  <c r="Q204" i="16"/>
  <c r="O204" i="16"/>
  <c r="C204" i="16"/>
  <c r="D204" i="16" s="1"/>
  <c r="Q203" i="16"/>
  <c r="O203" i="16"/>
  <c r="C203" i="16"/>
  <c r="D203" i="16" s="1"/>
  <c r="AI203" i="16" s="1"/>
  <c r="Q202" i="16"/>
  <c r="O202" i="16"/>
  <c r="C202" i="16"/>
  <c r="D202" i="16" s="1"/>
  <c r="Q201" i="16"/>
  <c r="O201" i="16"/>
  <c r="C201" i="16"/>
  <c r="D201" i="16" s="1"/>
  <c r="AI201" i="16" s="1"/>
  <c r="Q200" i="16"/>
  <c r="O200" i="16"/>
  <c r="C200" i="16"/>
  <c r="D200" i="16" s="1"/>
  <c r="Q199" i="16"/>
  <c r="O199" i="16"/>
  <c r="C199" i="16"/>
  <c r="D199" i="16" s="1"/>
  <c r="AI199" i="16" s="1"/>
  <c r="Q198" i="16"/>
  <c r="O198" i="16"/>
  <c r="C198" i="16"/>
  <c r="D198" i="16" s="1"/>
  <c r="Q197" i="16"/>
  <c r="O197" i="16"/>
  <c r="C197" i="16"/>
  <c r="D197" i="16" s="1"/>
  <c r="Q196" i="16"/>
  <c r="O196" i="16"/>
  <c r="C196" i="16"/>
  <c r="D196" i="16" s="1"/>
  <c r="Q195" i="16"/>
  <c r="O195" i="16"/>
  <c r="C195" i="16"/>
  <c r="D195" i="16" s="1"/>
  <c r="AG205" i="16"/>
  <c r="Q191" i="16"/>
  <c r="O191" i="16"/>
  <c r="C191" i="16"/>
  <c r="D191" i="16" s="1"/>
  <c r="Q190" i="16"/>
  <c r="O190" i="16"/>
  <c r="C190" i="16"/>
  <c r="D190" i="16" s="1"/>
  <c r="Q189" i="16"/>
  <c r="O189" i="16"/>
  <c r="C189" i="16"/>
  <c r="D189" i="16" s="1"/>
  <c r="AI189" i="16" s="1"/>
  <c r="Q188" i="16"/>
  <c r="O188" i="16"/>
  <c r="C188" i="16"/>
  <c r="D188" i="16" s="1"/>
  <c r="E188" i="16" s="1"/>
  <c r="Q187" i="16"/>
  <c r="O187" i="16"/>
  <c r="C187" i="16"/>
  <c r="D187" i="16" s="1"/>
  <c r="AI187" i="16" s="1"/>
  <c r="Q186" i="16"/>
  <c r="O186" i="16"/>
  <c r="C186" i="16"/>
  <c r="D186" i="16" s="1"/>
  <c r="Q185" i="16"/>
  <c r="O185" i="16"/>
  <c r="C185" i="16"/>
  <c r="D185" i="16" s="1"/>
  <c r="AI185" i="16" s="1"/>
  <c r="Q184" i="16"/>
  <c r="O184" i="16"/>
  <c r="C184" i="16"/>
  <c r="D184" i="16" s="1"/>
  <c r="Q183" i="16"/>
  <c r="O183" i="16"/>
  <c r="C183" i="16"/>
  <c r="D183" i="16" s="1"/>
  <c r="Q182" i="16"/>
  <c r="O182" i="16"/>
  <c r="C182" i="16"/>
  <c r="D182" i="16" s="1"/>
  <c r="Q181" i="16"/>
  <c r="O181" i="16"/>
  <c r="C181" i="16"/>
  <c r="D181" i="16" s="1"/>
  <c r="AI181" i="16" s="1"/>
  <c r="Q180" i="16"/>
  <c r="O180" i="16"/>
  <c r="C180" i="16"/>
  <c r="D180" i="16" s="1"/>
  <c r="Q179" i="16"/>
  <c r="O179" i="16"/>
  <c r="C179" i="16"/>
  <c r="D179" i="16" s="1"/>
  <c r="Q178" i="16"/>
  <c r="O178" i="16"/>
  <c r="C178" i="16"/>
  <c r="D178" i="16" s="1"/>
  <c r="Q177" i="16"/>
  <c r="O177" i="16"/>
  <c r="C177" i="16"/>
  <c r="D177" i="16" s="1"/>
  <c r="Q176" i="16"/>
  <c r="O176" i="16"/>
  <c r="C176" i="16"/>
  <c r="D176" i="16" s="1"/>
  <c r="E176" i="16" s="1"/>
  <c r="Z189" i="16"/>
  <c r="AG189" i="16" s="1"/>
  <c r="Q171" i="16"/>
  <c r="O171" i="16"/>
  <c r="C171" i="16"/>
  <c r="D171" i="16" s="1"/>
  <c r="AI171" i="16" s="1"/>
  <c r="Q170" i="16"/>
  <c r="O170" i="16"/>
  <c r="C170" i="16"/>
  <c r="D170" i="16" s="1"/>
  <c r="E170" i="16" s="1"/>
  <c r="Q169" i="16"/>
  <c r="O169" i="16"/>
  <c r="C169" i="16"/>
  <c r="D169" i="16" s="1"/>
  <c r="Q168" i="16"/>
  <c r="O168" i="16"/>
  <c r="C168" i="16"/>
  <c r="D168" i="16" s="1"/>
  <c r="Q167" i="16"/>
  <c r="O167" i="16"/>
  <c r="C167" i="16"/>
  <c r="D167" i="16" s="1"/>
  <c r="Q166" i="16"/>
  <c r="O166" i="16"/>
  <c r="C166" i="16"/>
  <c r="D166" i="16" s="1"/>
  <c r="Q165" i="16"/>
  <c r="O165" i="16"/>
  <c r="C165" i="16"/>
  <c r="D165" i="16" s="1"/>
  <c r="Q164" i="16"/>
  <c r="O164" i="16"/>
  <c r="C164" i="16"/>
  <c r="D164" i="16" s="1"/>
  <c r="Q163" i="16"/>
  <c r="O163" i="16"/>
  <c r="C163" i="16"/>
  <c r="D163" i="16" s="1"/>
  <c r="AI163" i="16" s="1"/>
  <c r="Q162" i="16"/>
  <c r="O162" i="16"/>
  <c r="C162" i="16"/>
  <c r="D162" i="16" s="1"/>
  <c r="Q161" i="16"/>
  <c r="O161" i="16"/>
  <c r="C161" i="16"/>
  <c r="D161" i="16" s="1"/>
  <c r="Q160" i="16"/>
  <c r="O160" i="16"/>
  <c r="C160" i="16"/>
  <c r="D160" i="16" s="1"/>
  <c r="Q159" i="16"/>
  <c r="O159" i="16"/>
  <c r="C159" i="16"/>
  <c r="D159" i="16" s="1"/>
  <c r="Q158" i="16"/>
  <c r="O158" i="16"/>
  <c r="C158" i="16"/>
  <c r="D158" i="16" s="1"/>
  <c r="AI158" i="16" s="1"/>
  <c r="Q157" i="16"/>
  <c r="O157" i="16"/>
  <c r="C157" i="16"/>
  <c r="D157" i="16" s="1"/>
  <c r="Q156" i="16"/>
  <c r="O156" i="16"/>
  <c r="C156" i="16"/>
  <c r="D156" i="16" s="1"/>
  <c r="AG171" i="16"/>
  <c r="Q151" i="16"/>
  <c r="O151" i="16"/>
  <c r="C151" i="16"/>
  <c r="D151" i="16" s="1"/>
  <c r="Q150" i="16"/>
  <c r="O150" i="16"/>
  <c r="C150" i="16"/>
  <c r="D150" i="16" s="1"/>
  <c r="Q149" i="16"/>
  <c r="O149" i="16"/>
  <c r="C149" i="16"/>
  <c r="D149" i="16" s="1"/>
  <c r="E149" i="16" s="1"/>
  <c r="Q148" i="16"/>
  <c r="O148" i="16"/>
  <c r="C148" i="16"/>
  <c r="D148" i="16" s="1"/>
  <c r="Q147" i="16"/>
  <c r="O147" i="16"/>
  <c r="C147" i="16"/>
  <c r="D147" i="16" s="1"/>
  <c r="Q146" i="16"/>
  <c r="O146" i="16"/>
  <c r="C146" i="16"/>
  <c r="D146" i="16" s="1"/>
  <c r="Q145" i="16"/>
  <c r="O145" i="16"/>
  <c r="C145" i="16"/>
  <c r="D145" i="16" s="1"/>
  <c r="Q144" i="16"/>
  <c r="O144" i="16"/>
  <c r="C144" i="16"/>
  <c r="D144" i="16" s="1"/>
  <c r="Q143" i="16"/>
  <c r="O143" i="16"/>
  <c r="C143" i="16"/>
  <c r="D143" i="16" s="1"/>
  <c r="Q142" i="16"/>
  <c r="O142" i="16"/>
  <c r="C142" i="16"/>
  <c r="D142" i="16" s="1"/>
  <c r="AI142" i="16" s="1"/>
  <c r="Q141" i="16"/>
  <c r="O141" i="16"/>
  <c r="C141" i="16"/>
  <c r="D141" i="16" s="1"/>
  <c r="Q140" i="16"/>
  <c r="O140" i="16"/>
  <c r="C140" i="16"/>
  <c r="D140" i="16" s="1"/>
  <c r="AI140" i="16" s="1"/>
  <c r="Q139" i="16"/>
  <c r="O139" i="16"/>
  <c r="C139" i="16"/>
  <c r="D139" i="16" s="1"/>
  <c r="Q138" i="16"/>
  <c r="O138" i="16"/>
  <c r="C138" i="16"/>
  <c r="D138" i="16" s="1"/>
  <c r="E138" i="16" s="1"/>
  <c r="Q137" i="16"/>
  <c r="O137" i="16"/>
  <c r="C137" i="16"/>
  <c r="D137" i="16" s="1"/>
  <c r="Q133" i="16"/>
  <c r="O133" i="16"/>
  <c r="C133" i="16"/>
  <c r="D133" i="16" s="1"/>
  <c r="Q132" i="16"/>
  <c r="O132" i="16"/>
  <c r="C132" i="16"/>
  <c r="D132" i="16" s="1"/>
  <c r="Q131" i="16"/>
  <c r="O131" i="16"/>
  <c r="C131" i="16"/>
  <c r="D131" i="16" s="1"/>
  <c r="AI131" i="16" s="1"/>
  <c r="Q130" i="16"/>
  <c r="O130" i="16"/>
  <c r="C130" i="16"/>
  <c r="D130" i="16" s="1"/>
  <c r="Q129" i="16"/>
  <c r="O129" i="16"/>
  <c r="C129" i="16"/>
  <c r="D129" i="16" s="1"/>
  <c r="Q128" i="16"/>
  <c r="O128" i="16"/>
  <c r="C128" i="16"/>
  <c r="D128" i="16" s="1"/>
  <c r="Q127" i="16"/>
  <c r="O127" i="16"/>
  <c r="C127" i="16"/>
  <c r="D127" i="16" s="1"/>
  <c r="AI127" i="16" s="1"/>
  <c r="Q126" i="16"/>
  <c r="O126" i="16"/>
  <c r="C126" i="16"/>
  <c r="D126" i="16" s="1"/>
  <c r="E126" i="16" s="1"/>
  <c r="Q125" i="16"/>
  <c r="O125" i="16"/>
  <c r="C125" i="16"/>
  <c r="D125" i="16" s="1"/>
  <c r="Q124" i="16"/>
  <c r="O124" i="16"/>
  <c r="C124" i="16"/>
  <c r="D124" i="16" s="1"/>
  <c r="Q123" i="16"/>
  <c r="O123" i="16"/>
  <c r="C123" i="16"/>
  <c r="D123" i="16" s="1"/>
  <c r="Q122" i="16"/>
  <c r="O122" i="16"/>
  <c r="C122" i="16"/>
  <c r="D122" i="16" s="1"/>
  <c r="AI122" i="16" s="1"/>
  <c r="Q121" i="16"/>
  <c r="O121" i="16"/>
  <c r="C121" i="16"/>
  <c r="D121" i="16" s="1"/>
  <c r="Q120" i="16"/>
  <c r="O120" i="16"/>
  <c r="C120" i="16"/>
  <c r="D120" i="16" s="1"/>
  <c r="Q119" i="16"/>
  <c r="O119" i="16"/>
  <c r="C119" i="16"/>
  <c r="D119" i="16" s="1"/>
  <c r="E119" i="16" s="1"/>
  <c r="Q118" i="16"/>
  <c r="O118" i="16"/>
  <c r="C118" i="16"/>
  <c r="D118" i="16" s="1"/>
  <c r="Q117" i="16"/>
  <c r="O117" i="16"/>
  <c r="C117" i="16"/>
  <c r="D117" i="16" s="1"/>
  <c r="Q112" i="16"/>
  <c r="O112" i="16"/>
  <c r="C112" i="16"/>
  <c r="D112" i="16" s="1"/>
  <c r="Q111" i="16"/>
  <c r="O111" i="16"/>
  <c r="C111" i="16"/>
  <c r="D111" i="16" s="1"/>
  <c r="Q110" i="16"/>
  <c r="O110" i="16"/>
  <c r="C110" i="16"/>
  <c r="D110" i="16" s="1"/>
  <c r="Q109" i="16"/>
  <c r="O109" i="16"/>
  <c r="C109" i="16"/>
  <c r="D109" i="16" s="1"/>
  <c r="Q108" i="16"/>
  <c r="O108" i="16"/>
  <c r="C108" i="16"/>
  <c r="D108" i="16" s="1"/>
  <c r="E108" i="16" s="1"/>
  <c r="Q107" i="16"/>
  <c r="O107" i="16"/>
  <c r="C107" i="16"/>
  <c r="D107" i="16" s="1"/>
  <c r="Q106" i="16"/>
  <c r="O106" i="16"/>
  <c r="C106" i="16"/>
  <c r="D106" i="16" s="1"/>
  <c r="Q105" i="16"/>
  <c r="O105" i="16"/>
  <c r="C105" i="16"/>
  <c r="D105" i="16" s="1"/>
  <c r="Q104" i="16"/>
  <c r="O104" i="16"/>
  <c r="C104" i="16"/>
  <c r="D104" i="16" s="1"/>
  <c r="Q103" i="16"/>
  <c r="O103" i="16"/>
  <c r="C103" i="16"/>
  <c r="D103" i="16" s="1"/>
  <c r="AI103" i="16" s="1"/>
  <c r="Q102" i="16"/>
  <c r="O102" i="16"/>
  <c r="C102" i="16"/>
  <c r="D102" i="16" s="1"/>
  <c r="AI102" i="16" s="1"/>
  <c r="Q101" i="16"/>
  <c r="O101" i="16"/>
  <c r="C101" i="16"/>
  <c r="D101" i="16" s="1"/>
  <c r="Q100" i="16"/>
  <c r="O100" i="16"/>
  <c r="C100" i="16"/>
  <c r="D100" i="16" s="1"/>
  <c r="AI100" i="16" s="1"/>
  <c r="Q99" i="16"/>
  <c r="O99" i="16"/>
  <c r="C99" i="16"/>
  <c r="D99" i="16" s="1"/>
  <c r="Q98" i="16"/>
  <c r="O98" i="16"/>
  <c r="C98" i="16"/>
  <c r="D98" i="16" s="1"/>
  <c r="Q97" i="16"/>
  <c r="O97" i="16"/>
  <c r="C97" i="16"/>
  <c r="D97" i="16" s="1"/>
  <c r="Q93" i="16"/>
  <c r="O93" i="16"/>
  <c r="C93" i="16"/>
  <c r="D93" i="16" s="1"/>
  <c r="E93" i="16" s="1"/>
  <c r="Q92" i="16"/>
  <c r="O92" i="16"/>
  <c r="C92" i="16"/>
  <c r="D92" i="16" s="1"/>
  <c r="Q91" i="16"/>
  <c r="O91" i="16"/>
  <c r="C91" i="16"/>
  <c r="D91" i="16" s="1"/>
  <c r="Q90" i="16"/>
  <c r="O90" i="16"/>
  <c r="C90" i="16"/>
  <c r="D90" i="16" s="1"/>
  <c r="E90" i="16" s="1"/>
  <c r="Q89" i="16"/>
  <c r="O89" i="16"/>
  <c r="C89" i="16"/>
  <c r="D89" i="16" s="1"/>
  <c r="Q88" i="16"/>
  <c r="O88" i="16"/>
  <c r="C88" i="16"/>
  <c r="D88" i="16" s="1"/>
  <c r="E88" i="16" s="1"/>
  <c r="Q87" i="16"/>
  <c r="O87" i="16"/>
  <c r="C87" i="16"/>
  <c r="D87" i="16" s="1"/>
  <c r="Q86" i="16"/>
  <c r="O86" i="16"/>
  <c r="C86" i="16"/>
  <c r="D86" i="16" s="1"/>
  <c r="Q85" i="16"/>
  <c r="O85" i="16"/>
  <c r="C85" i="16"/>
  <c r="D85" i="16" s="1"/>
  <c r="E85" i="16" s="1"/>
  <c r="Q84" i="16"/>
  <c r="O84" i="16"/>
  <c r="C84" i="16"/>
  <c r="D84" i="16" s="1"/>
  <c r="Q83" i="16"/>
  <c r="O83" i="16"/>
  <c r="C83" i="16"/>
  <c r="D83" i="16" s="1"/>
  <c r="AI83" i="16" s="1"/>
  <c r="Q82" i="16"/>
  <c r="O82" i="16"/>
  <c r="C82" i="16"/>
  <c r="D82" i="16" s="1"/>
  <c r="Q81" i="16"/>
  <c r="O81" i="16"/>
  <c r="C81" i="16"/>
  <c r="D81" i="16" s="1"/>
  <c r="Q80" i="16"/>
  <c r="O80" i="16"/>
  <c r="C80" i="16"/>
  <c r="D80" i="16" s="1"/>
  <c r="AI80" i="16" s="1"/>
  <c r="Q79" i="16"/>
  <c r="O79" i="16"/>
  <c r="C79" i="16"/>
  <c r="D79" i="16" s="1"/>
  <c r="Q75" i="16"/>
  <c r="O75" i="16"/>
  <c r="C75" i="16"/>
  <c r="D75" i="16" s="1"/>
  <c r="AI75" i="16" s="1"/>
  <c r="Q74" i="16"/>
  <c r="O74" i="16"/>
  <c r="C74" i="16"/>
  <c r="D74" i="16" s="1"/>
  <c r="E74" i="16" s="1"/>
  <c r="Q73" i="16"/>
  <c r="O73" i="16"/>
  <c r="C73" i="16"/>
  <c r="D73" i="16" s="1"/>
  <c r="AI73" i="16" s="1"/>
  <c r="Q72" i="16"/>
  <c r="O72" i="16"/>
  <c r="C72" i="16"/>
  <c r="D72" i="16" s="1"/>
  <c r="Q71" i="16"/>
  <c r="O71" i="16"/>
  <c r="C71" i="16"/>
  <c r="D71" i="16" s="1"/>
  <c r="Q70" i="16"/>
  <c r="O70" i="16"/>
  <c r="C70" i="16"/>
  <c r="D70" i="16" s="1"/>
  <c r="Q69" i="16"/>
  <c r="O69" i="16"/>
  <c r="C69" i="16"/>
  <c r="D69" i="16" s="1"/>
  <c r="Q68" i="16"/>
  <c r="O68" i="16"/>
  <c r="C68" i="16"/>
  <c r="D68" i="16" s="1"/>
  <c r="E68" i="16" s="1"/>
  <c r="Q67" i="16"/>
  <c r="O67" i="16"/>
  <c r="C67" i="16"/>
  <c r="D67" i="16" s="1"/>
  <c r="Q66" i="16"/>
  <c r="O66" i="16"/>
  <c r="C66" i="16"/>
  <c r="D66" i="16" s="1"/>
  <c r="Q65" i="16"/>
  <c r="O65" i="16"/>
  <c r="C65" i="16"/>
  <c r="D65" i="16" s="1"/>
  <c r="AI65" i="16" s="1"/>
  <c r="Q64" i="16"/>
  <c r="O64" i="16"/>
  <c r="C64" i="16"/>
  <c r="D64" i="16" s="1"/>
  <c r="E64" i="16" s="1"/>
  <c r="Q63" i="16"/>
  <c r="O63" i="16"/>
  <c r="C63" i="16"/>
  <c r="D63" i="16" s="1"/>
  <c r="E63" i="16" s="1"/>
  <c r="Q62" i="16"/>
  <c r="O62" i="16"/>
  <c r="C62" i="16"/>
  <c r="D62" i="16" s="1"/>
  <c r="Q61" i="16"/>
  <c r="O61" i="16"/>
  <c r="C61" i="16"/>
  <c r="D61" i="16" s="1"/>
  <c r="AI61" i="16" s="1"/>
  <c r="Q60" i="16"/>
  <c r="O60" i="16"/>
  <c r="C60" i="16"/>
  <c r="D60" i="16" s="1"/>
  <c r="Q59" i="16"/>
  <c r="O59" i="16"/>
  <c r="C59" i="16"/>
  <c r="D59" i="16" s="1"/>
  <c r="Q54" i="16"/>
  <c r="O54" i="16"/>
  <c r="C54" i="16"/>
  <c r="D54" i="16" s="1"/>
  <c r="AI54" i="16" s="1"/>
  <c r="Q53" i="16"/>
  <c r="O53" i="16"/>
  <c r="C53" i="16"/>
  <c r="D53" i="16" s="1"/>
  <c r="Q52" i="16"/>
  <c r="O52" i="16"/>
  <c r="C52" i="16"/>
  <c r="D52" i="16" s="1"/>
  <c r="Q51" i="16"/>
  <c r="O51" i="16"/>
  <c r="C51" i="16"/>
  <c r="D51" i="16" s="1"/>
  <c r="Q50" i="16"/>
  <c r="O50" i="16"/>
  <c r="C50" i="16"/>
  <c r="D50" i="16" s="1"/>
  <c r="Q49" i="16"/>
  <c r="O49" i="16"/>
  <c r="C49" i="16"/>
  <c r="D49" i="16" s="1"/>
  <c r="Q48" i="16"/>
  <c r="O48" i="16"/>
  <c r="C48" i="16"/>
  <c r="D48" i="16" s="1"/>
  <c r="Q47" i="16"/>
  <c r="O47" i="16"/>
  <c r="C47" i="16"/>
  <c r="D47" i="16" s="1"/>
  <c r="E47" i="16" s="1"/>
  <c r="Q46" i="16"/>
  <c r="O46" i="16"/>
  <c r="C46" i="16"/>
  <c r="D46" i="16" s="1"/>
  <c r="Q45" i="16"/>
  <c r="O45" i="16"/>
  <c r="C45" i="16"/>
  <c r="D45" i="16" s="1"/>
  <c r="Q44" i="16"/>
  <c r="O44" i="16"/>
  <c r="C44" i="16"/>
  <c r="D44" i="16" s="1"/>
  <c r="Q43" i="16"/>
  <c r="O43" i="16"/>
  <c r="C43" i="16"/>
  <c r="D43" i="16" s="1"/>
  <c r="Q42" i="16"/>
  <c r="O42" i="16"/>
  <c r="C42" i="16"/>
  <c r="D42" i="16" s="1"/>
  <c r="E42" i="16" s="1"/>
  <c r="Q41" i="16"/>
  <c r="O41" i="16"/>
  <c r="C41" i="16"/>
  <c r="D41" i="16" s="1"/>
  <c r="Q40" i="16"/>
  <c r="O40" i="16"/>
  <c r="C40" i="16"/>
  <c r="D40" i="16" s="1"/>
  <c r="Q39" i="16"/>
  <c r="O39" i="16"/>
  <c r="C39" i="16"/>
  <c r="D39" i="16" s="1"/>
  <c r="Q35" i="16"/>
  <c r="O35" i="16"/>
  <c r="C35" i="16"/>
  <c r="D35" i="16" s="1"/>
  <c r="Q34" i="16"/>
  <c r="O34" i="16"/>
  <c r="C34" i="16"/>
  <c r="D34" i="16" s="1"/>
  <c r="Q33" i="16"/>
  <c r="O33" i="16"/>
  <c r="C33" i="16"/>
  <c r="D33" i="16" s="1"/>
  <c r="Q32" i="16"/>
  <c r="O32" i="16"/>
  <c r="C32" i="16"/>
  <c r="D32" i="16" s="1"/>
  <c r="Q31" i="16"/>
  <c r="O31" i="16"/>
  <c r="C31" i="16"/>
  <c r="D31" i="16" s="1"/>
  <c r="E31" i="16" s="1"/>
  <c r="Q30" i="16"/>
  <c r="O30" i="16"/>
  <c r="C30" i="16"/>
  <c r="D30" i="16" s="1"/>
  <c r="E30" i="16" s="1"/>
  <c r="Q29" i="16"/>
  <c r="O29" i="16"/>
  <c r="C29" i="16"/>
  <c r="D29" i="16" s="1"/>
  <c r="AI29" i="16" s="1"/>
  <c r="Q28" i="16"/>
  <c r="O28" i="16"/>
  <c r="C28" i="16"/>
  <c r="D28" i="16" s="1"/>
  <c r="AI28" i="16" s="1"/>
  <c r="Q27" i="16"/>
  <c r="O27" i="16"/>
  <c r="C27" i="16"/>
  <c r="D27" i="16" s="1"/>
  <c r="E27" i="16" s="1"/>
  <c r="Q26" i="16"/>
  <c r="O26" i="16"/>
  <c r="C26" i="16"/>
  <c r="D26" i="16" s="1"/>
  <c r="Q25" i="16"/>
  <c r="O25" i="16"/>
  <c r="C25" i="16"/>
  <c r="D25" i="16" s="1"/>
  <c r="E25" i="16" s="1"/>
  <c r="Q24" i="16"/>
  <c r="O24" i="16"/>
  <c r="C24" i="16"/>
  <c r="D24" i="16" s="1"/>
  <c r="Q23" i="16"/>
  <c r="O23" i="16"/>
  <c r="C23" i="16"/>
  <c r="D23" i="16" s="1"/>
  <c r="Q22" i="16"/>
  <c r="O22" i="16"/>
  <c r="C22" i="16"/>
  <c r="D22" i="16" s="1"/>
  <c r="Q21" i="16"/>
  <c r="O21" i="16"/>
  <c r="C21" i="16"/>
  <c r="D21" i="16" s="1"/>
  <c r="Q17" i="16"/>
  <c r="O17" i="16"/>
  <c r="C17" i="16"/>
  <c r="D17" i="16" s="1"/>
  <c r="Q16" i="16"/>
  <c r="O16" i="16"/>
  <c r="C16" i="16"/>
  <c r="D16" i="16" s="1"/>
  <c r="Q15" i="16"/>
  <c r="O15" i="16"/>
  <c r="C15" i="16"/>
  <c r="D15" i="16" s="1"/>
  <c r="AI15" i="16" s="1"/>
  <c r="Q14" i="16"/>
  <c r="O14" i="16"/>
  <c r="C14" i="16"/>
  <c r="D14" i="16" s="1"/>
  <c r="Q13" i="16"/>
  <c r="O13" i="16"/>
  <c r="C13" i="16"/>
  <c r="D13" i="16" s="1"/>
  <c r="E13" i="16" s="1"/>
  <c r="Q12" i="16"/>
  <c r="O12" i="16"/>
  <c r="C12" i="16"/>
  <c r="D12" i="16" s="1"/>
  <c r="Q11" i="16"/>
  <c r="O11" i="16"/>
  <c r="C11" i="16"/>
  <c r="D11" i="16" s="1"/>
  <c r="Q10" i="16"/>
  <c r="O10" i="16"/>
  <c r="C10" i="16"/>
  <c r="D10" i="16" s="1"/>
  <c r="AI10" i="16" s="1"/>
  <c r="Q9" i="16"/>
  <c r="O9" i="16"/>
  <c r="C9" i="16"/>
  <c r="D9" i="16" s="1"/>
  <c r="Q8" i="16"/>
  <c r="O8" i="16"/>
  <c r="C8" i="16"/>
  <c r="D8" i="16" s="1"/>
  <c r="Q7" i="16"/>
  <c r="O7" i="16"/>
  <c r="C7" i="16"/>
  <c r="D7" i="16" s="1"/>
  <c r="Q6" i="16"/>
  <c r="O6" i="16"/>
  <c r="C6" i="16"/>
  <c r="D6" i="16" s="1"/>
  <c r="AI6" i="16" s="1"/>
  <c r="Q5" i="16"/>
  <c r="O5" i="16"/>
  <c r="C5" i="16"/>
  <c r="D5" i="16" s="1"/>
  <c r="Q4" i="16"/>
  <c r="O4" i="16"/>
  <c r="C4" i="16"/>
  <c r="D4" i="16" s="1"/>
  <c r="Q3" i="16"/>
  <c r="O3" i="16"/>
  <c r="C3" i="16"/>
  <c r="D3" i="16" s="1"/>
  <c r="AI3" i="16" s="1"/>
  <c r="D1607" i="2"/>
  <c r="D1610" i="2" s="1"/>
  <c r="E1607" i="2"/>
  <c r="E1608" i="2"/>
  <c r="E1609" i="2"/>
  <c r="E1610" i="2"/>
  <c r="E1611" i="2"/>
  <c r="D1612" i="2"/>
  <c r="D1613" i="2" s="1"/>
  <c r="E1612" i="2"/>
  <c r="E1613" i="2"/>
  <c r="E1614" i="2"/>
  <c r="E1615" i="2"/>
  <c r="E1616" i="2"/>
  <c r="D1617" i="2"/>
  <c r="D1619" i="2" s="1"/>
  <c r="E1617" i="2"/>
  <c r="E1618" i="2"/>
  <c r="E1619" i="2"/>
  <c r="E1620" i="2"/>
  <c r="E1621" i="2"/>
  <c r="D1622" i="2"/>
  <c r="D1625" i="2" s="1"/>
  <c r="E1622" i="2"/>
  <c r="E1623" i="2"/>
  <c r="E1624" i="2"/>
  <c r="E1625" i="2"/>
  <c r="E1626" i="2"/>
  <c r="D1627" i="2"/>
  <c r="D1631" i="2" s="1"/>
  <c r="E1627" i="2"/>
  <c r="E1628" i="2"/>
  <c r="E1629" i="2"/>
  <c r="E1630" i="2"/>
  <c r="E1631" i="2"/>
  <c r="D1632" i="2"/>
  <c r="D1633" i="2" s="1"/>
  <c r="E1632" i="2"/>
  <c r="E1633" i="2"/>
  <c r="E1634" i="2"/>
  <c r="E1635" i="2"/>
  <c r="E1636" i="2"/>
  <c r="D1637" i="2"/>
  <c r="D1639" i="2" s="1"/>
  <c r="E1637" i="2"/>
  <c r="E1638" i="2"/>
  <c r="E1639" i="2"/>
  <c r="E1640" i="2"/>
  <c r="E1641" i="2"/>
  <c r="D1642" i="2"/>
  <c r="D1645" i="2" s="1"/>
  <c r="E1642" i="2"/>
  <c r="E1643" i="2"/>
  <c r="E1644" i="2"/>
  <c r="E1645" i="2"/>
  <c r="E164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J116" i="5"/>
  <c r="J117" i="5"/>
  <c r="L117" i="5" s="1"/>
  <c r="K117" i="5" s="1" a="1"/>
  <c r="K117" i="5" s="1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D1644" i="2" l="1"/>
  <c r="D1616" i="2"/>
  <c r="D1643" i="2"/>
  <c r="D1628" i="2"/>
  <c r="D1646" i="2"/>
  <c r="D1641" i="2"/>
  <c r="D1638" i="2"/>
  <c r="D1629" i="2"/>
  <c r="D1640" i="2"/>
  <c r="D1609" i="2"/>
  <c r="D1608" i="2"/>
  <c r="D1623" i="2"/>
  <c r="D1611" i="2"/>
  <c r="D1635" i="2"/>
  <c r="D1626" i="2"/>
  <c r="AI170" i="16"/>
  <c r="AG157" i="16"/>
  <c r="E112" i="16"/>
  <c r="AI112" i="16"/>
  <c r="AI205" i="16"/>
  <c r="E205" i="16"/>
  <c r="F205" i="16" s="1"/>
  <c r="A205" i="16" s="1"/>
  <c r="E71" i="16"/>
  <c r="F71" i="16" s="1"/>
  <c r="A71" i="16" s="1"/>
  <c r="AI71" i="16"/>
  <c r="AI148" i="16"/>
  <c r="E148" i="16"/>
  <c r="F148" i="16" s="1"/>
  <c r="A148" i="16" s="1"/>
  <c r="E159" i="16"/>
  <c r="F159" i="16" s="1"/>
  <c r="A159" i="16" s="1"/>
  <c r="AI159" i="16"/>
  <c r="AI177" i="16"/>
  <c r="E177" i="16"/>
  <c r="F177" i="16" s="1"/>
  <c r="A177" i="16" s="1"/>
  <c r="AI117" i="16"/>
  <c r="E117" i="16"/>
  <c r="F117" i="16" s="1"/>
  <c r="A117" i="16" s="1"/>
  <c r="E167" i="16"/>
  <c r="AI167" i="16"/>
  <c r="E171" i="16"/>
  <c r="E118" i="16"/>
  <c r="F118" i="16" s="1"/>
  <c r="A118" i="16" s="1"/>
  <c r="AI118" i="16"/>
  <c r="AI50" i="16"/>
  <c r="E50" i="16"/>
  <c r="F50" i="16" s="1"/>
  <c r="A50" i="16" s="1"/>
  <c r="AI84" i="16"/>
  <c r="E84" i="16"/>
  <c r="F84" i="16" s="1"/>
  <c r="A84" i="16" s="1"/>
  <c r="AI91" i="16"/>
  <c r="E91" i="16"/>
  <c r="F91" i="16" s="1"/>
  <c r="A91" i="16" s="1"/>
  <c r="AI130" i="16"/>
  <c r="E130" i="16"/>
  <c r="F130" i="16" s="1"/>
  <c r="A130" i="16" s="1"/>
  <c r="E102" i="16"/>
  <c r="F102" i="16" s="1"/>
  <c r="A102" i="16" s="1"/>
  <c r="AI120" i="16"/>
  <c r="AI126" i="16"/>
  <c r="Z179" i="16"/>
  <c r="AG179" i="16" s="1"/>
  <c r="E189" i="16"/>
  <c r="F189" i="16" s="1"/>
  <c r="A189" i="16" s="1"/>
  <c r="Z191" i="16"/>
  <c r="AG191" i="16" s="1"/>
  <c r="F25" i="16"/>
  <c r="A25" i="16" s="1"/>
  <c r="F90" i="16"/>
  <c r="A90" i="16" s="1"/>
  <c r="E221" i="16"/>
  <c r="F221" i="16" s="1"/>
  <c r="A221" i="16" s="1"/>
  <c r="F47" i="16"/>
  <c r="A47" i="16" s="1"/>
  <c r="E158" i="16"/>
  <c r="Z190" i="16"/>
  <c r="AG190" i="16" s="1"/>
  <c r="AG195" i="16"/>
  <c r="E10" i="16"/>
  <c r="F10" i="16" s="1"/>
  <c r="A10" i="16" s="1"/>
  <c r="AI138" i="16"/>
  <c r="Z178" i="16"/>
  <c r="AG178" i="16" s="1"/>
  <c r="E54" i="16"/>
  <c r="F54" i="16" s="1"/>
  <c r="E100" i="16"/>
  <c r="F119" i="16"/>
  <c r="A119" i="16" s="1"/>
  <c r="E140" i="16"/>
  <c r="F140" i="16" s="1"/>
  <c r="AI90" i="16"/>
  <c r="AG160" i="16"/>
  <c r="E103" i="16"/>
  <c r="F103" i="16" s="1"/>
  <c r="A103" i="16" s="1"/>
  <c r="AI119" i="16"/>
  <c r="E122" i="16"/>
  <c r="F122" i="16" s="1"/>
  <c r="A122" i="16" s="1"/>
  <c r="AG169" i="16"/>
  <c r="E131" i="16"/>
  <c r="F131" i="16" s="1"/>
  <c r="E120" i="16"/>
  <c r="F120" i="16" s="1"/>
  <c r="A120" i="16" s="1"/>
  <c r="F126" i="16"/>
  <c r="A126" i="16" s="1"/>
  <c r="AG161" i="16"/>
  <c r="E73" i="16"/>
  <c r="F73" i="16" s="1"/>
  <c r="A73" i="16" s="1"/>
  <c r="E83" i="16"/>
  <c r="F83" i="16" s="1"/>
  <c r="AI85" i="16"/>
  <c r="E65" i="16"/>
  <c r="F65" i="16" s="1"/>
  <c r="A65" i="16" s="1"/>
  <c r="AI17" i="16"/>
  <c r="E17" i="16"/>
  <c r="AI5" i="16"/>
  <c r="E5" i="16"/>
  <c r="F5" i="16" s="1"/>
  <c r="AI8" i="16"/>
  <c r="E8" i="16"/>
  <c r="AI46" i="16"/>
  <c r="E46" i="16"/>
  <c r="F46" i="16" s="1"/>
  <c r="E6" i="16"/>
  <c r="F6" i="16" s="1"/>
  <c r="E11" i="16"/>
  <c r="AI24" i="16"/>
  <c r="E24" i="16"/>
  <c r="F24" i="16" s="1"/>
  <c r="AI39" i="16"/>
  <c r="E39" i="16"/>
  <c r="F39" i="16" s="1"/>
  <c r="F85" i="16"/>
  <c r="A85" i="16" s="1"/>
  <c r="AI43" i="16"/>
  <c r="E43" i="16"/>
  <c r="F43" i="16" s="1"/>
  <c r="AI104" i="16"/>
  <c r="E104" i="16"/>
  <c r="AI21" i="16"/>
  <c r="E21" i="16"/>
  <c r="F21" i="16" s="1"/>
  <c r="E26" i="16"/>
  <c r="AI26" i="16"/>
  <c r="AI34" i="16"/>
  <c r="E34" i="16"/>
  <c r="F34" i="16" s="1"/>
  <c r="AI16" i="16"/>
  <c r="E16" i="16"/>
  <c r="F16" i="16" s="1"/>
  <c r="AI23" i="16"/>
  <c r="E23" i="16"/>
  <c r="AI35" i="16"/>
  <c r="E35" i="16"/>
  <c r="F35" i="16" s="1"/>
  <c r="E49" i="16"/>
  <c r="AI49" i="16"/>
  <c r="AI44" i="16"/>
  <c r="E44" i="16"/>
  <c r="F44" i="16" s="1"/>
  <c r="AI4" i="16"/>
  <c r="E4" i="16"/>
  <c r="F27" i="16"/>
  <c r="A27" i="16" s="1"/>
  <c r="AI40" i="16"/>
  <c r="E40" i="16"/>
  <c r="F40" i="16" s="1"/>
  <c r="AI59" i="16"/>
  <c r="E59" i="16"/>
  <c r="F59" i="16" s="1"/>
  <c r="AI67" i="16"/>
  <c r="E67" i="16"/>
  <c r="F67" i="16" s="1"/>
  <c r="E70" i="16"/>
  <c r="F70" i="16" s="1"/>
  <c r="AI70" i="16"/>
  <c r="E81" i="16"/>
  <c r="F81" i="16" s="1"/>
  <c r="AI81" i="16"/>
  <c r="AI7" i="16"/>
  <c r="E7" i="16"/>
  <c r="F7" i="16" s="1"/>
  <c r="AI14" i="16"/>
  <c r="E14" i="16"/>
  <c r="E32" i="16"/>
  <c r="F32" i="16" s="1"/>
  <c r="AI32" i="16"/>
  <c r="F30" i="16"/>
  <c r="A30" i="16" s="1"/>
  <c r="AI72" i="16"/>
  <c r="E72" i="16"/>
  <c r="F72" i="16" s="1"/>
  <c r="AI11" i="16"/>
  <c r="E33" i="16"/>
  <c r="F33" i="16" s="1"/>
  <c r="AI33" i="16"/>
  <c r="E62" i="16"/>
  <c r="F62" i="16" s="1"/>
  <c r="F13" i="16"/>
  <c r="A13" i="16" s="1"/>
  <c r="E15" i="16"/>
  <c r="F42" i="16"/>
  <c r="A42" i="16" s="1"/>
  <c r="AI22" i="16"/>
  <c r="E22" i="16"/>
  <c r="F22" i="16" s="1"/>
  <c r="AI52" i="16"/>
  <c r="E52" i="16"/>
  <c r="F52" i="16" s="1"/>
  <c r="AI51" i="16"/>
  <c r="E51" i="16"/>
  <c r="F51" i="16" s="1"/>
  <c r="E3" i="16"/>
  <c r="F3" i="16" s="1"/>
  <c r="AI12" i="16"/>
  <c r="E12" i="16"/>
  <c r="F12" i="16" s="1"/>
  <c r="AI13" i="16"/>
  <c r="AI27" i="16"/>
  <c r="AI45" i="16"/>
  <c r="E45" i="16"/>
  <c r="F45" i="16" s="1"/>
  <c r="AI60" i="16"/>
  <c r="E60" i="16"/>
  <c r="AI62" i="16"/>
  <c r="E121" i="16"/>
  <c r="AI121" i="16"/>
  <c r="E137" i="16"/>
  <c r="AI137" i="16"/>
  <c r="AI145" i="16"/>
  <c r="AI25" i="16"/>
  <c r="F31" i="16"/>
  <c r="A31" i="16" s="1"/>
  <c r="F68" i="16"/>
  <c r="A68" i="16" s="1"/>
  <c r="E97" i="16"/>
  <c r="E145" i="16"/>
  <c r="F145" i="16" s="1"/>
  <c r="AI165" i="16"/>
  <c r="E165" i="16"/>
  <c r="AI128" i="16"/>
  <c r="E128" i="16"/>
  <c r="F128" i="16" s="1"/>
  <c r="AI133" i="16"/>
  <c r="AI53" i="16"/>
  <c r="E53" i="16"/>
  <c r="F63" i="16"/>
  <c r="A63" i="16" s="1"/>
  <c r="F64" i="16"/>
  <c r="A64" i="16" s="1"/>
  <c r="E66" i="16"/>
  <c r="F66" i="16" s="1"/>
  <c r="F88" i="16"/>
  <c r="A88" i="16" s="1"/>
  <c r="AI93" i="16"/>
  <c r="F93" i="16"/>
  <c r="A93" i="16" s="1"/>
  <c r="E106" i="16"/>
  <c r="AI106" i="16"/>
  <c r="E133" i="16"/>
  <c r="AI196" i="16"/>
  <c r="E196" i="16"/>
  <c r="F196" i="16" s="1"/>
  <c r="AI222" i="16"/>
  <c r="E222" i="16"/>
  <c r="AI125" i="16"/>
  <c r="E125" i="16"/>
  <c r="F125" i="16" s="1"/>
  <c r="AI87" i="16"/>
  <c r="E142" i="16"/>
  <c r="AI161" i="16"/>
  <c r="E161" i="16"/>
  <c r="F161" i="16" s="1"/>
  <c r="E87" i="16"/>
  <c r="F87" i="16" s="1"/>
  <c r="E99" i="16"/>
  <c r="AI99" i="16"/>
  <c r="AI111" i="16"/>
  <c r="E111" i="16"/>
  <c r="F111" i="16" s="1"/>
  <c r="E28" i="16"/>
  <c r="AI47" i="16"/>
  <c r="E75" i="16"/>
  <c r="AI86" i="16"/>
  <c r="E92" i="16"/>
  <c r="F92" i="16" s="1"/>
  <c r="AI92" i="16"/>
  <c r="AI97" i="16"/>
  <c r="E127" i="16"/>
  <c r="AI132" i="16"/>
  <c r="E132" i="16"/>
  <c r="AI30" i="16"/>
  <c r="AI42" i="16"/>
  <c r="E80" i="16"/>
  <c r="E86" i="16"/>
  <c r="F86" i="16" s="1"/>
  <c r="F108" i="16"/>
  <c r="A108" i="16" s="1"/>
  <c r="AI108" i="16"/>
  <c r="E124" i="16"/>
  <c r="F124" i="16" s="1"/>
  <c r="AI124" i="16"/>
  <c r="E129" i="16"/>
  <c r="AI129" i="16"/>
  <c r="AI68" i="16"/>
  <c r="AI79" i="16"/>
  <c r="AI88" i="16"/>
  <c r="E9" i="16"/>
  <c r="F9" i="16" s="1"/>
  <c r="AI9" i="16"/>
  <c r="E29" i="16"/>
  <c r="F29" i="16" s="1"/>
  <c r="AI41" i="16"/>
  <c r="E41" i="16"/>
  <c r="F41" i="16" s="1"/>
  <c r="AI66" i="16"/>
  <c r="E79" i="16"/>
  <c r="F79" i="16" s="1"/>
  <c r="AI31" i="16"/>
  <c r="AI48" i="16"/>
  <c r="E48" i="16"/>
  <c r="F48" i="16" s="1"/>
  <c r="AI63" i="16"/>
  <c r="AI64" i="16"/>
  <c r="AI110" i="16"/>
  <c r="E110" i="16"/>
  <c r="F110" i="16" s="1"/>
  <c r="AI162" i="16"/>
  <c r="E162" i="16"/>
  <c r="AI69" i="16"/>
  <c r="E69" i="16"/>
  <c r="E109" i="16"/>
  <c r="F109" i="16" s="1"/>
  <c r="AI109" i="16"/>
  <c r="AI178" i="16"/>
  <c r="E178" i="16"/>
  <c r="AI89" i="16"/>
  <c r="E89" i="16"/>
  <c r="F89" i="16" s="1"/>
  <c r="AI82" i="16"/>
  <c r="E82" i="16"/>
  <c r="AI144" i="16"/>
  <c r="E144" i="16"/>
  <c r="F144" i="16" s="1"/>
  <c r="E101" i="16"/>
  <c r="AI101" i="16"/>
  <c r="AI123" i="16"/>
  <c r="E123" i="16"/>
  <c r="F138" i="16"/>
  <c r="A138" i="16" s="1"/>
  <c r="E61" i="16"/>
  <c r="F74" i="16"/>
  <c r="A74" i="16" s="1"/>
  <c r="AI74" i="16"/>
  <c r="AI143" i="16"/>
  <c r="E143" i="16"/>
  <c r="AI186" i="16"/>
  <c r="E186" i="16"/>
  <c r="F186" i="16" s="1"/>
  <c r="AI191" i="16"/>
  <c r="E191" i="16"/>
  <c r="F191" i="16" s="1"/>
  <c r="AI164" i="16"/>
  <c r="E164" i="16"/>
  <c r="AI180" i="16"/>
  <c r="E180" i="16"/>
  <c r="AI182" i="16"/>
  <c r="E182" i="16"/>
  <c r="AI184" i="16"/>
  <c r="E184" i="16"/>
  <c r="F184" i="16" s="1"/>
  <c r="AI105" i="16"/>
  <c r="E105" i="16"/>
  <c r="E147" i="16"/>
  <c r="F147" i="16" s="1"/>
  <c r="AI147" i="16"/>
  <c r="AI206" i="16"/>
  <c r="E206" i="16"/>
  <c r="F206" i="16" s="1"/>
  <c r="AI157" i="16"/>
  <c r="E157" i="16"/>
  <c r="AI98" i="16"/>
  <c r="E98" i="16"/>
  <c r="AI139" i="16"/>
  <c r="E139" i="16"/>
  <c r="F139" i="16" s="1"/>
  <c r="AI146" i="16"/>
  <c r="E146" i="16"/>
  <c r="F146" i="16" s="1"/>
  <c r="F176" i="16"/>
  <c r="A176" i="16" s="1"/>
  <c r="AI176" i="16"/>
  <c r="AI204" i="16"/>
  <c r="E204" i="16"/>
  <c r="AI207" i="16"/>
  <c r="E207" i="16"/>
  <c r="AI179" i="16"/>
  <c r="E179" i="16"/>
  <c r="F179" i="16" s="1"/>
  <c r="AI190" i="16"/>
  <c r="E190" i="16"/>
  <c r="AI141" i="16"/>
  <c r="E141" i="16"/>
  <c r="F141" i="16" s="1"/>
  <c r="AI169" i="16"/>
  <c r="E169" i="16"/>
  <c r="F169" i="16" s="1"/>
  <c r="AI202" i="16"/>
  <c r="E202" i="16"/>
  <c r="F202" i="16" s="1"/>
  <c r="AI107" i="16"/>
  <c r="E107" i="16"/>
  <c r="F149" i="16"/>
  <c r="A149" i="16" s="1"/>
  <c r="AI149" i="16"/>
  <c r="F188" i="16"/>
  <c r="A188" i="16" s="1"/>
  <c r="AI188" i="16"/>
  <c r="AI220" i="16"/>
  <c r="E220" i="16"/>
  <c r="F220" i="16" s="1"/>
  <c r="AI223" i="16"/>
  <c r="E223" i="16"/>
  <c r="AI156" i="16"/>
  <c r="E156" i="16"/>
  <c r="F156" i="16" s="1"/>
  <c r="F158" i="16"/>
  <c r="A158" i="16" s="1"/>
  <c r="AI166" i="16"/>
  <c r="E166" i="16"/>
  <c r="F166" i="16" s="1"/>
  <c r="F171" i="16"/>
  <c r="A171" i="16" s="1"/>
  <c r="AI195" i="16"/>
  <c r="E195" i="16"/>
  <c r="AI214" i="16"/>
  <c r="E214" i="16"/>
  <c r="AI151" i="16"/>
  <c r="E151" i="16"/>
  <c r="AI183" i="16"/>
  <c r="E183" i="16"/>
  <c r="AI200" i="16"/>
  <c r="E200" i="16"/>
  <c r="AI208" i="16"/>
  <c r="E208" i="16"/>
  <c r="F208" i="16" s="1"/>
  <c r="AI160" i="16"/>
  <c r="E160" i="16"/>
  <c r="AI198" i="16"/>
  <c r="E198" i="16"/>
  <c r="F198" i="16" s="1"/>
  <c r="AI150" i="16"/>
  <c r="E150" i="16"/>
  <c r="AI168" i="16"/>
  <c r="E168" i="16"/>
  <c r="F168" i="16" s="1"/>
  <c r="F170" i="16"/>
  <c r="A170" i="16" s="1"/>
  <c r="AI218" i="16"/>
  <c r="E218" i="16"/>
  <c r="F218" i="16" s="1"/>
  <c r="AG166" i="16"/>
  <c r="Z184" i="16"/>
  <c r="AG184" i="16" s="1"/>
  <c r="AG200" i="16"/>
  <c r="E216" i="16"/>
  <c r="AI216" i="16"/>
  <c r="Z218" i="16"/>
  <c r="AG218" i="16" s="1"/>
  <c r="AG156" i="16"/>
  <c r="AG168" i="16"/>
  <c r="Z186" i="16"/>
  <c r="AG186" i="16" s="1"/>
  <c r="Z213" i="16"/>
  <c r="Z220" i="16"/>
  <c r="AG220" i="16" s="1"/>
  <c r="AG163" i="16"/>
  <c r="Z181" i="16"/>
  <c r="AG181" i="16" s="1"/>
  <c r="AG197" i="16"/>
  <c r="AG209" i="16"/>
  <c r="Z215" i="16"/>
  <c r="AG215" i="16" s="1"/>
  <c r="AG158" i="16"/>
  <c r="AG170" i="16"/>
  <c r="Z176" i="16"/>
  <c r="AG176" i="16" s="1"/>
  <c r="Z188" i="16"/>
  <c r="AG188" i="16" s="1"/>
  <c r="AG204" i="16"/>
  <c r="Z222" i="16"/>
  <c r="AG222" i="16" s="1"/>
  <c r="E163" i="16"/>
  <c r="AG165" i="16"/>
  <c r="E181" i="16"/>
  <c r="Z183" i="16"/>
  <c r="AG183" i="16" s="1"/>
  <c r="E197" i="16"/>
  <c r="F197" i="16" s="1"/>
  <c r="AI197" i="16"/>
  <c r="AG199" i="16"/>
  <c r="E209" i="16"/>
  <c r="AI209" i="16"/>
  <c r="E215" i="16"/>
  <c r="F215" i="16" s="1"/>
  <c r="AI215" i="16"/>
  <c r="Z217" i="16"/>
  <c r="AG217" i="16" s="1"/>
  <c r="AG206" i="16"/>
  <c r="AG167" i="16"/>
  <c r="Z185" i="16"/>
  <c r="AG185" i="16" s="1"/>
  <c r="AG207" i="16"/>
  <c r="E199" i="16"/>
  <c r="AG201" i="16"/>
  <c r="E217" i="16"/>
  <c r="Z219" i="16"/>
  <c r="AG219" i="16" s="1"/>
  <c r="AG162" i="16"/>
  <c r="Z180" i="16"/>
  <c r="AG180" i="16" s="1"/>
  <c r="AG196" i="16"/>
  <c r="AG208" i="16"/>
  <c r="Z214" i="16"/>
  <c r="AG214" i="16" s="1"/>
  <c r="E185" i="16"/>
  <c r="Z187" i="16"/>
  <c r="AG187" i="16" s="1"/>
  <c r="E201" i="16"/>
  <c r="AG203" i="16"/>
  <c r="E219" i="16"/>
  <c r="Z221" i="16"/>
  <c r="AG221" i="16" s="1"/>
  <c r="AG164" i="16"/>
  <c r="Z182" i="16"/>
  <c r="AG182" i="16" s="1"/>
  <c r="AG198" i="16"/>
  <c r="Z216" i="16"/>
  <c r="AG216" i="16" s="1"/>
  <c r="AG159" i="16"/>
  <c r="Z177" i="16"/>
  <c r="AG177" i="16" s="1"/>
  <c r="E187" i="16"/>
  <c r="F187" i="16" s="1"/>
  <c r="E203" i="16"/>
  <c r="F203" i="16" s="1"/>
  <c r="D1636" i="2"/>
  <c r="D1630" i="2"/>
  <c r="D1624" i="2"/>
  <c r="D1618" i="2"/>
  <c r="D1634" i="2"/>
  <c r="D1621" i="2"/>
  <c r="D1615" i="2"/>
  <c r="D1614" i="2"/>
  <c r="D1620" i="2"/>
  <c r="D1567" i="2"/>
  <c r="D1569" i="2" s="1"/>
  <c r="E1567" i="2"/>
  <c r="E1568" i="2"/>
  <c r="E1569" i="2"/>
  <c r="E1570" i="2"/>
  <c r="E1571" i="2"/>
  <c r="D1572" i="2"/>
  <c r="D1573" i="2" s="1"/>
  <c r="E1572" i="2"/>
  <c r="E1573" i="2"/>
  <c r="E1574" i="2"/>
  <c r="E1575" i="2"/>
  <c r="E1576" i="2"/>
  <c r="D1577" i="2"/>
  <c r="D1579" i="2" s="1"/>
  <c r="E1577" i="2"/>
  <c r="E1578" i="2"/>
  <c r="E1579" i="2"/>
  <c r="E1580" i="2"/>
  <c r="E1581" i="2"/>
  <c r="D1582" i="2"/>
  <c r="D1585" i="2" s="1"/>
  <c r="E1582" i="2"/>
  <c r="E1583" i="2"/>
  <c r="E1584" i="2"/>
  <c r="E1585" i="2"/>
  <c r="E1586" i="2"/>
  <c r="D1587" i="2"/>
  <c r="D1591" i="2" s="1"/>
  <c r="E1587" i="2"/>
  <c r="E1588" i="2"/>
  <c r="E1589" i="2"/>
  <c r="E1590" i="2"/>
  <c r="E1591" i="2"/>
  <c r="D1592" i="2"/>
  <c r="D1593" i="2" s="1"/>
  <c r="E1592" i="2"/>
  <c r="E1593" i="2"/>
  <c r="E1594" i="2"/>
  <c r="E1595" i="2"/>
  <c r="E1596" i="2"/>
  <c r="D1597" i="2"/>
  <c r="D1598" i="2" s="1"/>
  <c r="E1597" i="2"/>
  <c r="E1598" i="2"/>
  <c r="E1599" i="2"/>
  <c r="E1600" i="2"/>
  <c r="E1601" i="2"/>
  <c r="D1602" i="2"/>
  <c r="D1603" i="2" s="1"/>
  <c r="E1602" i="2"/>
  <c r="E1603" i="2"/>
  <c r="E1604" i="2"/>
  <c r="E1605" i="2"/>
  <c r="E160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D1547" i="2"/>
  <c r="D1549" i="2" s="1"/>
  <c r="E1547" i="2"/>
  <c r="E1548" i="2"/>
  <c r="E1549" i="2"/>
  <c r="E1550" i="2"/>
  <c r="E1551" i="2"/>
  <c r="D1552" i="2"/>
  <c r="D1553" i="2" s="1"/>
  <c r="E1552" i="2"/>
  <c r="E1553" i="2"/>
  <c r="E1554" i="2"/>
  <c r="E1555" i="2"/>
  <c r="E1556" i="2"/>
  <c r="D1557" i="2"/>
  <c r="D1559" i="2" s="1"/>
  <c r="E1557" i="2"/>
  <c r="E1558" i="2"/>
  <c r="E1559" i="2"/>
  <c r="E1560" i="2"/>
  <c r="E1561" i="2"/>
  <c r="D1562" i="2"/>
  <c r="D1563" i="2" s="1"/>
  <c r="E1562" i="2"/>
  <c r="E1563" i="2"/>
  <c r="E1564" i="2"/>
  <c r="E1565" i="2"/>
  <c r="E156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J81" i="5"/>
  <c r="D1527" i="2"/>
  <c r="D1528" i="2" s="1"/>
  <c r="E1527" i="2"/>
  <c r="E1528" i="2"/>
  <c r="E1529" i="2"/>
  <c r="E1530" i="2"/>
  <c r="E1531" i="2"/>
  <c r="D1532" i="2"/>
  <c r="D1533" i="2" s="1"/>
  <c r="E1532" i="2"/>
  <c r="E1533" i="2"/>
  <c r="E1534" i="2"/>
  <c r="E1535" i="2"/>
  <c r="E1536" i="2"/>
  <c r="D1537" i="2"/>
  <c r="D1539" i="2" s="1"/>
  <c r="E1537" i="2"/>
  <c r="E1538" i="2"/>
  <c r="E1539" i="2"/>
  <c r="E1540" i="2"/>
  <c r="E1541" i="2"/>
  <c r="D1542" i="2"/>
  <c r="D1545" i="2" s="1"/>
  <c r="E1542" i="2"/>
  <c r="E1543" i="2"/>
  <c r="E1544" i="2"/>
  <c r="E1545" i="2"/>
  <c r="E154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D1583" i="2" l="1"/>
  <c r="D1538" i="2"/>
  <c r="D1590" i="2"/>
  <c r="D1551" i="2"/>
  <c r="D1578" i="2"/>
  <c r="D1594" i="2"/>
  <c r="D1596" i="2"/>
  <c r="A154" i="16"/>
  <c r="A131" i="16"/>
  <c r="A140" i="16"/>
  <c r="A83" i="16"/>
  <c r="A54" i="16"/>
  <c r="F167" i="16"/>
  <c r="A167" i="16" s="1"/>
  <c r="F100" i="16"/>
  <c r="A100" i="16" s="1"/>
  <c r="F112" i="16"/>
  <c r="A112" i="16" s="1"/>
  <c r="AG175" i="16"/>
  <c r="A174" i="16"/>
  <c r="R186" i="16" s="1"/>
  <c r="F143" i="16"/>
  <c r="A143" i="16" s="1"/>
  <c r="A203" i="16"/>
  <c r="F217" i="16"/>
  <c r="A217" i="16" s="1"/>
  <c r="A218" i="16"/>
  <c r="F150" i="16"/>
  <c r="A150" i="16" s="1"/>
  <c r="A208" i="16"/>
  <c r="A166" i="16"/>
  <c r="A202" i="16"/>
  <c r="A184" i="16"/>
  <c r="A196" i="16"/>
  <c r="A72" i="16"/>
  <c r="A44" i="16"/>
  <c r="A169" i="16"/>
  <c r="A89" i="16"/>
  <c r="F201" i="16"/>
  <c r="A201" i="16" s="1"/>
  <c r="A187" i="16"/>
  <c r="A186" i="16"/>
  <c r="A109" i="16"/>
  <c r="A92" i="16"/>
  <c r="A111" i="16"/>
  <c r="A66" i="16"/>
  <c r="F97" i="16"/>
  <c r="A97" i="16" s="1"/>
  <c r="A34" i="16"/>
  <c r="A43" i="16"/>
  <c r="F61" i="16"/>
  <c r="A61" i="16" s="1"/>
  <c r="F185" i="16"/>
  <c r="A185" i="16" s="1"/>
  <c r="F199" i="16"/>
  <c r="A199" i="16" s="1"/>
  <c r="A139" i="16"/>
  <c r="F101" i="16"/>
  <c r="A101" i="16" s="1"/>
  <c r="A124" i="16"/>
  <c r="F209" i="16"/>
  <c r="A209" i="16" s="1"/>
  <c r="A40" i="16"/>
  <c r="A198" i="16"/>
  <c r="A144" i="16"/>
  <c r="A125" i="16"/>
  <c r="A52" i="16"/>
  <c r="A6" i="16"/>
  <c r="F15" i="16"/>
  <c r="A15" i="16" s="1"/>
  <c r="A81" i="16"/>
  <c r="F181" i="16"/>
  <c r="A181" i="16" s="1"/>
  <c r="F200" i="16"/>
  <c r="A200" i="16" s="1"/>
  <c r="F214" i="16"/>
  <c r="A214" i="16" s="1"/>
  <c r="A141" i="16"/>
  <c r="F157" i="16"/>
  <c r="A157" i="16" s="1"/>
  <c r="A48" i="16"/>
  <c r="A29" i="16"/>
  <c r="A87" i="16"/>
  <c r="A32" i="16"/>
  <c r="F26" i="16"/>
  <c r="A26" i="16" s="1"/>
  <c r="A46" i="16"/>
  <c r="A5" i="16"/>
  <c r="F121" i="16"/>
  <c r="A121" i="16" s="1"/>
  <c r="A212" i="16"/>
  <c r="R218" i="16" s="1"/>
  <c r="AG213" i="16"/>
  <c r="A86" i="16"/>
  <c r="F53" i="16"/>
  <c r="A53" i="16" s="1"/>
  <c r="A70" i="16"/>
  <c r="A35" i="16"/>
  <c r="A21" i="16"/>
  <c r="A39" i="16"/>
  <c r="F69" i="16"/>
  <c r="A69" i="16" s="1"/>
  <c r="A193" i="16"/>
  <c r="A156" i="16"/>
  <c r="A147" i="16"/>
  <c r="F160" i="16"/>
  <c r="A160" i="16" s="1"/>
  <c r="F28" i="16"/>
  <c r="A28" i="16" s="1"/>
  <c r="F106" i="16"/>
  <c r="A106" i="16" s="1"/>
  <c r="F60" i="16"/>
  <c r="A60" i="16" s="1"/>
  <c r="A3" i="16"/>
  <c r="A22" i="16"/>
  <c r="F4" i="16"/>
  <c r="A4" i="16" s="1"/>
  <c r="F182" i="16"/>
  <c r="A182" i="16" s="1"/>
  <c r="A41" i="16"/>
  <c r="A12" i="16"/>
  <c r="A62" i="16"/>
  <c r="F105" i="16"/>
  <c r="A105" i="16" s="1"/>
  <c r="F164" i="16"/>
  <c r="A164" i="16" s="1"/>
  <c r="A168" i="16"/>
  <c r="F183" i="16"/>
  <c r="A183" i="16" s="1"/>
  <c r="F195" i="16"/>
  <c r="A195" i="16" s="1"/>
  <c r="F107" i="16"/>
  <c r="A107" i="16" s="1"/>
  <c r="F82" i="16"/>
  <c r="A82" i="16" s="1"/>
  <c r="F162" i="16"/>
  <c r="A162" i="16" s="1"/>
  <c r="A9" i="16"/>
  <c r="F132" i="16"/>
  <c r="A132" i="16" s="1"/>
  <c r="F80" i="16"/>
  <c r="A80" i="16" s="1"/>
  <c r="F127" i="16"/>
  <c r="A127" i="16" s="1"/>
  <c r="F165" i="16"/>
  <c r="A165" i="16" s="1"/>
  <c r="A33" i="16"/>
  <c r="A67" i="16"/>
  <c r="F11" i="16"/>
  <c r="A11" i="16" s="1"/>
  <c r="F207" i="16"/>
  <c r="A207" i="16" s="1"/>
  <c r="F180" i="16"/>
  <c r="A180" i="16" s="1"/>
  <c r="F163" i="16"/>
  <c r="A163" i="16" s="1"/>
  <c r="F204" i="16"/>
  <c r="A204" i="16" s="1"/>
  <c r="F219" i="16"/>
  <c r="A219" i="16" s="1"/>
  <c r="AG155" i="16"/>
  <c r="A215" i="16"/>
  <c r="AG202" i="16"/>
  <c r="F223" i="16"/>
  <c r="A223" i="16" s="1"/>
  <c r="F190" i="16"/>
  <c r="A190" i="16" s="1"/>
  <c r="F98" i="16"/>
  <c r="A98" i="16" s="1"/>
  <c r="F216" i="16"/>
  <c r="A216" i="16" s="1"/>
  <c r="A191" i="16"/>
  <c r="F178" i="16"/>
  <c r="A178" i="16" s="1"/>
  <c r="A79" i="16"/>
  <c r="F99" i="16"/>
  <c r="A99" i="16" s="1"/>
  <c r="F142" i="16"/>
  <c r="A142" i="16" s="1"/>
  <c r="F133" i="16"/>
  <c r="A133" i="16" s="1"/>
  <c r="A145" i="16"/>
  <c r="A45" i="16"/>
  <c r="F14" i="16"/>
  <c r="A14" i="16" s="1"/>
  <c r="F75" i="16"/>
  <c r="A75" i="16" s="1"/>
  <c r="F104" i="16"/>
  <c r="A104" i="16" s="1"/>
  <c r="A197" i="16"/>
  <c r="F151" i="16"/>
  <c r="A151" i="16" s="1"/>
  <c r="A220" i="16"/>
  <c r="A179" i="16"/>
  <c r="A146" i="16"/>
  <c r="A206" i="16"/>
  <c r="F123" i="16"/>
  <c r="A123" i="16" s="1"/>
  <c r="A110" i="16"/>
  <c r="F129" i="16"/>
  <c r="A129" i="16" s="1"/>
  <c r="A161" i="16"/>
  <c r="F222" i="16"/>
  <c r="A222" i="16" s="1"/>
  <c r="A128" i="16"/>
  <c r="F137" i="16"/>
  <c r="A137" i="16" s="1"/>
  <c r="A51" i="16"/>
  <c r="F23" i="16"/>
  <c r="A23" i="16" s="1"/>
  <c r="A7" i="16"/>
  <c r="A59" i="16"/>
  <c r="F49" i="16"/>
  <c r="A49" i="16" s="1"/>
  <c r="A16" i="16"/>
  <c r="A24" i="16"/>
  <c r="F8" i="16"/>
  <c r="A8" i="16" s="1"/>
  <c r="F17" i="16"/>
  <c r="A17" i="16" s="1"/>
  <c r="D1568" i="2"/>
  <c r="D1530" i="2"/>
  <c r="D1581" i="2"/>
  <c r="D1595" i="2"/>
  <c r="D1566" i="2"/>
  <c r="D1565" i="2"/>
  <c r="D1548" i="2"/>
  <c r="D1571" i="2"/>
  <c r="D1601" i="2"/>
  <c r="D1600" i="2"/>
  <c r="D1570" i="2"/>
  <c r="D1564" i="2"/>
  <c r="D1599" i="2"/>
  <c r="D1584" i="2"/>
  <c r="D1589" i="2"/>
  <c r="D1606" i="2"/>
  <c r="D1588" i="2"/>
  <c r="D1576" i="2"/>
  <c r="D1604" i="2"/>
  <c r="D1586" i="2"/>
  <c r="D1580" i="2"/>
  <c r="D1574" i="2"/>
  <c r="D1605" i="2"/>
  <c r="D1575" i="2"/>
  <c r="D1558" i="2"/>
  <c r="D1556" i="2"/>
  <c r="D1550" i="2"/>
  <c r="D1561" i="2"/>
  <c r="D1555" i="2"/>
  <c r="D1560" i="2"/>
  <c r="D1554" i="2"/>
  <c r="D1531" i="2"/>
  <c r="D1529" i="2"/>
  <c r="D1544" i="2"/>
  <c r="D1543" i="2"/>
  <c r="D1536" i="2"/>
  <c r="D1534" i="2"/>
  <c r="D1541" i="2"/>
  <c r="D1535" i="2"/>
  <c r="D1546" i="2"/>
  <c r="D1540" i="2"/>
  <c r="AJ210" i="16" l="1"/>
  <c r="AK210" i="16" s="1"/>
  <c r="AL210" i="16" s="1"/>
  <c r="N205" i="16"/>
  <c r="R201" i="16"/>
  <c r="N206" i="16"/>
  <c r="R202" i="16"/>
  <c r="N195" i="16"/>
  <c r="N207" i="16"/>
  <c r="R203" i="16"/>
  <c r="N197" i="16"/>
  <c r="N209" i="16"/>
  <c r="R205" i="16"/>
  <c r="N196" i="16"/>
  <c r="N208" i="16"/>
  <c r="R204" i="16"/>
  <c r="N198" i="16"/>
  <c r="N210" i="16"/>
  <c r="R206" i="16"/>
  <c r="N204" i="16"/>
  <c r="R200" i="16"/>
  <c r="N199" i="16"/>
  <c r="R195" i="16"/>
  <c r="R207" i="16"/>
  <c r="N200" i="16"/>
  <c r="R196" i="16"/>
  <c r="R208" i="16"/>
  <c r="N201" i="16"/>
  <c r="R197" i="16"/>
  <c r="R209" i="16"/>
  <c r="N202" i="16"/>
  <c r="R198" i="16"/>
  <c r="R210" i="16"/>
  <c r="N203" i="16"/>
  <c r="R199" i="16"/>
  <c r="P210" i="16"/>
  <c r="AJ172" i="16"/>
  <c r="AK172" i="16" s="1"/>
  <c r="AL172" i="16" s="1"/>
  <c r="AJ162" i="16"/>
  <c r="N165" i="16"/>
  <c r="R160" i="16"/>
  <c r="R172" i="16"/>
  <c r="N160" i="16"/>
  <c r="R156" i="16"/>
  <c r="R169" i="16"/>
  <c r="R171" i="16"/>
  <c r="N166" i="16"/>
  <c r="R161" i="16"/>
  <c r="R167" i="16"/>
  <c r="R168" i="16"/>
  <c r="N162" i="16"/>
  <c r="R158" i="16"/>
  <c r="N164" i="16"/>
  <c r="N167" i="16"/>
  <c r="R162" i="16"/>
  <c r="R170" i="16"/>
  <c r="N157" i="16"/>
  <c r="N168" i="16"/>
  <c r="R163" i="16"/>
  <c r="N172" i="16"/>
  <c r="N161" i="16"/>
  <c r="R157" i="16"/>
  <c r="N163" i="16"/>
  <c r="R159" i="16"/>
  <c r="N156" i="16"/>
  <c r="N169" i="16"/>
  <c r="R164" i="16"/>
  <c r="N158" i="16"/>
  <c r="N170" i="16"/>
  <c r="R165" i="16"/>
  <c r="N159" i="16"/>
  <c r="N171" i="16"/>
  <c r="R166" i="16"/>
  <c r="P172" i="16"/>
  <c r="C212" i="16"/>
  <c r="B212" i="16"/>
  <c r="AG194" i="16"/>
  <c r="C174" i="16"/>
  <c r="B174" i="16"/>
  <c r="C154" i="16"/>
  <c r="B154" i="16"/>
  <c r="D1487" i="2"/>
  <c r="D1490" i="2" s="1"/>
  <c r="E1487" i="2"/>
  <c r="F1487" i="2"/>
  <c r="G1487" i="2"/>
  <c r="E1488" i="2"/>
  <c r="F1488" i="2"/>
  <c r="G1488" i="2"/>
  <c r="E1489" i="2"/>
  <c r="F1489" i="2"/>
  <c r="G1489" i="2"/>
  <c r="E1490" i="2"/>
  <c r="F1490" i="2"/>
  <c r="G1490" i="2"/>
  <c r="E1491" i="2"/>
  <c r="F1491" i="2"/>
  <c r="G1491" i="2"/>
  <c r="D1492" i="2"/>
  <c r="E1492" i="2"/>
  <c r="F1492" i="2"/>
  <c r="G1492" i="2"/>
  <c r="E1493" i="2"/>
  <c r="F1493" i="2"/>
  <c r="G1493" i="2"/>
  <c r="E1494" i="2"/>
  <c r="F1494" i="2"/>
  <c r="G1494" i="2"/>
  <c r="E1495" i="2"/>
  <c r="F1495" i="2"/>
  <c r="G1495" i="2"/>
  <c r="E1496" i="2"/>
  <c r="F1496" i="2"/>
  <c r="G1496" i="2"/>
  <c r="D1497" i="2"/>
  <c r="D1499" i="2" s="1"/>
  <c r="E1497" i="2"/>
  <c r="F1497" i="2"/>
  <c r="G1497" i="2"/>
  <c r="E1498" i="2"/>
  <c r="F1498" i="2"/>
  <c r="G1498" i="2"/>
  <c r="E1499" i="2"/>
  <c r="F1499" i="2"/>
  <c r="G1499" i="2"/>
  <c r="E1500" i="2"/>
  <c r="F1500" i="2"/>
  <c r="G1500" i="2"/>
  <c r="E1501" i="2"/>
  <c r="F1501" i="2"/>
  <c r="G1501" i="2"/>
  <c r="D1502" i="2"/>
  <c r="D1504" i="2" s="1"/>
  <c r="E1502" i="2"/>
  <c r="F1502" i="2"/>
  <c r="G1502" i="2"/>
  <c r="E1503" i="2"/>
  <c r="F1503" i="2"/>
  <c r="G1503" i="2"/>
  <c r="E1504" i="2"/>
  <c r="F1504" i="2"/>
  <c r="G1504" i="2"/>
  <c r="E1505" i="2"/>
  <c r="F1505" i="2"/>
  <c r="G1505" i="2"/>
  <c r="E1506" i="2"/>
  <c r="F1506" i="2"/>
  <c r="G1506" i="2"/>
  <c r="D1507" i="2"/>
  <c r="D1511" i="2" s="1"/>
  <c r="E1507" i="2"/>
  <c r="F1507" i="2"/>
  <c r="G1507" i="2"/>
  <c r="E1508" i="2"/>
  <c r="F1508" i="2"/>
  <c r="G1508" i="2"/>
  <c r="E1509" i="2"/>
  <c r="F1509" i="2"/>
  <c r="G1509" i="2"/>
  <c r="E1510" i="2"/>
  <c r="F1510" i="2"/>
  <c r="G1510" i="2"/>
  <c r="E1511" i="2"/>
  <c r="F1511" i="2"/>
  <c r="G1511" i="2"/>
  <c r="D1512" i="2"/>
  <c r="D1514" i="2" s="1"/>
  <c r="E1512" i="2"/>
  <c r="F1512" i="2"/>
  <c r="G1512" i="2"/>
  <c r="E1513" i="2"/>
  <c r="F1513" i="2"/>
  <c r="G1513" i="2"/>
  <c r="E1514" i="2"/>
  <c r="F1514" i="2"/>
  <c r="G1514" i="2"/>
  <c r="E1515" i="2"/>
  <c r="F1515" i="2"/>
  <c r="G1515" i="2"/>
  <c r="E1516" i="2"/>
  <c r="F1516" i="2"/>
  <c r="G1516" i="2"/>
  <c r="D1517" i="2"/>
  <c r="D1519" i="2" s="1"/>
  <c r="E1517" i="2"/>
  <c r="F1517" i="2"/>
  <c r="G1517" i="2"/>
  <c r="E1518" i="2"/>
  <c r="F1518" i="2"/>
  <c r="G1518" i="2"/>
  <c r="E1519" i="2"/>
  <c r="F1519" i="2"/>
  <c r="G1519" i="2"/>
  <c r="E1520" i="2"/>
  <c r="F1520" i="2"/>
  <c r="G1520" i="2"/>
  <c r="E1521" i="2"/>
  <c r="F1521" i="2"/>
  <c r="G1521" i="2"/>
  <c r="D1522" i="2"/>
  <c r="D1523" i="2" s="1"/>
  <c r="E1522" i="2"/>
  <c r="F1522" i="2"/>
  <c r="G1522" i="2"/>
  <c r="E1523" i="2"/>
  <c r="F1523" i="2"/>
  <c r="G1523" i="2"/>
  <c r="E1524" i="2"/>
  <c r="F1524" i="2"/>
  <c r="G1524" i="2"/>
  <c r="E1525" i="2"/>
  <c r="F1525" i="2"/>
  <c r="G1525" i="2"/>
  <c r="E1526" i="2"/>
  <c r="F1526" i="2"/>
  <c r="G1526" i="2"/>
  <c r="G1486" i="2"/>
  <c r="F1486" i="2"/>
  <c r="E1486" i="2"/>
  <c r="G1485" i="2"/>
  <c r="F1485" i="2"/>
  <c r="E1485" i="2"/>
  <c r="G1484" i="2"/>
  <c r="F1484" i="2"/>
  <c r="E1484" i="2"/>
  <c r="G1483" i="2"/>
  <c r="F1483" i="2"/>
  <c r="E1483" i="2"/>
  <c r="G1482" i="2"/>
  <c r="F1482" i="2"/>
  <c r="E1482" i="2"/>
  <c r="D1482" i="2"/>
  <c r="D1484" i="2" s="1"/>
  <c r="G1481" i="2"/>
  <c r="F1481" i="2"/>
  <c r="E1481" i="2"/>
  <c r="G1480" i="2"/>
  <c r="F1480" i="2"/>
  <c r="E1480" i="2"/>
  <c r="G1479" i="2"/>
  <c r="F1479" i="2"/>
  <c r="E1479" i="2"/>
  <c r="G1478" i="2"/>
  <c r="F1478" i="2"/>
  <c r="E1478" i="2"/>
  <c r="G1477" i="2"/>
  <c r="F1477" i="2"/>
  <c r="E1477" i="2"/>
  <c r="D1477" i="2"/>
  <c r="D1481" i="2" s="1"/>
  <c r="G1476" i="2"/>
  <c r="F1476" i="2"/>
  <c r="E1476" i="2"/>
  <c r="G1475" i="2"/>
  <c r="F1475" i="2"/>
  <c r="E1475" i="2"/>
  <c r="G1474" i="2"/>
  <c r="F1474" i="2"/>
  <c r="E1474" i="2"/>
  <c r="G1473" i="2"/>
  <c r="F1473" i="2"/>
  <c r="E1473" i="2"/>
  <c r="G1472" i="2"/>
  <c r="F1472" i="2"/>
  <c r="E1472" i="2"/>
  <c r="D1472" i="2"/>
  <c r="D1475" i="2" s="1"/>
  <c r="G1471" i="2"/>
  <c r="F1471" i="2"/>
  <c r="E1471" i="2"/>
  <c r="G1470" i="2"/>
  <c r="F1470" i="2"/>
  <c r="E1470" i="2"/>
  <c r="G1469" i="2"/>
  <c r="F1469" i="2"/>
  <c r="E1469" i="2"/>
  <c r="G1468" i="2"/>
  <c r="F1468" i="2"/>
  <c r="E1468" i="2"/>
  <c r="G1467" i="2"/>
  <c r="F1467" i="2"/>
  <c r="E1467" i="2"/>
  <c r="D1467" i="2"/>
  <c r="D1471" i="2" s="1"/>
  <c r="C112" i="15"/>
  <c r="D112" i="15" s="1"/>
  <c r="AI112" i="15" s="1"/>
  <c r="C113" i="15"/>
  <c r="D113" i="15" s="1"/>
  <c r="AI113" i="15" s="1"/>
  <c r="C114" i="15"/>
  <c r="C115" i="15"/>
  <c r="C116" i="15"/>
  <c r="C117" i="15"/>
  <c r="C118" i="15"/>
  <c r="D118" i="15" s="1"/>
  <c r="C119" i="15"/>
  <c r="D119" i="15" s="1"/>
  <c r="C120" i="15"/>
  <c r="C121" i="15"/>
  <c r="D121" i="15" s="1"/>
  <c r="C122" i="15"/>
  <c r="D122" i="15" s="1"/>
  <c r="AI122" i="15" s="1"/>
  <c r="C123" i="15"/>
  <c r="D123" i="15" s="1"/>
  <c r="C124" i="15"/>
  <c r="D124" i="15" s="1"/>
  <c r="AI124" i="15" s="1"/>
  <c r="C125" i="15"/>
  <c r="D125" i="15" s="1"/>
  <c r="AI125" i="15" s="1"/>
  <c r="C126" i="15"/>
  <c r="C127" i="15"/>
  <c r="C128" i="15"/>
  <c r="C129" i="15"/>
  <c r="C130" i="15"/>
  <c r="D130" i="15" s="1"/>
  <c r="C131" i="15"/>
  <c r="D131" i="15" s="1"/>
  <c r="C132" i="15"/>
  <c r="D132" i="15" s="1"/>
  <c r="C133" i="15"/>
  <c r="D133" i="15" s="1"/>
  <c r="C134" i="15"/>
  <c r="C135" i="15"/>
  <c r="D135" i="15" s="1"/>
  <c r="C136" i="15"/>
  <c r="D136" i="15" s="1"/>
  <c r="AI136" i="15" s="1"/>
  <c r="C137" i="15"/>
  <c r="D137" i="15" s="1"/>
  <c r="AI137" i="15" s="1"/>
  <c r="C138" i="15"/>
  <c r="C139" i="15"/>
  <c r="C140" i="15"/>
  <c r="C141" i="15"/>
  <c r="C142" i="15"/>
  <c r="D142" i="15" s="1"/>
  <c r="C143" i="15"/>
  <c r="D143" i="15" s="1"/>
  <c r="C144" i="15"/>
  <c r="D144" i="15" s="1"/>
  <c r="C145" i="15"/>
  <c r="C146" i="15"/>
  <c r="C147" i="15"/>
  <c r="C148" i="15"/>
  <c r="D148" i="15" s="1"/>
  <c r="AI148" i="15" s="1"/>
  <c r="C149" i="15"/>
  <c r="D149" i="15" s="1"/>
  <c r="AI149" i="15" s="1"/>
  <c r="C150" i="15"/>
  <c r="C151" i="15"/>
  <c r="C152" i="15"/>
  <c r="C153" i="15"/>
  <c r="C154" i="15"/>
  <c r="D154" i="15" s="1"/>
  <c r="AI154" i="15" s="1"/>
  <c r="C155" i="15"/>
  <c r="D155" i="15" s="1"/>
  <c r="C156" i="15"/>
  <c r="D156" i="15" s="1"/>
  <c r="C157" i="15"/>
  <c r="D157" i="15" s="1"/>
  <c r="C158" i="15"/>
  <c r="C159" i="15"/>
  <c r="C160" i="15"/>
  <c r="D160" i="15" s="1"/>
  <c r="AI160" i="15" s="1"/>
  <c r="C161" i="15"/>
  <c r="D161" i="15" s="1"/>
  <c r="AI161" i="15" s="1"/>
  <c r="C162" i="15"/>
  <c r="C163" i="15"/>
  <c r="C164" i="15"/>
  <c r="C165" i="15"/>
  <c r="C166" i="15"/>
  <c r="C167" i="15"/>
  <c r="C168" i="15"/>
  <c r="C169" i="15"/>
  <c r="D169" i="15" s="1"/>
  <c r="C170" i="15"/>
  <c r="D170" i="15" s="1"/>
  <c r="C171" i="15"/>
  <c r="C172" i="15"/>
  <c r="D172" i="15" s="1"/>
  <c r="C173" i="15"/>
  <c r="D173" i="15" s="1"/>
  <c r="AI173" i="15" s="1"/>
  <c r="C174" i="15"/>
  <c r="C175" i="15"/>
  <c r="C176" i="15"/>
  <c r="D176" i="15" s="1"/>
  <c r="C177" i="15"/>
  <c r="C178" i="15"/>
  <c r="D178" i="15" s="1"/>
  <c r="AI178" i="15" s="1"/>
  <c r="C179" i="15"/>
  <c r="D179" i="15" s="1"/>
  <c r="C180" i="15"/>
  <c r="D180" i="15" s="1"/>
  <c r="AI180" i="15" s="1"/>
  <c r="C181" i="15"/>
  <c r="D181" i="15" s="1"/>
  <c r="AI181" i="15" s="1"/>
  <c r="C182" i="15"/>
  <c r="C183" i="15"/>
  <c r="C184" i="15"/>
  <c r="D184" i="15" s="1"/>
  <c r="C185" i="15"/>
  <c r="D185" i="15" s="1"/>
  <c r="AI185" i="15" s="1"/>
  <c r="C186" i="15"/>
  <c r="C187" i="15"/>
  <c r="C188" i="15"/>
  <c r="C189" i="15"/>
  <c r="C190" i="15"/>
  <c r="D190" i="15" s="1"/>
  <c r="C191" i="15"/>
  <c r="D191" i="15" s="1"/>
  <c r="C192" i="15"/>
  <c r="D192" i="15" s="1"/>
  <c r="C193" i="15"/>
  <c r="C194" i="15"/>
  <c r="C195" i="15"/>
  <c r="D195" i="15" s="1"/>
  <c r="AI195" i="15" s="1"/>
  <c r="C196" i="15"/>
  <c r="D196" i="15" s="1"/>
  <c r="AI196" i="15" s="1"/>
  <c r="C197" i="15"/>
  <c r="D197" i="15" s="1"/>
  <c r="AI197" i="15" s="1"/>
  <c r="C198" i="15"/>
  <c r="C199" i="15"/>
  <c r="C200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Q112" i="15"/>
  <c r="Q113" i="15"/>
  <c r="Q114" i="15"/>
  <c r="Q115" i="15"/>
  <c r="Q116" i="15"/>
  <c r="Q117" i="15"/>
  <c r="Q118" i="15"/>
  <c r="Q119" i="15"/>
  <c r="Q120" i="15"/>
  <c r="Q121" i="15"/>
  <c r="Q122" i="15"/>
  <c r="Q123" i="15"/>
  <c r="Q124" i="15"/>
  <c r="Q125" i="15"/>
  <c r="Q126" i="15"/>
  <c r="Q127" i="15"/>
  <c r="Q128" i="15"/>
  <c r="Q129" i="15"/>
  <c r="Q130" i="15"/>
  <c r="Q131" i="15"/>
  <c r="Q132" i="15"/>
  <c r="Q133" i="15"/>
  <c r="Q134" i="15"/>
  <c r="Q135" i="15"/>
  <c r="Q136" i="15"/>
  <c r="Q137" i="15"/>
  <c r="Q138" i="15"/>
  <c r="Q139" i="15"/>
  <c r="Q140" i="15"/>
  <c r="Q141" i="15"/>
  <c r="Q142" i="15"/>
  <c r="Q143" i="15"/>
  <c r="Q144" i="15"/>
  <c r="Q145" i="15"/>
  <c r="Q146" i="15"/>
  <c r="Q147" i="15"/>
  <c r="Q148" i="15"/>
  <c r="Q149" i="15"/>
  <c r="Q150" i="15"/>
  <c r="Q151" i="15"/>
  <c r="Q152" i="15"/>
  <c r="Q153" i="15"/>
  <c r="Q154" i="15"/>
  <c r="Q155" i="15"/>
  <c r="Q156" i="15"/>
  <c r="Q157" i="15"/>
  <c r="Q158" i="15"/>
  <c r="Q159" i="15"/>
  <c r="Q160" i="15"/>
  <c r="Q161" i="15"/>
  <c r="Q162" i="15"/>
  <c r="Q163" i="15"/>
  <c r="Q164" i="15"/>
  <c r="Q165" i="15"/>
  <c r="Q166" i="15"/>
  <c r="Q167" i="15"/>
  <c r="Q168" i="15"/>
  <c r="Q169" i="15"/>
  <c r="Q170" i="15"/>
  <c r="Q171" i="15"/>
  <c r="Q172" i="15"/>
  <c r="Q173" i="15"/>
  <c r="Q174" i="15"/>
  <c r="Q175" i="15"/>
  <c r="Q176" i="15"/>
  <c r="Q177" i="15"/>
  <c r="Q178" i="15"/>
  <c r="Q179" i="15"/>
  <c r="Q180" i="15"/>
  <c r="Q181" i="15"/>
  <c r="Q182" i="15"/>
  <c r="Q183" i="15"/>
  <c r="Q184" i="15"/>
  <c r="Q185" i="15"/>
  <c r="Q186" i="15"/>
  <c r="Q187" i="15"/>
  <c r="Q188" i="15"/>
  <c r="Q189" i="15"/>
  <c r="Q190" i="15"/>
  <c r="Q191" i="15"/>
  <c r="Q192" i="15"/>
  <c r="Q193" i="15"/>
  <c r="Q194" i="15"/>
  <c r="Q195" i="15"/>
  <c r="Q196" i="15"/>
  <c r="Q197" i="15"/>
  <c r="Q198" i="15"/>
  <c r="Q199" i="15"/>
  <c r="Q200" i="15"/>
  <c r="Q111" i="15"/>
  <c r="O111" i="15"/>
  <c r="C111" i="15"/>
  <c r="D111" i="15" s="1"/>
  <c r="Q110" i="15"/>
  <c r="O110" i="15"/>
  <c r="C110" i="15"/>
  <c r="D110" i="15" s="1"/>
  <c r="Q109" i="15"/>
  <c r="O109" i="15"/>
  <c r="C109" i="15"/>
  <c r="D109" i="15" s="1"/>
  <c r="Q108" i="15"/>
  <c r="O108" i="15"/>
  <c r="C108" i="15"/>
  <c r="D108" i="15" s="1"/>
  <c r="Q107" i="15"/>
  <c r="O107" i="15"/>
  <c r="C107" i="15"/>
  <c r="D107" i="15" s="1"/>
  <c r="AI107" i="15" s="1"/>
  <c r="Q106" i="15"/>
  <c r="O106" i="15"/>
  <c r="C106" i="15"/>
  <c r="D106" i="15" s="1"/>
  <c r="Q105" i="15"/>
  <c r="O105" i="15"/>
  <c r="C105" i="15"/>
  <c r="D105" i="15" s="1"/>
  <c r="Q104" i="15"/>
  <c r="O104" i="15"/>
  <c r="C104" i="15"/>
  <c r="D104" i="15" s="1"/>
  <c r="Q103" i="15"/>
  <c r="O103" i="15"/>
  <c r="C103" i="15"/>
  <c r="D103" i="15" s="1"/>
  <c r="Q102" i="15"/>
  <c r="O102" i="15"/>
  <c r="C102" i="15"/>
  <c r="D102" i="15" s="1"/>
  <c r="Q101" i="15"/>
  <c r="O101" i="15"/>
  <c r="C101" i="15"/>
  <c r="D101" i="15" s="1"/>
  <c r="Q100" i="15"/>
  <c r="O100" i="15"/>
  <c r="C100" i="15"/>
  <c r="D100" i="15" s="1"/>
  <c r="AI100" i="15" s="1"/>
  <c r="Q99" i="15"/>
  <c r="O99" i="15"/>
  <c r="C99" i="15"/>
  <c r="D99" i="15" s="1"/>
  <c r="Q98" i="15"/>
  <c r="O98" i="15"/>
  <c r="C98" i="15"/>
  <c r="D98" i="15" s="1"/>
  <c r="Q97" i="15"/>
  <c r="O97" i="15"/>
  <c r="C97" i="15"/>
  <c r="D97" i="15" s="1"/>
  <c r="Q96" i="15"/>
  <c r="O96" i="15"/>
  <c r="C96" i="15"/>
  <c r="D96" i="15" s="1"/>
  <c r="Q95" i="15"/>
  <c r="O95" i="15"/>
  <c r="C95" i="15"/>
  <c r="D95" i="15" s="1"/>
  <c r="E95" i="15" s="1"/>
  <c r="Q94" i="15"/>
  <c r="O94" i="15"/>
  <c r="C94" i="15"/>
  <c r="D94" i="15" s="1"/>
  <c r="Q93" i="15"/>
  <c r="O93" i="15"/>
  <c r="C93" i="15"/>
  <c r="D93" i="15" s="1"/>
  <c r="E93" i="15" s="1"/>
  <c r="Q92" i="15"/>
  <c r="O92" i="15"/>
  <c r="C92" i="15"/>
  <c r="D92" i="15" s="1"/>
  <c r="AI92" i="15" s="1"/>
  <c r="Q91" i="15"/>
  <c r="O91" i="15"/>
  <c r="C91" i="15"/>
  <c r="D91" i="15" s="1"/>
  <c r="Q90" i="15"/>
  <c r="O90" i="15"/>
  <c r="C90" i="15"/>
  <c r="D90" i="15" s="1"/>
  <c r="Q89" i="15"/>
  <c r="O89" i="15"/>
  <c r="C89" i="15"/>
  <c r="D89" i="15" s="1"/>
  <c r="Q88" i="15"/>
  <c r="O88" i="15"/>
  <c r="C88" i="15"/>
  <c r="D88" i="15" s="1"/>
  <c r="AI88" i="15" s="1"/>
  <c r="Q87" i="15"/>
  <c r="O87" i="15"/>
  <c r="C87" i="15"/>
  <c r="D87" i="15" s="1"/>
  <c r="Q86" i="15"/>
  <c r="O86" i="15"/>
  <c r="C86" i="15"/>
  <c r="D86" i="15" s="1"/>
  <c r="Q85" i="15"/>
  <c r="O85" i="15"/>
  <c r="C85" i="15"/>
  <c r="D85" i="15" s="1"/>
  <c r="Q84" i="15"/>
  <c r="O84" i="15"/>
  <c r="C84" i="15"/>
  <c r="D84" i="15" s="1"/>
  <c r="Q83" i="15"/>
  <c r="O83" i="15"/>
  <c r="C83" i="15"/>
  <c r="D83" i="15" s="1"/>
  <c r="AI83" i="15" s="1"/>
  <c r="Q82" i="15"/>
  <c r="O82" i="15"/>
  <c r="C82" i="15"/>
  <c r="D82" i="15" s="1"/>
  <c r="Q81" i="15"/>
  <c r="O81" i="15"/>
  <c r="C81" i="15"/>
  <c r="D81" i="15" s="1"/>
  <c r="AI81" i="15" s="1"/>
  <c r="Q80" i="15"/>
  <c r="O80" i="15"/>
  <c r="C80" i="15"/>
  <c r="D80" i="15" s="1"/>
  <c r="AI80" i="15" s="1"/>
  <c r="Q79" i="15"/>
  <c r="O79" i="15"/>
  <c r="C79" i="15"/>
  <c r="D79" i="15" s="1"/>
  <c r="Q78" i="15"/>
  <c r="O78" i="15"/>
  <c r="C78" i="15"/>
  <c r="D78" i="15" s="1"/>
  <c r="Q77" i="15"/>
  <c r="O77" i="15"/>
  <c r="C77" i="15"/>
  <c r="D77" i="15" s="1"/>
  <c r="Q76" i="15"/>
  <c r="O76" i="15"/>
  <c r="C76" i="15"/>
  <c r="D76" i="15" s="1"/>
  <c r="Q75" i="15"/>
  <c r="O75" i="15"/>
  <c r="C75" i="15"/>
  <c r="D75" i="15" s="1"/>
  <c r="Q74" i="15"/>
  <c r="O74" i="15"/>
  <c r="C74" i="15"/>
  <c r="D74" i="15" s="1"/>
  <c r="Q73" i="15"/>
  <c r="O73" i="15"/>
  <c r="C73" i="15"/>
  <c r="D73" i="15" s="1"/>
  <c r="Q72" i="15"/>
  <c r="O72" i="15"/>
  <c r="C72" i="15"/>
  <c r="D72" i="15" s="1"/>
  <c r="Q71" i="15"/>
  <c r="O71" i="15"/>
  <c r="C71" i="15"/>
  <c r="D71" i="15" s="1"/>
  <c r="E71" i="15" s="1"/>
  <c r="Q70" i="15"/>
  <c r="O70" i="15"/>
  <c r="C70" i="15"/>
  <c r="D70" i="15" s="1"/>
  <c r="Q69" i="15"/>
  <c r="O69" i="15"/>
  <c r="C69" i="15"/>
  <c r="D69" i="15" s="1"/>
  <c r="Q68" i="15"/>
  <c r="O68" i="15"/>
  <c r="C68" i="15"/>
  <c r="D68" i="15" s="1"/>
  <c r="Q67" i="15"/>
  <c r="O67" i="15"/>
  <c r="C67" i="15"/>
  <c r="D67" i="15" s="1"/>
  <c r="AI67" i="15" s="1"/>
  <c r="Q66" i="15"/>
  <c r="O66" i="15"/>
  <c r="C66" i="15"/>
  <c r="D66" i="15" s="1"/>
  <c r="Q65" i="15"/>
  <c r="O65" i="15"/>
  <c r="C65" i="15"/>
  <c r="D65" i="15" s="1"/>
  <c r="Q64" i="15"/>
  <c r="O64" i="15"/>
  <c r="C64" i="15"/>
  <c r="D64" i="15" s="1"/>
  <c r="Q63" i="15"/>
  <c r="O63" i="15"/>
  <c r="C63" i="15"/>
  <c r="D63" i="15" s="1"/>
  <c r="Q62" i="15"/>
  <c r="O62" i="15"/>
  <c r="C62" i="15"/>
  <c r="D62" i="15" s="1"/>
  <c r="Q61" i="15"/>
  <c r="O61" i="15"/>
  <c r="C61" i="15"/>
  <c r="D61" i="15" s="1"/>
  <c r="Q60" i="15"/>
  <c r="O60" i="15"/>
  <c r="C60" i="15"/>
  <c r="D60" i="15" s="1"/>
  <c r="Q59" i="15"/>
  <c r="O59" i="15"/>
  <c r="C59" i="15"/>
  <c r="D59" i="15" s="1"/>
  <c r="Q58" i="15"/>
  <c r="O58" i="15"/>
  <c r="C58" i="15"/>
  <c r="D58" i="15" s="1"/>
  <c r="Q57" i="15"/>
  <c r="O57" i="15"/>
  <c r="C57" i="15"/>
  <c r="D57" i="15" s="1"/>
  <c r="AI57" i="15" s="1"/>
  <c r="Q56" i="15"/>
  <c r="O56" i="15"/>
  <c r="C56" i="15"/>
  <c r="D56" i="15" s="1"/>
  <c r="Q55" i="15"/>
  <c r="O55" i="15"/>
  <c r="C55" i="15"/>
  <c r="D55" i="15" s="1"/>
  <c r="Q54" i="15"/>
  <c r="O54" i="15"/>
  <c r="C54" i="15"/>
  <c r="D54" i="15" s="1"/>
  <c r="Q53" i="15"/>
  <c r="O53" i="15"/>
  <c r="C53" i="15"/>
  <c r="D53" i="15" s="1"/>
  <c r="Q52" i="15"/>
  <c r="O52" i="15"/>
  <c r="C52" i="15"/>
  <c r="D52" i="15" s="1"/>
  <c r="Q51" i="15"/>
  <c r="O51" i="15"/>
  <c r="C51" i="15"/>
  <c r="D51" i="15" s="1"/>
  <c r="E51" i="15" s="1"/>
  <c r="Q50" i="15"/>
  <c r="O50" i="15"/>
  <c r="C50" i="15"/>
  <c r="D50" i="15" s="1"/>
  <c r="Q49" i="15"/>
  <c r="O49" i="15"/>
  <c r="C49" i="15"/>
  <c r="D49" i="15" s="1"/>
  <c r="Q48" i="15"/>
  <c r="O48" i="15"/>
  <c r="C48" i="15"/>
  <c r="D48" i="15" s="1"/>
  <c r="Q47" i="15"/>
  <c r="O47" i="15"/>
  <c r="C47" i="15"/>
  <c r="D47" i="15" s="1"/>
  <c r="E47" i="15" s="1"/>
  <c r="Q46" i="15"/>
  <c r="O46" i="15"/>
  <c r="C46" i="15"/>
  <c r="D46" i="15" s="1"/>
  <c r="Q45" i="15"/>
  <c r="O45" i="15"/>
  <c r="C45" i="15"/>
  <c r="D45" i="15" s="1"/>
  <c r="AI45" i="15" s="1"/>
  <c r="Q44" i="15"/>
  <c r="O44" i="15"/>
  <c r="C44" i="15"/>
  <c r="D44" i="15" s="1"/>
  <c r="AI44" i="15" s="1"/>
  <c r="Q43" i="15"/>
  <c r="O43" i="15"/>
  <c r="C43" i="15"/>
  <c r="D43" i="15" s="1"/>
  <c r="Q42" i="15"/>
  <c r="O42" i="15"/>
  <c r="C42" i="15"/>
  <c r="D42" i="15" s="1"/>
  <c r="AI42" i="15" s="1"/>
  <c r="Q41" i="15"/>
  <c r="O41" i="15"/>
  <c r="C41" i="15"/>
  <c r="D41" i="15" s="1"/>
  <c r="Q40" i="15"/>
  <c r="O40" i="15"/>
  <c r="C40" i="15"/>
  <c r="D40" i="15" s="1"/>
  <c r="Q39" i="15"/>
  <c r="O39" i="15"/>
  <c r="C39" i="15"/>
  <c r="D39" i="15" s="1"/>
  <c r="Q38" i="15"/>
  <c r="O38" i="15"/>
  <c r="C38" i="15"/>
  <c r="D38" i="15" s="1"/>
  <c r="Q37" i="15"/>
  <c r="O37" i="15"/>
  <c r="C37" i="15"/>
  <c r="D37" i="15" s="1"/>
  <c r="Q36" i="15"/>
  <c r="O36" i="15"/>
  <c r="C36" i="15"/>
  <c r="D36" i="15" s="1"/>
  <c r="Q35" i="15"/>
  <c r="O35" i="15"/>
  <c r="C35" i="15"/>
  <c r="D35" i="15" s="1"/>
  <c r="AI35" i="15" s="1"/>
  <c r="Q34" i="15"/>
  <c r="O34" i="15"/>
  <c r="C34" i="15"/>
  <c r="D34" i="15" s="1"/>
  <c r="Q33" i="15"/>
  <c r="O33" i="15"/>
  <c r="C33" i="15"/>
  <c r="D33" i="15" s="1"/>
  <c r="Q32" i="15"/>
  <c r="O32" i="15"/>
  <c r="C32" i="15"/>
  <c r="D32" i="15" s="1"/>
  <c r="Q31" i="15"/>
  <c r="O31" i="15"/>
  <c r="C31" i="15"/>
  <c r="D31" i="15" s="1"/>
  <c r="Q30" i="15"/>
  <c r="O30" i="15"/>
  <c r="C30" i="15"/>
  <c r="D30" i="15" s="1"/>
  <c r="Q29" i="15"/>
  <c r="O29" i="15"/>
  <c r="C29" i="15"/>
  <c r="D29" i="15" s="1"/>
  <c r="Q28" i="15"/>
  <c r="O28" i="15"/>
  <c r="C28" i="15"/>
  <c r="D28" i="15" s="1"/>
  <c r="Q27" i="15"/>
  <c r="O27" i="15"/>
  <c r="C27" i="15"/>
  <c r="D27" i="15" s="1"/>
  <c r="Q26" i="15"/>
  <c r="O26" i="15"/>
  <c r="C26" i="15"/>
  <c r="D26" i="15" s="1"/>
  <c r="Q25" i="15"/>
  <c r="O25" i="15"/>
  <c r="C25" i="15"/>
  <c r="D25" i="15" s="1"/>
  <c r="Q24" i="15"/>
  <c r="O24" i="15"/>
  <c r="C24" i="15"/>
  <c r="D24" i="15" s="1"/>
  <c r="Q23" i="15"/>
  <c r="O23" i="15"/>
  <c r="C23" i="15"/>
  <c r="D23" i="15" s="1"/>
  <c r="Q22" i="15"/>
  <c r="O22" i="15"/>
  <c r="C22" i="15"/>
  <c r="D22" i="15" s="1"/>
  <c r="Q21" i="15"/>
  <c r="O21" i="15"/>
  <c r="C21" i="15"/>
  <c r="D21" i="15" s="1"/>
  <c r="E21" i="15" s="1"/>
  <c r="Q20" i="15"/>
  <c r="O20" i="15"/>
  <c r="C20" i="15"/>
  <c r="D20" i="15" s="1"/>
  <c r="Q19" i="15"/>
  <c r="O19" i="15"/>
  <c r="C19" i="15"/>
  <c r="D19" i="15" s="1"/>
  <c r="Q18" i="15"/>
  <c r="O18" i="15"/>
  <c r="C18" i="15"/>
  <c r="D18" i="15" s="1"/>
  <c r="AI18" i="15" s="1"/>
  <c r="Q17" i="15"/>
  <c r="O17" i="15"/>
  <c r="C17" i="15"/>
  <c r="D17" i="15" s="1"/>
  <c r="Q16" i="15"/>
  <c r="O16" i="15"/>
  <c r="C16" i="15"/>
  <c r="D16" i="15" s="1"/>
  <c r="Q15" i="15"/>
  <c r="O15" i="15"/>
  <c r="C15" i="15"/>
  <c r="D15" i="15" s="1"/>
  <c r="Q14" i="15"/>
  <c r="O14" i="15"/>
  <c r="C14" i="15"/>
  <c r="D14" i="15" s="1"/>
  <c r="Q13" i="15"/>
  <c r="O13" i="15"/>
  <c r="C13" i="15"/>
  <c r="D13" i="15" s="1"/>
  <c r="Q12" i="15"/>
  <c r="O12" i="15"/>
  <c r="C12" i="15"/>
  <c r="D12" i="15" s="1"/>
  <c r="Q11" i="15"/>
  <c r="O11" i="15"/>
  <c r="C11" i="15"/>
  <c r="D11" i="15" s="1"/>
  <c r="AI11" i="15" s="1"/>
  <c r="Q10" i="15"/>
  <c r="O10" i="15"/>
  <c r="C10" i="15"/>
  <c r="D10" i="15" s="1"/>
  <c r="E10" i="15" s="1"/>
  <c r="Q9" i="15"/>
  <c r="O9" i="15"/>
  <c r="C9" i="15"/>
  <c r="D9" i="15" s="1"/>
  <c r="Q8" i="15"/>
  <c r="O8" i="15"/>
  <c r="C8" i="15"/>
  <c r="D8" i="15" s="1"/>
  <c r="AI8" i="15" s="1"/>
  <c r="Q7" i="15"/>
  <c r="O7" i="15"/>
  <c r="C7" i="15"/>
  <c r="D7" i="15" s="1"/>
  <c r="Q6" i="15"/>
  <c r="O6" i="15"/>
  <c r="C6" i="15"/>
  <c r="D6" i="15" s="1"/>
  <c r="Q5" i="15"/>
  <c r="O5" i="15"/>
  <c r="C5" i="15"/>
  <c r="D5" i="15" s="1"/>
  <c r="Q4" i="15"/>
  <c r="O4" i="15"/>
  <c r="C4" i="15"/>
  <c r="D4" i="15" s="1"/>
  <c r="Q3" i="15"/>
  <c r="O3" i="15"/>
  <c r="C3" i="15"/>
  <c r="D3" i="15" s="1"/>
  <c r="E3" i="15" s="1"/>
  <c r="D1518" i="2" l="1"/>
  <c r="D1489" i="2"/>
  <c r="D1488" i="2"/>
  <c r="D1491" i="2"/>
  <c r="X210" i="16"/>
  <c r="X172" i="16"/>
  <c r="H172" i="16"/>
  <c r="G172" i="16"/>
  <c r="H190" i="16"/>
  <c r="G185" i="16"/>
  <c r="N185" i="16" s="1"/>
  <c r="H178" i="16"/>
  <c r="G190" i="16"/>
  <c r="N190" i="16" s="1"/>
  <c r="H183" i="16"/>
  <c r="R183" i="16" s="1"/>
  <c r="AJ183" i="16" s="1"/>
  <c r="AK183" i="16" s="1"/>
  <c r="AL183" i="16" s="1"/>
  <c r="G178" i="16"/>
  <c r="H188" i="16"/>
  <c r="R188" i="16" s="1"/>
  <c r="AJ188" i="16" s="1"/>
  <c r="AK188" i="16" s="1"/>
  <c r="AL188" i="16" s="1"/>
  <c r="G183" i="16"/>
  <c r="N183" i="16" s="1"/>
  <c r="H176" i="16"/>
  <c r="G188" i="16"/>
  <c r="N188" i="16" s="1"/>
  <c r="H181" i="16"/>
  <c r="G176" i="16"/>
  <c r="H186" i="16"/>
  <c r="AJ186" i="16" s="1"/>
  <c r="AK186" i="16" s="1"/>
  <c r="AL186" i="16" s="1"/>
  <c r="G181" i="16"/>
  <c r="G191" i="16"/>
  <c r="N191" i="16" s="1"/>
  <c r="H184" i="16"/>
  <c r="R184" i="16" s="1"/>
  <c r="AJ184" i="16" s="1"/>
  <c r="AK184" i="16" s="1"/>
  <c r="AL184" i="16" s="1"/>
  <c r="G179" i="16"/>
  <c r="H189" i="16"/>
  <c r="G184" i="16"/>
  <c r="N184" i="16" s="1"/>
  <c r="H177" i="16"/>
  <c r="G189" i="16"/>
  <c r="N189" i="16" s="1"/>
  <c r="H182" i="16"/>
  <c r="G177" i="16"/>
  <c r="H187" i="16"/>
  <c r="R187" i="16" s="1"/>
  <c r="AJ187" i="16" s="1"/>
  <c r="AK187" i="16" s="1"/>
  <c r="AL187" i="16" s="1"/>
  <c r="G182" i="16"/>
  <c r="H185" i="16"/>
  <c r="R185" i="16" s="1"/>
  <c r="P185" i="16" s="1"/>
  <c r="G180" i="16"/>
  <c r="H191" i="16"/>
  <c r="R191" i="16" s="1"/>
  <c r="AJ191" i="16" s="1"/>
  <c r="AK191" i="16" s="1"/>
  <c r="AL191" i="16" s="1"/>
  <c r="H179" i="16"/>
  <c r="G187" i="16"/>
  <c r="N187" i="16" s="1"/>
  <c r="G186" i="16"/>
  <c r="N186" i="16" s="1"/>
  <c r="H180" i="16"/>
  <c r="G167" i="16"/>
  <c r="H160" i="16"/>
  <c r="H165" i="16"/>
  <c r="AJ165" i="16" s="1"/>
  <c r="AK165" i="16" s="1"/>
  <c r="AL165" i="16" s="1"/>
  <c r="G160" i="16"/>
  <c r="G170" i="16"/>
  <c r="H163" i="16"/>
  <c r="AJ163" i="16" s="1"/>
  <c r="AK163" i="16" s="1"/>
  <c r="AL163" i="16" s="1"/>
  <c r="G158" i="16"/>
  <c r="H168" i="16"/>
  <c r="AJ168" i="16" s="1"/>
  <c r="AK168" i="16" s="1"/>
  <c r="AL168" i="16" s="1"/>
  <c r="G163" i="16"/>
  <c r="H156" i="16"/>
  <c r="H166" i="16"/>
  <c r="AJ166" i="16" s="1"/>
  <c r="AK166" i="16" s="1"/>
  <c r="AL166" i="16" s="1"/>
  <c r="G161" i="16"/>
  <c r="H171" i="16"/>
  <c r="P171" i="16" s="1"/>
  <c r="G166" i="16"/>
  <c r="H159" i="16"/>
  <c r="G171" i="16"/>
  <c r="H164" i="16"/>
  <c r="AJ164" i="16" s="1"/>
  <c r="AK164" i="16" s="1"/>
  <c r="AL164" i="16" s="1"/>
  <c r="G159" i="16"/>
  <c r="H169" i="16"/>
  <c r="AJ169" i="16" s="1"/>
  <c r="AK169" i="16" s="1"/>
  <c r="AL169" i="16" s="1"/>
  <c r="G164" i="16"/>
  <c r="H157" i="16"/>
  <c r="H167" i="16"/>
  <c r="AJ167" i="16" s="1"/>
  <c r="AK167" i="16" s="1"/>
  <c r="AL167" i="16" s="1"/>
  <c r="G162" i="16"/>
  <c r="H158" i="16"/>
  <c r="G156" i="16"/>
  <c r="G169" i="16"/>
  <c r="G165" i="16"/>
  <c r="G157" i="16"/>
  <c r="H161" i="16"/>
  <c r="H162" i="16"/>
  <c r="G168" i="16"/>
  <c r="H170" i="16"/>
  <c r="G219" i="16"/>
  <c r="N219" i="16" s="1"/>
  <c r="H217" i="16"/>
  <c r="H222" i="16"/>
  <c r="R222" i="16" s="1"/>
  <c r="P222" i="16" s="1"/>
  <c r="G217" i="16"/>
  <c r="N217" i="16" s="1"/>
  <c r="G222" i="16"/>
  <c r="N222" i="16" s="1"/>
  <c r="H215" i="16"/>
  <c r="H220" i="16"/>
  <c r="G215" i="16"/>
  <c r="G220" i="16"/>
  <c r="N220" i="16" s="1"/>
  <c r="H218" i="16"/>
  <c r="H223" i="16"/>
  <c r="R223" i="16" s="1"/>
  <c r="P223" i="16" s="1"/>
  <c r="G218" i="16"/>
  <c r="N218" i="16" s="1"/>
  <c r="G223" i="16"/>
  <c r="N223" i="16" s="1"/>
  <c r="H216" i="16"/>
  <c r="H221" i="16"/>
  <c r="R221" i="16" s="1"/>
  <c r="AJ221" i="16" s="1"/>
  <c r="AK221" i="16" s="1"/>
  <c r="AL221" i="16" s="1"/>
  <c r="G216" i="16"/>
  <c r="G221" i="16"/>
  <c r="N221" i="16" s="1"/>
  <c r="H214" i="16"/>
  <c r="H219" i="16"/>
  <c r="G214" i="16"/>
  <c r="C193" i="16"/>
  <c r="B193" i="16"/>
  <c r="D1513" i="2"/>
  <c r="D1508" i="2"/>
  <c r="D1501" i="2"/>
  <c r="D1493" i="2"/>
  <c r="E148" i="15"/>
  <c r="E124" i="15"/>
  <c r="E112" i="15"/>
  <c r="D1495" i="2"/>
  <c r="D1515" i="2"/>
  <c r="D1494" i="2"/>
  <c r="D1478" i="2"/>
  <c r="D1505" i="2"/>
  <c r="D1498" i="2"/>
  <c r="D1503" i="2"/>
  <c r="D1500" i="2"/>
  <c r="D1480" i="2"/>
  <c r="D1506" i="2"/>
  <c r="D1496" i="2"/>
  <c r="D1520" i="2"/>
  <c r="D1510" i="2"/>
  <c r="D1525" i="2"/>
  <c r="D1524" i="2"/>
  <c r="D1521" i="2"/>
  <c r="D1516" i="2"/>
  <c r="D1526" i="2"/>
  <c r="D1509" i="2"/>
  <c r="AI24" i="15"/>
  <c r="E24" i="15"/>
  <c r="F24" i="15" s="1"/>
  <c r="A24" i="15" s="1"/>
  <c r="E33" i="15"/>
  <c r="AI33" i="15"/>
  <c r="AI41" i="15"/>
  <c r="E41" i="15"/>
  <c r="F41" i="15" s="1"/>
  <c r="A41" i="15" s="1"/>
  <c r="AI43" i="15"/>
  <c r="E43" i="15"/>
  <c r="F43" i="15" s="1"/>
  <c r="A43" i="15" s="1"/>
  <c r="AI91" i="15"/>
  <c r="E91" i="15"/>
  <c r="F91" i="15" s="1"/>
  <c r="A91" i="15" s="1"/>
  <c r="E191" i="15"/>
  <c r="F191" i="15" s="1"/>
  <c r="AI191" i="15"/>
  <c r="E190" i="15"/>
  <c r="F190" i="15" s="1"/>
  <c r="AI190" i="15"/>
  <c r="E143" i="15"/>
  <c r="AI143" i="15"/>
  <c r="E142" i="15"/>
  <c r="F142" i="15" s="1"/>
  <c r="A142" i="15" s="1"/>
  <c r="AI142" i="15"/>
  <c r="E119" i="15"/>
  <c r="AI119" i="15"/>
  <c r="E118" i="15"/>
  <c r="F118" i="15" s="1"/>
  <c r="AI118" i="15"/>
  <c r="E192" i="15"/>
  <c r="F192" i="15" s="1"/>
  <c r="A192" i="15" s="1"/>
  <c r="AI192" i="15"/>
  <c r="E184" i="15"/>
  <c r="F184" i="15" s="1"/>
  <c r="A184" i="15" s="1"/>
  <c r="AI184" i="15"/>
  <c r="E179" i="15"/>
  <c r="F179" i="15" s="1"/>
  <c r="A179" i="15" s="1"/>
  <c r="AI179" i="15"/>
  <c r="E176" i="15"/>
  <c r="F176" i="15" s="1"/>
  <c r="A176" i="15" s="1"/>
  <c r="AI176" i="15"/>
  <c r="E172" i="15"/>
  <c r="F172" i="15" s="1"/>
  <c r="A172" i="15" s="1"/>
  <c r="AI172" i="15"/>
  <c r="E170" i="15"/>
  <c r="F170" i="15" s="1"/>
  <c r="A170" i="15" s="1"/>
  <c r="AI170" i="15"/>
  <c r="E169" i="15"/>
  <c r="F169" i="15" s="1"/>
  <c r="A169" i="15" s="1"/>
  <c r="AI169" i="15"/>
  <c r="E157" i="15"/>
  <c r="F157" i="15" s="1"/>
  <c r="AI157" i="15"/>
  <c r="E156" i="15"/>
  <c r="F156" i="15" s="1"/>
  <c r="A156" i="15" s="1"/>
  <c r="AI156" i="15"/>
  <c r="E155" i="15"/>
  <c r="F155" i="15" s="1"/>
  <c r="A155" i="15" s="1"/>
  <c r="AI155" i="15"/>
  <c r="E144" i="15"/>
  <c r="F144" i="15" s="1"/>
  <c r="A144" i="15" s="1"/>
  <c r="AI144" i="15"/>
  <c r="E135" i="15"/>
  <c r="F135" i="15" s="1"/>
  <c r="AI135" i="15"/>
  <c r="E133" i="15"/>
  <c r="F133" i="15" s="1"/>
  <c r="AI133" i="15"/>
  <c r="E132" i="15"/>
  <c r="F132" i="15" s="1"/>
  <c r="AI132" i="15"/>
  <c r="E131" i="15"/>
  <c r="F131" i="15" s="1"/>
  <c r="A131" i="15" s="1"/>
  <c r="AI131" i="15"/>
  <c r="E130" i="15"/>
  <c r="F130" i="15" s="1"/>
  <c r="A130" i="15" s="1"/>
  <c r="AI130" i="15"/>
  <c r="E123" i="15"/>
  <c r="F123" i="15" s="1"/>
  <c r="AI123" i="15"/>
  <c r="E121" i="15"/>
  <c r="AI121" i="15"/>
  <c r="D1485" i="2"/>
  <c r="D1483" i="2"/>
  <c r="D1468" i="2"/>
  <c r="D1470" i="2"/>
  <c r="D1486" i="2"/>
  <c r="D1474" i="2"/>
  <c r="D1476" i="2"/>
  <c r="D1469" i="2"/>
  <c r="D1473" i="2"/>
  <c r="D1479" i="2"/>
  <c r="D193" i="15"/>
  <c r="D166" i="15"/>
  <c r="D167" i="15"/>
  <c r="D147" i="15"/>
  <c r="D146" i="15"/>
  <c r="AI146" i="15" s="1"/>
  <c r="D145" i="15"/>
  <c r="AI145" i="15" s="1"/>
  <c r="E195" i="15"/>
  <c r="F195" i="15" s="1"/>
  <c r="E154" i="15"/>
  <c r="F154" i="15" s="1"/>
  <c r="E178" i="15"/>
  <c r="F178" i="15" s="1"/>
  <c r="E180" i="15"/>
  <c r="F180" i="15" s="1"/>
  <c r="E122" i="15"/>
  <c r="F122" i="15" s="1"/>
  <c r="E181" i="15"/>
  <c r="F121" i="15"/>
  <c r="A121" i="15" s="1"/>
  <c r="D183" i="15"/>
  <c r="D159" i="15"/>
  <c r="D194" i="15"/>
  <c r="AI194" i="15" s="1"/>
  <c r="D182" i="15"/>
  <c r="D158" i="15"/>
  <c r="D134" i="15"/>
  <c r="D171" i="15"/>
  <c r="AI171" i="15" s="1"/>
  <c r="D120" i="15"/>
  <c r="AI120" i="15" s="1"/>
  <c r="D168" i="15"/>
  <c r="AI168" i="15" s="1"/>
  <c r="AI79" i="15"/>
  <c r="E79" i="15"/>
  <c r="F79" i="15" s="1"/>
  <c r="A79" i="15" s="1"/>
  <c r="AI13" i="15"/>
  <c r="E13" i="15"/>
  <c r="F13" i="15" s="1"/>
  <c r="E76" i="15"/>
  <c r="F76" i="15" s="1"/>
  <c r="AI76" i="15"/>
  <c r="AI55" i="15"/>
  <c r="E55" i="15"/>
  <c r="F55" i="15" s="1"/>
  <c r="A55" i="15" s="1"/>
  <c r="AI103" i="15"/>
  <c r="E103" i="15"/>
  <c r="AI64" i="15"/>
  <c r="E64" i="15"/>
  <c r="AI52" i="15"/>
  <c r="E52" i="15"/>
  <c r="F52" i="15" s="1"/>
  <c r="A52" i="15" s="1"/>
  <c r="D117" i="15"/>
  <c r="AI117" i="15" s="1"/>
  <c r="D128" i="15"/>
  <c r="AI128" i="15" s="1"/>
  <c r="D151" i="15"/>
  <c r="AI151" i="15" s="1"/>
  <c r="D177" i="15"/>
  <c r="AI177" i="15" s="1"/>
  <c r="D188" i="15"/>
  <c r="AI188" i="15" s="1"/>
  <c r="D164" i="15"/>
  <c r="AI164" i="15" s="1"/>
  <c r="D140" i="15"/>
  <c r="AI140" i="15" s="1"/>
  <c r="AI12" i="15"/>
  <c r="E12" i="15"/>
  <c r="F12" i="15" s="1"/>
  <c r="A12" i="15" s="1"/>
  <c r="E69" i="15"/>
  <c r="D163" i="15"/>
  <c r="AI163" i="15" s="1"/>
  <c r="D115" i="15"/>
  <c r="AI115" i="15" s="1"/>
  <c r="AI29" i="15"/>
  <c r="E29" i="15"/>
  <c r="F29" i="15" s="1"/>
  <c r="A29" i="15" s="1"/>
  <c r="D198" i="15"/>
  <c r="AI198" i="15" s="1"/>
  <c r="D186" i="15"/>
  <c r="AI186" i="15" s="1"/>
  <c r="D174" i="15"/>
  <c r="AI174" i="15" s="1"/>
  <c r="D162" i="15"/>
  <c r="AI162" i="15" s="1"/>
  <c r="D150" i="15"/>
  <c r="AI150" i="15" s="1"/>
  <c r="D138" i="15"/>
  <c r="AI138" i="15" s="1"/>
  <c r="D126" i="15"/>
  <c r="AI126" i="15" s="1"/>
  <c r="D114" i="15"/>
  <c r="AI114" i="15" s="1"/>
  <c r="E197" i="15"/>
  <c r="E185" i="15"/>
  <c r="E173" i="15"/>
  <c r="E161" i="15"/>
  <c r="E149" i="15"/>
  <c r="E137" i="15"/>
  <c r="E125" i="15"/>
  <c r="E113" i="15"/>
  <c r="F119" i="15"/>
  <c r="E8" i="15"/>
  <c r="F8" i="15" s="1"/>
  <c r="D153" i="15"/>
  <c r="AI153" i="15" s="1"/>
  <c r="D187" i="15"/>
  <c r="AI187" i="15" s="1"/>
  <c r="D139" i="15"/>
  <c r="AI139" i="15" s="1"/>
  <c r="AI69" i="15"/>
  <c r="F148" i="15"/>
  <c r="A148" i="15" s="1"/>
  <c r="F124" i="15"/>
  <c r="A124" i="15" s="1"/>
  <c r="F112" i="15"/>
  <c r="AI15" i="15"/>
  <c r="E67" i="15"/>
  <c r="F67" i="15" s="1"/>
  <c r="A67" i="15" s="1"/>
  <c r="E196" i="15"/>
  <c r="F143" i="15"/>
  <c r="D165" i="15"/>
  <c r="AI165" i="15" s="1"/>
  <c r="D129" i="15"/>
  <c r="AI129" i="15" s="1"/>
  <c r="D200" i="15"/>
  <c r="AI200" i="15" s="1"/>
  <c r="D152" i="15"/>
  <c r="AI152" i="15" s="1"/>
  <c r="E15" i="15"/>
  <c r="F15" i="15" s="1"/>
  <c r="A15" i="15" s="1"/>
  <c r="F93" i="15"/>
  <c r="A93" i="15" s="1"/>
  <c r="E136" i="15"/>
  <c r="E42" i="15"/>
  <c r="F42" i="15" s="1"/>
  <c r="A42" i="15" s="1"/>
  <c r="D189" i="15"/>
  <c r="AI189" i="15" s="1"/>
  <c r="E45" i="15"/>
  <c r="F45" i="15" s="1"/>
  <c r="A45" i="15" s="1"/>
  <c r="D116" i="15"/>
  <c r="AI116" i="15" s="1"/>
  <c r="D175" i="15"/>
  <c r="AI175" i="15" s="1"/>
  <c r="D127" i="15"/>
  <c r="AI127" i="15" s="1"/>
  <c r="AI23" i="15"/>
  <c r="E23" i="15"/>
  <c r="F23" i="15" s="1"/>
  <c r="AI3" i="15"/>
  <c r="AI20" i="15"/>
  <c r="E20" i="15"/>
  <c r="F20" i="15" s="1"/>
  <c r="A20" i="15" s="1"/>
  <c r="E44" i="15"/>
  <c r="F44" i="15" s="1"/>
  <c r="E57" i="15"/>
  <c r="F57" i="15" s="1"/>
  <c r="E88" i="15"/>
  <c r="F88" i="15" s="1"/>
  <c r="A88" i="15" s="1"/>
  <c r="D141" i="15"/>
  <c r="AI141" i="15" s="1"/>
  <c r="D199" i="15"/>
  <c r="AI199" i="15" s="1"/>
  <c r="AI93" i="15"/>
  <c r="E160" i="15"/>
  <c r="F160" i="15" s="1"/>
  <c r="E5" i="15"/>
  <c r="AI5" i="15"/>
  <c r="E25" i="15"/>
  <c r="AI25" i="15"/>
  <c r="AI46" i="15"/>
  <c r="E46" i="15"/>
  <c r="F46" i="15" s="1"/>
  <c r="AI10" i="15"/>
  <c r="AI59" i="15"/>
  <c r="E59" i="15"/>
  <c r="E39" i="15"/>
  <c r="F39" i="15" s="1"/>
  <c r="AI21" i="15"/>
  <c r="F47" i="15"/>
  <c r="A47" i="15" s="1"/>
  <c r="AI47" i="15"/>
  <c r="AI9" i="15"/>
  <c r="E9" i="15"/>
  <c r="F9" i="15" s="1"/>
  <c r="AI34" i="15"/>
  <c r="E34" i="15"/>
  <c r="F34" i="15" s="1"/>
  <c r="AI6" i="15"/>
  <c r="E6" i="15"/>
  <c r="E37" i="15"/>
  <c r="F37" i="15" s="1"/>
  <c r="AI37" i="15"/>
  <c r="AI14" i="15"/>
  <c r="E14" i="15"/>
  <c r="F14" i="15" s="1"/>
  <c r="AI22" i="15"/>
  <c r="E22" i="15"/>
  <c r="F22" i="15" s="1"/>
  <c r="AI30" i="15"/>
  <c r="AI39" i="15"/>
  <c r="F10" i="15"/>
  <c r="A10" i="15" s="1"/>
  <c r="E17" i="15"/>
  <c r="F17" i="15" s="1"/>
  <c r="AI17" i="15"/>
  <c r="E30" i="15"/>
  <c r="AI50" i="15"/>
  <c r="E50" i="15"/>
  <c r="F50" i="15" s="1"/>
  <c r="E7" i="15"/>
  <c r="F7" i="15" s="1"/>
  <c r="AI7" i="15"/>
  <c r="E19" i="15"/>
  <c r="AI19" i="15"/>
  <c r="AI31" i="15"/>
  <c r="E31" i="15"/>
  <c r="F31" i="15" s="1"/>
  <c r="E27" i="15"/>
  <c r="AI27" i="15"/>
  <c r="E18" i="15"/>
  <c r="F18" i="15" s="1"/>
  <c r="E32" i="15"/>
  <c r="AI32" i="15"/>
  <c r="E4" i="15"/>
  <c r="F4" i="15" s="1"/>
  <c r="AI4" i="15"/>
  <c r="F3" i="15"/>
  <c r="A3" i="15" s="1"/>
  <c r="F21" i="15"/>
  <c r="A21" i="15" s="1"/>
  <c r="AI38" i="15"/>
  <c r="E38" i="15"/>
  <c r="F38" i="15" s="1"/>
  <c r="AI63" i="15"/>
  <c r="E63" i="15"/>
  <c r="F63" i="15" s="1"/>
  <c r="AI65" i="15"/>
  <c r="E65" i="15"/>
  <c r="F65" i="15" s="1"/>
  <c r="AI49" i="15"/>
  <c r="F51" i="15"/>
  <c r="A51" i="15" s="1"/>
  <c r="AI51" i="15"/>
  <c r="AI90" i="15"/>
  <c r="E90" i="15"/>
  <c r="F90" i="15" s="1"/>
  <c r="AI26" i="15"/>
  <c r="E26" i="15"/>
  <c r="F26" i="15" s="1"/>
  <c r="E35" i="15"/>
  <c r="AI40" i="15"/>
  <c r="E40" i="15"/>
  <c r="AI48" i="15"/>
  <c r="E48" i="15"/>
  <c r="F48" i="15" s="1"/>
  <c r="E49" i="15"/>
  <c r="F49" i="15" s="1"/>
  <c r="AI105" i="15"/>
  <c r="AI16" i="15"/>
  <c r="E16" i="15"/>
  <c r="AI84" i="15"/>
  <c r="E84" i="15"/>
  <c r="F84" i="15" s="1"/>
  <c r="E11" i="15"/>
  <c r="AI60" i="15"/>
  <c r="E60" i="15"/>
  <c r="F60" i="15" s="1"/>
  <c r="E105" i="15"/>
  <c r="F105" i="15" s="1"/>
  <c r="AI77" i="15"/>
  <c r="E77" i="15"/>
  <c r="F77" i="15" s="1"/>
  <c r="F71" i="15"/>
  <c r="A71" i="15" s="1"/>
  <c r="AI71" i="15"/>
  <c r="AI53" i="15"/>
  <c r="E53" i="15"/>
  <c r="F33" i="15"/>
  <c r="A33" i="15" s="1"/>
  <c r="AI56" i="15"/>
  <c r="E56" i="15"/>
  <c r="AI102" i="15"/>
  <c r="E102" i="15"/>
  <c r="F102" i="15" s="1"/>
  <c r="AI28" i="15"/>
  <c r="E28" i="15"/>
  <c r="AI36" i="15"/>
  <c r="E36" i="15"/>
  <c r="AI66" i="15"/>
  <c r="E66" i="15"/>
  <c r="AI73" i="15"/>
  <c r="E73" i="15"/>
  <c r="F73" i="15" s="1"/>
  <c r="AI54" i="15"/>
  <c r="E54" i="15"/>
  <c r="F64" i="15"/>
  <c r="A64" i="15" s="1"/>
  <c r="F95" i="15"/>
  <c r="A95" i="15" s="1"/>
  <c r="AI95" i="15"/>
  <c r="AI98" i="15"/>
  <c r="E98" i="15"/>
  <c r="AI74" i="15"/>
  <c r="E74" i="15"/>
  <c r="AI78" i="15"/>
  <c r="E78" i="15"/>
  <c r="F78" i="15" s="1"/>
  <c r="AI99" i="15"/>
  <c r="E99" i="15"/>
  <c r="E81" i="15"/>
  <c r="AI109" i="15"/>
  <c r="E109" i="15"/>
  <c r="F109" i="15" s="1"/>
  <c r="AI108" i="15"/>
  <c r="E108" i="15"/>
  <c r="F108" i="15" s="1"/>
  <c r="AI62" i="15"/>
  <c r="E62" i="15"/>
  <c r="AI87" i="15"/>
  <c r="E87" i="15"/>
  <c r="F87" i="15" s="1"/>
  <c r="AI101" i="15"/>
  <c r="E101" i="15"/>
  <c r="F101" i="15" s="1"/>
  <c r="AI97" i="15"/>
  <c r="E97" i="15"/>
  <c r="AI72" i="15"/>
  <c r="E72" i="15"/>
  <c r="E83" i="15"/>
  <c r="F83" i="15" s="1"/>
  <c r="AI86" i="15"/>
  <c r="E86" i="15"/>
  <c r="AI111" i="15"/>
  <c r="E111" i="15"/>
  <c r="F111" i="15" s="1"/>
  <c r="AI61" i="15"/>
  <c r="E61" i="15"/>
  <c r="F61" i="15" s="1"/>
  <c r="AI96" i="15"/>
  <c r="E96" i="15"/>
  <c r="E100" i="15"/>
  <c r="E107" i="15"/>
  <c r="F107" i="15" s="1"/>
  <c r="AI110" i="15"/>
  <c r="E110" i="15"/>
  <c r="AI75" i="15"/>
  <c r="E75" i="15"/>
  <c r="F75" i="15" s="1"/>
  <c r="AI89" i="15"/>
  <c r="E89" i="15"/>
  <c r="F103" i="15"/>
  <c r="A103" i="15" s="1"/>
  <c r="AI85" i="15"/>
  <c r="E85" i="15"/>
  <c r="E68" i="15"/>
  <c r="AI68" i="15"/>
  <c r="E80" i="15"/>
  <c r="E92" i="15"/>
  <c r="E104" i="15"/>
  <c r="F104" i="15" s="1"/>
  <c r="AI104" i="15"/>
  <c r="E58" i="15"/>
  <c r="F58" i="15" s="1"/>
  <c r="AI58" i="15"/>
  <c r="E70" i="15"/>
  <c r="AI70" i="15"/>
  <c r="E82" i="15"/>
  <c r="AI82" i="15"/>
  <c r="E94" i="15"/>
  <c r="AI94" i="15"/>
  <c r="E106" i="15"/>
  <c r="F106" i="15" s="1"/>
  <c r="AI106" i="15"/>
  <c r="H210" i="16" l="1"/>
  <c r="G210" i="16"/>
  <c r="R180" i="16"/>
  <c r="P180" i="16" s="1"/>
  <c r="R219" i="16"/>
  <c r="P219" i="16" s="1"/>
  <c r="N215" i="16" s="1"/>
  <c r="AJ215" i="16" s="1"/>
  <c r="AK215" i="16" s="1"/>
  <c r="AL215" i="16" s="1"/>
  <c r="R177" i="16"/>
  <c r="AJ177" i="16" s="1"/>
  <c r="AK177" i="16" s="1"/>
  <c r="AL177" i="16" s="1"/>
  <c r="P189" i="16"/>
  <c r="N181" i="16" s="1"/>
  <c r="X169" i="16"/>
  <c r="P169" i="16"/>
  <c r="X166" i="16"/>
  <c r="P166" i="16"/>
  <c r="AJ159" i="16" s="1"/>
  <c r="AK159" i="16" s="1"/>
  <c r="AL159" i="16" s="1"/>
  <c r="H206" i="16"/>
  <c r="AJ206" i="16" s="1"/>
  <c r="AK206" i="16" s="1"/>
  <c r="AL206" i="16" s="1"/>
  <c r="G201" i="16"/>
  <c r="G206" i="16"/>
  <c r="H199" i="16"/>
  <c r="H204" i="16"/>
  <c r="P204" i="16" s="1"/>
  <c r="G199" i="16"/>
  <c r="H209" i="16"/>
  <c r="P209" i="16" s="1"/>
  <c r="G204" i="16"/>
  <c r="H197" i="16"/>
  <c r="G209" i="16"/>
  <c r="H202" i="16"/>
  <c r="P202" i="16" s="1"/>
  <c r="G197" i="16"/>
  <c r="H207" i="16"/>
  <c r="P207" i="16" s="1"/>
  <c r="G202" i="16"/>
  <c r="H195" i="16"/>
  <c r="G207" i="16"/>
  <c r="H200" i="16"/>
  <c r="G195" i="16"/>
  <c r="H205" i="16"/>
  <c r="P205" i="16" s="1"/>
  <c r="G200" i="16"/>
  <c r="G205" i="16"/>
  <c r="H198" i="16"/>
  <c r="H203" i="16"/>
  <c r="AJ203" i="16" s="1"/>
  <c r="AK203" i="16" s="1"/>
  <c r="AL203" i="16" s="1"/>
  <c r="G198" i="16"/>
  <c r="G208" i="16"/>
  <c r="H201" i="16"/>
  <c r="G196" i="16"/>
  <c r="H208" i="16"/>
  <c r="P208" i="16" s="1"/>
  <c r="H196" i="16"/>
  <c r="G203" i="16"/>
  <c r="X186" i="16"/>
  <c r="P186" i="16"/>
  <c r="R179" i="16" s="1"/>
  <c r="AJ179" i="16" s="1"/>
  <c r="AK179" i="16" s="1"/>
  <c r="AL179" i="16" s="1"/>
  <c r="X167" i="16"/>
  <c r="P167" i="16"/>
  <c r="X222" i="16"/>
  <c r="AJ222" i="16"/>
  <c r="AK222" i="16" s="1"/>
  <c r="AL222" i="16" s="1"/>
  <c r="X188" i="16"/>
  <c r="P188" i="16"/>
  <c r="N180" i="16" s="1"/>
  <c r="X163" i="16"/>
  <c r="P163" i="16"/>
  <c r="AK162" i="16" s="1"/>
  <c r="AL162" i="16" s="1"/>
  <c r="X184" i="16"/>
  <c r="P184" i="16"/>
  <c r="R181" i="16" s="1"/>
  <c r="AJ181" i="16" s="1"/>
  <c r="AK181" i="16" s="1"/>
  <c r="AL181" i="16" s="1"/>
  <c r="P217" i="16"/>
  <c r="R216" i="16" s="1"/>
  <c r="AJ216" i="16" s="1"/>
  <c r="AK216" i="16" s="1"/>
  <c r="AL216" i="16" s="1"/>
  <c r="X187" i="16"/>
  <c r="P187" i="16"/>
  <c r="N179" i="16" s="1"/>
  <c r="X183" i="16"/>
  <c r="P183" i="16"/>
  <c r="R182" i="16" s="1"/>
  <c r="AJ182" i="16" s="1"/>
  <c r="AK182" i="16" s="1"/>
  <c r="AL182" i="16" s="1"/>
  <c r="R217" i="16"/>
  <c r="AJ217" i="16" s="1"/>
  <c r="AK217" i="16" s="1"/>
  <c r="AL217" i="16" s="1"/>
  <c r="AJ170" i="16"/>
  <c r="AK170" i="16" s="1"/>
  <c r="AL170" i="16" s="1"/>
  <c r="X164" i="16"/>
  <c r="P164" i="16"/>
  <c r="AJ161" i="16" s="1"/>
  <c r="AK161" i="16" s="1"/>
  <c r="AL161" i="16" s="1"/>
  <c r="R189" i="16"/>
  <c r="AJ189" i="16" s="1"/>
  <c r="AK189" i="16" s="1"/>
  <c r="AL189" i="16" s="1"/>
  <c r="X223" i="16"/>
  <c r="AJ223" i="16"/>
  <c r="AK223" i="16" s="1"/>
  <c r="AL223" i="16" s="1"/>
  <c r="X168" i="16"/>
  <c r="P168" i="16"/>
  <c r="AJ218" i="16"/>
  <c r="AK218" i="16" s="1"/>
  <c r="AL218" i="16" s="1"/>
  <c r="AJ219" i="16"/>
  <c r="AK219" i="16" s="1"/>
  <c r="AL219" i="16" s="1"/>
  <c r="P190" i="16"/>
  <c r="N182" i="16" s="1"/>
  <c r="P170" i="16"/>
  <c r="X191" i="16"/>
  <c r="P191" i="16"/>
  <c r="R190" i="16" s="1"/>
  <c r="X221" i="16"/>
  <c r="P221" i="16"/>
  <c r="R220" i="16" s="1"/>
  <c r="P218" i="16"/>
  <c r="R215" i="16" s="1"/>
  <c r="P215" i="16" s="1"/>
  <c r="R214" i="16" s="1"/>
  <c r="AJ214" i="16" s="1"/>
  <c r="AK214" i="16" s="1"/>
  <c r="AL214" i="16" s="1"/>
  <c r="X171" i="16"/>
  <c r="AJ171" i="16"/>
  <c r="AK171" i="16" s="1"/>
  <c r="AL171" i="16" s="1"/>
  <c r="X185" i="16"/>
  <c r="AJ185" i="16"/>
  <c r="AK185" i="16" s="1"/>
  <c r="AL185" i="16" s="1"/>
  <c r="P220" i="16"/>
  <c r="N216" i="16" s="1"/>
  <c r="X165" i="16"/>
  <c r="P165" i="16"/>
  <c r="P160" i="16" s="1"/>
  <c r="P157" i="16" s="1"/>
  <c r="AJ156" i="16" s="1"/>
  <c r="AK156" i="16" s="1"/>
  <c r="AL156" i="16" s="1"/>
  <c r="A23" i="15"/>
  <c r="A13" i="15"/>
  <c r="A57" i="15"/>
  <c r="E134" i="15"/>
  <c r="F134" i="15" s="1"/>
  <c r="AI134" i="15"/>
  <c r="E158" i="15"/>
  <c r="F158" i="15" s="1"/>
  <c r="A158" i="15" s="1"/>
  <c r="AI158" i="15"/>
  <c r="E182" i="15"/>
  <c r="F182" i="15" s="1"/>
  <c r="AI182" i="15"/>
  <c r="E159" i="15"/>
  <c r="F159" i="15" s="1"/>
  <c r="A159" i="15" s="1"/>
  <c r="AI159" i="15"/>
  <c r="E183" i="15"/>
  <c r="F183" i="15" s="1"/>
  <c r="A183" i="15" s="1"/>
  <c r="AI183" i="15"/>
  <c r="E147" i="15"/>
  <c r="F147" i="15" s="1"/>
  <c r="A147" i="15" s="1"/>
  <c r="AI147" i="15"/>
  <c r="E167" i="15"/>
  <c r="F167" i="15" s="1"/>
  <c r="AI167" i="15"/>
  <c r="E166" i="15"/>
  <c r="F166" i="15" s="1"/>
  <c r="AI166" i="15"/>
  <c r="E193" i="15"/>
  <c r="F193" i="15" s="1"/>
  <c r="A193" i="15" s="1"/>
  <c r="AI193" i="15"/>
  <c r="A118" i="15"/>
  <c r="A135" i="15"/>
  <c r="A132" i="15"/>
  <c r="A143" i="15"/>
  <c r="A112" i="15"/>
  <c r="F181" i="15"/>
  <c r="A181" i="15" s="1"/>
  <c r="E145" i="15"/>
  <c r="F145" i="15" s="1"/>
  <c r="E146" i="15"/>
  <c r="F146" i="15" s="1"/>
  <c r="A133" i="15"/>
  <c r="E194" i="15"/>
  <c r="F194" i="15" s="1"/>
  <c r="A191" i="15"/>
  <c r="A154" i="15"/>
  <c r="E168" i="15"/>
  <c r="F168" i="15" s="1"/>
  <c r="A122" i="15"/>
  <c r="A178" i="15"/>
  <c r="A119" i="15"/>
  <c r="A180" i="15"/>
  <c r="E171" i="15"/>
  <c r="F171" i="15" s="1"/>
  <c r="A123" i="15"/>
  <c r="E120" i="15"/>
  <c r="F120" i="15" s="1"/>
  <c r="A190" i="15"/>
  <c r="A160" i="15"/>
  <c r="A157" i="15"/>
  <c r="A195" i="15"/>
  <c r="E141" i="15"/>
  <c r="E150" i="15"/>
  <c r="E115" i="15"/>
  <c r="E187" i="15"/>
  <c r="E153" i="15"/>
  <c r="E174" i="15"/>
  <c r="F174" i="15" s="1"/>
  <c r="F19" i="15"/>
  <c r="A19" i="15" s="1"/>
  <c r="A8" i="15"/>
  <c r="F173" i="15"/>
  <c r="A76" i="15"/>
  <c r="E186" i="15"/>
  <c r="F113" i="15"/>
  <c r="F185" i="15"/>
  <c r="A185" i="15" s="1"/>
  <c r="F25" i="15"/>
  <c r="A25" i="15" s="1"/>
  <c r="F136" i="15"/>
  <c r="A136" i="15" s="1"/>
  <c r="F196" i="15"/>
  <c r="E152" i="15"/>
  <c r="E165" i="15"/>
  <c r="E126" i="15"/>
  <c r="E198" i="15"/>
  <c r="F69" i="15"/>
  <c r="A69" i="15" s="1"/>
  <c r="E151" i="15"/>
  <c r="E139" i="15"/>
  <c r="E116" i="15"/>
  <c r="E188" i="15"/>
  <c r="E127" i="15"/>
  <c r="E189" i="15"/>
  <c r="F125" i="15"/>
  <c r="F197" i="15"/>
  <c r="E140" i="15"/>
  <c r="F149" i="15"/>
  <c r="E162" i="15"/>
  <c r="F161" i="15"/>
  <c r="E129" i="15"/>
  <c r="E114" i="15"/>
  <c r="E138" i="15"/>
  <c r="F138" i="15" s="1"/>
  <c r="E164" i="15"/>
  <c r="E177" i="15"/>
  <c r="E128" i="15"/>
  <c r="E117" i="15"/>
  <c r="E163" i="15"/>
  <c r="E199" i="15"/>
  <c r="A22" i="15"/>
  <c r="A44" i="15"/>
  <c r="E175" i="15"/>
  <c r="E200" i="15"/>
  <c r="F137" i="15"/>
  <c r="A90" i="15"/>
  <c r="A9" i="15"/>
  <c r="A60" i="15"/>
  <c r="A84" i="15"/>
  <c r="A31" i="15"/>
  <c r="A14" i="15"/>
  <c r="A46" i="15"/>
  <c r="F82" i="15"/>
  <c r="A82" i="15" s="1"/>
  <c r="F110" i="15"/>
  <c r="A110" i="15" s="1"/>
  <c r="A108" i="15"/>
  <c r="F54" i="15"/>
  <c r="A54" i="15" s="1"/>
  <c r="F68" i="15"/>
  <c r="A68" i="15" s="1"/>
  <c r="F62" i="15"/>
  <c r="A62" i="15" s="1"/>
  <c r="A102" i="15"/>
  <c r="A7" i="15"/>
  <c r="F94" i="15"/>
  <c r="A94" i="15" s="1"/>
  <c r="F99" i="15"/>
  <c r="A99" i="15" s="1"/>
  <c r="A111" i="15"/>
  <c r="A78" i="15"/>
  <c r="F66" i="15"/>
  <c r="A66" i="15" s="1"/>
  <c r="A77" i="15"/>
  <c r="F40" i="15"/>
  <c r="A40" i="15" s="1"/>
  <c r="A50" i="15"/>
  <c r="A37" i="15"/>
  <c r="A63" i="15"/>
  <c r="A4" i="15"/>
  <c r="F85" i="15"/>
  <c r="A85" i="15" s="1"/>
  <c r="F97" i="15"/>
  <c r="A97" i="15" s="1"/>
  <c r="A73" i="15"/>
  <c r="A58" i="15"/>
  <c r="A107" i="15"/>
  <c r="A109" i="15"/>
  <c r="F53" i="15"/>
  <c r="A53" i="15" s="1"/>
  <c r="A26" i="15"/>
  <c r="A38" i="15"/>
  <c r="F32" i="15"/>
  <c r="A32" i="15" s="1"/>
  <c r="F35" i="15"/>
  <c r="A35" i="15" s="1"/>
  <c r="A39" i="15"/>
  <c r="F36" i="15"/>
  <c r="A36" i="15" s="1"/>
  <c r="F30" i="15"/>
  <c r="A30" i="15" s="1"/>
  <c r="A104" i="15"/>
  <c r="F86" i="15"/>
  <c r="A86" i="15" s="1"/>
  <c r="A101" i="15"/>
  <c r="F100" i="15"/>
  <c r="A100" i="15" s="1"/>
  <c r="A18" i="15"/>
  <c r="F6" i="15"/>
  <c r="A6" i="15" s="1"/>
  <c r="A75" i="15"/>
  <c r="F92" i="15"/>
  <c r="A92" i="15" s="1"/>
  <c r="F96" i="15"/>
  <c r="A96" i="15" s="1"/>
  <c r="A17" i="15"/>
  <c r="F5" i="15"/>
  <c r="A5" i="15" s="1"/>
  <c r="A49" i="15"/>
  <c r="F70" i="15"/>
  <c r="A70" i="15" s="1"/>
  <c r="A65" i="15"/>
  <c r="A34" i="15"/>
  <c r="F59" i="15"/>
  <c r="A59" i="15" s="1"/>
  <c r="A106" i="15"/>
  <c r="F80" i="15"/>
  <c r="A80" i="15" s="1"/>
  <c r="A83" i="15"/>
  <c r="F81" i="15"/>
  <c r="A81" i="15" s="1"/>
  <c r="F98" i="15"/>
  <c r="A98" i="15" s="1"/>
  <c r="F89" i="15"/>
  <c r="A89" i="15" s="1"/>
  <c r="A61" i="15"/>
  <c r="F72" i="15"/>
  <c r="A72" i="15" s="1"/>
  <c r="A87" i="15"/>
  <c r="F74" i="15"/>
  <c r="A74" i="15" s="1"/>
  <c r="F28" i="15"/>
  <c r="A28" i="15" s="1"/>
  <c r="A105" i="15"/>
  <c r="F16" i="15"/>
  <c r="A16" i="15" s="1"/>
  <c r="A48" i="15"/>
  <c r="F27" i="15"/>
  <c r="A27" i="15" s="1"/>
  <c r="F56" i="15"/>
  <c r="A56" i="15" s="1"/>
  <c r="F11" i="15"/>
  <c r="A11" i="15" s="1"/>
  <c r="D1427" i="2"/>
  <c r="D1428" i="2" s="1"/>
  <c r="E1427" i="2"/>
  <c r="E1428" i="2"/>
  <c r="E1429" i="2"/>
  <c r="E1430" i="2"/>
  <c r="E1431" i="2"/>
  <c r="D1432" i="2"/>
  <c r="D1435" i="2" s="1"/>
  <c r="E1432" i="2"/>
  <c r="E1433" i="2"/>
  <c r="E1434" i="2"/>
  <c r="E1435" i="2"/>
  <c r="E1436" i="2"/>
  <c r="D1437" i="2"/>
  <c r="D1438" i="2" s="1"/>
  <c r="E1437" i="2"/>
  <c r="E1438" i="2"/>
  <c r="E1439" i="2"/>
  <c r="E1440" i="2"/>
  <c r="E1441" i="2"/>
  <c r="D1442" i="2"/>
  <c r="D1443" i="2" s="1"/>
  <c r="E1442" i="2"/>
  <c r="E1443" i="2"/>
  <c r="E1444" i="2"/>
  <c r="E1445" i="2"/>
  <c r="E1446" i="2"/>
  <c r="D1447" i="2"/>
  <c r="D1451" i="2" s="1"/>
  <c r="E1447" i="2"/>
  <c r="E1448" i="2"/>
  <c r="E1449" i="2"/>
  <c r="E1450" i="2"/>
  <c r="E1451" i="2"/>
  <c r="D1452" i="2"/>
  <c r="D1456" i="2" s="1"/>
  <c r="E1452" i="2"/>
  <c r="E1453" i="2"/>
  <c r="E1454" i="2"/>
  <c r="E1455" i="2"/>
  <c r="E1456" i="2"/>
  <c r="D1457" i="2"/>
  <c r="D1459" i="2" s="1"/>
  <c r="E1457" i="2"/>
  <c r="E1458" i="2"/>
  <c r="E1459" i="2"/>
  <c r="E1460" i="2"/>
  <c r="E1461" i="2"/>
  <c r="D1462" i="2"/>
  <c r="D1466" i="2" s="1"/>
  <c r="E1462" i="2"/>
  <c r="E1463" i="2"/>
  <c r="E1464" i="2"/>
  <c r="E1465" i="2"/>
  <c r="E146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F1427" i="2"/>
  <c r="F1428" i="2"/>
  <c r="F1429" i="2"/>
  <c r="F1430" i="2"/>
  <c r="F1431" i="2"/>
  <c r="G1427" i="2"/>
  <c r="G1428" i="2"/>
  <c r="G1429" i="2"/>
  <c r="G1430" i="2"/>
  <c r="G1431" i="2"/>
  <c r="F1387" i="2"/>
  <c r="G1387" i="2"/>
  <c r="F1388" i="2"/>
  <c r="G1388" i="2"/>
  <c r="F1389" i="2"/>
  <c r="G1389" i="2"/>
  <c r="F1390" i="2"/>
  <c r="G1390" i="2"/>
  <c r="F1391" i="2"/>
  <c r="G1391" i="2"/>
  <c r="F1392" i="2"/>
  <c r="G1392" i="2"/>
  <c r="F1393" i="2"/>
  <c r="G1393" i="2"/>
  <c r="F1394" i="2"/>
  <c r="G1394" i="2"/>
  <c r="F1395" i="2"/>
  <c r="G1395" i="2"/>
  <c r="F1396" i="2"/>
  <c r="G1396" i="2"/>
  <c r="F1397" i="2"/>
  <c r="G1397" i="2"/>
  <c r="F1398" i="2"/>
  <c r="G1398" i="2"/>
  <c r="F1399" i="2"/>
  <c r="G1399" i="2"/>
  <c r="F1400" i="2"/>
  <c r="G1400" i="2"/>
  <c r="F1401" i="2"/>
  <c r="G1401" i="2"/>
  <c r="F1402" i="2"/>
  <c r="G1402" i="2"/>
  <c r="F1403" i="2"/>
  <c r="G1403" i="2"/>
  <c r="F1404" i="2"/>
  <c r="G1404" i="2"/>
  <c r="F1405" i="2"/>
  <c r="G1405" i="2"/>
  <c r="F1406" i="2"/>
  <c r="G1406" i="2"/>
  <c r="F1407" i="2"/>
  <c r="G1407" i="2"/>
  <c r="F1408" i="2"/>
  <c r="G1408" i="2"/>
  <c r="F1409" i="2"/>
  <c r="G1409" i="2"/>
  <c r="F1410" i="2"/>
  <c r="G1410" i="2"/>
  <c r="F1411" i="2"/>
  <c r="G1411" i="2"/>
  <c r="F1412" i="2"/>
  <c r="G1412" i="2"/>
  <c r="F1413" i="2"/>
  <c r="G1413" i="2"/>
  <c r="F1414" i="2"/>
  <c r="G1414" i="2"/>
  <c r="F1415" i="2"/>
  <c r="G1415" i="2"/>
  <c r="F1416" i="2"/>
  <c r="G1416" i="2"/>
  <c r="F1417" i="2"/>
  <c r="G1417" i="2"/>
  <c r="F1418" i="2"/>
  <c r="G1418" i="2"/>
  <c r="F1419" i="2"/>
  <c r="G1419" i="2"/>
  <c r="F1420" i="2"/>
  <c r="G1420" i="2"/>
  <c r="F1421" i="2"/>
  <c r="G1421" i="2"/>
  <c r="F1422" i="2"/>
  <c r="G1422" i="2"/>
  <c r="F1423" i="2"/>
  <c r="G1423" i="2"/>
  <c r="F1424" i="2"/>
  <c r="G1424" i="2"/>
  <c r="F1425" i="2"/>
  <c r="G1425" i="2"/>
  <c r="F1426" i="2"/>
  <c r="G1426" i="2"/>
  <c r="D1387" i="2"/>
  <c r="D1390" i="2" s="1"/>
  <c r="E1387" i="2"/>
  <c r="E1388" i="2"/>
  <c r="E1389" i="2"/>
  <c r="E1390" i="2"/>
  <c r="E1391" i="2"/>
  <c r="D1392" i="2"/>
  <c r="D1395" i="2" s="1"/>
  <c r="E1392" i="2"/>
  <c r="E1393" i="2"/>
  <c r="E1394" i="2"/>
  <c r="E1395" i="2"/>
  <c r="E1396" i="2"/>
  <c r="D1397" i="2"/>
  <c r="D1398" i="2" s="1"/>
  <c r="E1397" i="2"/>
  <c r="E1398" i="2"/>
  <c r="E1399" i="2"/>
  <c r="E1400" i="2"/>
  <c r="E1401" i="2"/>
  <c r="D1402" i="2"/>
  <c r="D1403" i="2" s="1"/>
  <c r="E1402" i="2"/>
  <c r="E1403" i="2"/>
  <c r="E1404" i="2"/>
  <c r="E1405" i="2"/>
  <c r="E1406" i="2"/>
  <c r="D1407" i="2"/>
  <c r="D1411" i="2" s="1"/>
  <c r="E1407" i="2"/>
  <c r="E1408" i="2"/>
  <c r="E1409" i="2"/>
  <c r="E1410" i="2"/>
  <c r="E1411" i="2"/>
  <c r="D1412" i="2"/>
  <c r="D1415" i="2" s="1"/>
  <c r="E1412" i="2"/>
  <c r="E1413" i="2"/>
  <c r="E1414" i="2"/>
  <c r="E1415" i="2"/>
  <c r="E1416" i="2"/>
  <c r="D1417" i="2"/>
  <c r="D1419" i="2" s="1"/>
  <c r="E1417" i="2"/>
  <c r="E1418" i="2"/>
  <c r="E1419" i="2"/>
  <c r="E1420" i="2"/>
  <c r="E1421" i="2"/>
  <c r="D1422" i="2"/>
  <c r="D1423" i="2" s="1"/>
  <c r="E1422" i="2"/>
  <c r="E1423" i="2"/>
  <c r="E1424" i="2"/>
  <c r="E1425" i="2"/>
  <c r="E1426" i="2"/>
  <c r="D1347" i="2"/>
  <c r="D1348" i="2" s="1"/>
  <c r="E1347" i="2"/>
  <c r="E1348" i="2"/>
  <c r="E1349" i="2"/>
  <c r="E1350" i="2"/>
  <c r="E1351" i="2"/>
  <c r="D1352" i="2"/>
  <c r="D1355" i="2" s="1"/>
  <c r="E1352" i="2"/>
  <c r="E1353" i="2"/>
  <c r="E1354" i="2"/>
  <c r="E1355" i="2"/>
  <c r="E1356" i="2"/>
  <c r="D1357" i="2"/>
  <c r="D1358" i="2" s="1"/>
  <c r="E1357" i="2"/>
  <c r="E1358" i="2"/>
  <c r="E1359" i="2"/>
  <c r="E1360" i="2"/>
  <c r="E1361" i="2"/>
  <c r="D1362" i="2"/>
  <c r="D1363" i="2" s="1"/>
  <c r="E1362" i="2"/>
  <c r="E1363" i="2"/>
  <c r="E1364" i="2"/>
  <c r="E1365" i="2"/>
  <c r="E1366" i="2"/>
  <c r="D1367" i="2"/>
  <c r="D1371" i="2" s="1"/>
  <c r="E1367" i="2"/>
  <c r="E1368" i="2"/>
  <c r="E1369" i="2"/>
  <c r="E1370" i="2"/>
  <c r="E1371" i="2"/>
  <c r="D1372" i="2"/>
  <c r="D1376" i="2" s="1"/>
  <c r="E1372" i="2"/>
  <c r="E1373" i="2"/>
  <c r="E1374" i="2"/>
  <c r="E1375" i="2"/>
  <c r="E1376" i="2"/>
  <c r="D1377" i="2"/>
  <c r="D1379" i="2" s="1"/>
  <c r="E1377" i="2"/>
  <c r="E1378" i="2"/>
  <c r="E1379" i="2"/>
  <c r="E1380" i="2"/>
  <c r="E1381" i="2"/>
  <c r="D1382" i="2"/>
  <c r="D1385" i="2" s="1"/>
  <c r="E1382" i="2"/>
  <c r="E1383" i="2"/>
  <c r="E1384" i="2"/>
  <c r="E1385" i="2"/>
  <c r="E1386" i="2"/>
  <c r="F1384" i="2"/>
  <c r="F1385" i="2"/>
  <c r="F1386" i="2"/>
  <c r="G1384" i="2"/>
  <c r="G1385" i="2"/>
  <c r="G138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F1366" i="2"/>
  <c r="G136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E134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E1346" i="2"/>
  <c r="E1345" i="2"/>
  <c r="E1344" i="2"/>
  <c r="E1343" i="2"/>
  <c r="D1342" i="2"/>
  <c r="D1346" i="2" s="1"/>
  <c r="E1341" i="2"/>
  <c r="E1340" i="2"/>
  <c r="E1339" i="2"/>
  <c r="E1338" i="2"/>
  <c r="E1337" i="2"/>
  <c r="D1337" i="2"/>
  <c r="D1340" i="2" s="1"/>
  <c r="E1336" i="2"/>
  <c r="E1335" i="2"/>
  <c r="E1334" i="2"/>
  <c r="E1333" i="2"/>
  <c r="E1332" i="2"/>
  <c r="D1332" i="2"/>
  <c r="D1335" i="2" s="1"/>
  <c r="E1331" i="2"/>
  <c r="E1330" i="2"/>
  <c r="E1329" i="2"/>
  <c r="E1328" i="2"/>
  <c r="E1327" i="2"/>
  <c r="D1327" i="2"/>
  <c r="D1331" i="2" s="1"/>
  <c r="E1326" i="2"/>
  <c r="E1325" i="2"/>
  <c r="E1324" i="2"/>
  <c r="E1323" i="2"/>
  <c r="E1322" i="2"/>
  <c r="D1322" i="2"/>
  <c r="D1325" i="2" s="1"/>
  <c r="E1321" i="2"/>
  <c r="E1320" i="2"/>
  <c r="E1319" i="2"/>
  <c r="E1318" i="2"/>
  <c r="E1317" i="2"/>
  <c r="D1317" i="2"/>
  <c r="D1320" i="2" s="1"/>
  <c r="E1316" i="2"/>
  <c r="E1315" i="2"/>
  <c r="E1314" i="2"/>
  <c r="E1313" i="2"/>
  <c r="E1312" i="2"/>
  <c r="D1312" i="2"/>
  <c r="D1316" i="2" s="1"/>
  <c r="E1311" i="2"/>
  <c r="E1310" i="2"/>
  <c r="E1309" i="2"/>
  <c r="E1308" i="2"/>
  <c r="E1307" i="2"/>
  <c r="D1307" i="2"/>
  <c r="D1310" i="2" s="1"/>
  <c r="E1306" i="2"/>
  <c r="E1305" i="2"/>
  <c r="E1304" i="2"/>
  <c r="E1303" i="2"/>
  <c r="E1302" i="2"/>
  <c r="D1302" i="2"/>
  <c r="D1305" i="2" s="1"/>
  <c r="E1301" i="2"/>
  <c r="E1300" i="2"/>
  <c r="E1299" i="2"/>
  <c r="E1298" i="2"/>
  <c r="E1297" i="2"/>
  <c r="D1297" i="2"/>
  <c r="D1301" i="2" s="1"/>
  <c r="E1296" i="2"/>
  <c r="E1295" i="2"/>
  <c r="E1294" i="2"/>
  <c r="E1293" i="2"/>
  <c r="E1292" i="2"/>
  <c r="D1292" i="2"/>
  <c r="D1295" i="2" s="1"/>
  <c r="E1291" i="2"/>
  <c r="E1290" i="2"/>
  <c r="E1289" i="2"/>
  <c r="E1288" i="2"/>
  <c r="E1287" i="2"/>
  <c r="D1287" i="2"/>
  <c r="D1290" i="2" s="1"/>
  <c r="E1286" i="2"/>
  <c r="E1285" i="2"/>
  <c r="E1284" i="2"/>
  <c r="E1283" i="2"/>
  <c r="E1282" i="2"/>
  <c r="D1282" i="2"/>
  <c r="D1286" i="2" s="1"/>
  <c r="E1281" i="2"/>
  <c r="E1280" i="2"/>
  <c r="E1279" i="2"/>
  <c r="E1278" i="2"/>
  <c r="E1277" i="2"/>
  <c r="D1277" i="2"/>
  <c r="D1280" i="2" s="1"/>
  <c r="E1276" i="2"/>
  <c r="E1275" i="2"/>
  <c r="E1274" i="2"/>
  <c r="E1273" i="2"/>
  <c r="E1272" i="2"/>
  <c r="D1272" i="2"/>
  <c r="D1275" i="2" s="1"/>
  <c r="E1271" i="2"/>
  <c r="E1270" i="2"/>
  <c r="E1269" i="2"/>
  <c r="E1268" i="2"/>
  <c r="E1267" i="2"/>
  <c r="D1267" i="2"/>
  <c r="D1271" i="2" s="1"/>
  <c r="E1266" i="2"/>
  <c r="E1265" i="2"/>
  <c r="E1264" i="2"/>
  <c r="E1263" i="2"/>
  <c r="E1262" i="2"/>
  <c r="D1262" i="2"/>
  <c r="D1265" i="2" s="1"/>
  <c r="E1261" i="2"/>
  <c r="E1260" i="2"/>
  <c r="E1259" i="2"/>
  <c r="E1258" i="2"/>
  <c r="E1257" i="2"/>
  <c r="D1257" i="2"/>
  <c r="D1260" i="2" s="1"/>
  <c r="E1256" i="2"/>
  <c r="E1255" i="2"/>
  <c r="E1254" i="2"/>
  <c r="E1253" i="2"/>
  <c r="E1252" i="2"/>
  <c r="D1252" i="2"/>
  <c r="D1256" i="2" s="1"/>
  <c r="E1251" i="2"/>
  <c r="E1250" i="2"/>
  <c r="E1249" i="2"/>
  <c r="E1248" i="2"/>
  <c r="E1247" i="2"/>
  <c r="D1247" i="2"/>
  <c r="D1250" i="2" s="1"/>
  <c r="E1246" i="2"/>
  <c r="E1245" i="2"/>
  <c r="E1244" i="2"/>
  <c r="E1243" i="2"/>
  <c r="E1242" i="2"/>
  <c r="D1242" i="2"/>
  <c r="E1241" i="2"/>
  <c r="E1240" i="2"/>
  <c r="E1239" i="2"/>
  <c r="E1238" i="2"/>
  <c r="E1237" i="2"/>
  <c r="D1237" i="2"/>
  <c r="D1241" i="2" s="1"/>
  <c r="E1236" i="2"/>
  <c r="E1235" i="2"/>
  <c r="E1234" i="2"/>
  <c r="E1233" i="2"/>
  <c r="E1232" i="2"/>
  <c r="D1232" i="2"/>
  <c r="D1235" i="2" s="1"/>
  <c r="E1231" i="2"/>
  <c r="E1230" i="2"/>
  <c r="E1229" i="2"/>
  <c r="E1228" i="2"/>
  <c r="E1227" i="2"/>
  <c r="D1227" i="2"/>
  <c r="D1230" i="2" s="1"/>
  <c r="E1226" i="2"/>
  <c r="E1225" i="2"/>
  <c r="E1224" i="2"/>
  <c r="E1223" i="2"/>
  <c r="E1222" i="2"/>
  <c r="D1222" i="2"/>
  <c r="D1226" i="2" s="1"/>
  <c r="E1221" i="2"/>
  <c r="E1220" i="2"/>
  <c r="E1219" i="2"/>
  <c r="E1218" i="2"/>
  <c r="E1217" i="2"/>
  <c r="D1217" i="2"/>
  <c r="D1220" i="2" s="1"/>
  <c r="E1216" i="2"/>
  <c r="E1215" i="2"/>
  <c r="E1214" i="2"/>
  <c r="E1213" i="2"/>
  <c r="E1212" i="2"/>
  <c r="D1212" i="2"/>
  <c r="D1215" i="2" s="1"/>
  <c r="E1211" i="2"/>
  <c r="E1210" i="2"/>
  <c r="E1209" i="2"/>
  <c r="E1208" i="2"/>
  <c r="E1207" i="2"/>
  <c r="D1207" i="2"/>
  <c r="D1211" i="2" s="1"/>
  <c r="E1206" i="2"/>
  <c r="E1205" i="2"/>
  <c r="E1204" i="2"/>
  <c r="E1203" i="2"/>
  <c r="E1202" i="2"/>
  <c r="D1202" i="2"/>
  <c r="D1205" i="2" s="1"/>
  <c r="E1201" i="2"/>
  <c r="E1200" i="2"/>
  <c r="E1199" i="2"/>
  <c r="E1198" i="2"/>
  <c r="E1197" i="2"/>
  <c r="D1197" i="2"/>
  <c r="D1200" i="2" s="1"/>
  <c r="E1196" i="2"/>
  <c r="E1195" i="2"/>
  <c r="E1194" i="2"/>
  <c r="E1193" i="2"/>
  <c r="E1192" i="2"/>
  <c r="D1192" i="2"/>
  <c r="D1196" i="2" s="1"/>
  <c r="E1191" i="2"/>
  <c r="E1190" i="2"/>
  <c r="E1189" i="2"/>
  <c r="E1188" i="2"/>
  <c r="E1187" i="2"/>
  <c r="D1187" i="2"/>
  <c r="D1190" i="2" s="1"/>
  <c r="E1186" i="2"/>
  <c r="E1185" i="2"/>
  <c r="E1184" i="2"/>
  <c r="E1183" i="2"/>
  <c r="E1182" i="2"/>
  <c r="D1182" i="2"/>
  <c r="D1185" i="2" s="1"/>
  <c r="E1181" i="2"/>
  <c r="E1180" i="2"/>
  <c r="E1179" i="2"/>
  <c r="E1178" i="2"/>
  <c r="E1177" i="2"/>
  <c r="D1177" i="2"/>
  <c r="D1181" i="2" s="1"/>
  <c r="E1176" i="2"/>
  <c r="E1175" i="2"/>
  <c r="E1174" i="2"/>
  <c r="E1173" i="2"/>
  <c r="E1172" i="2"/>
  <c r="D1172" i="2"/>
  <c r="D1175" i="2" s="1"/>
  <c r="E1171" i="2"/>
  <c r="E1170" i="2"/>
  <c r="E1169" i="2"/>
  <c r="E1168" i="2"/>
  <c r="E1167" i="2"/>
  <c r="D1167" i="2"/>
  <c r="E1166" i="2"/>
  <c r="E1165" i="2"/>
  <c r="E1164" i="2"/>
  <c r="E1163" i="2"/>
  <c r="E1162" i="2"/>
  <c r="D1162" i="2"/>
  <c r="D1166" i="2" s="1"/>
  <c r="E1161" i="2"/>
  <c r="E1160" i="2"/>
  <c r="E1159" i="2"/>
  <c r="E1158" i="2"/>
  <c r="E1157" i="2"/>
  <c r="D1157" i="2"/>
  <c r="D1160" i="2" s="1"/>
  <c r="E1156" i="2"/>
  <c r="E1155" i="2"/>
  <c r="E1154" i="2"/>
  <c r="E1153" i="2"/>
  <c r="E1152" i="2"/>
  <c r="D1152" i="2"/>
  <c r="D1155" i="2" s="1"/>
  <c r="E1151" i="2"/>
  <c r="E1150" i="2"/>
  <c r="E1149" i="2"/>
  <c r="E1148" i="2"/>
  <c r="E1147" i="2"/>
  <c r="D1147" i="2"/>
  <c r="D1151" i="2" s="1"/>
  <c r="E1146" i="2"/>
  <c r="E1145" i="2"/>
  <c r="E1144" i="2"/>
  <c r="E1143" i="2"/>
  <c r="E1142" i="2"/>
  <c r="D1142" i="2"/>
  <c r="D1145" i="2" s="1"/>
  <c r="E1141" i="2"/>
  <c r="E1140" i="2"/>
  <c r="E1139" i="2"/>
  <c r="E1138" i="2"/>
  <c r="E1137" i="2"/>
  <c r="D1137" i="2"/>
  <c r="D1140" i="2" s="1"/>
  <c r="E1136" i="2"/>
  <c r="E1135" i="2"/>
  <c r="E1134" i="2"/>
  <c r="E1133" i="2"/>
  <c r="E1132" i="2"/>
  <c r="D1132" i="2"/>
  <c r="D1136" i="2" s="1"/>
  <c r="E1131" i="2"/>
  <c r="E1130" i="2"/>
  <c r="E1129" i="2"/>
  <c r="E1128" i="2"/>
  <c r="E1127" i="2"/>
  <c r="D1127" i="2"/>
  <c r="D1130" i="2" s="1"/>
  <c r="E1126" i="2"/>
  <c r="E1125" i="2"/>
  <c r="E1124" i="2"/>
  <c r="E1123" i="2"/>
  <c r="E1122" i="2"/>
  <c r="D1122" i="2"/>
  <c r="D1125" i="2" s="1"/>
  <c r="E1121" i="2"/>
  <c r="E1120" i="2"/>
  <c r="E1119" i="2"/>
  <c r="E1118" i="2"/>
  <c r="E1117" i="2"/>
  <c r="D1117" i="2"/>
  <c r="D1121" i="2" s="1"/>
  <c r="E1116" i="2"/>
  <c r="E1115" i="2"/>
  <c r="E1114" i="2"/>
  <c r="E1113" i="2"/>
  <c r="E1112" i="2"/>
  <c r="D1112" i="2"/>
  <c r="D1115" i="2" s="1"/>
  <c r="E1111" i="2"/>
  <c r="E1110" i="2"/>
  <c r="E1109" i="2"/>
  <c r="E1108" i="2"/>
  <c r="E1107" i="2"/>
  <c r="D1107" i="2"/>
  <c r="D1110" i="2" s="1"/>
  <c r="E1106" i="2"/>
  <c r="E1105" i="2"/>
  <c r="E1104" i="2"/>
  <c r="E1103" i="2"/>
  <c r="E1102" i="2"/>
  <c r="D1102" i="2"/>
  <c r="D1106" i="2" s="1"/>
  <c r="E1101" i="2"/>
  <c r="E1100" i="2"/>
  <c r="E1099" i="2"/>
  <c r="E1098" i="2"/>
  <c r="E1097" i="2"/>
  <c r="D1097" i="2"/>
  <c r="D1100" i="2" s="1"/>
  <c r="E1096" i="2"/>
  <c r="E1095" i="2"/>
  <c r="E1094" i="2"/>
  <c r="E1093" i="2"/>
  <c r="E1092" i="2"/>
  <c r="D1092" i="2"/>
  <c r="D1095" i="2" s="1"/>
  <c r="E1091" i="2"/>
  <c r="E1090" i="2"/>
  <c r="E1089" i="2"/>
  <c r="E1088" i="2"/>
  <c r="E1087" i="2"/>
  <c r="D1087" i="2"/>
  <c r="D1091" i="2" s="1"/>
  <c r="E1086" i="2"/>
  <c r="E1085" i="2"/>
  <c r="E1084" i="2"/>
  <c r="E1083" i="2"/>
  <c r="E1082" i="2"/>
  <c r="D1082" i="2"/>
  <c r="D1085" i="2" s="1"/>
  <c r="E1081" i="2"/>
  <c r="E1080" i="2"/>
  <c r="E1079" i="2"/>
  <c r="E1078" i="2"/>
  <c r="E1077" i="2"/>
  <c r="D1077" i="2"/>
  <c r="D1080" i="2" s="1"/>
  <c r="E1076" i="2"/>
  <c r="E1075" i="2"/>
  <c r="E1074" i="2"/>
  <c r="E1073" i="2"/>
  <c r="E1072" i="2"/>
  <c r="D1072" i="2"/>
  <c r="D1075" i="2" s="1"/>
  <c r="E1071" i="2"/>
  <c r="E1070" i="2"/>
  <c r="E1069" i="2"/>
  <c r="E1068" i="2"/>
  <c r="E1067" i="2"/>
  <c r="D1067" i="2"/>
  <c r="D1070" i="2" s="1"/>
  <c r="E1066" i="2"/>
  <c r="E1065" i="2"/>
  <c r="E1064" i="2"/>
  <c r="E1063" i="2"/>
  <c r="E1062" i="2"/>
  <c r="D1062" i="2"/>
  <c r="D1064" i="2" s="1"/>
  <c r="E1061" i="2"/>
  <c r="E1060" i="2"/>
  <c r="E1059" i="2"/>
  <c r="E1058" i="2"/>
  <c r="E1057" i="2"/>
  <c r="D1057" i="2"/>
  <c r="D1060" i="2" s="1"/>
  <c r="E1056" i="2"/>
  <c r="E1055" i="2"/>
  <c r="E1054" i="2"/>
  <c r="E1053" i="2"/>
  <c r="E1052" i="2"/>
  <c r="D1052" i="2"/>
  <c r="D1055" i="2" s="1"/>
  <c r="E1051" i="2"/>
  <c r="E1050" i="2"/>
  <c r="E1049" i="2"/>
  <c r="E1048" i="2"/>
  <c r="E1047" i="2"/>
  <c r="D1047" i="2"/>
  <c r="D1049" i="2" s="1"/>
  <c r="E1046" i="2"/>
  <c r="E1045" i="2"/>
  <c r="E1044" i="2"/>
  <c r="E1043" i="2"/>
  <c r="E1042" i="2"/>
  <c r="D1042" i="2"/>
  <c r="D1045" i="2" s="1"/>
  <c r="E1041" i="2"/>
  <c r="E1040" i="2"/>
  <c r="E1039" i="2"/>
  <c r="E1038" i="2"/>
  <c r="E1037" i="2"/>
  <c r="D1037" i="2"/>
  <c r="D1040" i="2" s="1"/>
  <c r="E1036" i="2"/>
  <c r="E1035" i="2"/>
  <c r="E1034" i="2"/>
  <c r="E1033" i="2"/>
  <c r="E1032" i="2"/>
  <c r="D1032" i="2"/>
  <c r="D1034" i="2" s="1"/>
  <c r="E1031" i="2"/>
  <c r="E1030" i="2"/>
  <c r="E1029" i="2"/>
  <c r="E1028" i="2"/>
  <c r="E1027" i="2"/>
  <c r="D1027" i="2"/>
  <c r="D1031" i="2" s="1"/>
  <c r="E1026" i="2"/>
  <c r="E1025" i="2"/>
  <c r="E1024" i="2"/>
  <c r="E1023" i="2"/>
  <c r="E1022" i="2"/>
  <c r="D1022" i="2"/>
  <c r="D1025" i="2" s="1"/>
  <c r="E1021" i="2"/>
  <c r="E1020" i="2"/>
  <c r="E1019" i="2"/>
  <c r="E1018" i="2"/>
  <c r="E1017" i="2"/>
  <c r="D1017" i="2"/>
  <c r="D1021" i="2" s="1"/>
  <c r="E1016" i="2"/>
  <c r="E1015" i="2"/>
  <c r="E1014" i="2"/>
  <c r="E1013" i="2"/>
  <c r="E1012" i="2"/>
  <c r="D1012" i="2"/>
  <c r="D1015" i="2" s="1"/>
  <c r="E1011" i="2"/>
  <c r="E1010" i="2"/>
  <c r="E1009" i="2"/>
  <c r="E1008" i="2"/>
  <c r="E1007" i="2"/>
  <c r="D1007" i="2"/>
  <c r="D1010" i="2" s="1"/>
  <c r="E1006" i="2"/>
  <c r="E1005" i="2"/>
  <c r="E1004" i="2"/>
  <c r="E1003" i="2"/>
  <c r="E1002" i="2"/>
  <c r="D1002" i="2"/>
  <c r="D1006" i="2" s="1"/>
  <c r="E1001" i="2"/>
  <c r="E1000" i="2"/>
  <c r="E999" i="2"/>
  <c r="E998" i="2"/>
  <c r="E997" i="2"/>
  <c r="D997" i="2"/>
  <c r="D1000" i="2" s="1"/>
  <c r="E996" i="2"/>
  <c r="E995" i="2"/>
  <c r="E994" i="2"/>
  <c r="E993" i="2"/>
  <c r="E992" i="2"/>
  <c r="D992" i="2"/>
  <c r="D995" i="2" s="1"/>
  <c r="E991" i="2"/>
  <c r="E990" i="2"/>
  <c r="E989" i="2"/>
  <c r="E988" i="2"/>
  <c r="E987" i="2"/>
  <c r="D987" i="2"/>
  <c r="D991" i="2" s="1"/>
  <c r="E986" i="2"/>
  <c r="E985" i="2"/>
  <c r="E984" i="2"/>
  <c r="E983" i="2"/>
  <c r="E982" i="2"/>
  <c r="D982" i="2"/>
  <c r="D985" i="2" s="1"/>
  <c r="E981" i="2"/>
  <c r="E980" i="2"/>
  <c r="E979" i="2"/>
  <c r="E978" i="2"/>
  <c r="E977" i="2"/>
  <c r="D977" i="2"/>
  <c r="D980" i="2" s="1"/>
  <c r="E976" i="2"/>
  <c r="E975" i="2"/>
  <c r="E974" i="2"/>
  <c r="E973" i="2"/>
  <c r="E972" i="2"/>
  <c r="D972" i="2"/>
  <c r="D976" i="2" s="1"/>
  <c r="E971" i="2"/>
  <c r="E970" i="2"/>
  <c r="E969" i="2"/>
  <c r="E968" i="2"/>
  <c r="E967" i="2"/>
  <c r="D967" i="2"/>
  <c r="D970" i="2" s="1"/>
  <c r="E966" i="2"/>
  <c r="E965" i="2"/>
  <c r="E964" i="2"/>
  <c r="E963" i="2"/>
  <c r="E962" i="2"/>
  <c r="D962" i="2"/>
  <c r="D965" i="2" s="1"/>
  <c r="E961" i="2"/>
  <c r="E960" i="2"/>
  <c r="E959" i="2"/>
  <c r="E958" i="2"/>
  <c r="E957" i="2"/>
  <c r="D957" i="2"/>
  <c r="D961" i="2" s="1"/>
  <c r="E956" i="2"/>
  <c r="E955" i="2"/>
  <c r="E954" i="2"/>
  <c r="E953" i="2"/>
  <c r="E952" i="2"/>
  <c r="D952" i="2"/>
  <c r="D955" i="2" s="1"/>
  <c r="E951" i="2"/>
  <c r="E950" i="2"/>
  <c r="E949" i="2"/>
  <c r="E948" i="2"/>
  <c r="E947" i="2"/>
  <c r="D947" i="2"/>
  <c r="D950" i="2" s="1"/>
  <c r="E946" i="2"/>
  <c r="E945" i="2"/>
  <c r="E944" i="2"/>
  <c r="E943" i="2"/>
  <c r="E942" i="2"/>
  <c r="D942" i="2"/>
  <c r="D946" i="2" s="1"/>
  <c r="E941" i="2"/>
  <c r="E940" i="2"/>
  <c r="E939" i="2"/>
  <c r="E938" i="2"/>
  <c r="E937" i="2"/>
  <c r="D937" i="2"/>
  <c r="D940" i="2" s="1"/>
  <c r="E936" i="2"/>
  <c r="E935" i="2"/>
  <c r="E934" i="2"/>
  <c r="E933" i="2"/>
  <c r="E932" i="2"/>
  <c r="D932" i="2"/>
  <c r="D935" i="2" s="1"/>
  <c r="E931" i="2"/>
  <c r="E930" i="2"/>
  <c r="E929" i="2"/>
  <c r="E928" i="2"/>
  <c r="E927" i="2"/>
  <c r="D927" i="2"/>
  <c r="D931" i="2" s="1"/>
  <c r="E926" i="2"/>
  <c r="E925" i="2"/>
  <c r="E924" i="2"/>
  <c r="E923" i="2"/>
  <c r="E922" i="2"/>
  <c r="D922" i="2"/>
  <c r="D925" i="2" s="1"/>
  <c r="E921" i="2"/>
  <c r="E920" i="2"/>
  <c r="E919" i="2"/>
  <c r="E918" i="2"/>
  <c r="E917" i="2"/>
  <c r="D917" i="2"/>
  <c r="D920" i="2" s="1"/>
  <c r="E916" i="2"/>
  <c r="E915" i="2"/>
  <c r="E914" i="2"/>
  <c r="E913" i="2"/>
  <c r="E912" i="2"/>
  <c r="D912" i="2"/>
  <c r="D916" i="2" s="1"/>
  <c r="E911" i="2"/>
  <c r="E910" i="2"/>
  <c r="E909" i="2"/>
  <c r="E908" i="2"/>
  <c r="E907" i="2"/>
  <c r="D907" i="2"/>
  <c r="D910" i="2" s="1"/>
  <c r="E906" i="2"/>
  <c r="E905" i="2"/>
  <c r="E904" i="2"/>
  <c r="E903" i="2"/>
  <c r="E902" i="2"/>
  <c r="D902" i="2"/>
  <c r="D905" i="2" s="1"/>
  <c r="E901" i="2"/>
  <c r="E900" i="2"/>
  <c r="E899" i="2"/>
  <c r="E898" i="2"/>
  <c r="E897" i="2"/>
  <c r="D897" i="2"/>
  <c r="D901" i="2" s="1"/>
  <c r="E896" i="2"/>
  <c r="E895" i="2"/>
  <c r="E894" i="2"/>
  <c r="E893" i="2"/>
  <c r="E892" i="2"/>
  <c r="D892" i="2"/>
  <c r="D895" i="2" s="1"/>
  <c r="E891" i="2"/>
  <c r="E890" i="2"/>
  <c r="E889" i="2"/>
  <c r="E888" i="2"/>
  <c r="E887" i="2"/>
  <c r="D887" i="2"/>
  <c r="D890" i="2" s="1"/>
  <c r="E886" i="2"/>
  <c r="E885" i="2"/>
  <c r="E884" i="2"/>
  <c r="E883" i="2"/>
  <c r="E882" i="2"/>
  <c r="D882" i="2"/>
  <c r="D886" i="2" s="1"/>
  <c r="E881" i="2"/>
  <c r="E880" i="2"/>
  <c r="E879" i="2"/>
  <c r="E878" i="2"/>
  <c r="E877" i="2"/>
  <c r="D877" i="2"/>
  <c r="D880" i="2" s="1"/>
  <c r="E876" i="2"/>
  <c r="E875" i="2"/>
  <c r="E874" i="2"/>
  <c r="E873" i="2"/>
  <c r="E872" i="2"/>
  <c r="D872" i="2"/>
  <c r="E871" i="2"/>
  <c r="E870" i="2"/>
  <c r="E869" i="2"/>
  <c r="E868" i="2"/>
  <c r="E867" i="2"/>
  <c r="D867" i="2"/>
  <c r="D871" i="2" s="1"/>
  <c r="E866" i="2"/>
  <c r="E865" i="2"/>
  <c r="E864" i="2"/>
  <c r="E863" i="2"/>
  <c r="E862" i="2"/>
  <c r="D862" i="2"/>
  <c r="D865" i="2" s="1"/>
  <c r="E861" i="2"/>
  <c r="E860" i="2"/>
  <c r="E859" i="2"/>
  <c r="E858" i="2"/>
  <c r="E857" i="2"/>
  <c r="D857" i="2"/>
  <c r="D860" i="2" s="1"/>
  <c r="E856" i="2"/>
  <c r="E855" i="2"/>
  <c r="E854" i="2"/>
  <c r="E853" i="2"/>
  <c r="E852" i="2"/>
  <c r="D852" i="2"/>
  <c r="D856" i="2" s="1"/>
  <c r="E851" i="2"/>
  <c r="E850" i="2"/>
  <c r="E849" i="2"/>
  <c r="E848" i="2"/>
  <c r="E847" i="2"/>
  <c r="D847" i="2"/>
  <c r="D850" i="2" s="1"/>
  <c r="E846" i="2"/>
  <c r="E845" i="2"/>
  <c r="E844" i="2"/>
  <c r="E843" i="2"/>
  <c r="E842" i="2"/>
  <c r="D842" i="2"/>
  <c r="D845" i="2" s="1"/>
  <c r="E841" i="2"/>
  <c r="E840" i="2"/>
  <c r="E839" i="2"/>
  <c r="E838" i="2"/>
  <c r="E837" i="2"/>
  <c r="D837" i="2"/>
  <c r="D841" i="2" s="1"/>
  <c r="E836" i="2"/>
  <c r="E835" i="2"/>
  <c r="E834" i="2"/>
  <c r="E833" i="2"/>
  <c r="E832" i="2"/>
  <c r="D832" i="2"/>
  <c r="D835" i="2" s="1"/>
  <c r="E831" i="2"/>
  <c r="E830" i="2"/>
  <c r="E829" i="2"/>
  <c r="E828" i="2"/>
  <c r="E827" i="2"/>
  <c r="D827" i="2"/>
  <c r="D830" i="2" s="1"/>
  <c r="E826" i="2"/>
  <c r="E825" i="2"/>
  <c r="E824" i="2"/>
  <c r="E823" i="2"/>
  <c r="E822" i="2"/>
  <c r="D822" i="2"/>
  <c r="D826" i="2" s="1"/>
  <c r="E821" i="2"/>
  <c r="E820" i="2"/>
  <c r="E819" i="2"/>
  <c r="E818" i="2"/>
  <c r="E817" i="2"/>
  <c r="D817" i="2"/>
  <c r="D820" i="2" s="1"/>
  <c r="E816" i="2"/>
  <c r="E815" i="2"/>
  <c r="E814" i="2"/>
  <c r="E813" i="2"/>
  <c r="E812" i="2"/>
  <c r="D812" i="2"/>
  <c r="D815" i="2" s="1"/>
  <c r="E811" i="2"/>
  <c r="E810" i="2"/>
  <c r="E809" i="2"/>
  <c r="E808" i="2"/>
  <c r="E807" i="2"/>
  <c r="D807" i="2"/>
  <c r="D811" i="2" s="1"/>
  <c r="E806" i="2"/>
  <c r="E805" i="2"/>
  <c r="E804" i="2"/>
  <c r="E803" i="2"/>
  <c r="E802" i="2"/>
  <c r="D802" i="2"/>
  <c r="D805" i="2" s="1"/>
  <c r="E801" i="2"/>
  <c r="E800" i="2"/>
  <c r="E799" i="2"/>
  <c r="E798" i="2"/>
  <c r="E797" i="2"/>
  <c r="D797" i="2"/>
  <c r="E796" i="2"/>
  <c r="E795" i="2"/>
  <c r="E794" i="2"/>
  <c r="E793" i="2"/>
  <c r="E792" i="2"/>
  <c r="D792" i="2"/>
  <c r="D796" i="2" s="1"/>
  <c r="E791" i="2"/>
  <c r="E790" i="2"/>
  <c r="E789" i="2"/>
  <c r="E788" i="2"/>
  <c r="E787" i="2"/>
  <c r="D787" i="2"/>
  <c r="D790" i="2" s="1"/>
  <c r="E786" i="2"/>
  <c r="E785" i="2"/>
  <c r="E784" i="2"/>
  <c r="E783" i="2"/>
  <c r="E782" i="2"/>
  <c r="D782" i="2"/>
  <c r="D785" i="2" s="1"/>
  <c r="E781" i="2"/>
  <c r="E780" i="2"/>
  <c r="E779" i="2"/>
  <c r="E778" i="2"/>
  <c r="E777" i="2"/>
  <c r="D777" i="2"/>
  <c r="D781" i="2" s="1"/>
  <c r="E776" i="2"/>
  <c r="E775" i="2"/>
  <c r="E774" i="2"/>
  <c r="E773" i="2"/>
  <c r="E772" i="2"/>
  <c r="D772" i="2"/>
  <c r="D775" i="2" s="1"/>
  <c r="E771" i="2"/>
  <c r="E770" i="2"/>
  <c r="E769" i="2"/>
  <c r="E768" i="2"/>
  <c r="E767" i="2"/>
  <c r="D767" i="2"/>
  <c r="D770" i="2" s="1"/>
  <c r="E766" i="2"/>
  <c r="E765" i="2"/>
  <c r="E764" i="2"/>
  <c r="E763" i="2"/>
  <c r="E762" i="2"/>
  <c r="D762" i="2"/>
  <c r="D766" i="2" s="1"/>
  <c r="E761" i="2"/>
  <c r="E760" i="2"/>
  <c r="E759" i="2"/>
  <c r="E758" i="2"/>
  <c r="E757" i="2"/>
  <c r="D757" i="2"/>
  <c r="D760" i="2" s="1"/>
  <c r="E756" i="2"/>
  <c r="E755" i="2"/>
  <c r="E754" i="2"/>
  <c r="E753" i="2"/>
  <c r="E752" i="2"/>
  <c r="D752" i="2"/>
  <c r="E751" i="2"/>
  <c r="E750" i="2"/>
  <c r="E749" i="2"/>
  <c r="E748" i="2"/>
  <c r="E747" i="2"/>
  <c r="D747" i="2"/>
  <c r="D751" i="2" s="1"/>
  <c r="E746" i="2"/>
  <c r="E745" i="2"/>
  <c r="E744" i="2"/>
  <c r="E743" i="2"/>
  <c r="E742" i="2"/>
  <c r="D742" i="2"/>
  <c r="D745" i="2" s="1"/>
  <c r="E741" i="2"/>
  <c r="E740" i="2"/>
  <c r="E739" i="2"/>
  <c r="E738" i="2"/>
  <c r="E737" i="2"/>
  <c r="D737" i="2"/>
  <c r="D740" i="2" s="1"/>
  <c r="E736" i="2"/>
  <c r="E735" i="2"/>
  <c r="E734" i="2"/>
  <c r="E733" i="2"/>
  <c r="E732" i="2"/>
  <c r="D732" i="2"/>
  <c r="D736" i="2" s="1"/>
  <c r="E731" i="2"/>
  <c r="E730" i="2"/>
  <c r="E729" i="2"/>
  <c r="E728" i="2"/>
  <c r="E727" i="2"/>
  <c r="D727" i="2"/>
  <c r="D730" i="2" s="1"/>
  <c r="E726" i="2"/>
  <c r="E725" i="2"/>
  <c r="E724" i="2"/>
  <c r="E723" i="2"/>
  <c r="E722" i="2"/>
  <c r="D722" i="2"/>
  <c r="D725" i="2" s="1"/>
  <c r="E721" i="2"/>
  <c r="E720" i="2"/>
  <c r="E719" i="2"/>
  <c r="E718" i="2"/>
  <c r="E717" i="2"/>
  <c r="D717" i="2"/>
  <c r="D721" i="2" s="1"/>
  <c r="E716" i="2"/>
  <c r="E715" i="2"/>
  <c r="E714" i="2"/>
  <c r="E713" i="2"/>
  <c r="E712" i="2"/>
  <c r="D712" i="2"/>
  <c r="D716" i="2" s="1"/>
  <c r="E711" i="2"/>
  <c r="E710" i="2"/>
  <c r="E709" i="2"/>
  <c r="E708" i="2"/>
  <c r="E707" i="2"/>
  <c r="D707" i="2"/>
  <c r="D710" i="2" s="1"/>
  <c r="E706" i="2"/>
  <c r="E705" i="2"/>
  <c r="E704" i="2"/>
  <c r="E703" i="2"/>
  <c r="E702" i="2"/>
  <c r="D702" i="2"/>
  <c r="D705" i="2" s="1"/>
  <c r="E701" i="2"/>
  <c r="E700" i="2"/>
  <c r="E699" i="2"/>
  <c r="E698" i="2"/>
  <c r="E697" i="2"/>
  <c r="D697" i="2"/>
  <c r="D701" i="2" s="1"/>
  <c r="E696" i="2"/>
  <c r="E695" i="2"/>
  <c r="E694" i="2"/>
  <c r="E693" i="2"/>
  <c r="E692" i="2"/>
  <c r="D692" i="2"/>
  <c r="D695" i="2" s="1"/>
  <c r="E691" i="2"/>
  <c r="E690" i="2"/>
  <c r="E689" i="2"/>
  <c r="E688" i="2"/>
  <c r="E687" i="2"/>
  <c r="D687" i="2"/>
  <c r="D690" i="2" s="1"/>
  <c r="E686" i="2"/>
  <c r="E685" i="2"/>
  <c r="E684" i="2"/>
  <c r="E683" i="2"/>
  <c r="E682" i="2"/>
  <c r="D682" i="2"/>
  <c r="D686" i="2" s="1"/>
  <c r="E681" i="2"/>
  <c r="E680" i="2"/>
  <c r="E679" i="2"/>
  <c r="E678" i="2"/>
  <c r="E677" i="2"/>
  <c r="D677" i="2"/>
  <c r="D680" i="2" s="1"/>
  <c r="E676" i="2"/>
  <c r="E675" i="2"/>
  <c r="E674" i="2"/>
  <c r="E673" i="2"/>
  <c r="E672" i="2"/>
  <c r="D672" i="2"/>
  <c r="E671" i="2"/>
  <c r="E670" i="2"/>
  <c r="E669" i="2"/>
  <c r="E668" i="2"/>
  <c r="E667" i="2"/>
  <c r="D667" i="2"/>
  <c r="D671" i="2" s="1"/>
  <c r="E666" i="2"/>
  <c r="E665" i="2"/>
  <c r="E664" i="2"/>
  <c r="E663" i="2"/>
  <c r="E662" i="2"/>
  <c r="D662" i="2"/>
  <c r="D665" i="2" s="1"/>
  <c r="E661" i="2"/>
  <c r="E660" i="2"/>
  <c r="E659" i="2"/>
  <c r="E658" i="2"/>
  <c r="E657" i="2"/>
  <c r="D657" i="2"/>
  <c r="D660" i="2" s="1"/>
  <c r="E656" i="2"/>
  <c r="E655" i="2"/>
  <c r="E654" i="2"/>
  <c r="E653" i="2"/>
  <c r="E652" i="2"/>
  <c r="D652" i="2"/>
  <c r="D656" i="2" s="1"/>
  <c r="E651" i="2"/>
  <c r="E650" i="2"/>
  <c r="E649" i="2"/>
  <c r="E648" i="2"/>
  <c r="E647" i="2"/>
  <c r="D647" i="2"/>
  <c r="D650" i="2" s="1"/>
  <c r="E646" i="2"/>
  <c r="E645" i="2"/>
  <c r="E644" i="2"/>
  <c r="E643" i="2"/>
  <c r="E642" i="2"/>
  <c r="D642" i="2"/>
  <c r="D645" i="2" s="1"/>
  <c r="E641" i="2"/>
  <c r="E640" i="2"/>
  <c r="E639" i="2"/>
  <c r="E638" i="2"/>
  <c r="E637" i="2"/>
  <c r="D637" i="2"/>
  <c r="D641" i="2" s="1"/>
  <c r="E636" i="2"/>
  <c r="E635" i="2"/>
  <c r="E634" i="2"/>
  <c r="E633" i="2"/>
  <c r="E632" i="2"/>
  <c r="D632" i="2"/>
  <c r="D635" i="2" s="1"/>
  <c r="E631" i="2"/>
  <c r="E630" i="2"/>
  <c r="E629" i="2"/>
  <c r="E628" i="2"/>
  <c r="E627" i="2"/>
  <c r="D627" i="2"/>
  <c r="D630" i="2" s="1"/>
  <c r="E626" i="2"/>
  <c r="E625" i="2"/>
  <c r="E624" i="2"/>
  <c r="E623" i="2"/>
  <c r="E622" i="2"/>
  <c r="D622" i="2"/>
  <c r="D626" i="2" s="1"/>
  <c r="E621" i="2"/>
  <c r="E620" i="2"/>
  <c r="E619" i="2"/>
  <c r="E618" i="2"/>
  <c r="E617" i="2"/>
  <c r="D617" i="2"/>
  <c r="D620" i="2" s="1"/>
  <c r="E616" i="2"/>
  <c r="E615" i="2"/>
  <c r="E614" i="2"/>
  <c r="E613" i="2"/>
  <c r="E612" i="2"/>
  <c r="D612" i="2"/>
  <c r="D615" i="2" s="1"/>
  <c r="E611" i="2"/>
  <c r="E610" i="2"/>
  <c r="E609" i="2"/>
  <c r="E608" i="2"/>
  <c r="E607" i="2"/>
  <c r="D607" i="2"/>
  <c r="D611" i="2" s="1"/>
  <c r="E606" i="2"/>
  <c r="E605" i="2"/>
  <c r="E604" i="2"/>
  <c r="E603" i="2"/>
  <c r="E602" i="2"/>
  <c r="D602" i="2"/>
  <c r="D605" i="2" s="1"/>
  <c r="E601" i="2"/>
  <c r="E600" i="2"/>
  <c r="E599" i="2"/>
  <c r="E598" i="2"/>
  <c r="E597" i="2"/>
  <c r="D597" i="2"/>
  <c r="D600" i="2" s="1"/>
  <c r="E596" i="2"/>
  <c r="E595" i="2"/>
  <c r="E594" i="2"/>
  <c r="E593" i="2"/>
  <c r="E592" i="2"/>
  <c r="D592" i="2"/>
  <c r="D596" i="2" s="1"/>
  <c r="E591" i="2"/>
  <c r="E590" i="2"/>
  <c r="E589" i="2"/>
  <c r="E588" i="2"/>
  <c r="E587" i="2"/>
  <c r="D587" i="2"/>
  <c r="D590" i="2" s="1"/>
  <c r="E586" i="2"/>
  <c r="E585" i="2"/>
  <c r="E584" i="2"/>
  <c r="E583" i="2"/>
  <c r="E582" i="2"/>
  <c r="D582" i="2"/>
  <c r="D585" i="2" s="1"/>
  <c r="E581" i="2"/>
  <c r="E580" i="2"/>
  <c r="E579" i="2"/>
  <c r="E578" i="2"/>
  <c r="E577" i="2"/>
  <c r="D577" i="2"/>
  <c r="D581" i="2" s="1"/>
  <c r="E576" i="2"/>
  <c r="E575" i="2"/>
  <c r="E574" i="2"/>
  <c r="E573" i="2"/>
  <c r="E572" i="2"/>
  <c r="D572" i="2"/>
  <c r="D575" i="2" s="1"/>
  <c r="E571" i="2"/>
  <c r="E570" i="2"/>
  <c r="E569" i="2"/>
  <c r="E568" i="2"/>
  <c r="E567" i="2"/>
  <c r="D567" i="2"/>
  <c r="E566" i="2"/>
  <c r="E565" i="2"/>
  <c r="E564" i="2"/>
  <c r="E563" i="2"/>
  <c r="E562" i="2"/>
  <c r="D562" i="2"/>
  <c r="D566" i="2" s="1"/>
  <c r="E561" i="2"/>
  <c r="E560" i="2"/>
  <c r="E559" i="2"/>
  <c r="E558" i="2"/>
  <c r="E557" i="2"/>
  <c r="D557" i="2"/>
  <c r="D560" i="2" s="1"/>
  <c r="E556" i="2"/>
  <c r="E555" i="2"/>
  <c r="E554" i="2"/>
  <c r="E553" i="2"/>
  <c r="E552" i="2"/>
  <c r="D552" i="2"/>
  <c r="D555" i="2" s="1"/>
  <c r="E551" i="2"/>
  <c r="E550" i="2"/>
  <c r="E549" i="2"/>
  <c r="E548" i="2"/>
  <c r="E547" i="2"/>
  <c r="D547" i="2"/>
  <c r="D551" i="2" s="1"/>
  <c r="E546" i="2"/>
  <c r="E545" i="2"/>
  <c r="E544" i="2"/>
  <c r="E543" i="2"/>
  <c r="E542" i="2"/>
  <c r="D542" i="2"/>
  <c r="D545" i="2" s="1"/>
  <c r="E541" i="2"/>
  <c r="E540" i="2"/>
  <c r="E539" i="2"/>
  <c r="E538" i="2"/>
  <c r="E537" i="2"/>
  <c r="D537" i="2"/>
  <c r="D540" i="2" s="1"/>
  <c r="E536" i="2"/>
  <c r="E535" i="2"/>
  <c r="E534" i="2"/>
  <c r="E533" i="2"/>
  <c r="E532" i="2"/>
  <c r="D532" i="2"/>
  <c r="D536" i="2" s="1"/>
  <c r="E531" i="2"/>
  <c r="E530" i="2"/>
  <c r="E529" i="2"/>
  <c r="E528" i="2"/>
  <c r="E527" i="2"/>
  <c r="D527" i="2"/>
  <c r="D530" i="2" s="1"/>
  <c r="E526" i="2"/>
  <c r="E525" i="2"/>
  <c r="E524" i="2"/>
  <c r="E523" i="2"/>
  <c r="E522" i="2"/>
  <c r="D522" i="2"/>
  <c r="D525" i="2" s="1"/>
  <c r="E521" i="2"/>
  <c r="E520" i="2"/>
  <c r="E519" i="2"/>
  <c r="E518" i="2"/>
  <c r="E517" i="2"/>
  <c r="D517" i="2"/>
  <c r="D521" i="2" s="1"/>
  <c r="E516" i="2"/>
  <c r="E515" i="2"/>
  <c r="E514" i="2"/>
  <c r="E513" i="2"/>
  <c r="E512" i="2"/>
  <c r="D512" i="2"/>
  <c r="D515" i="2" s="1"/>
  <c r="E511" i="2"/>
  <c r="E510" i="2"/>
  <c r="E509" i="2"/>
  <c r="E508" i="2"/>
  <c r="E507" i="2"/>
  <c r="D507" i="2"/>
  <c r="D510" i="2" s="1"/>
  <c r="E506" i="2"/>
  <c r="E505" i="2"/>
  <c r="E504" i="2"/>
  <c r="E503" i="2"/>
  <c r="E502" i="2"/>
  <c r="D502" i="2"/>
  <c r="D506" i="2" s="1"/>
  <c r="E501" i="2"/>
  <c r="E500" i="2"/>
  <c r="E499" i="2"/>
  <c r="E498" i="2"/>
  <c r="E497" i="2"/>
  <c r="D497" i="2"/>
  <c r="D500" i="2" s="1"/>
  <c r="E496" i="2"/>
  <c r="E495" i="2"/>
  <c r="E494" i="2"/>
  <c r="E493" i="2"/>
  <c r="E492" i="2"/>
  <c r="D492" i="2"/>
  <c r="E491" i="2"/>
  <c r="E490" i="2"/>
  <c r="E489" i="2"/>
  <c r="E488" i="2"/>
  <c r="E487" i="2"/>
  <c r="D487" i="2"/>
  <c r="D491" i="2" s="1"/>
  <c r="E486" i="2"/>
  <c r="E485" i="2"/>
  <c r="E484" i="2"/>
  <c r="E483" i="2"/>
  <c r="E482" i="2"/>
  <c r="D482" i="2"/>
  <c r="D485" i="2" s="1"/>
  <c r="E481" i="2"/>
  <c r="E480" i="2"/>
  <c r="E479" i="2"/>
  <c r="E478" i="2"/>
  <c r="E477" i="2"/>
  <c r="D477" i="2"/>
  <c r="D480" i="2" s="1"/>
  <c r="E476" i="2"/>
  <c r="E475" i="2"/>
  <c r="E474" i="2"/>
  <c r="E473" i="2"/>
  <c r="E472" i="2"/>
  <c r="D472" i="2"/>
  <c r="D476" i="2" s="1"/>
  <c r="E471" i="2"/>
  <c r="E470" i="2"/>
  <c r="E469" i="2"/>
  <c r="E468" i="2"/>
  <c r="E467" i="2"/>
  <c r="D467" i="2"/>
  <c r="D470" i="2" s="1"/>
  <c r="E466" i="2"/>
  <c r="E465" i="2"/>
  <c r="E464" i="2"/>
  <c r="E463" i="2"/>
  <c r="E462" i="2"/>
  <c r="D462" i="2"/>
  <c r="D465" i="2" s="1"/>
  <c r="E461" i="2"/>
  <c r="E460" i="2"/>
  <c r="E459" i="2"/>
  <c r="E458" i="2"/>
  <c r="E457" i="2"/>
  <c r="D457" i="2"/>
  <c r="D461" i="2" s="1"/>
  <c r="E456" i="2"/>
  <c r="E455" i="2"/>
  <c r="E454" i="2"/>
  <c r="E453" i="2"/>
  <c r="E452" i="2"/>
  <c r="D452" i="2"/>
  <c r="D455" i="2" s="1"/>
  <c r="E451" i="2"/>
  <c r="E450" i="2"/>
  <c r="E449" i="2"/>
  <c r="E448" i="2"/>
  <c r="E447" i="2"/>
  <c r="D447" i="2"/>
  <c r="D450" i="2" s="1"/>
  <c r="E446" i="2"/>
  <c r="E445" i="2"/>
  <c r="E444" i="2"/>
  <c r="E443" i="2"/>
  <c r="E442" i="2"/>
  <c r="D442" i="2"/>
  <c r="D446" i="2" s="1"/>
  <c r="E441" i="2"/>
  <c r="E440" i="2"/>
  <c r="E439" i="2"/>
  <c r="E438" i="2"/>
  <c r="E437" i="2"/>
  <c r="D437" i="2"/>
  <c r="D440" i="2" s="1"/>
  <c r="E436" i="2"/>
  <c r="E435" i="2"/>
  <c r="E434" i="2"/>
  <c r="E433" i="2"/>
  <c r="E432" i="2"/>
  <c r="D432" i="2"/>
  <c r="D435" i="2" s="1"/>
  <c r="E431" i="2"/>
  <c r="E430" i="2"/>
  <c r="E429" i="2"/>
  <c r="E428" i="2"/>
  <c r="E427" i="2"/>
  <c r="D427" i="2"/>
  <c r="D431" i="2" s="1"/>
  <c r="E426" i="2"/>
  <c r="E425" i="2"/>
  <c r="E424" i="2"/>
  <c r="E423" i="2"/>
  <c r="E422" i="2"/>
  <c r="D422" i="2"/>
  <c r="D425" i="2" s="1"/>
  <c r="E421" i="2"/>
  <c r="E420" i="2"/>
  <c r="E419" i="2"/>
  <c r="E418" i="2"/>
  <c r="E417" i="2"/>
  <c r="D417" i="2"/>
  <c r="D420" i="2" s="1"/>
  <c r="E416" i="2"/>
  <c r="E415" i="2"/>
  <c r="E414" i="2"/>
  <c r="E413" i="2"/>
  <c r="E412" i="2"/>
  <c r="D412" i="2"/>
  <c r="D416" i="2" s="1"/>
  <c r="E411" i="2"/>
  <c r="E410" i="2"/>
  <c r="E409" i="2"/>
  <c r="E408" i="2"/>
  <c r="E407" i="2"/>
  <c r="D407" i="2"/>
  <c r="D410" i="2" s="1"/>
  <c r="E406" i="2"/>
  <c r="E405" i="2"/>
  <c r="E404" i="2"/>
  <c r="E403" i="2"/>
  <c r="E402" i="2"/>
  <c r="D402" i="2"/>
  <c r="D405" i="2" s="1"/>
  <c r="E401" i="2"/>
  <c r="E400" i="2"/>
  <c r="E399" i="2"/>
  <c r="E398" i="2"/>
  <c r="E397" i="2"/>
  <c r="D397" i="2"/>
  <c r="D401" i="2" s="1"/>
  <c r="E396" i="2"/>
  <c r="E395" i="2"/>
  <c r="E394" i="2"/>
  <c r="E393" i="2"/>
  <c r="E392" i="2"/>
  <c r="D392" i="2"/>
  <c r="D395" i="2" s="1"/>
  <c r="E391" i="2"/>
  <c r="E390" i="2"/>
  <c r="E389" i="2"/>
  <c r="E388" i="2"/>
  <c r="E387" i="2"/>
  <c r="D387" i="2"/>
  <c r="E386" i="2"/>
  <c r="E385" i="2"/>
  <c r="E384" i="2"/>
  <c r="E383" i="2"/>
  <c r="E382" i="2"/>
  <c r="D382" i="2"/>
  <c r="D386" i="2" s="1"/>
  <c r="E381" i="2"/>
  <c r="E380" i="2"/>
  <c r="E379" i="2"/>
  <c r="E378" i="2"/>
  <c r="E377" i="2"/>
  <c r="D377" i="2"/>
  <c r="D380" i="2" s="1"/>
  <c r="E376" i="2"/>
  <c r="E375" i="2"/>
  <c r="E374" i="2"/>
  <c r="E373" i="2"/>
  <c r="E372" i="2"/>
  <c r="D372" i="2"/>
  <c r="D375" i="2" s="1"/>
  <c r="E371" i="2"/>
  <c r="E370" i="2"/>
  <c r="E369" i="2"/>
  <c r="E368" i="2"/>
  <c r="E367" i="2"/>
  <c r="D367" i="2"/>
  <c r="D371" i="2" s="1"/>
  <c r="E366" i="2"/>
  <c r="E365" i="2"/>
  <c r="E364" i="2"/>
  <c r="E363" i="2"/>
  <c r="E362" i="2"/>
  <c r="D362" i="2"/>
  <c r="D365" i="2" s="1"/>
  <c r="E361" i="2"/>
  <c r="E360" i="2"/>
  <c r="E359" i="2"/>
  <c r="E358" i="2"/>
  <c r="E357" i="2"/>
  <c r="D357" i="2"/>
  <c r="D360" i="2" s="1"/>
  <c r="E356" i="2"/>
  <c r="E355" i="2"/>
  <c r="E354" i="2"/>
  <c r="E353" i="2"/>
  <c r="E352" i="2"/>
  <c r="D352" i="2"/>
  <c r="D356" i="2" s="1"/>
  <c r="E351" i="2"/>
  <c r="E350" i="2"/>
  <c r="E349" i="2"/>
  <c r="E348" i="2"/>
  <c r="E347" i="2"/>
  <c r="D347" i="2"/>
  <c r="D350" i="2" s="1"/>
  <c r="E346" i="2"/>
  <c r="E345" i="2"/>
  <c r="E344" i="2"/>
  <c r="E343" i="2"/>
  <c r="E342" i="2"/>
  <c r="D342" i="2"/>
  <c r="D345" i="2" s="1"/>
  <c r="E341" i="2"/>
  <c r="E340" i="2"/>
  <c r="E339" i="2"/>
  <c r="E338" i="2"/>
  <c r="E337" i="2"/>
  <c r="D337" i="2"/>
  <c r="D341" i="2" s="1"/>
  <c r="E336" i="2"/>
  <c r="E335" i="2"/>
  <c r="E334" i="2"/>
  <c r="E333" i="2"/>
  <c r="E332" i="2"/>
  <c r="D332" i="2"/>
  <c r="D335" i="2" s="1"/>
  <c r="E331" i="2"/>
  <c r="E330" i="2"/>
  <c r="E329" i="2"/>
  <c r="E328" i="2"/>
  <c r="E327" i="2"/>
  <c r="D327" i="2"/>
  <c r="D330" i="2" s="1"/>
  <c r="E326" i="2"/>
  <c r="E325" i="2"/>
  <c r="E324" i="2"/>
  <c r="E323" i="2"/>
  <c r="E322" i="2"/>
  <c r="D322" i="2"/>
  <c r="D326" i="2" s="1"/>
  <c r="E321" i="2"/>
  <c r="E320" i="2"/>
  <c r="E319" i="2"/>
  <c r="E318" i="2"/>
  <c r="E317" i="2"/>
  <c r="D317" i="2"/>
  <c r="D320" i="2" s="1"/>
  <c r="E316" i="2"/>
  <c r="E315" i="2"/>
  <c r="E314" i="2"/>
  <c r="E313" i="2"/>
  <c r="E312" i="2"/>
  <c r="D312" i="2"/>
  <c r="E311" i="2"/>
  <c r="E310" i="2"/>
  <c r="E309" i="2"/>
  <c r="E308" i="2"/>
  <c r="E307" i="2"/>
  <c r="D307" i="2"/>
  <c r="D311" i="2" s="1"/>
  <c r="E306" i="2"/>
  <c r="E305" i="2"/>
  <c r="E304" i="2"/>
  <c r="E303" i="2"/>
  <c r="E302" i="2"/>
  <c r="D302" i="2"/>
  <c r="D305" i="2" s="1"/>
  <c r="E301" i="2"/>
  <c r="E300" i="2"/>
  <c r="E299" i="2"/>
  <c r="E298" i="2"/>
  <c r="E297" i="2"/>
  <c r="D297" i="2"/>
  <c r="D300" i="2" s="1"/>
  <c r="E296" i="2"/>
  <c r="E295" i="2"/>
  <c r="E294" i="2"/>
  <c r="E293" i="2"/>
  <c r="E292" i="2"/>
  <c r="D292" i="2"/>
  <c r="D294" i="2" s="1"/>
  <c r="E291" i="2"/>
  <c r="E290" i="2"/>
  <c r="E289" i="2"/>
  <c r="E288" i="2"/>
  <c r="E287" i="2"/>
  <c r="D287" i="2"/>
  <c r="D290" i="2" s="1"/>
  <c r="E286" i="2"/>
  <c r="E285" i="2"/>
  <c r="E284" i="2"/>
  <c r="E283" i="2"/>
  <c r="E282" i="2"/>
  <c r="D282" i="2"/>
  <c r="D284" i="2" s="1"/>
  <c r="E281" i="2"/>
  <c r="E280" i="2"/>
  <c r="E279" i="2"/>
  <c r="E278" i="2"/>
  <c r="E277" i="2"/>
  <c r="D277" i="2"/>
  <c r="D280" i="2" s="1"/>
  <c r="E276" i="2"/>
  <c r="E275" i="2"/>
  <c r="E274" i="2"/>
  <c r="E273" i="2"/>
  <c r="E272" i="2"/>
  <c r="D272" i="2"/>
  <c r="D275" i="2" s="1"/>
  <c r="E271" i="2"/>
  <c r="E270" i="2"/>
  <c r="E269" i="2"/>
  <c r="E268" i="2"/>
  <c r="E267" i="2"/>
  <c r="D267" i="2"/>
  <c r="D269" i="2" s="1"/>
  <c r="E266" i="2"/>
  <c r="E265" i="2"/>
  <c r="E264" i="2"/>
  <c r="E263" i="2"/>
  <c r="E262" i="2"/>
  <c r="D262" i="2"/>
  <c r="D265" i="2" s="1"/>
  <c r="E261" i="2"/>
  <c r="E260" i="2"/>
  <c r="E259" i="2"/>
  <c r="E258" i="2"/>
  <c r="E257" i="2"/>
  <c r="D257" i="2"/>
  <c r="D260" i="2" s="1"/>
  <c r="E256" i="2"/>
  <c r="E255" i="2"/>
  <c r="E254" i="2"/>
  <c r="E253" i="2"/>
  <c r="E252" i="2"/>
  <c r="D252" i="2"/>
  <c r="D254" i="2" s="1"/>
  <c r="E251" i="2"/>
  <c r="E250" i="2"/>
  <c r="E249" i="2"/>
  <c r="E248" i="2"/>
  <c r="E247" i="2"/>
  <c r="D247" i="2"/>
  <c r="D251" i="2" s="1"/>
  <c r="E246" i="2"/>
  <c r="E245" i="2"/>
  <c r="E244" i="2"/>
  <c r="E243" i="2"/>
  <c r="E242" i="2"/>
  <c r="D242" i="2"/>
  <c r="D246" i="2" s="1"/>
  <c r="E241" i="2"/>
  <c r="E240" i="2"/>
  <c r="E239" i="2"/>
  <c r="E238" i="2"/>
  <c r="E237" i="2"/>
  <c r="D237" i="2"/>
  <c r="D240" i="2" s="1"/>
  <c r="E236" i="2"/>
  <c r="E235" i="2"/>
  <c r="E234" i="2"/>
  <c r="E233" i="2"/>
  <c r="E232" i="2"/>
  <c r="D232" i="2"/>
  <c r="D234" i="2" s="1"/>
  <c r="E231" i="2"/>
  <c r="E230" i="2"/>
  <c r="E229" i="2"/>
  <c r="E228" i="2"/>
  <c r="E227" i="2"/>
  <c r="D227" i="2"/>
  <c r="D231" i="2" s="1"/>
  <c r="E226" i="2"/>
  <c r="E225" i="2"/>
  <c r="E224" i="2"/>
  <c r="E223" i="2"/>
  <c r="E222" i="2"/>
  <c r="D222" i="2"/>
  <c r="D225" i="2" s="1"/>
  <c r="E221" i="2"/>
  <c r="E220" i="2"/>
  <c r="E219" i="2"/>
  <c r="E218" i="2"/>
  <c r="E217" i="2"/>
  <c r="D217" i="2"/>
  <c r="D219" i="2" s="1"/>
  <c r="E216" i="2"/>
  <c r="E215" i="2"/>
  <c r="E214" i="2"/>
  <c r="E213" i="2"/>
  <c r="E212" i="2"/>
  <c r="D212" i="2"/>
  <c r="D216" i="2" s="1"/>
  <c r="E211" i="2"/>
  <c r="E210" i="2"/>
  <c r="E209" i="2"/>
  <c r="E208" i="2"/>
  <c r="E207" i="2"/>
  <c r="D207" i="2"/>
  <c r="D210" i="2" s="1"/>
  <c r="E206" i="2"/>
  <c r="E205" i="2"/>
  <c r="E204" i="2"/>
  <c r="E203" i="2"/>
  <c r="E202" i="2"/>
  <c r="D202" i="2"/>
  <c r="D204" i="2" s="1"/>
  <c r="E201" i="2"/>
  <c r="E200" i="2"/>
  <c r="E199" i="2"/>
  <c r="E198" i="2"/>
  <c r="E197" i="2"/>
  <c r="D197" i="2"/>
  <c r="D201" i="2" s="1"/>
  <c r="E196" i="2"/>
  <c r="E195" i="2"/>
  <c r="E194" i="2"/>
  <c r="E193" i="2"/>
  <c r="E192" i="2"/>
  <c r="D192" i="2"/>
  <c r="D195" i="2" s="1"/>
  <c r="E191" i="2"/>
  <c r="E190" i="2"/>
  <c r="E189" i="2"/>
  <c r="E188" i="2"/>
  <c r="E187" i="2"/>
  <c r="D187" i="2"/>
  <c r="D189" i="2" s="1"/>
  <c r="E186" i="2"/>
  <c r="E185" i="2"/>
  <c r="E184" i="2"/>
  <c r="E183" i="2"/>
  <c r="E182" i="2"/>
  <c r="D182" i="2"/>
  <c r="D186" i="2" s="1"/>
  <c r="E181" i="2"/>
  <c r="E180" i="2"/>
  <c r="E179" i="2"/>
  <c r="E178" i="2"/>
  <c r="E177" i="2"/>
  <c r="D177" i="2"/>
  <c r="D180" i="2" s="1"/>
  <c r="E176" i="2"/>
  <c r="E175" i="2"/>
  <c r="E174" i="2"/>
  <c r="E173" i="2"/>
  <c r="E172" i="2"/>
  <c r="D172" i="2"/>
  <c r="D174" i="2" s="1"/>
  <c r="E171" i="2"/>
  <c r="E170" i="2"/>
  <c r="E169" i="2"/>
  <c r="E168" i="2"/>
  <c r="E167" i="2"/>
  <c r="D167" i="2"/>
  <c r="D171" i="2" s="1"/>
  <c r="E166" i="2"/>
  <c r="E165" i="2"/>
  <c r="E164" i="2"/>
  <c r="E163" i="2"/>
  <c r="E162" i="2"/>
  <c r="D162" i="2"/>
  <c r="D165" i="2" s="1"/>
  <c r="E161" i="2"/>
  <c r="E160" i="2"/>
  <c r="E159" i="2"/>
  <c r="E158" i="2"/>
  <c r="E157" i="2"/>
  <c r="D157" i="2"/>
  <c r="D160" i="2" s="1"/>
  <c r="E156" i="2"/>
  <c r="E155" i="2"/>
  <c r="E154" i="2"/>
  <c r="E153" i="2"/>
  <c r="E152" i="2"/>
  <c r="D152" i="2"/>
  <c r="D156" i="2" s="1"/>
  <c r="E151" i="2"/>
  <c r="E150" i="2"/>
  <c r="E149" i="2"/>
  <c r="E148" i="2"/>
  <c r="E147" i="2"/>
  <c r="D147" i="2"/>
  <c r="D150" i="2" s="1"/>
  <c r="E146" i="2"/>
  <c r="E145" i="2"/>
  <c r="E144" i="2"/>
  <c r="E143" i="2"/>
  <c r="E142" i="2"/>
  <c r="D142" i="2"/>
  <c r="D145" i="2" s="1"/>
  <c r="E141" i="2"/>
  <c r="E140" i="2"/>
  <c r="E139" i="2"/>
  <c r="E138" i="2"/>
  <c r="E137" i="2"/>
  <c r="D137" i="2"/>
  <c r="D141" i="2" s="1"/>
  <c r="E136" i="2"/>
  <c r="E135" i="2"/>
  <c r="E134" i="2"/>
  <c r="E133" i="2"/>
  <c r="E132" i="2"/>
  <c r="D132" i="2"/>
  <c r="D135" i="2" s="1"/>
  <c r="E131" i="2"/>
  <c r="E130" i="2"/>
  <c r="E129" i="2"/>
  <c r="E128" i="2"/>
  <c r="E127" i="2"/>
  <c r="D127" i="2"/>
  <c r="D129" i="2" s="1"/>
  <c r="E126" i="2"/>
  <c r="E125" i="2"/>
  <c r="E124" i="2"/>
  <c r="E123" i="2"/>
  <c r="E122" i="2"/>
  <c r="D122" i="2"/>
  <c r="D126" i="2" s="1"/>
  <c r="E121" i="2"/>
  <c r="E120" i="2"/>
  <c r="E119" i="2"/>
  <c r="E118" i="2"/>
  <c r="E117" i="2"/>
  <c r="D117" i="2"/>
  <c r="D120" i="2" s="1"/>
  <c r="E116" i="2"/>
  <c r="E115" i="2"/>
  <c r="E114" i="2"/>
  <c r="E113" i="2"/>
  <c r="E112" i="2"/>
  <c r="D112" i="2"/>
  <c r="D115" i="2" s="1"/>
  <c r="E111" i="2"/>
  <c r="E110" i="2"/>
  <c r="E109" i="2"/>
  <c r="E108" i="2"/>
  <c r="E107" i="2"/>
  <c r="D107" i="2"/>
  <c r="D111" i="2" s="1"/>
  <c r="E106" i="2"/>
  <c r="E105" i="2"/>
  <c r="E104" i="2"/>
  <c r="E103" i="2"/>
  <c r="E102" i="2"/>
  <c r="D102" i="2"/>
  <c r="D105" i="2" s="1"/>
  <c r="E101" i="2"/>
  <c r="E100" i="2"/>
  <c r="E99" i="2"/>
  <c r="E98" i="2"/>
  <c r="E97" i="2"/>
  <c r="D97" i="2"/>
  <c r="D100" i="2" s="1"/>
  <c r="E96" i="2"/>
  <c r="E95" i="2"/>
  <c r="E94" i="2"/>
  <c r="E93" i="2"/>
  <c r="E92" i="2"/>
  <c r="D92" i="2"/>
  <c r="D96" i="2" s="1"/>
  <c r="E91" i="2"/>
  <c r="E90" i="2"/>
  <c r="E89" i="2"/>
  <c r="E88" i="2"/>
  <c r="E87" i="2"/>
  <c r="D87" i="2"/>
  <c r="D90" i="2" s="1"/>
  <c r="E86" i="2"/>
  <c r="E85" i="2"/>
  <c r="E84" i="2"/>
  <c r="E83" i="2"/>
  <c r="E82" i="2"/>
  <c r="D82" i="2"/>
  <c r="D84" i="2" s="1"/>
  <c r="E81" i="2"/>
  <c r="E80" i="2"/>
  <c r="E79" i="2"/>
  <c r="E78" i="2"/>
  <c r="E77" i="2"/>
  <c r="D77" i="2"/>
  <c r="D81" i="2" s="1"/>
  <c r="E76" i="2"/>
  <c r="E75" i="2"/>
  <c r="E74" i="2"/>
  <c r="E73" i="2"/>
  <c r="E72" i="2"/>
  <c r="D72" i="2"/>
  <c r="D75" i="2" s="1"/>
  <c r="E71" i="2"/>
  <c r="E70" i="2"/>
  <c r="E69" i="2"/>
  <c r="E68" i="2"/>
  <c r="E67" i="2"/>
  <c r="D67" i="2"/>
  <c r="D69" i="2" s="1"/>
  <c r="E66" i="2"/>
  <c r="E65" i="2"/>
  <c r="E64" i="2"/>
  <c r="E63" i="2"/>
  <c r="E62" i="2"/>
  <c r="D62" i="2"/>
  <c r="D66" i="2" s="1"/>
  <c r="E61" i="2"/>
  <c r="E60" i="2"/>
  <c r="E59" i="2"/>
  <c r="E58" i="2"/>
  <c r="E57" i="2"/>
  <c r="D57" i="2"/>
  <c r="D60" i="2" s="1"/>
  <c r="E56" i="2"/>
  <c r="E55" i="2"/>
  <c r="E54" i="2"/>
  <c r="E53" i="2"/>
  <c r="E52" i="2"/>
  <c r="D52" i="2"/>
  <c r="D55" i="2" s="1"/>
  <c r="E51" i="2"/>
  <c r="E50" i="2"/>
  <c r="E49" i="2"/>
  <c r="E48" i="2"/>
  <c r="E47" i="2"/>
  <c r="D47" i="2"/>
  <c r="D51" i="2" s="1"/>
  <c r="E46" i="2"/>
  <c r="E45" i="2"/>
  <c r="E44" i="2"/>
  <c r="E43" i="2"/>
  <c r="E42" i="2"/>
  <c r="D42" i="2"/>
  <c r="D45" i="2" s="1"/>
  <c r="E41" i="2"/>
  <c r="E40" i="2"/>
  <c r="E39" i="2"/>
  <c r="E38" i="2"/>
  <c r="E37" i="2"/>
  <c r="D37" i="2"/>
  <c r="D39" i="2" s="1"/>
  <c r="E36" i="2"/>
  <c r="E35" i="2"/>
  <c r="E34" i="2"/>
  <c r="E33" i="2"/>
  <c r="E32" i="2"/>
  <c r="D32" i="2"/>
  <c r="D36" i="2" s="1"/>
  <c r="E31" i="2"/>
  <c r="E30" i="2"/>
  <c r="E29" i="2"/>
  <c r="E28" i="2"/>
  <c r="E27" i="2"/>
  <c r="D27" i="2"/>
  <c r="D30" i="2" s="1"/>
  <c r="E26" i="2"/>
  <c r="E25" i="2"/>
  <c r="E24" i="2"/>
  <c r="E23" i="2"/>
  <c r="E22" i="2"/>
  <c r="D22" i="2"/>
  <c r="D24" i="2" s="1"/>
  <c r="E21" i="2"/>
  <c r="E20" i="2"/>
  <c r="E19" i="2"/>
  <c r="E18" i="2"/>
  <c r="E17" i="2"/>
  <c r="D17" i="2"/>
  <c r="D21" i="2" s="1"/>
  <c r="E16" i="2"/>
  <c r="E15" i="2"/>
  <c r="E14" i="2"/>
  <c r="E13" i="2"/>
  <c r="E12" i="2"/>
  <c r="D12" i="2"/>
  <c r="D15" i="2" s="1"/>
  <c r="E11" i="2"/>
  <c r="E10" i="2"/>
  <c r="E9" i="2"/>
  <c r="E8" i="2"/>
  <c r="E7" i="2"/>
  <c r="D7" i="2"/>
  <c r="D9" i="2" s="1"/>
  <c r="E6" i="2"/>
  <c r="E5" i="2"/>
  <c r="E4" i="2"/>
  <c r="E3" i="2"/>
  <c r="E2" i="2"/>
  <c r="D2" i="2"/>
  <c r="X219" i="16" l="1"/>
  <c r="AJ198" i="16"/>
  <c r="AK198" i="16" s="1"/>
  <c r="AL198" i="16" s="1"/>
  <c r="AJ220" i="16"/>
  <c r="AK220" i="16" s="1"/>
  <c r="AL220" i="16" s="1"/>
  <c r="X220" i="16"/>
  <c r="X217" i="16"/>
  <c r="P200" i="16"/>
  <c r="X170" i="16"/>
  <c r="P199" i="16"/>
  <c r="AJ196" i="16" s="1"/>
  <c r="AK196" i="16" s="1"/>
  <c r="AL196" i="16" s="1"/>
  <c r="X159" i="16"/>
  <c r="P159" i="16"/>
  <c r="P158" i="16" s="1"/>
  <c r="X162" i="16"/>
  <c r="P162" i="16"/>
  <c r="X182" i="16"/>
  <c r="P182" i="16"/>
  <c r="N178" i="16" s="1"/>
  <c r="X160" i="16"/>
  <c r="AJ160" i="16"/>
  <c r="AK160" i="16" s="1"/>
  <c r="AL160" i="16" s="1"/>
  <c r="AJ190" i="16"/>
  <c r="AK190" i="16" s="1"/>
  <c r="AL190" i="16" s="1"/>
  <c r="X190" i="16"/>
  <c r="X209" i="16"/>
  <c r="AJ209" i="16"/>
  <c r="AK209" i="16" s="1"/>
  <c r="AL209" i="16" s="1"/>
  <c r="X161" i="16"/>
  <c r="P161" i="16"/>
  <c r="X218" i="16"/>
  <c r="X208" i="16"/>
  <c r="AJ208" i="16"/>
  <c r="AK208" i="16" s="1"/>
  <c r="AL208" i="16" s="1"/>
  <c r="X205" i="16"/>
  <c r="AJ205" i="16"/>
  <c r="AK205" i="16" s="1"/>
  <c r="AL205" i="16" s="1"/>
  <c r="X179" i="16"/>
  <c r="P179" i="16"/>
  <c r="R178" i="16" s="1"/>
  <c r="P178" i="16" s="1"/>
  <c r="N176" i="16" s="1"/>
  <c r="X181" i="16"/>
  <c r="P181" i="16"/>
  <c r="N177" i="16" s="1"/>
  <c r="X180" i="16"/>
  <c r="AJ180" i="16"/>
  <c r="AK180" i="16" s="1"/>
  <c r="AL180" i="16" s="1"/>
  <c r="X204" i="16"/>
  <c r="AJ204" i="16"/>
  <c r="AK204" i="16" s="1"/>
  <c r="AL204" i="16" s="1"/>
  <c r="X215" i="16"/>
  <c r="X216" i="16"/>
  <c r="P216" i="16"/>
  <c r="N214" i="16" s="1"/>
  <c r="X203" i="16"/>
  <c r="P203" i="16"/>
  <c r="AJ200" i="16" s="1"/>
  <c r="AK200" i="16" s="1"/>
  <c r="AL200" i="16" s="1"/>
  <c r="X207" i="16"/>
  <c r="AJ207" i="16"/>
  <c r="AK207" i="16" s="1"/>
  <c r="AL207" i="16" s="1"/>
  <c r="AJ199" i="16"/>
  <c r="AK199" i="16" s="1"/>
  <c r="AL199" i="16" s="1"/>
  <c r="X189" i="16"/>
  <c r="X206" i="16"/>
  <c r="P206" i="16"/>
  <c r="P201" i="16"/>
  <c r="X202" i="16"/>
  <c r="AJ202" i="16"/>
  <c r="AK202" i="16" s="1"/>
  <c r="AL202" i="16" s="1"/>
  <c r="A166" i="15"/>
  <c r="D3" i="2"/>
  <c r="D1458" i="2"/>
  <c r="A149" i="15"/>
  <c r="A113" i="15"/>
  <c r="A145" i="15"/>
  <c r="A167" i="15"/>
  <c r="A134" i="15"/>
  <c r="A196" i="15"/>
  <c r="A173" i="15"/>
  <c r="A146" i="15"/>
  <c r="A125" i="15"/>
  <c r="A138" i="15"/>
  <c r="F189" i="15"/>
  <c r="F165" i="15"/>
  <c r="A174" i="15"/>
  <c r="A171" i="15"/>
  <c r="F162" i="15"/>
  <c r="F151" i="15"/>
  <c r="A151" i="15" s="1"/>
  <c r="A137" i="15"/>
  <c r="A168" i="15"/>
  <c r="A120" i="15"/>
  <c r="A161" i="15"/>
  <c r="F198" i="15"/>
  <c r="A197" i="15"/>
  <c r="A182" i="15"/>
  <c r="A194" i="15"/>
  <c r="F153" i="15"/>
  <c r="F163" i="15"/>
  <c r="F114" i="15"/>
  <c r="F126" i="15"/>
  <c r="F186" i="15"/>
  <c r="F200" i="15"/>
  <c r="F187" i="15"/>
  <c r="F175" i="15"/>
  <c r="A175" i="15" s="1"/>
  <c r="F128" i="15"/>
  <c r="F188" i="15"/>
  <c r="F115" i="15"/>
  <c r="F177" i="15"/>
  <c r="F116" i="15"/>
  <c r="F150" i="15"/>
  <c r="F117" i="15"/>
  <c r="F152" i="15"/>
  <c r="F127" i="15"/>
  <c r="A127" i="15" s="1"/>
  <c r="F199" i="15"/>
  <c r="A199" i="15" s="1"/>
  <c r="F164" i="15"/>
  <c r="F140" i="15"/>
  <c r="F139" i="15"/>
  <c r="F141" i="15"/>
  <c r="F129" i="15"/>
  <c r="D1455" i="2"/>
  <c r="D1465" i="2"/>
  <c r="D1454" i="2"/>
  <c r="D1464" i="2"/>
  <c r="D1453" i="2"/>
  <c r="D1434" i="2"/>
  <c r="D1440" i="2"/>
  <c r="D1463" i="2"/>
  <c r="D1433" i="2"/>
  <c r="D1441" i="2"/>
  <c r="D1431" i="2"/>
  <c r="D1450" i="2"/>
  <c r="D1430" i="2"/>
  <c r="D1449" i="2"/>
  <c r="D1429" i="2"/>
  <c r="D1448" i="2"/>
  <c r="D1439" i="2"/>
  <c r="D1446" i="2"/>
  <c r="D1461" i="2"/>
  <c r="D1445" i="2"/>
  <c r="D1460" i="2"/>
  <c r="D1444" i="2"/>
  <c r="D1436" i="2"/>
  <c r="D1391" i="2"/>
  <c r="D1401" i="2"/>
  <c r="D1389" i="2"/>
  <c r="D1400" i="2"/>
  <c r="D1388" i="2"/>
  <c r="D1410" i="2"/>
  <c r="D1408" i="2"/>
  <c r="D1409" i="2"/>
  <c r="D1418" i="2"/>
  <c r="D1414" i="2"/>
  <c r="D1413" i="2"/>
  <c r="D1426" i="2"/>
  <c r="D1425" i="2"/>
  <c r="D1394" i="2"/>
  <c r="D1424" i="2"/>
  <c r="D1416" i="2"/>
  <c r="D1393" i="2"/>
  <c r="D1399" i="2"/>
  <c r="D1406" i="2"/>
  <c r="D1421" i="2"/>
  <c r="D1405" i="2"/>
  <c r="D1420" i="2"/>
  <c r="D1404" i="2"/>
  <c r="D1396" i="2"/>
  <c r="D1350" i="2"/>
  <c r="D1349" i="2"/>
  <c r="D1351" i="2"/>
  <c r="D1098" i="2"/>
  <c r="D1360" i="2"/>
  <c r="D1378" i="2"/>
  <c r="D1375" i="2"/>
  <c r="D1368" i="2"/>
  <c r="D1374" i="2"/>
  <c r="D1373" i="2"/>
  <c r="D1370" i="2"/>
  <c r="D1354" i="2"/>
  <c r="D1384" i="2"/>
  <c r="D1369" i="2"/>
  <c r="D1361" i="2"/>
  <c r="D1353" i="2"/>
  <c r="D1383" i="2"/>
  <c r="D1386" i="2"/>
  <c r="D1359" i="2"/>
  <c r="D1366" i="2"/>
  <c r="D1381" i="2"/>
  <c r="D1365" i="2"/>
  <c r="D1380" i="2"/>
  <c r="D1364" i="2"/>
  <c r="D1356" i="2"/>
  <c r="D803" i="2"/>
  <c r="D261" i="2"/>
  <c r="D969" i="2"/>
  <c r="D1114" i="2"/>
  <c r="D1209" i="2"/>
  <c r="D408" i="2"/>
  <c r="D666" i="2"/>
  <c r="D364" i="2"/>
  <c r="D193" i="2"/>
  <c r="D196" i="2"/>
  <c r="D1116" i="2"/>
  <c r="D304" i="2"/>
  <c r="D898" i="2"/>
  <c r="D728" i="2"/>
  <c r="D164" i="2"/>
  <c r="D624" i="2"/>
  <c r="D899" i="2"/>
  <c r="D926" i="2"/>
  <c r="D61" i="2"/>
  <c r="D73" i="2"/>
  <c r="D836" i="2"/>
  <c r="D255" i="2"/>
  <c r="D971" i="2"/>
  <c r="D74" i="2"/>
  <c r="D166" i="2"/>
  <c r="D411" i="2"/>
  <c r="D1089" i="2"/>
  <c r="D1101" i="2"/>
  <c r="D1296" i="2"/>
  <c r="D806" i="2"/>
  <c r="D181" i="2"/>
  <c r="D339" i="2"/>
  <c r="D1236" i="2"/>
  <c r="D484" i="2"/>
  <c r="D1044" i="2"/>
  <c r="D866" i="2"/>
  <c r="D366" i="2"/>
  <c r="D574" i="2"/>
  <c r="D711" i="2"/>
  <c r="D1254" i="2"/>
  <c r="D1293" i="2"/>
  <c r="D190" i="2"/>
  <c r="D76" i="2"/>
  <c r="D664" i="2"/>
  <c r="D851" i="2"/>
  <c r="D1233" i="2"/>
  <c r="D1294" i="2"/>
  <c r="D1234" i="2"/>
  <c r="D44" i="2"/>
  <c r="D43" i="2"/>
  <c r="D681" i="2"/>
  <c r="D794" i="2"/>
  <c r="D944" i="2"/>
  <c r="D1161" i="2"/>
  <c r="D1249" i="2"/>
  <c r="D633" i="2"/>
  <c r="D259" i="2"/>
  <c r="D209" i="2"/>
  <c r="D609" i="2"/>
  <c r="D1251" i="2"/>
  <c r="D258" i="2"/>
  <c r="D34" i="2"/>
  <c r="D46" i="2"/>
  <c r="D148" i="2"/>
  <c r="D149" i="2"/>
  <c r="D519" i="2"/>
  <c r="D696" i="2"/>
  <c r="D708" i="2"/>
  <c r="D834" i="2"/>
  <c r="D636" i="2"/>
  <c r="D761" i="2"/>
  <c r="D139" i="2"/>
  <c r="D719" i="2"/>
  <c r="D501" i="2"/>
  <c r="D546" i="2"/>
  <c r="D1218" i="2"/>
  <c r="D229" i="2"/>
  <c r="D274" i="2"/>
  <c r="D459" i="2"/>
  <c r="D486" i="2"/>
  <c r="D531" i="2"/>
  <c r="D594" i="2"/>
  <c r="D709" i="2"/>
  <c r="D1099" i="2"/>
  <c r="D1134" i="2"/>
  <c r="D348" i="2"/>
  <c r="D349" i="2"/>
  <c r="D514" i="2"/>
  <c r="D558" i="2"/>
  <c r="D648" i="2"/>
  <c r="D746" i="2"/>
  <c r="D818" i="2"/>
  <c r="D956" i="2"/>
  <c r="D1028" i="2"/>
  <c r="D1219" i="2"/>
  <c r="D1324" i="2"/>
  <c r="D396" i="2"/>
  <c r="D1074" i="2"/>
  <c r="D1281" i="2"/>
  <c r="D1344" i="2"/>
  <c r="D324" i="2"/>
  <c r="D379" i="2"/>
  <c r="D424" i="2"/>
  <c r="D516" i="2"/>
  <c r="D1129" i="2"/>
  <c r="D1194" i="2"/>
  <c r="D1221" i="2"/>
  <c r="D19" i="2"/>
  <c r="D91" i="2"/>
  <c r="D649" i="2"/>
  <c r="D819" i="2"/>
  <c r="D444" i="2"/>
  <c r="D499" i="2"/>
  <c r="D634" i="2"/>
  <c r="D804" i="2"/>
  <c r="D941" i="2"/>
  <c r="D1004" i="2"/>
  <c r="D1029" i="2"/>
  <c r="D1146" i="2"/>
  <c r="D561" i="2"/>
  <c r="D651" i="2"/>
  <c r="D731" i="2"/>
  <c r="D749" i="2"/>
  <c r="D821" i="2"/>
  <c r="D914" i="2"/>
  <c r="D923" i="2"/>
  <c r="D968" i="2"/>
  <c r="D1266" i="2"/>
  <c r="D286" i="2"/>
  <c r="D559" i="2"/>
  <c r="D59" i="2"/>
  <c r="D124" i="2"/>
  <c r="D244" i="2"/>
  <c r="D381" i="2"/>
  <c r="D474" i="2"/>
  <c r="D483" i="2"/>
  <c r="D1050" i="2"/>
  <c r="D1131" i="2"/>
  <c r="D1038" i="2"/>
  <c r="D4" i="2"/>
  <c r="D13" i="2"/>
  <c r="D214" i="2"/>
  <c r="D279" i="2"/>
  <c r="D309" i="2"/>
  <c r="D318" i="2"/>
  <c r="D429" i="2"/>
  <c r="D453" i="2"/>
  <c r="D579" i="2"/>
  <c r="D603" i="2"/>
  <c r="D779" i="2"/>
  <c r="D884" i="2"/>
  <c r="D908" i="2"/>
  <c r="D989" i="2"/>
  <c r="D1068" i="2"/>
  <c r="D1329" i="2"/>
  <c r="D28" i="2"/>
  <c r="D1053" i="2"/>
  <c r="D788" i="2"/>
  <c r="D1084" i="2"/>
  <c r="D1188" i="2"/>
  <c r="D1314" i="2"/>
  <c r="D14" i="2"/>
  <c r="D70" i="2"/>
  <c r="D151" i="2"/>
  <c r="D199" i="2"/>
  <c r="D208" i="2"/>
  <c r="D264" i="2"/>
  <c r="D273" i="2"/>
  <c r="D295" i="2"/>
  <c r="D303" i="2"/>
  <c r="D319" i="2"/>
  <c r="D351" i="2"/>
  <c r="D414" i="2"/>
  <c r="D423" i="2"/>
  <c r="D454" i="2"/>
  <c r="D564" i="2"/>
  <c r="D573" i="2"/>
  <c r="D604" i="2"/>
  <c r="D714" i="2"/>
  <c r="D764" i="2"/>
  <c r="D974" i="2"/>
  <c r="D1069" i="2"/>
  <c r="D1299" i="2"/>
  <c r="D1323" i="2"/>
  <c r="D94" i="2"/>
  <c r="D103" i="2"/>
  <c r="D119" i="2"/>
  <c r="D184" i="2"/>
  <c r="D224" i="2"/>
  <c r="D288" i="2"/>
  <c r="D399" i="2"/>
  <c r="D439" i="2"/>
  <c r="D549" i="2"/>
  <c r="D589" i="2"/>
  <c r="D699" i="2"/>
  <c r="D773" i="2"/>
  <c r="D869" i="2"/>
  <c r="D878" i="2"/>
  <c r="D959" i="2"/>
  <c r="D983" i="2"/>
  <c r="D1016" i="2"/>
  <c r="D1063" i="2"/>
  <c r="D1164" i="2"/>
  <c r="D1173" i="2"/>
  <c r="D1189" i="2"/>
  <c r="D1284" i="2"/>
  <c r="D1308" i="2"/>
  <c r="D1339" i="2"/>
  <c r="D134" i="2"/>
  <c r="D1179" i="2"/>
  <c r="D333" i="2"/>
  <c r="D468" i="2"/>
  <c r="D29" i="2"/>
  <c r="D118" i="2"/>
  <c r="D334" i="2"/>
  <c r="D469" i="2"/>
  <c r="D588" i="2"/>
  <c r="D893" i="2"/>
  <c r="D1039" i="2"/>
  <c r="D471" i="2"/>
  <c r="D534" i="2"/>
  <c r="D1041" i="2"/>
  <c r="D1086" i="2"/>
  <c r="D16" i="2"/>
  <c r="D40" i="2"/>
  <c r="D79" i="2"/>
  <c r="D88" i="2"/>
  <c r="D104" i="2"/>
  <c r="D169" i="2"/>
  <c r="D178" i="2"/>
  <c r="D289" i="2"/>
  <c r="D321" i="2"/>
  <c r="D384" i="2"/>
  <c r="D393" i="2"/>
  <c r="D456" i="2"/>
  <c r="D543" i="2"/>
  <c r="D606" i="2"/>
  <c r="D693" i="2"/>
  <c r="D758" i="2"/>
  <c r="D791" i="2"/>
  <c r="D863" i="2"/>
  <c r="D896" i="2"/>
  <c r="D1001" i="2"/>
  <c r="D1071" i="2"/>
  <c r="D1158" i="2"/>
  <c r="D1174" i="2"/>
  <c r="D1278" i="2"/>
  <c r="D1309" i="2"/>
  <c r="D238" i="2"/>
  <c r="D223" i="2"/>
  <c r="D998" i="2"/>
  <c r="D1204" i="2"/>
  <c r="D1338" i="2"/>
  <c r="D136" i="2"/>
  <c r="D241" i="2"/>
  <c r="D621" i="2"/>
  <c r="D854" i="2"/>
  <c r="D911" i="2"/>
  <c r="D1056" i="2"/>
  <c r="D1149" i="2"/>
  <c r="D1269" i="2"/>
  <c r="D25" i="2"/>
  <c r="D64" i="2"/>
  <c r="D121" i="2"/>
  <c r="D194" i="2"/>
  <c r="D226" i="2"/>
  <c r="D369" i="2"/>
  <c r="D409" i="2"/>
  <c r="D441" i="2"/>
  <c r="D504" i="2"/>
  <c r="D528" i="2"/>
  <c r="D591" i="2"/>
  <c r="D669" i="2"/>
  <c r="D678" i="2"/>
  <c r="D839" i="2"/>
  <c r="D953" i="2"/>
  <c r="D1065" i="2"/>
  <c r="D1119" i="2"/>
  <c r="D1143" i="2"/>
  <c r="D1191" i="2"/>
  <c r="D1263" i="2"/>
  <c r="D1341" i="2"/>
  <c r="D109" i="2"/>
  <c r="D239" i="2"/>
  <c r="D438" i="2"/>
  <c r="D619" i="2"/>
  <c r="D89" i="2"/>
  <c r="D154" i="2"/>
  <c r="D163" i="2"/>
  <c r="D179" i="2"/>
  <c r="D211" i="2"/>
  <c r="D276" i="2"/>
  <c r="D283" i="2"/>
  <c r="D306" i="2"/>
  <c r="D354" i="2"/>
  <c r="D378" i="2"/>
  <c r="D394" i="2"/>
  <c r="D426" i="2"/>
  <c r="D513" i="2"/>
  <c r="D544" i="2"/>
  <c r="D576" i="2"/>
  <c r="D654" i="2"/>
  <c r="D694" i="2"/>
  <c r="D734" i="2"/>
  <c r="D776" i="2"/>
  <c r="D824" i="2"/>
  <c r="D848" i="2"/>
  <c r="D864" i="2"/>
  <c r="D881" i="2"/>
  <c r="D929" i="2"/>
  <c r="D986" i="2"/>
  <c r="D1104" i="2"/>
  <c r="D1128" i="2"/>
  <c r="D1159" i="2"/>
  <c r="D1239" i="2"/>
  <c r="D1248" i="2"/>
  <c r="D1279" i="2"/>
  <c r="D1326" i="2"/>
  <c r="D133" i="2"/>
  <c r="D618" i="2"/>
  <c r="D1013" i="2"/>
  <c r="D1083" i="2"/>
  <c r="D1203" i="2"/>
  <c r="D1054" i="2"/>
  <c r="D31" i="2"/>
  <c r="D336" i="2"/>
  <c r="D684" i="2"/>
  <c r="D1206" i="2"/>
  <c r="D49" i="2"/>
  <c r="D58" i="2"/>
  <c r="D106" i="2"/>
  <c r="D220" i="2"/>
  <c r="D291" i="2"/>
  <c r="D363" i="2"/>
  <c r="D489" i="2"/>
  <c r="D498" i="2"/>
  <c r="D529" i="2"/>
  <c r="D639" i="2"/>
  <c r="D663" i="2"/>
  <c r="D679" i="2"/>
  <c r="D743" i="2"/>
  <c r="D809" i="2"/>
  <c r="D833" i="2"/>
  <c r="D938" i="2"/>
  <c r="D1019" i="2"/>
  <c r="D1066" i="2"/>
  <c r="D1113" i="2"/>
  <c r="D1144" i="2"/>
  <c r="D1176" i="2"/>
  <c r="D1224" i="2"/>
  <c r="D1264" i="2"/>
  <c r="D1311" i="2"/>
  <c r="D85" i="2"/>
  <c r="D314" i="2"/>
  <c r="D316" i="2"/>
  <c r="D313" i="2"/>
  <c r="D674" i="2"/>
  <c r="D676" i="2"/>
  <c r="D673" i="2"/>
  <c r="D235" i="2"/>
  <c r="D270" i="2"/>
  <c r="D464" i="2"/>
  <c r="D466" i="2"/>
  <c r="D463" i="2"/>
  <c r="D644" i="2"/>
  <c r="D646" i="2"/>
  <c r="D643" i="2"/>
  <c r="D874" i="2"/>
  <c r="D876" i="2"/>
  <c r="D873" i="2"/>
  <c r="D875" i="2"/>
  <c r="D389" i="2"/>
  <c r="D391" i="2"/>
  <c r="D388" i="2"/>
  <c r="D494" i="2"/>
  <c r="D496" i="2"/>
  <c r="D493" i="2"/>
  <c r="D799" i="2"/>
  <c r="D801" i="2"/>
  <c r="D798" i="2"/>
  <c r="D800" i="2"/>
  <c r="D5" i="2"/>
  <c r="D11" i="2"/>
  <c r="D23" i="2"/>
  <c r="D35" i="2"/>
  <c r="D38" i="2"/>
  <c r="D50" i="2"/>
  <c r="D53" i="2"/>
  <c r="D65" i="2"/>
  <c r="D68" i="2"/>
  <c r="D71" i="2"/>
  <c r="D80" i="2"/>
  <c r="D83" i="2"/>
  <c r="D86" i="2"/>
  <c r="D95" i="2"/>
  <c r="D98" i="2"/>
  <c r="D101" i="2"/>
  <c r="D110" i="2"/>
  <c r="D113" i="2"/>
  <c r="D116" i="2"/>
  <c r="D125" i="2"/>
  <c r="D128" i="2"/>
  <c r="D131" i="2"/>
  <c r="D140" i="2"/>
  <c r="D143" i="2"/>
  <c r="D146" i="2"/>
  <c r="D155" i="2"/>
  <c r="D158" i="2"/>
  <c r="D161" i="2"/>
  <c r="D170" i="2"/>
  <c r="D173" i="2"/>
  <c r="D176" i="2"/>
  <c r="D185" i="2"/>
  <c r="D188" i="2"/>
  <c r="D191" i="2"/>
  <c r="D200" i="2"/>
  <c r="D203" i="2"/>
  <c r="D206" i="2"/>
  <c r="D215" i="2"/>
  <c r="D218" i="2"/>
  <c r="D221" i="2"/>
  <c r="D230" i="2"/>
  <c r="D233" i="2"/>
  <c r="D236" i="2"/>
  <c r="D245" i="2"/>
  <c r="D248" i="2"/>
  <c r="D434" i="2"/>
  <c r="D436" i="2"/>
  <c r="D433" i="2"/>
  <c r="D614" i="2"/>
  <c r="D616" i="2"/>
  <c r="D613" i="2"/>
  <c r="D754" i="2"/>
  <c r="D756" i="2"/>
  <c r="D753" i="2"/>
  <c r="D755" i="2"/>
  <c r="D175" i="2"/>
  <c r="D569" i="2"/>
  <c r="D571" i="2"/>
  <c r="D568" i="2"/>
  <c r="D1009" i="2"/>
  <c r="D1011" i="2"/>
  <c r="D1008" i="2"/>
  <c r="D8" i="2"/>
  <c r="D20" i="2"/>
  <c r="D26" i="2"/>
  <c r="D41" i="2"/>
  <c r="D56" i="2"/>
  <c r="D281" i="2"/>
  <c r="D278" i="2"/>
  <c r="D329" i="2"/>
  <c r="D331" i="2"/>
  <c r="D328" i="2"/>
  <c r="D509" i="2"/>
  <c r="D511" i="2"/>
  <c r="D508" i="2"/>
  <c r="D689" i="2"/>
  <c r="D691" i="2"/>
  <c r="D688" i="2"/>
  <c r="D130" i="2"/>
  <c r="D205" i="2"/>
  <c r="D250" i="2"/>
  <c r="D271" i="2"/>
  <c r="D404" i="2"/>
  <c r="D406" i="2"/>
  <c r="D403" i="2"/>
  <c r="D584" i="2"/>
  <c r="D586" i="2"/>
  <c r="D583" i="2"/>
  <c r="D268" i="2"/>
  <c r="D299" i="2"/>
  <c r="D301" i="2"/>
  <c r="D298" i="2"/>
  <c r="D479" i="2"/>
  <c r="D481" i="2"/>
  <c r="D478" i="2"/>
  <c r="D659" i="2"/>
  <c r="D661" i="2"/>
  <c r="D658" i="2"/>
  <c r="D10" i="2"/>
  <c r="D6" i="2"/>
  <c r="D18" i="2"/>
  <c r="D33" i="2"/>
  <c r="D48" i="2"/>
  <c r="D54" i="2"/>
  <c r="D63" i="2"/>
  <c r="D78" i="2"/>
  <c r="D93" i="2"/>
  <c r="D99" i="2"/>
  <c r="D108" i="2"/>
  <c r="D114" i="2"/>
  <c r="D123" i="2"/>
  <c r="D138" i="2"/>
  <c r="D144" i="2"/>
  <c r="D153" i="2"/>
  <c r="D159" i="2"/>
  <c r="D168" i="2"/>
  <c r="D183" i="2"/>
  <c r="D198" i="2"/>
  <c r="D213" i="2"/>
  <c r="D228" i="2"/>
  <c r="D243" i="2"/>
  <c r="D249" i="2"/>
  <c r="D374" i="2"/>
  <c r="D376" i="2"/>
  <c r="D373" i="2"/>
  <c r="D554" i="2"/>
  <c r="D556" i="2"/>
  <c r="D553" i="2"/>
  <c r="D266" i="2"/>
  <c r="D263" i="2"/>
  <c r="D449" i="2"/>
  <c r="D451" i="2"/>
  <c r="D448" i="2"/>
  <c r="D629" i="2"/>
  <c r="D631" i="2"/>
  <c r="D628" i="2"/>
  <c r="D296" i="2"/>
  <c r="D293" i="2"/>
  <c r="D359" i="2"/>
  <c r="D361" i="2"/>
  <c r="D358" i="2"/>
  <c r="D539" i="2"/>
  <c r="D541" i="2"/>
  <c r="D538" i="2"/>
  <c r="D256" i="2"/>
  <c r="D285" i="2"/>
  <c r="D315" i="2"/>
  <c r="D344" i="2"/>
  <c r="D346" i="2"/>
  <c r="D343" i="2"/>
  <c r="D495" i="2"/>
  <c r="D524" i="2"/>
  <c r="D526" i="2"/>
  <c r="D523" i="2"/>
  <c r="D675" i="2"/>
  <c r="D704" i="2"/>
  <c r="D706" i="2"/>
  <c r="D703" i="2"/>
  <c r="D253" i="2"/>
  <c r="D390" i="2"/>
  <c r="D419" i="2"/>
  <c r="D421" i="2"/>
  <c r="D418" i="2"/>
  <c r="D570" i="2"/>
  <c r="D599" i="2"/>
  <c r="D601" i="2"/>
  <c r="D598" i="2"/>
  <c r="D919" i="2"/>
  <c r="D921" i="2"/>
  <c r="D918" i="2"/>
  <c r="D964" i="2"/>
  <c r="D966" i="2"/>
  <c r="D963" i="2"/>
  <c r="D1319" i="2"/>
  <c r="D1321" i="2"/>
  <c r="D1318" i="2"/>
  <c r="D310" i="2"/>
  <c r="D325" i="2"/>
  <c r="D340" i="2"/>
  <c r="D355" i="2"/>
  <c r="D370" i="2"/>
  <c r="D385" i="2"/>
  <c r="D400" i="2"/>
  <c r="D415" i="2"/>
  <c r="D430" i="2"/>
  <c r="D445" i="2"/>
  <c r="D460" i="2"/>
  <c r="D475" i="2"/>
  <c r="D490" i="2"/>
  <c r="D505" i="2"/>
  <c r="D520" i="2"/>
  <c r="D535" i="2"/>
  <c r="D550" i="2"/>
  <c r="D565" i="2"/>
  <c r="D580" i="2"/>
  <c r="D595" i="2"/>
  <c r="D610" i="2"/>
  <c r="D625" i="2"/>
  <c r="D640" i="2"/>
  <c r="D655" i="2"/>
  <c r="D670" i="2"/>
  <c r="D685" i="2"/>
  <c r="D700" i="2"/>
  <c r="D715" i="2"/>
  <c r="D844" i="2"/>
  <c r="D846" i="2"/>
  <c r="D843" i="2"/>
  <c r="D1169" i="2"/>
  <c r="D1171" i="2"/>
  <c r="D1168" i="2"/>
  <c r="D1170" i="2"/>
  <c r="D724" i="2"/>
  <c r="D726" i="2"/>
  <c r="D723" i="2"/>
  <c r="D769" i="2"/>
  <c r="D771" i="2"/>
  <c r="D768" i="2"/>
  <c r="D889" i="2"/>
  <c r="D891" i="2"/>
  <c r="D888" i="2"/>
  <c r="D814" i="2"/>
  <c r="D816" i="2"/>
  <c r="D813" i="2"/>
  <c r="D934" i="2"/>
  <c r="D936" i="2"/>
  <c r="D933" i="2"/>
  <c r="D1139" i="2"/>
  <c r="D1141" i="2"/>
  <c r="D1138" i="2"/>
  <c r="D979" i="2"/>
  <c r="D981" i="2"/>
  <c r="D978" i="2"/>
  <c r="D1024" i="2"/>
  <c r="D1026" i="2"/>
  <c r="D1023" i="2"/>
  <c r="D308" i="2"/>
  <c r="D323" i="2"/>
  <c r="D338" i="2"/>
  <c r="D353" i="2"/>
  <c r="D368" i="2"/>
  <c r="D383" i="2"/>
  <c r="D398" i="2"/>
  <c r="D413" i="2"/>
  <c r="D428" i="2"/>
  <c r="D443" i="2"/>
  <c r="D458" i="2"/>
  <c r="D473" i="2"/>
  <c r="D488" i="2"/>
  <c r="D503" i="2"/>
  <c r="D518" i="2"/>
  <c r="D533" i="2"/>
  <c r="D548" i="2"/>
  <c r="D563" i="2"/>
  <c r="D578" i="2"/>
  <c r="D593" i="2"/>
  <c r="D608" i="2"/>
  <c r="D623" i="2"/>
  <c r="D638" i="2"/>
  <c r="D653" i="2"/>
  <c r="D668" i="2"/>
  <c r="D683" i="2"/>
  <c r="D698" i="2"/>
  <c r="D713" i="2"/>
  <c r="D859" i="2"/>
  <c r="D861" i="2"/>
  <c r="D858" i="2"/>
  <c r="D739" i="2"/>
  <c r="D741" i="2"/>
  <c r="D738" i="2"/>
  <c r="D784" i="2"/>
  <c r="D786" i="2"/>
  <c r="D783" i="2"/>
  <c r="D904" i="2"/>
  <c r="D906" i="2"/>
  <c r="D903" i="2"/>
  <c r="D949" i="2"/>
  <c r="D951" i="2"/>
  <c r="D948" i="2"/>
  <c r="D829" i="2"/>
  <c r="D831" i="2"/>
  <c r="D828" i="2"/>
  <c r="D994" i="2"/>
  <c r="D996" i="2"/>
  <c r="D993" i="2"/>
  <c r="D1244" i="2"/>
  <c r="D1246" i="2"/>
  <c r="D1243" i="2"/>
  <c r="D1061" i="2"/>
  <c r="D1058" i="2"/>
  <c r="D1214" i="2"/>
  <c r="D1216" i="2"/>
  <c r="D1213" i="2"/>
  <c r="D1035" i="2"/>
  <c r="D1051" i="2"/>
  <c r="D1109" i="2"/>
  <c r="D1111" i="2"/>
  <c r="D1108" i="2"/>
  <c r="D1289" i="2"/>
  <c r="D1291" i="2"/>
  <c r="D1288" i="2"/>
  <c r="D1048" i="2"/>
  <c r="D1079" i="2"/>
  <c r="D1081" i="2"/>
  <c r="D1184" i="2"/>
  <c r="D1186" i="2"/>
  <c r="D1183" i="2"/>
  <c r="D720" i="2"/>
  <c r="D729" i="2"/>
  <c r="D735" i="2"/>
  <c r="D744" i="2"/>
  <c r="D750" i="2"/>
  <c r="D759" i="2"/>
  <c r="D765" i="2"/>
  <c r="D774" i="2"/>
  <c r="D780" i="2"/>
  <c r="D789" i="2"/>
  <c r="D795" i="2"/>
  <c r="D810" i="2"/>
  <c r="D825" i="2"/>
  <c r="D840" i="2"/>
  <c r="D849" i="2"/>
  <c r="D855" i="2"/>
  <c r="D870" i="2"/>
  <c r="D879" i="2"/>
  <c r="D885" i="2"/>
  <c r="D894" i="2"/>
  <c r="D900" i="2"/>
  <c r="D909" i="2"/>
  <c r="D915" i="2"/>
  <c r="D924" i="2"/>
  <c r="D930" i="2"/>
  <c r="D939" i="2"/>
  <c r="D945" i="2"/>
  <c r="D954" i="2"/>
  <c r="D960" i="2"/>
  <c r="D975" i="2"/>
  <c r="D984" i="2"/>
  <c r="D990" i="2"/>
  <c r="D999" i="2"/>
  <c r="D1005" i="2"/>
  <c r="D1014" i="2"/>
  <c r="D1020" i="2"/>
  <c r="D1259" i="2"/>
  <c r="D1261" i="2"/>
  <c r="D1258" i="2"/>
  <c r="D1046" i="2"/>
  <c r="D1043" i="2"/>
  <c r="D1154" i="2"/>
  <c r="D1156" i="2"/>
  <c r="D1153" i="2"/>
  <c r="D1334" i="2"/>
  <c r="D1336" i="2"/>
  <c r="D1333" i="2"/>
  <c r="D1036" i="2"/>
  <c r="D1229" i="2"/>
  <c r="D1231" i="2"/>
  <c r="D1228" i="2"/>
  <c r="D1033" i="2"/>
  <c r="D1078" i="2"/>
  <c r="D1124" i="2"/>
  <c r="D1126" i="2"/>
  <c r="D1123" i="2"/>
  <c r="D1304" i="2"/>
  <c r="D1306" i="2"/>
  <c r="D1303" i="2"/>
  <c r="D718" i="2"/>
  <c r="D733" i="2"/>
  <c r="D748" i="2"/>
  <c r="D763" i="2"/>
  <c r="D778" i="2"/>
  <c r="D793" i="2"/>
  <c r="D808" i="2"/>
  <c r="D823" i="2"/>
  <c r="D838" i="2"/>
  <c r="D853" i="2"/>
  <c r="D868" i="2"/>
  <c r="D883" i="2"/>
  <c r="D913" i="2"/>
  <c r="D928" i="2"/>
  <c r="D943" i="2"/>
  <c r="D958" i="2"/>
  <c r="D973" i="2"/>
  <c r="D988" i="2"/>
  <c r="D1003" i="2"/>
  <c r="D1018" i="2"/>
  <c r="D1030" i="2"/>
  <c r="D1059" i="2"/>
  <c r="D1199" i="2"/>
  <c r="D1201" i="2"/>
  <c r="D1198" i="2"/>
  <c r="D1076" i="2"/>
  <c r="D1073" i="2"/>
  <c r="D1094" i="2"/>
  <c r="D1096" i="2"/>
  <c r="D1093" i="2"/>
  <c r="D1245" i="2"/>
  <c r="D1274" i="2"/>
  <c r="D1276" i="2"/>
  <c r="D1273" i="2"/>
  <c r="D1090" i="2"/>
  <c r="D1105" i="2"/>
  <c r="D1120" i="2"/>
  <c r="D1135" i="2"/>
  <c r="D1150" i="2"/>
  <c r="D1165" i="2"/>
  <c r="D1180" i="2"/>
  <c r="D1195" i="2"/>
  <c r="D1210" i="2"/>
  <c r="D1225" i="2"/>
  <c r="D1240" i="2"/>
  <c r="D1255" i="2"/>
  <c r="D1270" i="2"/>
  <c r="D1285" i="2"/>
  <c r="D1300" i="2"/>
  <c r="D1315" i="2"/>
  <c r="D1330" i="2"/>
  <c r="D1345" i="2"/>
  <c r="D1088" i="2"/>
  <c r="D1103" i="2"/>
  <c r="D1118" i="2"/>
  <c r="D1133" i="2"/>
  <c r="D1148" i="2"/>
  <c r="D1163" i="2"/>
  <c r="D1178" i="2"/>
  <c r="D1193" i="2"/>
  <c r="D1208" i="2"/>
  <c r="D1223" i="2"/>
  <c r="D1238" i="2"/>
  <c r="D1253" i="2"/>
  <c r="D1268" i="2"/>
  <c r="D1283" i="2"/>
  <c r="D1298" i="2"/>
  <c r="D1313" i="2"/>
  <c r="D1328" i="2"/>
  <c r="D1343" i="2"/>
  <c r="R2170" i="2" l="1"/>
  <c r="T2170" i="2" s="1"/>
  <c r="R2143" i="2"/>
  <c r="T2143" i="2" s="1"/>
  <c r="R2162" i="2"/>
  <c r="T2162" i="2" s="1"/>
  <c r="R2144" i="2"/>
  <c r="T2144" i="2" s="1"/>
  <c r="R2148" i="2"/>
  <c r="T2148" i="2" s="1"/>
  <c r="R2127" i="2"/>
  <c r="T2127" i="2" s="1"/>
  <c r="R2168" i="2"/>
  <c r="T2168" i="2" s="1"/>
  <c r="R2169" i="2"/>
  <c r="T2169" i="2" s="1"/>
  <c r="R2167" i="2"/>
  <c r="T2167" i="2" s="1"/>
  <c r="R2171" i="2"/>
  <c r="T2171" i="2" s="1"/>
  <c r="R2158" i="2"/>
  <c r="T2158" i="2" s="1"/>
  <c r="R2156" i="2"/>
  <c r="T2156" i="2" s="1"/>
  <c r="R2151" i="2"/>
  <c r="T2151" i="2" s="1"/>
  <c r="R2131" i="2"/>
  <c r="T2131" i="2" s="1"/>
  <c r="R2140" i="2"/>
  <c r="T2140" i="2" s="1"/>
  <c r="R2128" i="2"/>
  <c r="T2128" i="2" s="1"/>
  <c r="R2153" i="2"/>
  <c r="T2153" i="2" s="1"/>
  <c r="R2146" i="2"/>
  <c r="T2146" i="2" s="1"/>
  <c r="R2165" i="2"/>
  <c r="T2165" i="2" s="1"/>
  <c r="R2163" i="2"/>
  <c r="T2163" i="2" s="1"/>
  <c r="R2136" i="2"/>
  <c r="T2136" i="2" s="1"/>
  <c r="R2137" i="2"/>
  <c r="T2137" i="2" s="1"/>
  <c r="R2129" i="2"/>
  <c r="T2129" i="2" s="1"/>
  <c r="R2135" i="2"/>
  <c r="T2135" i="2" s="1"/>
  <c r="R2132" i="2"/>
  <c r="T2132" i="2" s="1"/>
  <c r="R2157" i="2"/>
  <c r="T2157" i="2" s="1"/>
  <c r="R2145" i="2"/>
  <c r="T2145" i="2" s="1"/>
  <c r="R2141" i="2"/>
  <c r="T2141" i="2" s="1"/>
  <c r="R2160" i="2"/>
  <c r="T2160" i="2" s="1"/>
  <c r="R2133" i="2"/>
  <c r="T2133" i="2" s="1"/>
  <c r="R2149" i="2"/>
  <c r="T2149" i="2" s="1"/>
  <c r="R2152" i="2"/>
  <c r="T2152" i="2" s="1"/>
  <c r="R2061" i="2"/>
  <c r="T2061" i="2" s="1"/>
  <c r="R2130" i="2"/>
  <c r="T2130" i="2" s="1"/>
  <c r="R2166" i="2"/>
  <c r="T2166" i="2" s="1"/>
  <c r="R2150" i="2"/>
  <c r="T2150" i="2" s="1"/>
  <c r="R2154" i="2"/>
  <c r="T2154" i="2" s="1"/>
  <c r="R2134" i="2"/>
  <c r="T2134" i="2" s="1"/>
  <c r="R2155" i="2"/>
  <c r="T2155" i="2" s="1"/>
  <c r="R2138" i="2"/>
  <c r="T2138" i="2" s="1"/>
  <c r="R2147" i="2"/>
  <c r="T2147" i="2" s="1"/>
  <c r="R2142" i="2"/>
  <c r="T2142" i="2" s="1"/>
  <c r="R2164" i="2"/>
  <c r="T2164" i="2" s="1"/>
  <c r="R2161" i="2"/>
  <c r="T2161" i="2" s="1"/>
  <c r="R2159" i="2"/>
  <c r="T2159" i="2" s="1"/>
  <c r="R2139" i="2"/>
  <c r="T2139" i="2" s="1"/>
  <c r="R2046" i="2"/>
  <c r="T2046" i="2" s="1"/>
  <c r="R2048" i="2"/>
  <c r="T2048" i="2" s="1"/>
  <c r="R2060" i="2"/>
  <c r="T2060" i="2" s="1"/>
  <c r="R2113" i="2"/>
  <c r="T2113" i="2" s="1"/>
  <c r="R1960" i="2"/>
  <c r="T1960" i="2" s="1"/>
  <c r="R1941" i="2"/>
  <c r="T1941" i="2" s="1"/>
  <c r="R2008" i="2"/>
  <c r="T2008" i="2" s="1"/>
  <c r="R2094" i="2"/>
  <c r="T2094" i="2" s="1"/>
  <c r="R2022" i="2"/>
  <c r="T2022" i="2" s="1"/>
  <c r="R2117" i="2"/>
  <c r="T2117" i="2" s="1"/>
  <c r="R2119" i="2"/>
  <c r="T2119" i="2" s="1"/>
  <c r="R2102" i="2"/>
  <c r="T2102" i="2" s="1"/>
  <c r="R2030" i="2"/>
  <c r="T2030" i="2" s="1"/>
  <c r="R2074" i="2"/>
  <c r="T2074" i="2" s="1"/>
  <c r="R2103" i="2"/>
  <c r="T2103" i="2" s="1"/>
  <c r="R2023" i="2"/>
  <c r="T2023" i="2" s="1"/>
  <c r="R2126" i="2"/>
  <c r="T2126" i="2" s="1"/>
  <c r="R2116" i="2"/>
  <c r="T2116" i="2" s="1"/>
  <c r="R2084" i="2"/>
  <c r="T2084" i="2" s="1"/>
  <c r="R2065" i="2"/>
  <c r="T2065" i="2" s="1"/>
  <c r="R2057" i="2"/>
  <c r="T2057" i="2" s="1"/>
  <c r="R2047" i="2"/>
  <c r="T2047" i="2" s="1"/>
  <c r="R2082" i="2"/>
  <c r="T2082" i="2" s="1"/>
  <c r="R2112" i="2"/>
  <c r="T2112" i="2" s="1"/>
  <c r="R2034" i="2"/>
  <c r="T2034" i="2" s="1"/>
  <c r="R2100" i="2"/>
  <c r="T2100" i="2" s="1"/>
  <c r="R2026" i="2"/>
  <c r="T2026" i="2" s="1"/>
  <c r="R2123" i="2"/>
  <c r="T2123" i="2" s="1"/>
  <c r="R2024" i="2"/>
  <c r="T2024" i="2" s="1"/>
  <c r="R2092" i="2"/>
  <c r="T2092" i="2" s="1"/>
  <c r="R2088" i="2"/>
  <c r="T2088" i="2" s="1"/>
  <c r="R2027" i="2"/>
  <c r="T2027" i="2" s="1"/>
  <c r="R2079" i="2"/>
  <c r="T2079" i="2" s="1"/>
  <c r="R2068" i="2"/>
  <c r="T2068" i="2" s="1"/>
  <c r="R2059" i="2"/>
  <c r="T2059" i="2" s="1"/>
  <c r="R2105" i="2"/>
  <c r="T2105" i="2" s="1"/>
  <c r="R2122" i="2"/>
  <c r="T2122" i="2" s="1"/>
  <c r="R2108" i="2"/>
  <c r="T2108" i="2" s="1"/>
  <c r="R2096" i="2"/>
  <c r="T2096" i="2" s="1"/>
  <c r="R2086" i="2"/>
  <c r="T2086" i="2" s="1"/>
  <c r="R2025" i="2"/>
  <c r="T2025" i="2" s="1"/>
  <c r="R2073" i="2"/>
  <c r="T2073" i="2" s="1"/>
  <c r="R2038" i="2"/>
  <c r="T2038" i="2" s="1"/>
  <c r="R2101" i="2"/>
  <c r="T2101" i="2" s="1"/>
  <c r="R2075" i="2"/>
  <c r="T2075" i="2" s="1"/>
  <c r="R2071" i="2"/>
  <c r="T2071" i="2" s="1"/>
  <c r="R2110" i="2"/>
  <c r="T2110" i="2" s="1"/>
  <c r="R2037" i="2"/>
  <c r="T2037" i="2" s="1"/>
  <c r="R2115" i="2"/>
  <c r="T2115" i="2" s="1"/>
  <c r="R2085" i="2"/>
  <c r="T2085" i="2" s="1"/>
  <c r="R2040" i="2"/>
  <c r="T2040" i="2" s="1"/>
  <c r="R2044" i="2"/>
  <c r="T2044" i="2" s="1"/>
  <c r="R2107" i="2"/>
  <c r="T2107" i="2" s="1"/>
  <c r="R2083" i="2"/>
  <c r="T2083" i="2" s="1"/>
  <c r="R2125" i="2"/>
  <c r="T2125" i="2" s="1"/>
  <c r="R2077" i="2"/>
  <c r="T2077" i="2" s="1"/>
  <c r="R2067" i="2"/>
  <c r="T2067" i="2" s="1"/>
  <c r="R2080" i="2"/>
  <c r="T2080" i="2" s="1"/>
  <c r="R2055" i="2"/>
  <c r="T2055" i="2" s="1"/>
  <c r="R2064" i="2"/>
  <c r="T2064" i="2" s="1"/>
  <c r="R2114" i="2"/>
  <c r="T2114" i="2" s="1"/>
  <c r="R2087" i="2"/>
  <c r="T2087" i="2" s="1"/>
  <c r="R2063" i="2"/>
  <c r="T2063" i="2" s="1"/>
  <c r="R2029" i="2"/>
  <c r="T2029" i="2" s="1"/>
  <c r="R2045" i="2"/>
  <c r="T2045" i="2" s="1"/>
  <c r="R2104" i="2"/>
  <c r="T2104" i="2" s="1"/>
  <c r="R2033" i="2"/>
  <c r="T2033" i="2" s="1"/>
  <c r="R2039" i="2"/>
  <c r="T2039" i="2" s="1"/>
  <c r="R2069" i="2"/>
  <c r="T2069" i="2" s="1"/>
  <c r="R2099" i="2"/>
  <c r="T2099" i="2" s="1"/>
  <c r="R2066" i="2"/>
  <c r="T2066" i="2" s="1"/>
  <c r="R2093" i="2"/>
  <c r="T2093" i="2" s="1"/>
  <c r="R2090" i="2"/>
  <c r="T2090" i="2" s="1"/>
  <c r="R2120" i="2"/>
  <c r="T2120" i="2" s="1"/>
  <c r="R2081" i="2"/>
  <c r="T2081" i="2" s="1"/>
  <c r="R2043" i="2"/>
  <c r="T2043" i="2" s="1"/>
  <c r="R2050" i="2"/>
  <c r="T2050" i="2" s="1"/>
  <c r="R2109" i="2"/>
  <c r="T2109" i="2" s="1"/>
  <c r="R2049" i="2"/>
  <c r="T2049" i="2" s="1"/>
  <c r="R2052" i="2"/>
  <c r="T2052" i="2" s="1"/>
  <c r="R2076" i="2"/>
  <c r="T2076" i="2" s="1"/>
  <c r="R2035" i="2"/>
  <c r="T2035" i="2" s="1"/>
  <c r="R2036" i="2"/>
  <c r="T2036" i="2" s="1"/>
  <c r="R2053" i="2"/>
  <c r="T2053" i="2" s="1"/>
  <c r="R2058" i="2"/>
  <c r="T2058" i="2" s="1"/>
  <c r="R2124" i="2"/>
  <c r="T2124" i="2" s="1"/>
  <c r="R2095" i="2"/>
  <c r="T2095" i="2" s="1"/>
  <c r="R2111" i="2"/>
  <c r="T2111" i="2" s="1"/>
  <c r="R2054" i="2"/>
  <c r="T2054" i="2" s="1"/>
  <c r="R2118" i="2"/>
  <c r="T2118" i="2" s="1"/>
  <c r="R2042" i="2"/>
  <c r="T2042" i="2" s="1"/>
  <c r="R2070" i="2"/>
  <c r="T2070" i="2" s="1"/>
  <c r="R2028" i="2"/>
  <c r="T2028" i="2" s="1"/>
  <c r="R2089" i="2"/>
  <c r="T2089" i="2" s="1"/>
  <c r="R2078" i="2"/>
  <c r="T2078" i="2" s="1"/>
  <c r="R2091" i="2"/>
  <c r="T2091" i="2" s="1"/>
  <c r="R2097" i="2"/>
  <c r="T2097" i="2" s="1"/>
  <c r="R2051" i="2"/>
  <c r="T2051" i="2" s="1"/>
  <c r="R2041" i="2"/>
  <c r="T2041" i="2" s="1"/>
  <c r="R2121" i="2"/>
  <c r="T2121" i="2" s="1"/>
  <c r="R2062" i="2"/>
  <c r="T2062" i="2" s="1"/>
  <c r="R2056" i="2"/>
  <c r="T2056" i="2" s="1"/>
  <c r="R2031" i="2"/>
  <c r="T2031" i="2" s="1"/>
  <c r="R2072" i="2"/>
  <c r="T2072" i="2" s="1"/>
  <c r="R2032" i="2"/>
  <c r="T2032" i="2" s="1"/>
  <c r="R2106" i="2"/>
  <c r="T2106" i="2" s="1"/>
  <c r="R2098" i="2"/>
  <c r="T2098" i="2" s="1"/>
  <c r="R1981" i="2"/>
  <c r="T1981" i="2" s="1"/>
  <c r="R1946" i="2"/>
  <c r="T1946" i="2" s="1"/>
  <c r="R1956" i="2"/>
  <c r="T1956" i="2" s="1"/>
  <c r="R2009" i="2"/>
  <c r="T2009" i="2" s="1"/>
  <c r="R2020" i="2"/>
  <c r="T2020" i="2" s="1"/>
  <c r="R1934" i="2"/>
  <c r="T1934" i="2" s="1"/>
  <c r="R1980" i="2"/>
  <c r="T1980" i="2" s="1"/>
  <c r="R1954" i="2"/>
  <c r="T1954" i="2" s="1"/>
  <c r="R2021" i="2"/>
  <c r="T2021" i="2" s="1"/>
  <c r="R1939" i="2"/>
  <c r="T1939" i="2" s="1"/>
  <c r="R1993" i="2"/>
  <c r="T1993" i="2" s="1"/>
  <c r="R1975" i="2"/>
  <c r="T1975" i="2" s="1"/>
  <c r="R1932" i="2"/>
  <c r="T1932" i="2" s="1"/>
  <c r="R1973" i="2"/>
  <c r="T1973" i="2" s="1"/>
  <c r="R2000" i="2"/>
  <c r="T2000" i="2" s="1"/>
  <c r="R1992" i="2"/>
  <c r="T1992" i="2" s="1"/>
  <c r="R2018" i="2"/>
  <c r="T2018" i="2" s="1"/>
  <c r="R1938" i="2"/>
  <c r="T1938" i="2" s="1"/>
  <c r="R1964" i="2"/>
  <c r="T1964" i="2" s="1"/>
  <c r="R1995" i="2"/>
  <c r="T1995" i="2" s="1"/>
  <c r="R1943" i="2"/>
  <c r="T1943" i="2" s="1"/>
  <c r="R1974" i="2"/>
  <c r="T1974" i="2" s="1"/>
  <c r="R2019" i="2"/>
  <c r="T2019" i="2" s="1"/>
  <c r="R1963" i="2"/>
  <c r="T1963" i="2" s="1"/>
  <c r="R1976" i="2"/>
  <c r="T1976" i="2" s="1"/>
  <c r="R1944" i="2"/>
  <c r="T1944" i="2" s="1"/>
  <c r="R1987" i="2"/>
  <c r="T1987" i="2" s="1"/>
  <c r="R1983" i="2"/>
  <c r="T1983" i="2" s="1"/>
  <c r="R1965" i="2"/>
  <c r="T1965" i="2" s="1"/>
  <c r="R1959" i="2"/>
  <c r="T1959" i="2" s="1"/>
  <c r="R1996" i="2"/>
  <c r="T1996" i="2" s="1"/>
  <c r="R1950" i="2"/>
  <c r="T1950" i="2" s="1"/>
  <c r="R1982" i="2"/>
  <c r="T1982" i="2" s="1"/>
  <c r="R1937" i="2"/>
  <c r="T1937" i="2" s="1"/>
  <c r="R1966" i="2"/>
  <c r="T1966" i="2" s="1"/>
  <c r="R2003" i="2"/>
  <c r="T2003" i="2" s="1"/>
  <c r="R1990" i="2"/>
  <c r="T1990" i="2" s="1"/>
  <c r="R2010" i="2"/>
  <c r="T2010" i="2" s="1"/>
  <c r="R1971" i="2"/>
  <c r="T1971" i="2" s="1"/>
  <c r="R2014" i="2"/>
  <c r="T2014" i="2" s="1"/>
  <c r="R1962" i="2"/>
  <c r="T1962" i="2" s="1"/>
  <c r="R1985" i="2"/>
  <c r="T1985" i="2" s="1"/>
  <c r="R1978" i="2"/>
  <c r="T1978" i="2" s="1"/>
  <c r="R2001" i="2"/>
  <c r="T2001" i="2" s="1"/>
  <c r="R2015" i="2"/>
  <c r="T2015" i="2" s="1"/>
  <c r="R2006" i="2"/>
  <c r="T2006" i="2" s="1"/>
  <c r="R1997" i="2"/>
  <c r="T1997" i="2" s="1"/>
  <c r="R1998" i="2"/>
  <c r="T1998" i="2" s="1"/>
  <c r="R2017" i="2"/>
  <c r="T2017" i="2" s="1"/>
  <c r="R1953" i="2"/>
  <c r="T1953" i="2" s="1"/>
  <c r="R1979" i="2"/>
  <c r="T1979" i="2" s="1"/>
  <c r="R1945" i="2"/>
  <c r="T1945" i="2" s="1"/>
  <c r="R1927" i="2"/>
  <c r="T1927" i="2" s="1"/>
  <c r="R1949" i="2"/>
  <c r="T1949" i="2" s="1"/>
  <c r="R1969" i="2"/>
  <c r="T1969" i="2" s="1"/>
  <c r="R2007" i="2"/>
  <c r="T2007" i="2" s="1"/>
  <c r="R2005" i="2"/>
  <c r="T2005" i="2" s="1"/>
  <c r="R2016" i="2"/>
  <c r="T2016" i="2" s="1"/>
  <c r="R1970" i="2"/>
  <c r="T1970" i="2" s="1"/>
  <c r="R1952" i="2"/>
  <c r="T1952" i="2" s="1"/>
  <c r="R1958" i="2"/>
  <c r="T1958" i="2" s="1"/>
  <c r="R1986" i="2"/>
  <c r="T1986" i="2" s="1"/>
  <c r="R1988" i="2"/>
  <c r="T1988" i="2" s="1"/>
  <c r="R1961" i="2"/>
  <c r="T1961" i="2" s="1"/>
  <c r="R1984" i="2"/>
  <c r="T1984" i="2" s="1"/>
  <c r="R1957" i="2"/>
  <c r="T1957" i="2" s="1"/>
  <c r="R1942" i="2"/>
  <c r="T1942" i="2" s="1"/>
  <c r="R1967" i="2"/>
  <c r="T1967" i="2" s="1"/>
  <c r="R1977" i="2"/>
  <c r="T1977" i="2" s="1"/>
  <c r="R1955" i="2"/>
  <c r="T1955" i="2" s="1"/>
  <c r="R2004" i="2"/>
  <c r="T2004" i="2" s="1"/>
  <c r="R1989" i="2"/>
  <c r="T1989" i="2" s="1"/>
  <c r="R1972" i="2"/>
  <c r="T1972" i="2" s="1"/>
  <c r="R1994" i="2"/>
  <c r="T1994" i="2" s="1"/>
  <c r="R2012" i="2"/>
  <c r="T2012" i="2" s="1"/>
  <c r="R1991" i="2"/>
  <c r="T1991" i="2" s="1"/>
  <c r="R2011" i="2"/>
  <c r="T2011" i="2" s="1"/>
  <c r="R1968" i="2"/>
  <c r="T1968" i="2" s="1"/>
  <c r="R1929" i="2"/>
  <c r="T1929" i="2" s="1"/>
  <c r="R1940" i="2"/>
  <c r="T1940" i="2" s="1"/>
  <c r="R2013" i="2"/>
  <c r="T2013" i="2" s="1"/>
  <c r="R1947" i="2"/>
  <c r="T1947" i="2" s="1"/>
  <c r="R1999" i="2"/>
  <c r="T1999" i="2" s="1"/>
  <c r="R1951" i="2"/>
  <c r="T1951" i="2" s="1"/>
  <c r="R1948" i="2"/>
  <c r="T1948" i="2" s="1"/>
  <c r="R2002" i="2"/>
  <c r="T2002" i="2" s="1"/>
  <c r="R1931" i="2"/>
  <c r="T1931" i="2" s="1"/>
  <c r="R1928" i="2"/>
  <c r="T1928" i="2" s="1"/>
  <c r="R1933" i="2"/>
  <c r="T1933" i="2" s="1"/>
  <c r="R1936" i="2"/>
  <c r="T1936" i="2" s="1"/>
  <c r="R1930" i="2"/>
  <c r="T1930" i="2" s="1"/>
  <c r="R1935" i="2"/>
  <c r="T1935" i="2" s="1"/>
  <c r="R1919" i="2"/>
  <c r="T1919" i="2" s="1"/>
  <c r="R1915" i="2"/>
  <c r="T1915" i="2" s="1"/>
  <c r="R1925" i="2"/>
  <c r="T1925" i="2" s="1"/>
  <c r="R1926" i="2"/>
  <c r="T1926" i="2" s="1"/>
  <c r="R1922" i="2"/>
  <c r="T1922" i="2" s="1"/>
  <c r="R1923" i="2"/>
  <c r="T1923" i="2" s="1"/>
  <c r="R1924" i="2"/>
  <c r="T1924" i="2" s="1"/>
  <c r="R1920" i="2"/>
  <c r="T1920" i="2" s="1"/>
  <c r="R1913" i="2"/>
  <c r="T1913" i="2" s="1"/>
  <c r="R1918" i="2"/>
  <c r="T1918" i="2" s="1"/>
  <c r="R1916" i="2"/>
  <c r="T1916" i="2" s="1"/>
  <c r="R1912" i="2"/>
  <c r="T1912" i="2" s="1"/>
  <c r="R1914" i="2"/>
  <c r="T1914" i="2" s="1"/>
  <c r="R1917" i="2"/>
  <c r="T1917" i="2" s="1"/>
  <c r="R1921" i="2"/>
  <c r="T1921" i="2" s="1"/>
  <c r="R1900" i="2"/>
  <c r="T1900" i="2" s="1"/>
  <c r="R1907" i="2"/>
  <c r="T1907" i="2" s="1"/>
  <c r="R1863" i="2"/>
  <c r="T1863" i="2" s="1"/>
  <c r="R1864" i="2"/>
  <c r="T1864" i="2" s="1"/>
  <c r="R1862" i="2"/>
  <c r="T1862" i="2" s="1"/>
  <c r="R1875" i="2"/>
  <c r="T1875" i="2" s="1"/>
  <c r="R1890" i="2"/>
  <c r="T1890" i="2" s="1"/>
  <c r="R1868" i="2"/>
  <c r="T1868" i="2" s="1"/>
  <c r="R1897" i="2"/>
  <c r="T1897" i="2" s="1"/>
  <c r="R1902" i="2"/>
  <c r="T1902" i="2" s="1"/>
  <c r="R1894" i="2"/>
  <c r="T1894" i="2" s="1"/>
  <c r="R1880" i="2"/>
  <c r="T1880" i="2" s="1"/>
  <c r="R1898" i="2"/>
  <c r="T1898" i="2" s="1"/>
  <c r="R1909" i="2"/>
  <c r="T1909" i="2" s="1"/>
  <c r="R1876" i="2"/>
  <c r="T1876" i="2" s="1"/>
  <c r="R1879" i="2"/>
  <c r="T1879" i="2" s="1"/>
  <c r="R1870" i="2"/>
  <c r="T1870" i="2" s="1"/>
  <c r="R1881" i="2"/>
  <c r="T1881" i="2" s="1"/>
  <c r="R1874" i="2"/>
  <c r="T1874" i="2" s="1"/>
  <c r="R1859" i="2"/>
  <c r="T1859" i="2" s="1"/>
  <c r="R1871" i="2"/>
  <c r="T1871" i="2" s="1"/>
  <c r="R1892" i="2"/>
  <c r="T1892" i="2" s="1"/>
  <c r="R1891" i="2"/>
  <c r="T1891" i="2" s="1"/>
  <c r="R1895" i="2"/>
  <c r="T1895" i="2" s="1"/>
  <c r="R1883" i="2"/>
  <c r="T1883" i="2" s="1"/>
  <c r="R1910" i="2"/>
  <c r="T1910" i="2" s="1"/>
  <c r="R1858" i="2"/>
  <c r="T1858" i="2" s="1"/>
  <c r="R1860" i="2"/>
  <c r="T1860" i="2" s="1"/>
  <c r="R1906" i="2"/>
  <c r="T1906" i="2" s="1"/>
  <c r="R1887" i="2"/>
  <c r="T1887" i="2" s="1"/>
  <c r="R1908" i="2"/>
  <c r="T1908" i="2" s="1"/>
  <c r="R1869" i="2"/>
  <c r="T1869" i="2" s="1"/>
  <c r="R1867" i="2"/>
  <c r="T1867" i="2" s="1"/>
  <c r="R1901" i="2"/>
  <c r="T1901" i="2" s="1"/>
  <c r="R1861" i="2"/>
  <c r="T1861" i="2" s="1"/>
  <c r="R1872" i="2"/>
  <c r="T1872" i="2" s="1"/>
  <c r="R1899" i="2"/>
  <c r="T1899" i="2" s="1"/>
  <c r="R1882" i="2"/>
  <c r="T1882" i="2" s="1"/>
  <c r="R1878" i="2"/>
  <c r="T1878" i="2" s="1"/>
  <c r="R1886" i="2"/>
  <c r="T1886" i="2" s="1"/>
  <c r="R1885" i="2"/>
  <c r="T1885" i="2" s="1"/>
  <c r="R1865" i="2"/>
  <c r="T1865" i="2" s="1"/>
  <c r="R1904" i="2"/>
  <c r="T1904" i="2" s="1"/>
  <c r="R1911" i="2"/>
  <c r="T1911" i="2" s="1"/>
  <c r="R1893" i="2"/>
  <c r="T1893" i="2" s="1"/>
  <c r="R1888" i="2"/>
  <c r="T1888" i="2" s="1"/>
  <c r="R1884" i="2"/>
  <c r="T1884" i="2" s="1"/>
  <c r="R1905" i="2"/>
  <c r="T1905" i="2" s="1"/>
  <c r="R1903" i="2"/>
  <c r="T1903" i="2" s="1"/>
  <c r="R1873" i="2"/>
  <c r="T1873" i="2" s="1"/>
  <c r="R1896" i="2"/>
  <c r="T1896" i="2" s="1"/>
  <c r="R1866" i="2"/>
  <c r="T1866" i="2" s="1"/>
  <c r="R1889" i="2"/>
  <c r="T1889" i="2" s="1"/>
  <c r="R1857" i="2"/>
  <c r="T1857" i="2" s="1"/>
  <c r="R1877" i="2"/>
  <c r="T1877" i="2" s="1"/>
  <c r="R1855" i="2"/>
  <c r="T1855" i="2" s="1"/>
  <c r="R1847" i="2"/>
  <c r="T1847" i="2" s="1"/>
  <c r="R1825" i="2"/>
  <c r="T1825" i="2" s="1"/>
  <c r="R1841" i="2"/>
  <c r="T1841" i="2" s="1"/>
  <c r="R1853" i="2"/>
  <c r="T1853" i="2" s="1"/>
  <c r="R1852" i="2"/>
  <c r="T1852" i="2" s="1"/>
  <c r="R1854" i="2"/>
  <c r="T1854" i="2" s="1"/>
  <c r="R1856" i="2"/>
  <c r="T1856" i="2" s="1"/>
  <c r="R1834" i="2"/>
  <c r="T1834" i="2" s="1"/>
  <c r="R1800" i="2"/>
  <c r="T1800" i="2" s="1"/>
  <c r="R1801" i="2"/>
  <c r="T1801" i="2" s="1"/>
  <c r="R1818" i="2"/>
  <c r="T1818" i="2" s="1"/>
  <c r="R1835" i="2"/>
  <c r="T1835" i="2" s="1"/>
  <c r="R1797" i="2"/>
  <c r="T1797" i="2" s="1"/>
  <c r="R1832" i="2"/>
  <c r="T1832" i="2" s="1"/>
  <c r="R1792" i="2"/>
  <c r="T1792" i="2" s="1"/>
  <c r="R1815" i="2"/>
  <c r="T1815" i="2" s="1"/>
  <c r="R1833" i="2"/>
  <c r="T1833" i="2" s="1"/>
  <c r="R1844" i="2"/>
  <c r="T1844" i="2" s="1"/>
  <c r="R1807" i="2"/>
  <c r="T1807" i="2" s="1"/>
  <c r="R1845" i="2"/>
  <c r="T1845" i="2" s="1"/>
  <c r="R1787" i="2"/>
  <c r="T1787" i="2" s="1"/>
  <c r="R1805" i="2"/>
  <c r="T1805" i="2" s="1"/>
  <c r="R1831" i="2"/>
  <c r="T1831" i="2" s="1"/>
  <c r="R1793" i="2"/>
  <c r="T1793" i="2" s="1"/>
  <c r="R1812" i="2"/>
  <c r="T1812" i="2" s="1"/>
  <c r="R1821" i="2"/>
  <c r="T1821" i="2" s="1"/>
  <c r="R1790" i="2"/>
  <c r="T1790" i="2" s="1"/>
  <c r="R1849" i="2"/>
  <c r="T1849" i="2" s="1"/>
  <c r="R1846" i="2"/>
  <c r="T1846" i="2" s="1"/>
  <c r="R1819" i="2"/>
  <c r="T1819" i="2" s="1"/>
  <c r="R1843" i="2"/>
  <c r="T1843" i="2" s="1"/>
  <c r="R1804" i="2"/>
  <c r="T1804" i="2" s="1"/>
  <c r="R1837" i="2"/>
  <c r="T1837" i="2" s="1"/>
  <c r="R1851" i="2"/>
  <c r="T1851" i="2" s="1"/>
  <c r="R1808" i="2"/>
  <c r="T1808" i="2" s="1"/>
  <c r="R1830" i="2"/>
  <c r="T1830" i="2" s="1"/>
  <c r="R1789" i="2"/>
  <c r="T1789" i="2" s="1"/>
  <c r="R1803" i="2"/>
  <c r="T1803" i="2" s="1"/>
  <c r="R1824" i="2"/>
  <c r="T1824" i="2" s="1"/>
  <c r="R1820" i="2"/>
  <c r="T1820" i="2" s="1"/>
  <c r="R1822" i="2"/>
  <c r="T1822" i="2" s="1"/>
  <c r="R1799" i="2"/>
  <c r="T1799" i="2" s="1"/>
  <c r="R1795" i="2"/>
  <c r="T1795" i="2" s="1"/>
  <c r="R1839" i="2"/>
  <c r="T1839" i="2" s="1"/>
  <c r="R1827" i="2"/>
  <c r="T1827" i="2" s="1"/>
  <c r="R1826" i="2"/>
  <c r="T1826" i="2" s="1"/>
  <c r="R1796" i="2"/>
  <c r="T1796" i="2" s="1"/>
  <c r="R1810" i="2"/>
  <c r="T1810" i="2" s="1"/>
  <c r="R1836" i="2"/>
  <c r="T1836" i="2" s="1"/>
  <c r="R1791" i="2"/>
  <c r="T1791" i="2" s="1"/>
  <c r="R1813" i="2"/>
  <c r="T1813" i="2" s="1"/>
  <c r="R1788" i="2"/>
  <c r="T1788" i="2" s="1"/>
  <c r="R1794" i="2"/>
  <c r="T1794" i="2" s="1"/>
  <c r="R1842" i="2"/>
  <c r="T1842" i="2" s="1"/>
  <c r="R1840" i="2"/>
  <c r="T1840" i="2" s="1"/>
  <c r="R1829" i="2"/>
  <c r="T1829" i="2" s="1"/>
  <c r="R1798" i="2"/>
  <c r="T1798" i="2" s="1"/>
  <c r="R1806" i="2"/>
  <c r="T1806" i="2" s="1"/>
  <c r="R1802" i="2"/>
  <c r="T1802" i="2" s="1"/>
  <c r="R1811" i="2"/>
  <c r="T1811" i="2" s="1"/>
  <c r="R1823" i="2"/>
  <c r="T1823" i="2" s="1"/>
  <c r="R1809" i="2"/>
  <c r="T1809" i="2" s="1"/>
  <c r="R1850" i="2"/>
  <c r="T1850" i="2" s="1"/>
  <c r="R1816" i="2"/>
  <c r="T1816" i="2" s="1"/>
  <c r="R1848" i="2"/>
  <c r="T1848" i="2" s="1"/>
  <c r="R1814" i="2"/>
  <c r="T1814" i="2" s="1"/>
  <c r="R1817" i="2"/>
  <c r="T1817" i="2" s="1"/>
  <c r="R1838" i="2"/>
  <c r="T1838" i="2" s="1"/>
  <c r="R1828" i="2"/>
  <c r="T1828" i="2" s="1"/>
  <c r="R1765" i="2"/>
  <c r="T1765" i="2" s="1"/>
  <c r="R1747" i="2"/>
  <c r="T1747" i="2" s="1"/>
  <c r="R1760" i="2"/>
  <c r="T1760" i="2" s="1"/>
  <c r="R1771" i="2"/>
  <c r="T1771" i="2" s="1"/>
  <c r="R1736" i="2"/>
  <c r="T1736" i="2" s="1"/>
  <c r="R1742" i="2"/>
  <c r="T1742" i="2" s="1"/>
  <c r="R1695" i="2"/>
  <c r="T1695" i="2" s="1"/>
  <c r="R1786" i="2"/>
  <c r="T1786" i="2" s="1"/>
  <c r="R1712" i="2"/>
  <c r="T1712" i="2" s="1"/>
  <c r="R1722" i="2"/>
  <c r="T1722" i="2" s="1"/>
  <c r="R1715" i="2"/>
  <c r="T1715" i="2" s="1"/>
  <c r="R1716" i="2"/>
  <c r="T1716" i="2" s="1"/>
  <c r="R1750" i="2"/>
  <c r="T1750" i="2" s="1"/>
  <c r="R1713" i="2"/>
  <c r="T1713" i="2" s="1"/>
  <c r="R1699" i="2"/>
  <c r="T1699" i="2" s="1"/>
  <c r="R1687" i="2"/>
  <c r="T1687" i="2" s="1"/>
  <c r="R1740" i="2"/>
  <c r="T1740" i="2" s="1"/>
  <c r="R1689" i="2"/>
  <c r="T1689" i="2" s="1"/>
  <c r="R1726" i="2"/>
  <c r="T1726" i="2" s="1"/>
  <c r="R1720" i="2"/>
  <c r="T1720" i="2" s="1"/>
  <c r="R1741" i="2"/>
  <c r="T1741" i="2" s="1"/>
  <c r="R1766" i="2"/>
  <c r="T1766" i="2" s="1"/>
  <c r="R1757" i="2"/>
  <c r="T1757" i="2" s="1"/>
  <c r="R1728" i="2"/>
  <c r="T1728" i="2" s="1"/>
  <c r="R1745" i="2"/>
  <c r="T1745" i="2" s="1"/>
  <c r="R1702" i="2"/>
  <c r="T1702" i="2" s="1"/>
  <c r="R1744" i="2"/>
  <c r="T1744" i="2" s="1"/>
  <c r="R1706" i="2"/>
  <c r="T1706" i="2" s="1"/>
  <c r="R1756" i="2"/>
  <c r="T1756" i="2" s="1"/>
  <c r="R1704" i="2"/>
  <c r="T1704" i="2" s="1"/>
  <c r="R1705" i="2"/>
  <c r="T1705" i="2" s="1"/>
  <c r="R1734" i="2"/>
  <c r="T1734" i="2" s="1"/>
  <c r="R1759" i="2"/>
  <c r="T1759" i="2" s="1"/>
  <c r="R1777" i="2"/>
  <c r="T1777" i="2" s="1"/>
  <c r="R1718" i="2"/>
  <c r="T1718" i="2" s="1"/>
  <c r="R1755" i="2"/>
  <c r="T1755" i="2" s="1"/>
  <c r="R1708" i="2"/>
  <c r="T1708" i="2" s="1"/>
  <c r="R1738" i="2"/>
  <c r="T1738" i="2" s="1"/>
  <c r="R1769" i="2"/>
  <c r="T1769" i="2" s="1"/>
  <c r="R1746" i="2"/>
  <c r="T1746" i="2" s="1"/>
  <c r="R1772" i="2"/>
  <c r="T1772" i="2" s="1"/>
  <c r="R1697" i="2"/>
  <c r="T1697" i="2" s="1"/>
  <c r="R1690" i="2"/>
  <c r="T1690" i="2" s="1"/>
  <c r="R1764" i="2"/>
  <c r="T1764" i="2" s="1"/>
  <c r="R1748" i="2"/>
  <c r="T1748" i="2" s="1"/>
  <c r="R1749" i="2"/>
  <c r="T1749" i="2" s="1"/>
  <c r="R1782" i="2"/>
  <c r="T1782" i="2" s="1"/>
  <c r="R1732" i="2"/>
  <c r="T1732" i="2" s="1"/>
  <c r="R1785" i="2"/>
  <c r="T1785" i="2" s="1"/>
  <c r="R1688" i="2"/>
  <c r="T1688" i="2" s="1"/>
  <c r="R1774" i="2"/>
  <c r="T1774" i="2" s="1"/>
  <c r="R1739" i="2"/>
  <c r="T1739" i="2" s="1"/>
  <c r="R1714" i="2"/>
  <c r="T1714" i="2" s="1"/>
  <c r="R1783" i="2"/>
  <c r="T1783" i="2" s="1"/>
  <c r="R1691" i="2"/>
  <c r="T1691" i="2" s="1"/>
  <c r="R1719" i="2"/>
  <c r="T1719" i="2" s="1"/>
  <c r="R1733" i="2"/>
  <c r="T1733" i="2" s="1"/>
  <c r="R1753" i="2"/>
  <c r="T1753" i="2" s="1"/>
  <c r="R1709" i="2"/>
  <c r="T1709" i="2" s="1"/>
  <c r="R1778" i="2"/>
  <c r="T1778" i="2" s="1"/>
  <c r="R1701" i="2"/>
  <c r="T1701" i="2" s="1"/>
  <c r="R1768" i="2"/>
  <c r="T1768" i="2" s="1"/>
  <c r="R1703" i="2"/>
  <c r="T1703" i="2" s="1"/>
  <c r="R1698" i="2"/>
  <c r="T1698" i="2" s="1"/>
  <c r="R1763" i="2"/>
  <c r="T1763" i="2" s="1"/>
  <c r="R1693" i="2"/>
  <c r="T1693" i="2" s="1"/>
  <c r="R1730" i="2"/>
  <c r="T1730" i="2" s="1"/>
  <c r="R1776" i="2"/>
  <c r="T1776" i="2" s="1"/>
  <c r="R1754" i="2"/>
  <c r="T1754" i="2" s="1"/>
  <c r="R1779" i="2"/>
  <c r="T1779" i="2" s="1"/>
  <c r="R1775" i="2"/>
  <c r="T1775" i="2" s="1"/>
  <c r="R1723" i="2"/>
  <c r="T1723" i="2" s="1"/>
  <c r="R1711" i="2"/>
  <c r="T1711" i="2" s="1"/>
  <c r="R1780" i="2"/>
  <c r="T1780" i="2" s="1"/>
  <c r="R1784" i="2"/>
  <c r="T1784" i="2" s="1"/>
  <c r="R1717" i="2"/>
  <c r="T1717" i="2" s="1"/>
  <c r="R1692" i="2"/>
  <c r="T1692" i="2" s="1"/>
  <c r="R1731" i="2"/>
  <c r="T1731" i="2" s="1"/>
  <c r="R1725" i="2"/>
  <c r="T1725" i="2" s="1"/>
  <c r="R1770" i="2"/>
  <c r="T1770" i="2" s="1"/>
  <c r="R1781" i="2"/>
  <c r="T1781" i="2" s="1"/>
  <c r="R1761" i="2"/>
  <c r="T1761" i="2" s="1"/>
  <c r="R1700" i="2"/>
  <c r="T1700" i="2" s="1"/>
  <c r="R1696" i="2"/>
  <c r="T1696" i="2" s="1"/>
  <c r="R1751" i="2"/>
  <c r="T1751" i="2" s="1"/>
  <c r="R1707" i="2"/>
  <c r="T1707" i="2" s="1"/>
  <c r="R1721" i="2"/>
  <c r="T1721" i="2" s="1"/>
  <c r="R1773" i="2"/>
  <c r="T1773" i="2" s="1"/>
  <c r="R1727" i="2"/>
  <c r="T1727" i="2" s="1"/>
  <c r="R1767" i="2"/>
  <c r="T1767" i="2" s="1"/>
  <c r="R1710" i="2"/>
  <c r="T1710" i="2" s="1"/>
  <c r="R1724" i="2"/>
  <c r="T1724" i="2" s="1"/>
  <c r="R1735" i="2"/>
  <c r="T1735" i="2" s="1"/>
  <c r="R1694" i="2"/>
  <c r="T1694" i="2" s="1"/>
  <c r="R1729" i="2"/>
  <c r="T1729" i="2" s="1"/>
  <c r="R1737" i="2"/>
  <c r="T1737" i="2" s="1"/>
  <c r="R1762" i="2"/>
  <c r="T1762" i="2" s="1"/>
  <c r="R1752" i="2"/>
  <c r="T1752" i="2" s="1"/>
  <c r="R1758" i="2"/>
  <c r="T1758" i="2" s="1"/>
  <c r="R1743" i="2"/>
  <c r="T1743" i="2" s="1"/>
  <c r="R1682" i="2"/>
  <c r="T1682" i="2" s="1"/>
  <c r="R1684" i="2"/>
  <c r="T1684" i="2" s="1"/>
  <c r="R1683" i="2"/>
  <c r="T1683" i="2" s="1"/>
  <c r="R1685" i="2"/>
  <c r="T1685" i="2" s="1"/>
  <c r="R1686" i="2"/>
  <c r="T1686" i="2" s="1"/>
  <c r="R1678" i="2"/>
  <c r="T1678" i="2" s="1"/>
  <c r="R1681" i="2"/>
  <c r="T1681" i="2" s="1"/>
  <c r="R1679" i="2"/>
  <c r="T1679" i="2" s="1"/>
  <c r="R1677" i="2"/>
  <c r="T1677" i="2" s="1"/>
  <c r="R1680" i="2"/>
  <c r="T1680" i="2" s="1"/>
  <c r="R1671" i="2"/>
  <c r="T1671" i="2" s="1"/>
  <c r="R1669" i="2"/>
  <c r="T1669" i="2" s="1"/>
  <c r="R1672" i="2"/>
  <c r="T1672" i="2" s="1"/>
  <c r="R1676" i="2"/>
  <c r="T1676" i="2" s="1"/>
  <c r="R1668" i="2"/>
  <c r="T1668" i="2" s="1"/>
  <c r="R1667" i="2"/>
  <c r="T1667" i="2" s="1"/>
  <c r="R1665" i="2"/>
  <c r="T1665" i="2" s="1"/>
  <c r="R1662" i="2"/>
  <c r="T1662" i="2" s="1"/>
  <c r="R1666" i="2"/>
  <c r="T1666" i="2" s="1"/>
  <c r="R1670" i="2"/>
  <c r="T1670" i="2" s="1"/>
  <c r="R1664" i="2"/>
  <c r="T1664" i="2" s="1"/>
  <c r="R1673" i="2"/>
  <c r="T1673" i="2" s="1"/>
  <c r="R1674" i="2"/>
  <c r="T1674" i="2" s="1"/>
  <c r="R1675" i="2"/>
  <c r="T1675" i="2" s="1"/>
  <c r="R1663" i="2"/>
  <c r="T1663" i="2" s="1"/>
  <c r="R1652" i="2"/>
  <c r="T1652" i="2" s="1"/>
  <c r="R1655" i="2"/>
  <c r="T1655" i="2" s="1"/>
  <c r="R1661" i="2"/>
  <c r="T1661" i="2" s="1"/>
  <c r="R1660" i="2"/>
  <c r="T1660" i="2" s="1"/>
  <c r="R1657" i="2"/>
  <c r="T1657" i="2" s="1"/>
  <c r="R1658" i="2"/>
  <c r="T1658" i="2" s="1"/>
  <c r="R1659" i="2"/>
  <c r="T1659" i="2" s="1"/>
  <c r="R1653" i="2"/>
  <c r="T1653" i="2" s="1"/>
  <c r="R1656" i="2"/>
  <c r="T1656" i="2" s="1"/>
  <c r="R1654" i="2"/>
  <c r="T1654" i="2" s="1"/>
  <c r="R1649" i="2"/>
  <c r="T1649" i="2" s="1"/>
  <c r="R1650" i="2"/>
  <c r="T1650" i="2" s="1"/>
  <c r="R1638" i="2"/>
  <c r="T1638" i="2" s="1"/>
  <c r="R1642" i="2"/>
  <c r="T1642" i="2" s="1"/>
  <c r="R1645" i="2"/>
  <c r="T1645" i="2" s="1"/>
  <c r="R1623" i="2"/>
  <c r="T1623" i="2" s="1"/>
  <c r="R1646" i="2"/>
  <c r="T1646" i="2" s="1"/>
  <c r="R1644" i="2"/>
  <c r="T1644" i="2" s="1"/>
  <c r="R1607" i="2"/>
  <c r="T1607" i="2" s="1"/>
  <c r="R1643" i="2"/>
  <c r="T1643" i="2" s="1"/>
  <c r="R1648" i="2"/>
  <c r="T1648" i="2" s="1"/>
  <c r="R1651" i="2"/>
  <c r="T1651" i="2" s="1"/>
  <c r="R1647" i="2"/>
  <c r="T1647" i="2" s="1"/>
  <c r="R1629" i="2"/>
  <c r="T1629" i="2" s="1"/>
  <c r="R1604" i="2"/>
  <c r="T1604" i="2" s="1"/>
  <c r="R1609" i="2"/>
  <c r="T1609" i="2" s="1"/>
  <c r="R1618" i="2"/>
  <c r="T1618" i="2" s="1"/>
  <c r="R1624" i="2"/>
  <c r="T1624" i="2" s="1"/>
  <c r="R1627" i="2"/>
  <c r="T1627" i="2" s="1"/>
  <c r="R1608" i="2"/>
  <c r="T1608" i="2" s="1"/>
  <c r="R1611" i="2"/>
  <c r="T1611" i="2" s="1"/>
  <c r="R1641" i="2"/>
  <c r="T1641" i="2" s="1"/>
  <c r="R1633" i="2"/>
  <c r="T1633" i="2" s="1"/>
  <c r="R1591" i="2"/>
  <c r="T1591" i="2" s="1"/>
  <c r="R1603" i="2"/>
  <c r="T1603" i="2" s="1"/>
  <c r="R1610" i="2"/>
  <c r="T1610" i="2" s="1"/>
  <c r="R1617" i="2"/>
  <c r="T1617" i="2" s="1"/>
  <c r="R1639" i="2"/>
  <c r="T1639" i="2" s="1"/>
  <c r="R1616" i="2"/>
  <c r="T1616" i="2" s="1"/>
  <c r="R1620" i="2"/>
  <c r="T1620" i="2" s="1"/>
  <c r="R1615" i="2"/>
  <c r="T1615" i="2" s="1"/>
  <c r="R1612" i="2"/>
  <c r="T1612" i="2" s="1"/>
  <c r="R1622" i="2"/>
  <c r="T1622" i="2" s="1"/>
  <c r="R1626" i="2"/>
  <c r="T1626" i="2" s="1"/>
  <c r="R1634" i="2"/>
  <c r="T1634" i="2" s="1"/>
  <c r="R1628" i="2"/>
  <c r="T1628" i="2" s="1"/>
  <c r="R1637" i="2"/>
  <c r="T1637" i="2" s="1"/>
  <c r="R1602" i="2"/>
  <c r="T1602" i="2" s="1"/>
  <c r="R1605" i="2"/>
  <c r="T1605" i="2" s="1"/>
  <c r="R1631" i="2"/>
  <c r="T1631" i="2" s="1"/>
  <c r="R1619" i="2"/>
  <c r="T1619" i="2" s="1"/>
  <c r="R1640" i="2"/>
  <c r="T1640" i="2" s="1"/>
  <c r="R1625" i="2"/>
  <c r="T1625" i="2" s="1"/>
  <c r="R1621" i="2"/>
  <c r="T1621" i="2" s="1"/>
  <c r="R1606" i="2"/>
  <c r="T1606" i="2" s="1"/>
  <c r="R1630" i="2"/>
  <c r="T1630" i="2" s="1"/>
  <c r="R1635" i="2"/>
  <c r="T1635" i="2" s="1"/>
  <c r="R1613" i="2"/>
  <c r="T1613" i="2" s="1"/>
  <c r="R1636" i="2"/>
  <c r="T1636" i="2" s="1"/>
  <c r="R1632" i="2"/>
  <c r="T1632" i="2" s="1"/>
  <c r="R1614" i="2"/>
  <c r="T1614" i="2" s="1"/>
  <c r="X196" i="16"/>
  <c r="P196" i="16"/>
  <c r="AJ195" i="16" s="1"/>
  <c r="AK195" i="16" s="1"/>
  <c r="AL195" i="16" s="1"/>
  <c r="AJ197" i="16"/>
  <c r="AK197" i="16" s="1"/>
  <c r="AL197" i="16" s="1"/>
  <c r="X178" i="16"/>
  <c r="AJ178" i="16"/>
  <c r="AK178" i="16" s="1"/>
  <c r="AL178" i="16" s="1"/>
  <c r="X201" i="16"/>
  <c r="AJ201" i="16"/>
  <c r="AK201" i="16" s="1"/>
  <c r="AL201" i="16" s="1"/>
  <c r="X198" i="16"/>
  <c r="P198" i="16"/>
  <c r="P197" i="16" s="1"/>
  <c r="AJ176" i="16"/>
  <c r="AK176" i="16" s="1"/>
  <c r="AL176" i="16" s="1"/>
  <c r="X157" i="16"/>
  <c r="AJ157" i="16"/>
  <c r="AK157" i="16" s="1"/>
  <c r="AL157" i="16" s="1"/>
  <c r="X158" i="16"/>
  <c r="AJ158" i="16"/>
  <c r="AK158" i="16" s="1"/>
  <c r="AL158" i="16" s="1"/>
  <c r="X214" i="16"/>
  <c r="P214" i="16"/>
  <c r="AJ213" i="16" s="1"/>
  <c r="AK213" i="16" s="1"/>
  <c r="AL213" i="16" s="1"/>
  <c r="X200" i="16"/>
  <c r="X199" i="16"/>
  <c r="X177" i="16"/>
  <c r="P177" i="16"/>
  <c r="R176" i="16" s="1"/>
  <c r="P176" i="16" s="1"/>
  <c r="AJ175" i="16" s="1"/>
  <c r="AK175" i="16" s="1"/>
  <c r="AL175" i="16" s="1"/>
  <c r="X156" i="16"/>
  <c r="P156" i="16"/>
  <c r="AJ155" i="16" s="1"/>
  <c r="AK155" i="16" s="1"/>
  <c r="AL155" i="16" s="1"/>
  <c r="R1589" i="2"/>
  <c r="T1589" i="2" s="1"/>
  <c r="R1584" i="2"/>
  <c r="T1584" i="2" s="1"/>
  <c r="R1601" i="2"/>
  <c r="T1601" i="2" s="1"/>
  <c r="R1590" i="2"/>
  <c r="T1590" i="2" s="1"/>
  <c r="R1600" i="2"/>
  <c r="T1600" i="2" s="1"/>
  <c r="R1593" i="2"/>
  <c r="T1593" i="2" s="1"/>
  <c r="R1583" i="2"/>
  <c r="T1583" i="2" s="1"/>
  <c r="R1599" i="2"/>
  <c r="T1599" i="2" s="1"/>
  <c r="R1595" i="2"/>
  <c r="T1595" i="2" s="1"/>
  <c r="R1585" i="2"/>
  <c r="T1585" i="2" s="1"/>
  <c r="R1598" i="2"/>
  <c r="T1598" i="2" s="1"/>
  <c r="R1588" i="2"/>
  <c r="T1588" i="2" s="1"/>
  <c r="R1582" i="2"/>
  <c r="T1582" i="2" s="1"/>
  <c r="R1586" i="2"/>
  <c r="T1586" i="2" s="1"/>
  <c r="R1597" i="2"/>
  <c r="T1597" i="2" s="1"/>
  <c r="R1594" i="2"/>
  <c r="T1594" i="2" s="1"/>
  <c r="R1587" i="2"/>
  <c r="T1587" i="2" s="1"/>
  <c r="R1592" i="2"/>
  <c r="T1592" i="2" s="1"/>
  <c r="R1596" i="2"/>
  <c r="T1596" i="2" s="1"/>
  <c r="R1562" i="2"/>
  <c r="T1562" i="2" s="1"/>
  <c r="R1552" i="2"/>
  <c r="T1552" i="2" s="1"/>
  <c r="R1577" i="2"/>
  <c r="T1577" i="2" s="1"/>
  <c r="R1546" i="2"/>
  <c r="T1546" i="2" s="1"/>
  <c r="R1541" i="2"/>
  <c r="T1541" i="2" s="1"/>
  <c r="R1550" i="2"/>
  <c r="T1550" i="2" s="1"/>
  <c r="R1580" i="2"/>
  <c r="T1580" i="2" s="1"/>
  <c r="R1576" i="2"/>
  <c r="T1576" i="2" s="1"/>
  <c r="R1543" i="2"/>
  <c r="T1543" i="2" s="1"/>
  <c r="R1530" i="2"/>
  <c r="T1530" i="2" s="1"/>
  <c r="R1571" i="2"/>
  <c r="T1571" i="2" s="1"/>
  <c r="R1570" i="2"/>
  <c r="T1570" i="2" s="1"/>
  <c r="R1581" i="2"/>
  <c r="T1581" i="2" s="1"/>
  <c r="R1578" i="2"/>
  <c r="T1578" i="2" s="1"/>
  <c r="R1579" i="2"/>
  <c r="T1579" i="2" s="1"/>
  <c r="R1572" i="2"/>
  <c r="T1572" i="2" s="1"/>
  <c r="R1573" i="2"/>
  <c r="T1573" i="2" s="1"/>
  <c r="R1569" i="2"/>
  <c r="T1569" i="2" s="1"/>
  <c r="R1568" i="2"/>
  <c r="T1568" i="2" s="1"/>
  <c r="R1567" i="2"/>
  <c r="T1567" i="2" s="1"/>
  <c r="R1565" i="2"/>
  <c r="T1565" i="2" s="1"/>
  <c r="R1566" i="2"/>
  <c r="T1566" i="2" s="1"/>
  <c r="R1553" i="2"/>
  <c r="T1553" i="2" s="1"/>
  <c r="R1548" i="2"/>
  <c r="T1548" i="2" s="1"/>
  <c r="R1547" i="2"/>
  <c r="T1547" i="2" s="1"/>
  <c r="R1542" i="2"/>
  <c r="T1542" i="2" s="1"/>
  <c r="R1539" i="2"/>
  <c r="T1539" i="2" s="1"/>
  <c r="R1537" i="2"/>
  <c r="T1537" i="2" s="1"/>
  <c r="R1538" i="2"/>
  <c r="T1538" i="2" s="1"/>
  <c r="R1540" i="2"/>
  <c r="T1540" i="2" s="1"/>
  <c r="R1544" i="2"/>
  <c r="T1544" i="2" s="1"/>
  <c r="R1554" i="2"/>
  <c r="T1554" i="2" s="1"/>
  <c r="R1556" i="2"/>
  <c r="T1556" i="2" s="1"/>
  <c r="R1558" i="2"/>
  <c r="T1558" i="2" s="1"/>
  <c r="R1575" i="2"/>
  <c r="T1575" i="2" s="1"/>
  <c r="R1551" i="2"/>
  <c r="T1551" i="2" s="1"/>
  <c r="R1561" i="2"/>
  <c r="T1561" i="2" s="1"/>
  <c r="R1574" i="2"/>
  <c r="T1574" i="2" s="1"/>
  <c r="R1555" i="2"/>
  <c r="T1555" i="2" s="1"/>
  <c r="R1559" i="2"/>
  <c r="T1559" i="2" s="1"/>
  <c r="R1549" i="2"/>
  <c r="T1549" i="2" s="1"/>
  <c r="R1563" i="2"/>
  <c r="T1563" i="2" s="1"/>
  <c r="R1545" i="2"/>
  <c r="T1545" i="2" s="1"/>
  <c r="R1564" i="2"/>
  <c r="T1564" i="2" s="1"/>
  <c r="R1560" i="2"/>
  <c r="T1560" i="2" s="1"/>
  <c r="R1557" i="2"/>
  <c r="T1557" i="2" s="1"/>
  <c r="R1493" i="2"/>
  <c r="T1493" i="2" s="1"/>
  <c r="R1459" i="2"/>
  <c r="T1459" i="2" s="1"/>
  <c r="R1460" i="2"/>
  <c r="T1460" i="2" s="1"/>
  <c r="R1534" i="2"/>
  <c r="T1534" i="2" s="1"/>
  <c r="R1463" i="2"/>
  <c r="T1463" i="2" s="1"/>
  <c r="R1518" i="2"/>
  <c r="T1518" i="2" s="1"/>
  <c r="R1465" i="2"/>
  <c r="T1465" i="2" s="1"/>
  <c r="R1536" i="2"/>
  <c r="T1536" i="2" s="1"/>
  <c r="R1496" i="2"/>
  <c r="T1496" i="2" s="1"/>
  <c r="R1464" i="2"/>
  <c r="T1464" i="2" s="1"/>
  <c r="R1535" i="2"/>
  <c r="T1535" i="2" s="1"/>
  <c r="R1461" i="2"/>
  <c r="T1461" i="2" s="1"/>
  <c r="R1533" i="2"/>
  <c r="T1533" i="2" s="1"/>
  <c r="R1491" i="2"/>
  <c r="T1491" i="2" s="1"/>
  <c r="R1532" i="2"/>
  <c r="T1532" i="2" s="1"/>
  <c r="R1489" i="2"/>
  <c r="T1489" i="2" s="1"/>
  <c r="R1526" i="2"/>
  <c r="T1526" i="2" s="1"/>
  <c r="R1506" i="2"/>
  <c r="T1506" i="2" s="1"/>
  <c r="R1527" i="2"/>
  <c r="T1527" i="2" s="1"/>
  <c r="R1529" i="2"/>
  <c r="T1529" i="2" s="1"/>
  <c r="R1522" i="2"/>
  <c r="T1522" i="2" s="1"/>
  <c r="R1457" i="2"/>
  <c r="T1457" i="2" s="1"/>
  <c r="R1475" i="2"/>
  <c r="T1475" i="2" s="1"/>
  <c r="R1488" i="2"/>
  <c r="T1488" i="2" s="1"/>
  <c r="R1519" i="2"/>
  <c r="T1519" i="2" s="1"/>
  <c r="R1471" i="2"/>
  <c r="T1471" i="2" s="1"/>
  <c r="R1458" i="2"/>
  <c r="T1458" i="2" s="1"/>
  <c r="R1515" i="2"/>
  <c r="T1515" i="2" s="1"/>
  <c r="R1520" i="2"/>
  <c r="T1520" i="2" s="1"/>
  <c r="R1528" i="2"/>
  <c r="T1528" i="2" s="1"/>
  <c r="R1507" i="2"/>
  <c r="T1507" i="2" s="1"/>
  <c r="R1498" i="2"/>
  <c r="T1498" i="2" s="1"/>
  <c r="R1525" i="2"/>
  <c r="T1525" i="2" s="1"/>
  <c r="R1510" i="2"/>
  <c r="T1510" i="2" s="1"/>
  <c r="R1476" i="2"/>
  <c r="T1476" i="2" s="1"/>
  <c r="R1467" i="2"/>
  <c r="T1467" i="2" s="1"/>
  <c r="R1492" i="2"/>
  <c r="T1492" i="2" s="1"/>
  <c r="R1517" i="2"/>
  <c r="T1517" i="2" s="1"/>
  <c r="R1508" i="2"/>
  <c r="T1508" i="2" s="1"/>
  <c r="R1524" i="2"/>
  <c r="T1524" i="2" s="1"/>
  <c r="R1481" i="2"/>
  <c r="T1481" i="2" s="1"/>
  <c r="R1503" i="2"/>
  <c r="T1503" i="2" s="1"/>
  <c r="R1469" i="2"/>
  <c r="T1469" i="2" s="1"/>
  <c r="R1523" i="2"/>
  <c r="T1523" i="2" s="1"/>
  <c r="R1509" i="2"/>
  <c r="T1509" i="2" s="1"/>
  <c r="R1466" i="2"/>
  <c r="T1466" i="2" s="1"/>
  <c r="R1490" i="2"/>
  <c r="T1490" i="2" s="1"/>
  <c r="R1513" i="2"/>
  <c r="T1513" i="2" s="1"/>
  <c r="R1511" i="2"/>
  <c r="T1511" i="2" s="1"/>
  <c r="R1504" i="2"/>
  <c r="T1504" i="2" s="1"/>
  <c r="R1473" i="2"/>
  <c r="T1473" i="2" s="1"/>
  <c r="R1499" i="2"/>
  <c r="T1499" i="2" s="1"/>
  <c r="R1462" i="2"/>
  <c r="T1462" i="2" s="1"/>
  <c r="R1501" i="2"/>
  <c r="T1501" i="2" s="1"/>
  <c r="R1486" i="2"/>
  <c r="T1486" i="2" s="1"/>
  <c r="R1480" i="2"/>
  <c r="T1480" i="2" s="1"/>
  <c r="R1470" i="2"/>
  <c r="T1470" i="2" s="1"/>
  <c r="R1485" i="2"/>
  <c r="T1485" i="2" s="1"/>
  <c r="R1477" i="2"/>
  <c r="T1477" i="2" s="1"/>
  <c r="R1483" i="2"/>
  <c r="T1483" i="2" s="1"/>
  <c r="R1514" i="2"/>
  <c r="T1514" i="2" s="1"/>
  <c r="R1494" i="2"/>
  <c r="T1494" i="2" s="1"/>
  <c r="R1512" i="2"/>
  <c r="T1512" i="2" s="1"/>
  <c r="R1482" i="2"/>
  <c r="T1482" i="2" s="1"/>
  <c r="R1502" i="2"/>
  <c r="T1502" i="2" s="1"/>
  <c r="R1474" i="2"/>
  <c r="T1474" i="2" s="1"/>
  <c r="R1500" i="2"/>
  <c r="T1500" i="2" s="1"/>
  <c r="R1516" i="2"/>
  <c r="T1516" i="2" s="1"/>
  <c r="R1484" i="2"/>
  <c r="T1484" i="2" s="1"/>
  <c r="R1478" i="2"/>
  <c r="T1478" i="2" s="1"/>
  <c r="R1468" i="2"/>
  <c r="T1468" i="2" s="1"/>
  <c r="R1505" i="2"/>
  <c r="T1505" i="2" s="1"/>
  <c r="R1472" i="2"/>
  <c r="T1472" i="2" s="1"/>
  <c r="R1497" i="2"/>
  <c r="T1497" i="2" s="1"/>
  <c r="R1487" i="2"/>
  <c r="T1487" i="2" s="1"/>
  <c r="R1479" i="2"/>
  <c r="T1479" i="2" s="1"/>
  <c r="R1495" i="2"/>
  <c r="T1495" i="2" s="1"/>
  <c r="R1531" i="2"/>
  <c r="T1531" i="2" s="1"/>
  <c r="R1521" i="2"/>
  <c r="T1521" i="2" s="1"/>
  <c r="R1453" i="2"/>
  <c r="T1453" i="2" s="1"/>
  <c r="R1454" i="2"/>
  <c r="T1454" i="2" s="1"/>
  <c r="R1449" i="2"/>
  <c r="T1449" i="2" s="1"/>
  <c r="R1455" i="2"/>
  <c r="T1455" i="2" s="1"/>
  <c r="R1450" i="2"/>
  <c r="T1450" i="2" s="1"/>
  <c r="R1445" i="2"/>
  <c r="T1445" i="2" s="1"/>
  <c r="R1442" i="2"/>
  <c r="T1442" i="2" s="1"/>
  <c r="R1440" i="2"/>
  <c r="T1440" i="2" s="1"/>
  <c r="R1446" i="2"/>
  <c r="T1446" i="2" s="1"/>
  <c r="R1448" i="2"/>
  <c r="T1448" i="2" s="1"/>
  <c r="R1439" i="2"/>
  <c r="T1439" i="2" s="1"/>
  <c r="R1451" i="2"/>
  <c r="T1451" i="2" s="1"/>
  <c r="R1456" i="2"/>
  <c r="T1456" i="2" s="1"/>
  <c r="R1452" i="2"/>
  <c r="T1452" i="2" s="1"/>
  <c r="R1447" i="2"/>
  <c r="T1447" i="2" s="1"/>
  <c r="R1444" i="2"/>
  <c r="T1444" i="2" s="1"/>
  <c r="R1441" i="2"/>
  <c r="T1441" i="2" s="1"/>
  <c r="R1438" i="2"/>
  <c r="T1438" i="2" s="1"/>
  <c r="R1437" i="2"/>
  <c r="T1437" i="2" s="1"/>
  <c r="R1443" i="2"/>
  <c r="T1443" i="2" s="1"/>
  <c r="R1429" i="2"/>
  <c r="T1429" i="2" s="1"/>
  <c r="R1424" i="2"/>
  <c r="T1424" i="2" s="1"/>
  <c r="R1430" i="2"/>
  <c r="T1430" i="2" s="1"/>
  <c r="R1425" i="2"/>
  <c r="T1425" i="2" s="1"/>
  <c r="R1431" i="2"/>
  <c r="T1431" i="2" s="1"/>
  <c r="R1436" i="2"/>
  <c r="T1436" i="2" s="1"/>
  <c r="R1426" i="2"/>
  <c r="T1426" i="2" s="1"/>
  <c r="R1433" i="2"/>
  <c r="T1433" i="2" s="1"/>
  <c r="R1423" i="2"/>
  <c r="T1423" i="2" s="1"/>
  <c r="R1428" i="2"/>
  <c r="T1428" i="2" s="1"/>
  <c r="R1427" i="2"/>
  <c r="T1427" i="2" s="1"/>
  <c r="R1432" i="2"/>
  <c r="T1432" i="2" s="1"/>
  <c r="R1434" i="2"/>
  <c r="T1434" i="2" s="1"/>
  <c r="R1435" i="2"/>
  <c r="T1435" i="2" s="1"/>
  <c r="R1422" i="2"/>
  <c r="T1422" i="2" s="1"/>
  <c r="A115" i="15"/>
  <c r="A200" i="15"/>
  <c r="A177" i="15"/>
  <c r="A128" i="15"/>
  <c r="A188" i="15"/>
  <c r="A139" i="15"/>
  <c r="A165" i="15"/>
  <c r="A187" i="15"/>
  <c r="A117" i="15"/>
  <c r="A153" i="15"/>
  <c r="A163" i="15"/>
  <c r="A114" i="15"/>
  <c r="A152" i="15"/>
  <c r="A116" i="15"/>
  <c r="A162" i="15"/>
  <c r="A198" i="15"/>
  <c r="A141" i="15"/>
  <c r="A150" i="15"/>
  <c r="A129" i="15"/>
  <c r="A189" i="15"/>
  <c r="A140" i="15"/>
  <c r="A186" i="15"/>
  <c r="A126" i="15"/>
  <c r="A164" i="15"/>
  <c r="R1399" i="2"/>
  <c r="T1399" i="2" s="1"/>
  <c r="R1418" i="2"/>
  <c r="T1418" i="2" s="1"/>
  <c r="R1383" i="2"/>
  <c r="T1383" i="2" s="1"/>
  <c r="R1384" i="2"/>
  <c r="T1384" i="2" s="1"/>
  <c r="R1407" i="2"/>
  <c r="T1407" i="2" s="1"/>
  <c r="R1396" i="2"/>
  <c r="T1396" i="2" s="1"/>
  <c r="R1421" i="2"/>
  <c r="T1421" i="2" s="1"/>
  <c r="R1420" i="2"/>
  <c r="T1420" i="2" s="1"/>
  <c r="R1406" i="2"/>
  <c r="T1406" i="2" s="1"/>
  <c r="R1417" i="2"/>
  <c r="T1417" i="2" s="1"/>
  <c r="R1393" i="2"/>
  <c r="T1393" i="2" s="1"/>
  <c r="R1398" i="2"/>
  <c r="T1398" i="2" s="1"/>
  <c r="R1404" i="2"/>
  <c r="T1404" i="2" s="1"/>
  <c r="R1405" i="2"/>
  <c r="T1405" i="2" s="1"/>
  <c r="R1385" i="2"/>
  <c r="T1385" i="2" s="1"/>
  <c r="R1410" i="2"/>
  <c r="T1410" i="2" s="1"/>
  <c r="R1416" i="2"/>
  <c r="T1416" i="2" s="1"/>
  <c r="R1382" i="2"/>
  <c r="T1382" i="2" s="1"/>
  <c r="R1395" i="2"/>
  <c r="T1395" i="2" s="1"/>
  <c r="R1411" i="2"/>
  <c r="T1411" i="2" s="1"/>
  <c r="R1386" i="2"/>
  <c r="T1386" i="2" s="1"/>
  <c r="R1400" i="2"/>
  <c r="T1400" i="2" s="1"/>
  <c r="R1403" i="2"/>
  <c r="T1403" i="2" s="1"/>
  <c r="R1419" i="2"/>
  <c r="T1419" i="2" s="1"/>
  <c r="R1408" i="2"/>
  <c r="T1408" i="2" s="1"/>
  <c r="R1388" i="2"/>
  <c r="T1388" i="2" s="1"/>
  <c r="R1392" i="2"/>
  <c r="T1392" i="2" s="1"/>
  <c r="R1412" i="2"/>
  <c r="T1412" i="2" s="1"/>
  <c r="R1389" i="2"/>
  <c r="T1389" i="2" s="1"/>
  <c r="R1397" i="2"/>
  <c r="T1397" i="2" s="1"/>
  <c r="R1409" i="2"/>
  <c r="T1409" i="2" s="1"/>
  <c r="R1390" i="2"/>
  <c r="T1390" i="2" s="1"/>
  <c r="R1401" i="2"/>
  <c r="T1401" i="2" s="1"/>
  <c r="R1414" i="2"/>
  <c r="T1414" i="2" s="1"/>
  <c r="R1391" i="2"/>
  <c r="T1391" i="2" s="1"/>
  <c r="R1402" i="2"/>
  <c r="T1402" i="2" s="1"/>
  <c r="R1415" i="2"/>
  <c r="T1415" i="2" s="1"/>
  <c r="R1387" i="2"/>
  <c r="T1387" i="2" s="1"/>
  <c r="R1413" i="2"/>
  <c r="T1413" i="2" s="1"/>
  <c r="R1394" i="2"/>
  <c r="T1394" i="2" s="1"/>
  <c r="R1365" i="2"/>
  <c r="T1365" i="2" s="1"/>
  <c r="R1369" i="2"/>
  <c r="T1369" i="2" s="1"/>
  <c r="R1370" i="2"/>
  <c r="T1370" i="2" s="1"/>
  <c r="R1363" i="2"/>
  <c r="T1363" i="2" s="1"/>
  <c r="R1373" i="2"/>
  <c r="T1373" i="2" s="1"/>
  <c r="R1374" i="2"/>
  <c r="T1374" i="2" s="1"/>
  <c r="R1364" i="2"/>
  <c r="T1364" i="2" s="1"/>
  <c r="R1380" i="2"/>
  <c r="T1380" i="2" s="1"/>
  <c r="R1375" i="2"/>
  <c r="T1375" i="2" s="1"/>
  <c r="R1378" i="2"/>
  <c r="T1378" i="2" s="1"/>
  <c r="R1377" i="2"/>
  <c r="T1377" i="2" s="1"/>
  <c r="R1381" i="2"/>
  <c r="T1381" i="2" s="1"/>
  <c r="R1372" i="2"/>
  <c r="T1372" i="2" s="1"/>
  <c r="R1371" i="2"/>
  <c r="T1371" i="2" s="1"/>
  <c r="R1367" i="2"/>
  <c r="T1367" i="2" s="1"/>
  <c r="R1368" i="2"/>
  <c r="T1368" i="2" s="1"/>
  <c r="R1356" i="2"/>
  <c r="T1356" i="2" s="1"/>
  <c r="R1376" i="2"/>
  <c r="T1376" i="2" s="1"/>
  <c r="R1366" i="2"/>
  <c r="T1366" i="2" s="1"/>
  <c r="R1379" i="2"/>
  <c r="T1379" i="2" s="1"/>
  <c r="R1362" i="2"/>
  <c r="T1362" i="2" s="1"/>
  <c r="R1355" i="2"/>
  <c r="T1355" i="2" s="1"/>
  <c r="R1361" i="2"/>
  <c r="T1361" i="2" s="1"/>
  <c r="R1359" i="2"/>
  <c r="T1359" i="2" s="1"/>
  <c r="R1360" i="2"/>
  <c r="T1360" i="2" s="1"/>
  <c r="R1354" i="2"/>
  <c r="T1354" i="2" s="1"/>
  <c r="R1353" i="2"/>
  <c r="T1353" i="2" s="1"/>
  <c r="R1352" i="2"/>
  <c r="T1352" i="2" s="1"/>
  <c r="R1347" i="2"/>
  <c r="T1347" i="2" s="1"/>
  <c r="R1358" i="2"/>
  <c r="T1358" i="2" s="1"/>
  <c r="R1357" i="2"/>
  <c r="T1357" i="2" s="1"/>
  <c r="R1351" i="2"/>
  <c r="T1351" i="2" s="1"/>
  <c r="R1348" i="2"/>
  <c r="T1348" i="2" s="1"/>
  <c r="R1350" i="2"/>
  <c r="T1350" i="2" s="1"/>
  <c r="R1349" i="2"/>
  <c r="T1349" i="2" s="1"/>
  <c r="R1318" i="2"/>
  <c r="T1318" i="2" s="1"/>
  <c r="R1320" i="2"/>
  <c r="T1320" i="2" s="1"/>
  <c r="R1322" i="2"/>
  <c r="T1322" i="2" s="1"/>
  <c r="R1323" i="2"/>
  <c r="T1323" i="2" s="1"/>
  <c r="R1325" i="2"/>
  <c r="T1325" i="2" s="1"/>
  <c r="R1327" i="2"/>
  <c r="T1327" i="2" s="1"/>
  <c r="R1328" i="2"/>
  <c r="T1328" i="2" s="1"/>
  <c r="R1329" i="2"/>
  <c r="T1329" i="2" s="1"/>
  <c r="R1330" i="2"/>
  <c r="T1330" i="2" s="1"/>
  <c r="R1331" i="2"/>
  <c r="T1331" i="2" s="1"/>
  <c r="R1332" i="2"/>
  <c r="T1332" i="2" s="1"/>
  <c r="R1333" i="2"/>
  <c r="T1333" i="2" s="1"/>
  <c r="R1334" i="2"/>
  <c r="T1334" i="2" s="1"/>
  <c r="R1335" i="2"/>
  <c r="T1335" i="2" s="1"/>
  <c r="R1336" i="2"/>
  <c r="T1336" i="2" s="1"/>
  <c r="R1337" i="2"/>
  <c r="T1337" i="2" s="1"/>
  <c r="R1338" i="2"/>
  <c r="T1338" i="2" s="1"/>
  <c r="R1339" i="2"/>
  <c r="T1339" i="2" s="1"/>
  <c r="R1340" i="2"/>
  <c r="T1340" i="2" s="1"/>
  <c r="R1341" i="2"/>
  <c r="T1341" i="2" s="1"/>
  <c r="R1342" i="2"/>
  <c r="T1342" i="2" s="1"/>
  <c r="R1343" i="2"/>
  <c r="T1343" i="2" s="1"/>
  <c r="R1344" i="2"/>
  <c r="T1344" i="2" s="1"/>
  <c r="R1345" i="2"/>
  <c r="T1345" i="2" s="1"/>
  <c r="R1346" i="2"/>
  <c r="T1346" i="2" s="1"/>
  <c r="O158" i="14"/>
  <c r="Q158" i="14"/>
  <c r="O157" i="14"/>
  <c r="Q157" i="14"/>
  <c r="O156" i="14"/>
  <c r="Q156" i="14"/>
  <c r="O155" i="14"/>
  <c r="Q155" i="14"/>
  <c r="J97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L95" i="5" s="1"/>
  <c r="K95" i="5" s="1" a="1"/>
  <c r="K95" i="5" s="1"/>
  <c r="J62" i="5"/>
  <c r="J61" i="5"/>
  <c r="J51" i="5"/>
  <c r="J52" i="5"/>
  <c r="J53" i="5"/>
  <c r="J54" i="5"/>
  <c r="J55" i="5"/>
  <c r="J56" i="5"/>
  <c r="J57" i="5"/>
  <c r="J58" i="5"/>
  <c r="J59" i="5"/>
  <c r="J60" i="5"/>
  <c r="P7" i="3"/>
  <c r="P6" i="3"/>
  <c r="P5" i="3"/>
  <c r="P4" i="3"/>
  <c r="P3" i="3"/>
  <c r="J46" i="5"/>
  <c r="J47" i="5"/>
  <c r="J48" i="5"/>
  <c r="J49" i="5"/>
  <c r="J50" i="5"/>
  <c r="E10" i="3"/>
  <c r="J42" i="5"/>
  <c r="J39" i="5"/>
  <c r="C213" i="14"/>
  <c r="D213" i="14" s="1"/>
  <c r="AI213" i="14" s="1"/>
  <c r="O213" i="14"/>
  <c r="Q213" i="14"/>
  <c r="C214" i="14"/>
  <c r="D214" i="14" s="1"/>
  <c r="O214" i="14"/>
  <c r="Q214" i="14"/>
  <c r="C215" i="14"/>
  <c r="D215" i="14" s="1"/>
  <c r="E215" i="14" s="1"/>
  <c r="O215" i="14"/>
  <c r="Q215" i="14"/>
  <c r="C216" i="14"/>
  <c r="D216" i="14" s="1"/>
  <c r="O216" i="14"/>
  <c r="Q216" i="14"/>
  <c r="C217" i="14"/>
  <c r="D217" i="14" s="1"/>
  <c r="O217" i="14"/>
  <c r="Q217" i="14"/>
  <c r="C218" i="14"/>
  <c r="D218" i="14" s="1"/>
  <c r="AI218" i="14" s="1"/>
  <c r="O218" i="14"/>
  <c r="Q218" i="14"/>
  <c r="C219" i="14"/>
  <c r="D219" i="14" s="1"/>
  <c r="O219" i="14"/>
  <c r="Q219" i="14"/>
  <c r="C220" i="14"/>
  <c r="D220" i="14" s="1"/>
  <c r="O220" i="14"/>
  <c r="Q220" i="14"/>
  <c r="C221" i="14"/>
  <c r="D221" i="14" s="1"/>
  <c r="O221" i="14"/>
  <c r="Q221" i="14"/>
  <c r="C222" i="14"/>
  <c r="D222" i="14" s="1"/>
  <c r="AI222" i="14" s="1"/>
  <c r="O222" i="14"/>
  <c r="Q222" i="14"/>
  <c r="Q212" i="14"/>
  <c r="O212" i="14"/>
  <c r="C212" i="14"/>
  <c r="D212" i="14" s="1"/>
  <c r="C195" i="14"/>
  <c r="D195" i="14" s="1"/>
  <c r="O195" i="14"/>
  <c r="Q195" i="14"/>
  <c r="C196" i="14"/>
  <c r="D196" i="14" s="1"/>
  <c r="AI196" i="14" s="1"/>
  <c r="O196" i="14"/>
  <c r="Q196" i="14"/>
  <c r="C197" i="14"/>
  <c r="D197" i="14" s="1"/>
  <c r="O197" i="14"/>
  <c r="Q197" i="14"/>
  <c r="C198" i="14"/>
  <c r="D198" i="14" s="1"/>
  <c r="AI198" i="14" s="1"/>
  <c r="O198" i="14"/>
  <c r="Q198" i="14"/>
  <c r="C199" i="14"/>
  <c r="D199" i="14" s="1"/>
  <c r="AI199" i="14" s="1"/>
  <c r="O199" i="14"/>
  <c r="Q199" i="14"/>
  <c r="C200" i="14"/>
  <c r="D200" i="14" s="1"/>
  <c r="O200" i="14"/>
  <c r="Q200" i="14"/>
  <c r="C201" i="14"/>
  <c r="D201" i="14" s="1"/>
  <c r="O201" i="14"/>
  <c r="Q201" i="14"/>
  <c r="C202" i="14"/>
  <c r="D202" i="14" s="1"/>
  <c r="AI202" i="14" s="1"/>
  <c r="O202" i="14"/>
  <c r="Q202" i="14"/>
  <c r="C203" i="14"/>
  <c r="D203" i="14" s="1"/>
  <c r="AI203" i="14" s="1"/>
  <c r="O203" i="14"/>
  <c r="Q203" i="14"/>
  <c r="C204" i="14"/>
  <c r="D204" i="14" s="1"/>
  <c r="AI204" i="14" s="1"/>
  <c r="O204" i="14"/>
  <c r="Q204" i="14"/>
  <c r="C205" i="14"/>
  <c r="O205" i="14"/>
  <c r="Q205" i="14"/>
  <c r="C206" i="14"/>
  <c r="O206" i="14"/>
  <c r="Q206" i="14"/>
  <c r="C207" i="14"/>
  <c r="D207" i="14" s="1"/>
  <c r="AI207" i="14" s="1"/>
  <c r="O207" i="14"/>
  <c r="Q207" i="14"/>
  <c r="C208" i="14"/>
  <c r="D208" i="14" s="1"/>
  <c r="O208" i="14"/>
  <c r="Q208" i="14"/>
  <c r="Q194" i="14"/>
  <c r="O194" i="14"/>
  <c r="C194" i="14"/>
  <c r="D194" i="14" s="1"/>
  <c r="AI194" i="14" s="1"/>
  <c r="C175" i="14"/>
  <c r="O175" i="14"/>
  <c r="Q175" i="14"/>
  <c r="C176" i="14"/>
  <c r="O176" i="14"/>
  <c r="Q176" i="14"/>
  <c r="C177" i="14"/>
  <c r="D177" i="14" s="1"/>
  <c r="AI177" i="14" s="1"/>
  <c r="O177" i="14"/>
  <c r="Q177" i="14"/>
  <c r="C178" i="14"/>
  <c r="O178" i="14"/>
  <c r="Q178" i="14"/>
  <c r="C179" i="14"/>
  <c r="D179" i="14" s="1"/>
  <c r="AI179" i="14" s="1"/>
  <c r="O179" i="14"/>
  <c r="Q179" i="14"/>
  <c r="C180" i="14"/>
  <c r="O180" i="14"/>
  <c r="Q180" i="14"/>
  <c r="C181" i="14"/>
  <c r="D181" i="14" s="1"/>
  <c r="O181" i="14"/>
  <c r="Q181" i="14"/>
  <c r="C182" i="14"/>
  <c r="D182" i="14" s="1"/>
  <c r="AI182" i="14" s="1"/>
  <c r="O182" i="14"/>
  <c r="Q182" i="14"/>
  <c r="C183" i="14"/>
  <c r="O183" i="14"/>
  <c r="Q183" i="14"/>
  <c r="C184" i="14"/>
  <c r="O184" i="14"/>
  <c r="Q184" i="14"/>
  <c r="C185" i="14"/>
  <c r="D185" i="14" s="1"/>
  <c r="O185" i="14"/>
  <c r="Q185" i="14"/>
  <c r="C186" i="14"/>
  <c r="D186" i="14" s="1"/>
  <c r="O186" i="14"/>
  <c r="Q186" i="14"/>
  <c r="C187" i="14"/>
  <c r="D187" i="14" s="1"/>
  <c r="O187" i="14"/>
  <c r="Q187" i="14"/>
  <c r="C188" i="14"/>
  <c r="D188" i="14" s="1"/>
  <c r="O188" i="14"/>
  <c r="Q188" i="14"/>
  <c r="C189" i="14"/>
  <c r="D189" i="14" s="1"/>
  <c r="O189" i="14"/>
  <c r="Q189" i="14"/>
  <c r="C190" i="14"/>
  <c r="D190" i="14"/>
  <c r="O190" i="14"/>
  <c r="Q190" i="14"/>
  <c r="Q174" i="14"/>
  <c r="O174" i="14"/>
  <c r="C174" i="14"/>
  <c r="C156" i="14"/>
  <c r="D156" i="14" s="1"/>
  <c r="E156" i="14" s="1"/>
  <c r="C157" i="14"/>
  <c r="D157" i="14" s="1"/>
  <c r="C158" i="14"/>
  <c r="D158" i="14" s="1"/>
  <c r="AI158" i="14" s="1"/>
  <c r="C159" i="14"/>
  <c r="D159" i="14" s="1"/>
  <c r="O159" i="14"/>
  <c r="Q159" i="14"/>
  <c r="C160" i="14"/>
  <c r="D160" i="14" s="1"/>
  <c r="O160" i="14"/>
  <c r="Q160" i="14"/>
  <c r="C161" i="14"/>
  <c r="D161" i="14" s="1"/>
  <c r="O161" i="14"/>
  <c r="Q161" i="14"/>
  <c r="C162" i="14"/>
  <c r="D162" i="14" s="1"/>
  <c r="O162" i="14"/>
  <c r="Q162" i="14"/>
  <c r="C163" i="14"/>
  <c r="D163" i="14" s="1"/>
  <c r="O163" i="14"/>
  <c r="Q163" i="14"/>
  <c r="C164" i="14"/>
  <c r="D164" i="14" s="1"/>
  <c r="O164" i="14"/>
  <c r="Q164" i="14"/>
  <c r="C165" i="14"/>
  <c r="D165" i="14" s="1"/>
  <c r="O165" i="14"/>
  <c r="Q165" i="14"/>
  <c r="C166" i="14"/>
  <c r="D166" i="14" s="1"/>
  <c r="O166" i="14"/>
  <c r="Q166" i="14"/>
  <c r="C167" i="14"/>
  <c r="D167" i="14" s="1"/>
  <c r="O167" i="14"/>
  <c r="Q167" i="14"/>
  <c r="C168" i="14"/>
  <c r="D168" i="14" s="1"/>
  <c r="O168" i="14"/>
  <c r="Q168" i="14"/>
  <c r="C169" i="14"/>
  <c r="D169" i="14" s="1"/>
  <c r="O169" i="14"/>
  <c r="Q169" i="14"/>
  <c r="C170" i="14"/>
  <c r="D170" i="14" s="1"/>
  <c r="E170" i="14" s="1"/>
  <c r="O170" i="14"/>
  <c r="Q170" i="14"/>
  <c r="C155" i="14"/>
  <c r="D155" i="14" s="1"/>
  <c r="E155" i="14" s="1"/>
  <c r="C138" i="14"/>
  <c r="D138" i="14" s="1"/>
  <c r="O138" i="14"/>
  <c r="Q138" i="14"/>
  <c r="C139" i="14"/>
  <c r="D139" i="14" s="1"/>
  <c r="O139" i="14"/>
  <c r="Q139" i="14"/>
  <c r="C140" i="14"/>
  <c r="D140" i="14" s="1"/>
  <c r="AI140" i="14" s="1"/>
  <c r="O140" i="14"/>
  <c r="Q140" i="14"/>
  <c r="C141" i="14"/>
  <c r="D141" i="14" s="1"/>
  <c r="AI141" i="14" s="1"/>
  <c r="O141" i="14"/>
  <c r="Q141" i="14"/>
  <c r="C142" i="14"/>
  <c r="D142" i="14" s="1"/>
  <c r="O142" i="14"/>
  <c r="Q142" i="14"/>
  <c r="C143" i="14"/>
  <c r="D143" i="14" s="1"/>
  <c r="AI143" i="14" s="1"/>
  <c r="O143" i="14"/>
  <c r="Q143" i="14"/>
  <c r="C144" i="14"/>
  <c r="D144" i="14" s="1"/>
  <c r="E144" i="14" s="1"/>
  <c r="F144" i="14" s="1"/>
  <c r="O144" i="14"/>
  <c r="Q144" i="14"/>
  <c r="C145" i="14"/>
  <c r="D145" i="14"/>
  <c r="AI145" i="14" s="1"/>
  <c r="O145" i="14"/>
  <c r="Q145" i="14"/>
  <c r="C146" i="14"/>
  <c r="D146" i="14" s="1"/>
  <c r="O146" i="14"/>
  <c r="Q146" i="14"/>
  <c r="C147" i="14"/>
  <c r="D147" i="14" s="1"/>
  <c r="AI147" i="14" s="1"/>
  <c r="O147" i="14"/>
  <c r="Q147" i="14"/>
  <c r="C148" i="14"/>
  <c r="D148" i="14" s="1"/>
  <c r="O148" i="14"/>
  <c r="Q148" i="14"/>
  <c r="C149" i="14"/>
  <c r="D149" i="14" s="1"/>
  <c r="O149" i="14"/>
  <c r="Q149" i="14"/>
  <c r="C150" i="14"/>
  <c r="D150" i="14"/>
  <c r="O150" i="14"/>
  <c r="Q150" i="14"/>
  <c r="C151" i="14"/>
  <c r="D151" i="14"/>
  <c r="O151" i="14"/>
  <c r="Q151" i="14"/>
  <c r="Q137" i="14"/>
  <c r="O137" i="14"/>
  <c r="C137" i="14"/>
  <c r="C117" i="14"/>
  <c r="D117" i="14" s="1"/>
  <c r="O117" i="14"/>
  <c r="Q117" i="14"/>
  <c r="C118" i="14"/>
  <c r="D118" i="14" s="1"/>
  <c r="AI118" i="14"/>
  <c r="O118" i="14"/>
  <c r="Q118" i="14"/>
  <c r="C119" i="14"/>
  <c r="D119" i="14" s="1"/>
  <c r="O119" i="14"/>
  <c r="Q119" i="14"/>
  <c r="C120" i="14"/>
  <c r="D120" i="14" s="1"/>
  <c r="O120" i="14"/>
  <c r="Q120" i="14"/>
  <c r="C121" i="14"/>
  <c r="D121" i="14" s="1"/>
  <c r="O121" i="14"/>
  <c r="Q121" i="14"/>
  <c r="C122" i="14"/>
  <c r="D122" i="14" s="1"/>
  <c r="O122" i="14"/>
  <c r="Q122" i="14"/>
  <c r="C123" i="14"/>
  <c r="D123" i="14"/>
  <c r="E123" i="14" s="1"/>
  <c r="F123" i="14" s="1"/>
  <c r="O123" i="14"/>
  <c r="Q123" i="14"/>
  <c r="C124" i="14"/>
  <c r="D124" i="14" s="1"/>
  <c r="AI124" i="14" s="1"/>
  <c r="O124" i="14"/>
  <c r="Q124" i="14"/>
  <c r="C125" i="14"/>
  <c r="D125" i="14"/>
  <c r="O125" i="14"/>
  <c r="Q125" i="14"/>
  <c r="C126" i="14"/>
  <c r="D126" i="14"/>
  <c r="O126" i="14"/>
  <c r="Q126" i="14"/>
  <c r="C127" i="14"/>
  <c r="D127" i="14" s="1"/>
  <c r="O127" i="14"/>
  <c r="Q127" i="14"/>
  <c r="C128" i="14"/>
  <c r="D128" i="14" s="1"/>
  <c r="O128" i="14"/>
  <c r="Q128" i="14"/>
  <c r="C129" i="14"/>
  <c r="D129" i="14" s="1"/>
  <c r="O129" i="14"/>
  <c r="Q129" i="14"/>
  <c r="C130" i="14"/>
  <c r="D130" i="14" s="1"/>
  <c r="O130" i="14"/>
  <c r="Q130" i="14"/>
  <c r="C131" i="14"/>
  <c r="D131" i="14" s="1"/>
  <c r="O131" i="14"/>
  <c r="Q131" i="14"/>
  <c r="C132" i="14"/>
  <c r="D132" i="14" s="1"/>
  <c r="O132" i="14"/>
  <c r="Q132" i="14"/>
  <c r="C133" i="14"/>
  <c r="D133" i="14"/>
  <c r="O133" i="14"/>
  <c r="Q133" i="14"/>
  <c r="Q116" i="14"/>
  <c r="O116" i="14"/>
  <c r="C116" i="14"/>
  <c r="D116" i="14" s="1"/>
  <c r="C98" i="14"/>
  <c r="D98" i="14" s="1"/>
  <c r="O98" i="14"/>
  <c r="Q98" i="14"/>
  <c r="C99" i="14"/>
  <c r="D99" i="14" s="1"/>
  <c r="O99" i="14"/>
  <c r="Q99" i="14"/>
  <c r="C100" i="14"/>
  <c r="D100" i="14" s="1"/>
  <c r="O100" i="14"/>
  <c r="Q100" i="14"/>
  <c r="C101" i="14"/>
  <c r="D101" i="14" s="1"/>
  <c r="O101" i="14"/>
  <c r="Q101" i="14"/>
  <c r="C102" i="14"/>
  <c r="D102" i="14" s="1"/>
  <c r="AI102" i="14" s="1"/>
  <c r="O102" i="14"/>
  <c r="Q102" i="14"/>
  <c r="C103" i="14"/>
  <c r="D103" i="14" s="1"/>
  <c r="O103" i="14"/>
  <c r="Q103" i="14"/>
  <c r="C104" i="14"/>
  <c r="D104" i="14" s="1"/>
  <c r="E104" i="14" s="1"/>
  <c r="O104" i="14"/>
  <c r="Q104" i="14"/>
  <c r="C105" i="14"/>
  <c r="D105" i="14" s="1"/>
  <c r="E105" i="14" s="1"/>
  <c r="O105" i="14"/>
  <c r="Q105" i="14"/>
  <c r="C106" i="14"/>
  <c r="D106" i="14"/>
  <c r="E106" i="14" s="1"/>
  <c r="O106" i="14"/>
  <c r="Q106" i="14"/>
  <c r="C107" i="14"/>
  <c r="D107" i="14" s="1"/>
  <c r="O107" i="14"/>
  <c r="Q107" i="14"/>
  <c r="C108" i="14"/>
  <c r="D108" i="14" s="1"/>
  <c r="O108" i="14"/>
  <c r="Q108" i="14"/>
  <c r="C109" i="14"/>
  <c r="D109" i="14" s="1"/>
  <c r="AI109" i="14" s="1"/>
  <c r="O109" i="14"/>
  <c r="Q109" i="14"/>
  <c r="C110" i="14"/>
  <c r="D110" i="14" s="1"/>
  <c r="AI110" i="14" s="1"/>
  <c r="O110" i="14"/>
  <c r="Q110" i="14"/>
  <c r="C111" i="14"/>
  <c r="D111" i="14" s="1"/>
  <c r="O111" i="14"/>
  <c r="Q111" i="14"/>
  <c r="C112" i="14"/>
  <c r="D112" i="14" s="1"/>
  <c r="E112" i="14" s="1"/>
  <c r="O112" i="14"/>
  <c r="Q112" i="14"/>
  <c r="Q97" i="14"/>
  <c r="O97" i="14"/>
  <c r="C97" i="14"/>
  <c r="D97" i="14" s="1"/>
  <c r="AI97" i="14" s="1"/>
  <c r="Q93" i="14"/>
  <c r="O93" i="14"/>
  <c r="Q92" i="14"/>
  <c r="O92" i="14"/>
  <c r="Q91" i="14"/>
  <c r="O91" i="14"/>
  <c r="Q90" i="14"/>
  <c r="O90" i="14"/>
  <c r="Q89" i="14"/>
  <c r="O89" i="14"/>
  <c r="Q88" i="14"/>
  <c r="O88" i="14"/>
  <c r="Q87" i="14"/>
  <c r="O87" i="14"/>
  <c r="Q86" i="14"/>
  <c r="O86" i="14"/>
  <c r="Q85" i="14"/>
  <c r="O85" i="14"/>
  <c r="Q84" i="14"/>
  <c r="O84" i="14"/>
  <c r="Q83" i="14"/>
  <c r="O83" i="14"/>
  <c r="Q82" i="14"/>
  <c r="O82" i="14"/>
  <c r="Q81" i="14"/>
  <c r="O81" i="14"/>
  <c r="Q80" i="14"/>
  <c r="O80" i="14"/>
  <c r="Q79" i="14"/>
  <c r="O79" i="14"/>
  <c r="Q78" i="14"/>
  <c r="O78" i="14"/>
  <c r="C79" i="14"/>
  <c r="D79" i="14"/>
  <c r="AI79" i="14" s="1"/>
  <c r="C80" i="14"/>
  <c r="D80" i="14" s="1"/>
  <c r="E80" i="14" s="1"/>
  <c r="C81" i="14"/>
  <c r="D81" i="14" s="1"/>
  <c r="E81" i="14" s="1"/>
  <c r="C82" i="14"/>
  <c r="D82" i="14"/>
  <c r="C83" i="14"/>
  <c r="D83" i="14" s="1"/>
  <c r="C84" i="14"/>
  <c r="D84" i="14" s="1"/>
  <c r="C85" i="14"/>
  <c r="D85" i="14" s="1"/>
  <c r="AI85" i="14" s="1"/>
  <c r="E85" i="14"/>
  <c r="C86" i="14"/>
  <c r="D86" i="14" s="1"/>
  <c r="E86" i="14" s="1"/>
  <c r="F86" i="14" s="1"/>
  <c r="C87" i="14"/>
  <c r="D87" i="14" s="1"/>
  <c r="C88" i="14"/>
  <c r="D88" i="14" s="1"/>
  <c r="C89" i="14"/>
  <c r="D89" i="14" s="1"/>
  <c r="AI89" i="14" s="1"/>
  <c r="C90" i="14"/>
  <c r="D90" i="14" s="1"/>
  <c r="C91" i="14"/>
  <c r="D91" i="14" s="1"/>
  <c r="C92" i="14"/>
  <c r="D92" i="14" s="1"/>
  <c r="E92" i="14" s="1"/>
  <c r="C93" i="14"/>
  <c r="D93" i="14"/>
  <c r="C78" i="14"/>
  <c r="D78" i="14" s="1"/>
  <c r="C59" i="14"/>
  <c r="D59" i="14" s="1"/>
  <c r="E59" i="14" s="1"/>
  <c r="O59" i="14"/>
  <c r="Q59" i="14"/>
  <c r="C60" i="14"/>
  <c r="D60" i="14" s="1"/>
  <c r="O60" i="14"/>
  <c r="Q60" i="14"/>
  <c r="C61" i="14"/>
  <c r="D61" i="14" s="1"/>
  <c r="E61" i="14" s="1"/>
  <c r="O61" i="14"/>
  <c r="Q61" i="14"/>
  <c r="C62" i="14"/>
  <c r="D62" i="14" s="1"/>
  <c r="O62" i="14"/>
  <c r="Q62" i="14"/>
  <c r="C63" i="14"/>
  <c r="D63" i="14" s="1"/>
  <c r="O63" i="14"/>
  <c r="Q63" i="14"/>
  <c r="C64" i="14"/>
  <c r="D64" i="14"/>
  <c r="O64" i="14"/>
  <c r="Q64" i="14"/>
  <c r="C65" i="14"/>
  <c r="D65" i="14"/>
  <c r="O65" i="14"/>
  <c r="Q65" i="14"/>
  <c r="C66" i="14"/>
  <c r="D66" i="14" s="1"/>
  <c r="O66" i="14"/>
  <c r="Q66" i="14"/>
  <c r="C67" i="14"/>
  <c r="D67" i="14" s="1"/>
  <c r="E67" i="14" s="1"/>
  <c r="O67" i="14"/>
  <c r="Q67" i="14"/>
  <c r="C68" i="14"/>
  <c r="D68" i="14" s="1"/>
  <c r="O68" i="14"/>
  <c r="Q68" i="14"/>
  <c r="C69" i="14"/>
  <c r="D69" i="14" s="1"/>
  <c r="AI69" i="14" s="1"/>
  <c r="O69" i="14"/>
  <c r="Q69" i="14"/>
  <c r="C70" i="14"/>
  <c r="D70" i="14" s="1"/>
  <c r="O70" i="14"/>
  <c r="Q70" i="14"/>
  <c r="C71" i="14"/>
  <c r="D71" i="14" s="1"/>
  <c r="O71" i="14"/>
  <c r="Q71" i="14"/>
  <c r="C72" i="14"/>
  <c r="D72" i="14" s="1"/>
  <c r="AI72" i="14" s="1"/>
  <c r="O72" i="14"/>
  <c r="Q72" i="14"/>
  <c r="C73" i="14"/>
  <c r="D73" i="14" s="1"/>
  <c r="E73" i="14" s="1"/>
  <c r="O73" i="14"/>
  <c r="Q73" i="14"/>
  <c r="C74" i="14"/>
  <c r="D74" i="14" s="1"/>
  <c r="AI74" i="14" s="1"/>
  <c r="O74" i="14"/>
  <c r="Q74" i="14"/>
  <c r="Q58" i="14"/>
  <c r="O58" i="14"/>
  <c r="C58" i="14"/>
  <c r="D58" i="14" s="1"/>
  <c r="E58" i="14" s="1"/>
  <c r="C40" i="14"/>
  <c r="D40" i="14" s="1"/>
  <c r="O40" i="14"/>
  <c r="Q40" i="14"/>
  <c r="C41" i="14"/>
  <c r="D41" i="14" s="1"/>
  <c r="O41" i="14"/>
  <c r="Q41" i="14"/>
  <c r="C42" i="14"/>
  <c r="D42" i="14" s="1"/>
  <c r="O42" i="14"/>
  <c r="Q42" i="14"/>
  <c r="C43" i="14"/>
  <c r="D43" i="14"/>
  <c r="E43" i="14" s="1"/>
  <c r="O43" i="14"/>
  <c r="Q43" i="14"/>
  <c r="C44" i="14"/>
  <c r="D44" i="14" s="1"/>
  <c r="AI44" i="14" s="1"/>
  <c r="O44" i="14"/>
  <c r="Q44" i="14"/>
  <c r="C45" i="14"/>
  <c r="D45" i="14" s="1"/>
  <c r="E45" i="14" s="1"/>
  <c r="O45" i="14"/>
  <c r="Q45" i="14"/>
  <c r="C46" i="14"/>
  <c r="D46" i="14" s="1"/>
  <c r="O46" i="14"/>
  <c r="Q46" i="14"/>
  <c r="C47" i="14"/>
  <c r="D47" i="14" s="1"/>
  <c r="O47" i="14"/>
  <c r="Q47" i="14"/>
  <c r="C48" i="14"/>
  <c r="D48" i="14"/>
  <c r="O48" i="14"/>
  <c r="Q48" i="14"/>
  <c r="C49" i="14"/>
  <c r="D49" i="14"/>
  <c r="O49" i="14"/>
  <c r="Q49" i="14"/>
  <c r="C50" i="14"/>
  <c r="D50" i="14" s="1"/>
  <c r="E50" i="14" s="1"/>
  <c r="O50" i="14"/>
  <c r="Q50" i="14"/>
  <c r="C51" i="14"/>
  <c r="D51" i="14" s="1"/>
  <c r="O51" i="14"/>
  <c r="Q51" i="14"/>
  <c r="C52" i="14"/>
  <c r="D52" i="14" s="1"/>
  <c r="E52" i="14" s="1"/>
  <c r="O52" i="14"/>
  <c r="Q52" i="14"/>
  <c r="C53" i="14"/>
  <c r="D53" i="14" s="1"/>
  <c r="O53" i="14"/>
  <c r="Q53" i="14"/>
  <c r="C54" i="14"/>
  <c r="D54" i="14" s="1"/>
  <c r="AI54" i="14" s="1"/>
  <c r="O54" i="14"/>
  <c r="Q54" i="14"/>
  <c r="Q39" i="14"/>
  <c r="O39" i="14"/>
  <c r="C39" i="14"/>
  <c r="D39" i="14" s="1"/>
  <c r="E39" i="14" s="1"/>
  <c r="Q35" i="14"/>
  <c r="Q34" i="14"/>
  <c r="Q33" i="14"/>
  <c r="Q32" i="14"/>
  <c r="Q31" i="14"/>
  <c r="Q30" i="14"/>
  <c r="Q29" i="14"/>
  <c r="Q28" i="14"/>
  <c r="Q27" i="14"/>
  <c r="Q26" i="14"/>
  <c r="Q25" i="14"/>
  <c r="Q24" i="14"/>
  <c r="Q23" i="14"/>
  <c r="Q22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C35" i="14"/>
  <c r="D35" i="14" s="1"/>
  <c r="C34" i="14"/>
  <c r="D34" i="14"/>
  <c r="C33" i="14"/>
  <c r="D33" i="14" s="1"/>
  <c r="E33" i="14" s="1"/>
  <c r="C32" i="14"/>
  <c r="D32" i="14" s="1"/>
  <c r="C31" i="14"/>
  <c r="D31" i="14"/>
  <c r="E31" i="14" s="1"/>
  <c r="AI31" i="14"/>
  <c r="C30" i="14"/>
  <c r="D30" i="14" s="1"/>
  <c r="E30" i="14" s="1"/>
  <c r="F30" i="14" s="1"/>
  <c r="AI30" i="14"/>
  <c r="C29" i="14"/>
  <c r="D29" i="14" s="1"/>
  <c r="AI29" i="14" s="1"/>
  <c r="C28" i="14"/>
  <c r="D28" i="14" s="1"/>
  <c r="AI28" i="14" s="1"/>
  <c r="C27" i="14"/>
  <c r="D27" i="14" s="1"/>
  <c r="AI27" i="14" s="1"/>
  <c r="C26" i="14"/>
  <c r="D26" i="14" s="1"/>
  <c r="AI26" i="14" s="1"/>
  <c r="C25" i="14"/>
  <c r="D25" i="14" s="1"/>
  <c r="C24" i="14"/>
  <c r="D24" i="14" s="1"/>
  <c r="E24" i="14" s="1"/>
  <c r="C23" i="14"/>
  <c r="D23" i="14" s="1"/>
  <c r="C22" i="14"/>
  <c r="D22" i="14" s="1"/>
  <c r="AI22" i="14" s="1"/>
  <c r="Q21" i="14"/>
  <c r="O21" i="14"/>
  <c r="C21" i="14"/>
  <c r="D21" i="14" s="1"/>
  <c r="E21" i="14" s="1"/>
  <c r="C4" i="14"/>
  <c r="D4" i="14" s="1"/>
  <c r="AI4" i="14" s="1"/>
  <c r="O4" i="14"/>
  <c r="Q4" i="14"/>
  <c r="C5" i="14"/>
  <c r="D5" i="14" s="1"/>
  <c r="E5" i="14" s="1"/>
  <c r="O5" i="14"/>
  <c r="Q5" i="14"/>
  <c r="C6" i="14"/>
  <c r="D6" i="14" s="1"/>
  <c r="O6" i="14"/>
  <c r="Q6" i="14"/>
  <c r="C7" i="14"/>
  <c r="D7" i="14" s="1"/>
  <c r="O7" i="14"/>
  <c r="Q7" i="14"/>
  <c r="C8" i="14"/>
  <c r="D8" i="14"/>
  <c r="AI8" i="14" s="1"/>
  <c r="O8" i="14"/>
  <c r="Q8" i="14"/>
  <c r="C9" i="14"/>
  <c r="D9" i="14" s="1"/>
  <c r="AI9" i="14" s="1"/>
  <c r="O9" i="14"/>
  <c r="Q9" i="14"/>
  <c r="C10" i="14"/>
  <c r="D10" i="14" s="1"/>
  <c r="O10" i="14"/>
  <c r="Q10" i="14"/>
  <c r="C11" i="14"/>
  <c r="D11" i="14" s="1"/>
  <c r="O11" i="14"/>
  <c r="Q11" i="14"/>
  <c r="C12" i="14"/>
  <c r="D12" i="14" s="1"/>
  <c r="E12" i="14" s="1"/>
  <c r="O12" i="14"/>
  <c r="Q12" i="14"/>
  <c r="C13" i="14"/>
  <c r="D13" i="14" s="1"/>
  <c r="O13" i="14"/>
  <c r="Q13" i="14"/>
  <c r="C14" i="14"/>
  <c r="D14" i="14"/>
  <c r="O14" i="14"/>
  <c r="Q14" i="14"/>
  <c r="C15" i="14"/>
  <c r="D15" i="14"/>
  <c r="O15" i="14"/>
  <c r="Q15" i="14"/>
  <c r="C16" i="14"/>
  <c r="D16" i="14" s="1"/>
  <c r="O16" i="14"/>
  <c r="Q16" i="14"/>
  <c r="C17" i="14"/>
  <c r="D17" i="14" s="1"/>
  <c r="E17" i="14" s="1"/>
  <c r="O17" i="14"/>
  <c r="Q17" i="14"/>
  <c r="Q3" i="14"/>
  <c r="O3" i="14"/>
  <c r="C3" i="14"/>
  <c r="D3" i="14" s="1"/>
  <c r="E119" i="14"/>
  <c r="E143" i="14"/>
  <c r="F143" i="14" s="1"/>
  <c r="E84" i="14"/>
  <c r="AI65" i="14"/>
  <c r="AI66" i="14"/>
  <c r="AI60" i="14"/>
  <c r="D206" i="14"/>
  <c r="D184" i="14"/>
  <c r="E184" i="14" s="1"/>
  <c r="AI144" i="14"/>
  <c r="D137" i="14"/>
  <c r="E69" i="14"/>
  <c r="E10" i="14"/>
  <c r="E27" i="14"/>
  <c r="F27" i="14" s="1"/>
  <c r="I3" i="7"/>
  <c r="J3" i="7"/>
  <c r="I4" i="7"/>
  <c r="J4" i="7"/>
  <c r="I5" i="7"/>
  <c r="J5" i="7"/>
  <c r="I6" i="7"/>
  <c r="J6" i="7"/>
  <c r="I7" i="7"/>
  <c r="J7" i="7"/>
  <c r="I8" i="7"/>
  <c r="J8" i="7"/>
  <c r="I9" i="7"/>
  <c r="J9" i="7"/>
  <c r="J40" i="5"/>
  <c r="J41" i="5"/>
  <c r="L41" i="5" s="1"/>
  <c r="K41" i="5" s="1" a="1"/>
  <c r="K41" i="5" s="1"/>
  <c r="J43" i="5"/>
  <c r="J44" i="5"/>
  <c r="J45" i="5"/>
  <c r="L26" i="3"/>
  <c r="E18" i="3"/>
  <c r="T18" i="3"/>
  <c r="J34" i="5"/>
  <c r="J35" i="5"/>
  <c r="J36" i="5"/>
  <c r="J37" i="5"/>
  <c r="J38" i="5"/>
  <c r="L38" i="5" s="1"/>
  <c r="K38" i="5" s="1" a="1"/>
  <c r="K38" i="5" s="1"/>
  <c r="J29" i="5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C3" i="9"/>
  <c r="D3" i="9" s="1"/>
  <c r="C4" i="9"/>
  <c r="D4" i="9" s="1"/>
  <c r="AI4" i="9" s="1"/>
  <c r="C5" i="9"/>
  <c r="D5" i="9" s="1"/>
  <c r="C6" i="9"/>
  <c r="D6" i="9"/>
  <c r="C7" i="9"/>
  <c r="D7" i="9" s="1"/>
  <c r="C8" i="9"/>
  <c r="D8" i="9" s="1"/>
  <c r="C9" i="9"/>
  <c r="D9" i="9"/>
  <c r="C10" i="9"/>
  <c r="D10" i="9" s="1"/>
  <c r="AI10" i="9" s="1"/>
  <c r="C11" i="9"/>
  <c r="D11" i="9" s="1"/>
  <c r="C12" i="9"/>
  <c r="D12" i="9"/>
  <c r="C13" i="9"/>
  <c r="D13" i="9" s="1"/>
  <c r="C14" i="9"/>
  <c r="D14" i="9"/>
  <c r="AI14" i="9" s="1"/>
  <c r="C15" i="9"/>
  <c r="D15" i="9" s="1"/>
  <c r="C16" i="9"/>
  <c r="D16" i="9" s="1"/>
  <c r="E16" i="9" s="1"/>
  <c r="F16" i="9" s="1"/>
  <c r="C17" i="9"/>
  <c r="D17" i="9" s="1"/>
  <c r="AI17" i="9" s="1"/>
  <c r="C18" i="9"/>
  <c r="D18" i="9" s="1"/>
  <c r="AI18" i="9" s="1"/>
  <c r="C19" i="9"/>
  <c r="D19" i="9" s="1"/>
  <c r="AI19" i="9" s="1"/>
  <c r="C20" i="9"/>
  <c r="D20" i="9" s="1"/>
  <c r="AI20" i="9" s="1"/>
  <c r="C21" i="9"/>
  <c r="D21" i="9" s="1"/>
  <c r="E21" i="9" s="1"/>
  <c r="C22" i="9"/>
  <c r="D22" i="9" s="1"/>
  <c r="C23" i="9"/>
  <c r="D23" i="9" s="1"/>
  <c r="C24" i="9"/>
  <c r="D24" i="9" s="1"/>
  <c r="AI24" i="9" s="1"/>
  <c r="C25" i="9"/>
  <c r="D25" i="9" s="1"/>
  <c r="AI25" i="9" s="1"/>
  <c r="C26" i="9"/>
  <c r="D26" i="9" s="1"/>
  <c r="C27" i="9"/>
  <c r="D27" i="9" s="1"/>
  <c r="C28" i="9"/>
  <c r="D28" i="9" s="1"/>
  <c r="AI28" i="9" s="1"/>
  <c r="C29" i="9"/>
  <c r="D29" i="9" s="1"/>
  <c r="AI29" i="9" s="1"/>
  <c r="C30" i="9"/>
  <c r="D30" i="9" s="1"/>
  <c r="C31" i="9"/>
  <c r="D31" i="9" s="1"/>
  <c r="C32" i="9"/>
  <c r="D32" i="9" s="1"/>
  <c r="AI32" i="9" s="1"/>
  <c r="C33" i="9"/>
  <c r="D33" i="9"/>
  <c r="C34" i="9"/>
  <c r="D34" i="9" s="1"/>
  <c r="E34" i="9" s="1"/>
  <c r="C35" i="9"/>
  <c r="D35" i="9" s="1"/>
  <c r="E35" i="9" s="1"/>
  <c r="F35" i="9" s="1"/>
  <c r="C36" i="9"/>
  <c r="D36" i="9"/>
  <c r="C37" i="9"/>
  <c r="D37" i="9" s="1"/>
  <c r="AI37" i="9" s="1"/>
  <c r="C38" i="9"/>
  <c r="D38" i="9" s="1"/>
  <c r="AI38" i="9" s="1"/>
  <c r="C39" i="9"/>
  <c r="D39" i="9"/>
  <c r="C40" i="9"/>
  <c r="D40" i="9" s="1"/>
  <c r="E40" i="9" s="1"/>
  <c r="C41" i="9"/>
  <c r="D41" i="9" s="1"/>
  <c r="C42" i="9"/>
  <c r="D42" i="9" s="1"/>
  <c r="C43" i="9"/>
  <c r="D43" i="9" s="1"/>
  <c r="AI43" i="9" s="1"/>
  <c r="C44" i="9"/>
  <c r="D44" i="9" s="1"/>
  <c r="C45" i="9"/>
  <c r="D45" i="9" s="1"/>
  <c r="E45" i="9" s="1"/>
  <c r="C46" i="9"/>
  <c r="D46" i="9" s="1"/>
  <c r="E46" i="9" s="1"/>
  <c r="C47" i="9"/>
  <c r="D47" i="9" s="1"/>
  <c r="C48" i="9"/>
  <c r="D48" i="9" s="1"/>
  <c r="E48" i="9" s="1"/>
  <c r="C49" i="9"/>
  <c r="D49" i="9" s="1"/>
  <c r="AI49" i="9" s="1"/>
  <c r="C50" i="9"/>
  <c r="D50" i="9" s="1"/>
  <c r="C51" i="9"/>
  <c r="D51" i="9" s="1"/>
  <c r="AI51" i="9" s="1"/>
  <c r="C52" i="9"/>
  <c r="D52" i="9" s="1"/>
  <c r="AI52" i="9" s="1"/>
  <c r="C53" i="9"/>
  <c r="D53" i="9" s="1"/>
  <c r="C54" i="9"/>
  <c r="D54" i="9" s="1"/>
  <c r="C55" i="9"/>
  <c r="D55" i="9" s="1"/>
  <c r="AI55" i="9" s="1"/>
  <c r="C56" i="9"/>
  <c r="D56" i="9" s="1"/>
  <c r="C57" i="9"/>
  <c r="D57" i="9" s="1"/>
  <c r="C58" i="9"/>
  <c r="D58" i="9" s="1"/>
  <c r="AI58" i="9" s="1"/>
  <c r="C59" i="9"/>
  <c r="D59" i="9" s="1"/>
  <c r="C60" i="9"/>
  <c r="D60" i="9" s="1"/>
  <c r="C61" i="9"/>
  <c r="D61" i="9" s="1"/>
  <c r="E61" i="9" s="1"/>
  <c r="C62" i="9"/>
  <c r="D62" i="9" s="1"/>
  <c r="C63" i="9"/>
  <c r="D63" i="9" s="1"/>
  <c r="C64" i="9"/>
  <c r="D64" i="9" s="1"/>
  <c r="C65" i="9"/>
  <c r="D65" i="9" s="1"/>
  <c r="AI65" i="9" s="1"/>
  <c r="C66" i="9"/>
  <c r="D66" i="9" s="1"/>
  <c r="C67" i="9"/>
  <c r="D67" i="9" s="1"/>
  <c r="C68" i="9"/>
  <c r="D68" i="9" s="1"/>
  <c r="C69" i="9"/>
  <c r="D69" i="9" s="1"/>
  <c r="C70" i="9"/>
  <c r="D70" i="9" s="1"/>
  <c r="E70" i="9" s="1"/>
  <c r="C71" i="9"/>
  <c r="D71" i="9" s="1"/>
  <c r="C72" i="9"/>
  <c r="D72" i="9" s="1"/>
  <c r="AI72" i="9" s="1"/>
  <c r="C73" i="9"/>
  <c r="D73" i="9" s="1"/>
  <c r="AI73" i="9" s="1"/>
  <c r="C74" i="9"/>
  <c r="D74" i="9" s="1"/>
  <c r="C75" i="9"/>
  <c r="D75" i="9" s="1"/>
  <c r="C76" i="9"/>
  <c r="D76" i="9" s="1"/>
  <c r="AI76" i="9" s="1"/>
  <c r="C77" i="9"/>
  <c r="D77" i="9"/>
  <c r="E77" i="9" s="1"/>
  <c r="C78" i="9"/>
  <c r="D78" i="9" s="1"/>
  <c r="C79" i="9"/>
  <c r="D79" i="9" s="1"/>
  <c r="E79" i="9" s="1"/>
  <c r="C80" i="9"/>
  <c r="D80" i="9" s="1"/>
  <c r="C81" i="9"/>
  <c r="D81" i="9" s="1"/>
  <c r="E81" i="9" s="1"/>
  <c r="C82" i="9"/>
  <c r="D82" i="9" s="1"/>
  <c r="AI82" i="9" s="1"/>
  <c r="C83" i="9"/>
  <c r="D83" i="9" s="1"/>
  <c r="C84" i="9"/>
  <c r="D84" i="9" s="1"/>
  <c r="C85" i="9"/>
  <c r="D85" i="9" s="1"/>
  <c r="AI85" i="9" s="1"/>
  <c r="C86" i="9"/>
  <c r="D86" i="9" s="1"/>
  <c r="C87" i="9"/>
  <c r="D87" i="9" s="1"/>
  <c r="E87" i="9" s="1"/>
  <c r="C88" i="9"/>
  <c r="D88" i="9" s="1"/>
  <c r="E88" i="9" s="1"/>
  <c r="C89" i="9"/>
  <c r="D89" i="9" s="1"/>
  <c r="C90" i="9"/>
  <c r="D90" i="9" s="1"/>
  <c r="C91" i="9"/>
  <c r="D91" i="9" s="1"/>
  <c r="C92" i="9"/>
  <c r="D92" i="9" s="1"/>
  <c r="E92" i="9" s="1"/>
  <c r="C93" i="9"/>
  <c r="D93" i="9" s="1"/>
  <c r="C94" i="9"/>
  <c r="D94" i="9" s="1"/>
  <c r="AI94" i="9" s="1"/>
  <c r="C95" i="9"/>
  <c r="D95" i="9" s="1"/>
  <c r="AI95" i="9" s="1"/>
  <c r="C96" i="9"/>
  <c r="D96" i="9"/>
  <c r="C97" i="9"/>
  <c r="D97" i="9" s="1"/>
  <c r="C98" i="9"/>
  <c r="D98" i="9" s="1"/>
  <c r="C99" i="9"/>
  <c r="D99" i="9"/>
  <c r="C100" i="9"/>
  <c r="D100" i="9" s="1"/>
  <c r="AI100" i="9" s="1"/>
  <c r="C101" i="9"/>
  <c r="D101" i="9" s="1"/>
  <c r="C102" i="9"/>
  <c r="D102" i="9"/>
  <c r="C103" i="9"/>
  <c r="D103" i="9" s="1"/>
  <c r="AI103" i="9" s="1"/>
  <c r="C104" i="9"/>
  <c r="D104" i="9" s="1"/>
  <c r="C105" i="9"/>
  <c r="D105" i="9"/>
  <c r="C106" i="9"/>
  <c r="D106" i="9" s="1"/>
  <c r="E106" i="9" s="1"/>
  <c r="C107" i="9"/>
  <c r="D107" i="9" s="1"/>
  <c r="C108" i="9"/>
  <c r="D108" i="9"/>
  <c r="AI108" i="9" s="1"/>
  <c r="C109" i="9"/>
  <c r="D109" i="9" s="1"/>
  <c r="C110" i="9"/>
  <c r="D110" i="9" s="1"/>
  <c r="E110" i="9" s="1"/>
  <c r="C111" i="9"/>
  <c r="D111" i="9"/>
  <c r="Q113" i="8"/>
  <c r="Q114" i="8"/>
  <c r="Q115" i="8"/>
  <c r="Q116" i="8"/>
  <c r="Q117" i="8"/>
  <c r="Q118" i="8"/>
  <c r="Q119" i="8"/>
  <c r="Q120" i="8"/>
  <c r="Q121" i="8"/>
  <c r="Q122" i="8"/>
  <c r="Q123" i="8"/>
  <c r="O113" i="8"/>
  <c r="O114" i="8"/>
  <c r="O115" i="8"/>
  <c r="O116" i="8"/>
  <c r="O117" i="8"/>
  <c r="O118" i="8"/>
  <c r="O119" i="8"/>
  <c r="O120" i="8"/>
  <c r="O121" i="8"/>
  <c r="O122" i="8"/>
  <c r="O123" i="8"/>
  <c r="C113" i="8"/>
  <c r="D113" i="8"/>
  <c r="C114" i="8"/>
  <c r="D114" i="8" s="1"/>
  <c r="AI114" i="8" s="1"/>
  <c r="C115" i="8"/>
  <c r="D115" i="8"/>
  <c r="C116" i="8"/>
  <c r="D116" i="8" s="1"/>
  <c r="C117" i="8"/>
  <c r="D117" i="8" s="1"/>
  <c r="C118" i="8"/>
  <c r="D118" i="8" s="1"/>
  <c r="C119" i="8"/>
  <c r="D119" i="8" s="1"/>
  <c r="AI119" i="8" s="1"/>
  <c r="C120" i="8"/>
  <c r="D120" i="8" s="1"/>
  <c r="AI120" i="8" s="1"/>
  <c r="C121" i="8"/>
  <c r="D121" i="8" s="1"/>
  <c r="C122" i="8"/>
  <c r="D122" i="8" s="1"/>
  <c r="C123" i="8"/>
  <c r="D123" i="8" s="1"/>
  <c r="AI123" i="8" s="1"/>
  <c r="E123" i="8"/>
  <c r="F123" i="8" s="1"/>
  <c r="E114" i="8"/>
  <c r="F114" i="8" s="1"/>
  <c r="E109" i="9"/>
  <c r="E104" i="9"/>
  <c r="E103" i="9"/>
  <c r="E100" i="9"/>
  <c r="E97" i="9"/>
  <c r="E94" i="9"/>
  <c r="AI92" i="9"/>
  <c r="AI87" i="9"/>
  <c r="E86" i="9"/>
  <c r="E82" i="9"/>
  <c r="F82" i="9" s="1"/>
  <c r="AI81" i="9"/>
  <c r="E76" i="9"/>
  <c r="AI74" i="9"/>
  <c r="E64" i="9"/>
  <c r="E59" i="9"/>
  <c r="AI54" i="9"/>
  <c r="E51" i="9"/>
  <c r="E49" i="9"/>
  <c r="F49" i="9" s="1"/>
  <c r="E47" i="9"/>
  <c r="AI46" i="9"/>
  <c r="AI45" i="9"/>
  <c r="E43" i="9"/>
  <c r="F43" i="9" s="1"/>
  <c r="E37" i="9"/>
  <c r="AI35" i="9"/>
  <c r="E33" i="9"/>
  <c r="E28" i="9"/>
  <c r="F28" i="9" s="1"/>
  <c r="E25" i="9"/>
  <c r="AI22" i="9"/>
  <c r="E22" i="9"/>
  <c r="E19" i="9"/>
  <c r="F19" i="9" s="1"/>
  <c r="AI16" i="9"/>
  <c r="E14" i="9"/>
  <c r="AI12" i="9"/>
  <c r="E10" i="9"/>
  <c r="F10" i="9" s="1"/>
  <c r="AI8" i="9"/>
  <c r="E8" i="9"/>
  <c r="A10" i="9"/>
  <c r="A43" i="9"/>
  <c r="F87" i="9"/>
  <c r="A87" i="9" s="1"/>
  <c r="F92" i="9"/>
  <c r="J26" i="5"/>
  <c r="J25" i="5"/>
  <c r="Y17" i="3"/>
  <c r="Y9" i="3"/>
  <c r="Q25" i="3"/>
  <c r="Q17" i="3"/>
  <c r="Q9" i="3"/>
  <c r="J33" i="5"/>
  <c r="C96" i="8"/>
  <c r="D96" i="8" s="1"/>
  <c r="C97" i="8"/>
  <c r="C98" i="8"/>
  <c r="D98" i="8" s="1"/>
  <c r="AI98" i="8" s="1"/>
  <c r="C99" i="8"/>
  <c r="D99" i="8" s="1"/>
  <c r="AI99" i="8" s="1"/>
  <c r="C100" i="8"/>
  <c r="D100" i="8" s="1"/>
  <c r="C101" i="8"/>
  <c r="D101" i="8" s="1"/>
  <c r="E101" i="8"/>
  <c r="F101" i="8" s="1"/>
  <c r="C102" i="8"/>
  <c r="D102" i="8" s="1"/>
  <c r="E102" i="8" s="1"/>
  <c r="C103" i="8"/>
  <c r="D103" i="8" s="1"/>
  <c r="AI103" i="8" s="1"/>
  <c r="C104" i="8"/>
  <c r="D104" i="8" s="1"/>
  <c r="C105" i="8"/>
  <c r="D105" i="8" s="1"/>
  <c r="C106" i="8"/>
  <c r="C107" i="8"/>
  <c r="D107" i="8" s="1"/>
  <c r="C108" i="8"/>
  <c r="D108" i="8" s="1"/>
  <c r="AI108" i="8" s="1"/>
  <c r="C109" i="8"/>
  <c r="D109" i="8" s="1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95" i="8"/>
  <c r="O95" i="8"/>
  <c r="C95" i="8"/>
  <c r="D95" i="8" s="1"/>
  <c r="J22" i="5"/>
  <c r="J23" i="5"/>
  <c r="J24" i="5"/>
  <c r="J27" i="5"/>
  <c r="J28" i="5"/>
  <c r="J30" i="5"/>
  <c r="J31" i="5"/>
  <c r="J32" i="5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C74" i="8"/>
  <c r="D74" i="8" s="1"/>
  <c r="C75" i="8"/>
  <c r="D75" i="8" s="1"/>
  <c r="C76" i="8"/>
  <c r="D76" i="8" s="1"/>
  <c r="E76" i="8" s="1"/>
  <c r="C77" i="8"/>
  <c r="C78" i="8"/>
  <c r="D78" i="8" s="1"/>
  <c r="C79" i="8"/>
  <c r="C80" i="8"/>
  <c r="D80" i="8" s="1"/>
  <c r="E80" i="8" s="1"/>
  <c r="C81" i="8"/>
  <c r="D81" i="8" s="1"/>
  <c r="C82" i="8"/>
  <c r="D82" i="8" s="1"/>
  <c r="C83" i="8"/>
  <c r="D83" i="8" s="1"/>
  <c r="C84" i="8"/>
  <c r="D84" i="8" s="1"/>
  <c r="C85" i="8"/>
  <c r="C86" i="8"/>
  <c r="D86" i="8" s="1"/>
  <c r="E86" i="8" s="1"/>
  <c r="C87" i="8"/>
  <c r="D87" i="8" s="1"/>
  <c r="C88" i="8"/>
  <c r="D88" i="8" s="1"/>
  <c r="C89" i="8"/>
  <c r="C90" i="8"/>
  <c r="D90" i="8" s="1"/>
  <c r="C91" i="8"/>
  <c r="C56" i="8"/>
  <c r="D56" i="8" s="1"/>
  <c r="O56" i="8"/>
  <c r="Q56" i="8"/>
  <c r="C57" i="8"/>
  <c r="D57" i="8" s="1"/>
  <c r="AI57" i="8" s="1"/>
  <c r="O57" i="8"/>
  <c r="Q57" i="8"/>
  <c r="C58" i="8"/>
  <c r="D58" i="8" s="1"/>
  <c r="AI58" i="8" s="1"/>
  <c r="O58" i="8"/>
  <c r="Q58" i="8"/>
  <c r="C59" i="8"/>
  <c r="D59" i="8" s="1"/>
  <c r="O59" i="8"/>
  <c r="Q59" i="8"/>
  <c r="C60" i="8"/>
  <c r="D60" i="8" s="1"/>
  <c r="E60" i="8" s="1"/>
  <c r="O60" i="8"/>
  <c r="Q60" i="8"/>
  <c r="C61" i="8"/>
  <c r="D61" i="8" s="1"/>
  <c r="O61" i="8"/>
  <c r="Q61" i="8"/>
  <c r="C62" i="8"/>
  <c r="D62" i="8"/>
  <c r="O62" i="8"/>
  <c r="Q62" i="8"/>
  <c r="C63" i="8"/>
  <c r="D63" i="8" s="1"/>
  <c r="E63" i="8" s="1"/>
  <c r="O63" i="8"/>
  <c r="Q63" i="8"/>
  <c r="C64" i="8"/>
  <c r="D64" i="8" s="1"/>
  <c r="O64" i="8"/>
  <c r="Q64" i="8"/>
  <c r="C65" i="8"/>
  <c r="D65" i="8" s="1"/>
  <c r="E65" i="8" s="1"/>
  <c r="O65" i="8"/>
  <c r="Q65" i="8"/>
  <c r="C66" i="8"/>
  <c r="D66" i="8" s="1"/>
  <c r="AI66" i="8" s="1"/>
  <c r="O66" i="8"/>
  <c r="Q66" i="8"/>
  <c r="C67" i="8"/>
  <c r="D67" i="8" s="1"/>
  <c r="O67" i="8"/>
  <c r="Q67" i="8"/>
  <c r="C68" i="8"/>
  <c r="D68" i="8" s="1"/>
  <c r="O68" i="8"/>
  <c r="Q68" i="8"/>
  <c r="C69" i="8"/>
  <c r="D69" i="8" s="1"/>
  <c r="O69" i="8"/>
  <c r="Q69" i="8"/>
  <c r="C70" i="8"/>
  <c r="D70" i="8" s="1"/>
  <c r="O70" i="8"/>
  <c r="Q70" i="8"/>
  <c r="Q55" i="8"/>
  <c r="O55" i="8"/>
  <c r="O38" i="8"/>
  <c r="O37" i="8"/>
  <c r="C55" i="8"/>
  <c r="D55" i="8" s="1"/>
  <c r="J19" i="5"/>
  <c r="J20" i="5"/>
  <c r="J21" i="5"/>
  <c r="J17" i="5"/>
  <c r="J18" i="5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O36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C3" i="8"/>
  <c r="D3" i="8"/>
  <c r="AI3" i="8" s="1"/>
  <c r="C4" i="8"/>
  <c r="D4" i="8" s="1"/>
  <c r="C5" i="8"/>
  <c r="D5" i="8" s="1"/>
  <c r="C6" i="8"/>
  <c r="D6" i="8"/>
  <c r="E6" i="8" s="1"/>
  <c r="C7" i="8"/>
  <c r="D7" i="8" s="1"/>
  <c r="C8" i="8"/>
  <c r="D8" i="8" s="1"/>
  <c r="E8" i="8" s="1"/>
  <c r="C9" i="8"/>
  <c r="D9" i="8" s="1"/>
  <c r="E9" i="8" s="1"/>
  <c r="F9" i="8" s="1"/>
  <c r="A9" i="8" s="1"/>
  <c r="AI9" i="8"/>
  <c r="C10" i="8"/>
  <c r="D10" i="8" s="1"/>
  <c r="E10" i="8" s="1"/>
  <c r="C11" i="8"/>
  <c r="D11" i="8"/>
  <c r="AI11" i="8"/>
  <c r="C15" i="8"/>
  <c r="D15" i="8" s="1"/>
  <c r="C16" i="8"/>
  <c r="D16" i="8" s="1"/>
  <c r="C17" i="8"/>
  <c r="D17" i="8"/>
  <c r="E17" i="8" s="1"/>
  <c r="F17" i="8" s="1"/>
  <c r="A17" i="8" s="1"/>
  <c r="C18" i="8"/>
  <c r="D18" i="8" s="1"/>
  <c r="C19" i="8"/>
  <c r="D19" i="8" s="1"/>
  <c r="AI19" i="8"/>
  <c r="C20" i="8"/>
  <c r="D20" i="8" s="1"/>
  <c r="AI20" i="8" s="1"/>
  <c r="C21" i="8"/>
  <c r="D21" i="8" s="1"/>
  <c r="C22" i="8"/>
  <c r="D22" i="8" s="1"/>
  <c r="AI22" i="8"/>
  <c r="C23" i="8"/>
  <c r="D23" i="8" s="1"/>
  <c r="C24" i="8"/>
  <c r="D24" i="8" s="1"/>
  <c r="C25" i="8"/>
  <c r="D25" i="8" s="1"/>
  <c r="C26" i="8"/>
  <c r="D26" i="8"/>
  <c r="C27" i="8"/>
  <c r="D27" i="8" s="1"/>
  <c r="AI27" i="8" s="1"/>
  <c r="C28" i="8"/>
  <c r="D28" i="8"/>
  <c r="C29" i="8"/>
  <c r="D29" i="8" s="1"/>
  <c r="AI29" i="8" s="1"/>
  <c r="C30" i="8"/>
  <c r="D30" i="8" s="1"/>
  <c r="AI30" i="8" s="1"/>
  <c r="C31" i="8"/>
  <c r="D31" i="8" s="1"/>
  <c r="C32" i="8"/>
  <c r="D32" i="8" s="1"/>
  <c r="AI32" i="8" s="1"/>
  <c r="O3" i="8"/>
  <c r="O4" i="8"/>
  <c r="O5" i="8"/>
  <c r="O6" i="8"/>
  <c r="O7" i="8"/>
  <c r="O8" i="8"/>
  <c r="O9" i="8"/>
  <c r="O10" i="8"/>
  <c r="O11" i="8"/>
  <c r="C36" i="8"/>
  <c r="C37" i="8"/>
  <c r="D37" i="8" s="1"/>
  <c r="E37" i="8" s="1"/>
  <c r="C38" i="8"/>
  <c r="D38" i="8" s="1"/>
  <c r="C39" i="8"/>
  <c r="C40" i="8"/>
  <c r="C41" i="8"/>
  <c r="D41" i="8" s="1"/>
  <c r="E41" i="8" s="1"/>
  <c r="C42" i="8"/>
  <c r="D42" i="8" s="1"/>
  <c r="AI42" i="8" s="1"/>
  <c r="C43" i="8"/>
  <c r="C44" i="8"/>
  <c r="D44" i="8" s="1"/>
  <c r="C45" i="8"/>
  <c r="D45" i="8" s="1"/>
  <c r="E45" i="8" s="1"/>
  <c r="C46" i="8"/>
  <c r="C47" i="8"/>
  <c r="C48" i="8"/>
  <c r="D48" i="8" s="1"/>
  <c r="AI48" i="8" s="1"/>
  <c r="C49" i="8"/>
  <c r="D49" i="8" s="1"/>
  <c r="AI49" i="8" s="1"/>
  <c r="C50" i="8"/>
  <c r="D50" i="8" s="1"/>
  <c r="C51" i="8"/>
  <c r="I7" i="3"/>
  <c r="I6" i="3"/>
  <c r="I5" i="3"/>
  <c r="R5" i="3" s="1"/>
  <c r="I4" i="3"/>
  <c r="I3" i="3"/>
  <c r="E57" i="8"/>
  <c r="E68" i="8"/>
  <c r="D106" i="8"/>
  <c r="AI106" i="8" s="1"/>
  <c r="D97" i="8"/>
  <c r="AI97" i="8" s="1"/>
  <c r="AI101" i="8"/>
  <c r="E109" i="8"/>
  <c r="E108" i="8"/>
  <c r="E104" i="8"/>
  <c r="F104" i="8"/>
  <c r="A104" i="8" s="1"/>
  <c r="AI104" i="8"/>
  <c r="E95" i="8"/>
  <c r="AI95" i="8"/>
  <c r="AI102" i="8"/>
  <c r="D91" i="8"/>
  <c r="D89" i="8"/>
  <c r="D85" i="8"/>
  <c r="AI85" i="8"/>
  <c r="D79" i="8"/>
  <c r="AI79" i="8" s="1"/>
  <c r="D77" i="8"/>
  <c r="E22" i="8"/>
  <c r="F22" i="8" s="1"/>
  <c r="A22" i="8" s="1"/>
  <c r="E30" i="8"/>
  <c r="E28" i="8"/>
  <c r="E19" i="8"/>
  <c r="F19" i="8" s="1"/>
  <c r="A19" i="8" s="1"/>
  <c r="E11" i="8"/>
  <c r="F11" i="8" s="1"/>
  <c r="D51" i="8"/>
  <c r="AI51" i="8" s="1"/>
  <c r="D47" i="8"/>
  <c r="E47" i="8" s="1"/>
  <c r="D46" i="8"/>
  <c r="AI46" i="8" s="1"/>
  <c r="D43" i="8"/>
  <c r="E43" i="8" s="1"/>
  <c r="D40" i="8"/>
  <c r="AI40" i="8" s="1"/>
  <c r="D39" i="8"/>
  <c r="D36" i="8"/>
  <c r="Q11" i="8"/>
  <c r="Q4" i="8"/>
  <c r="Q5" i="8"/>
  <c r="Q6" i="8"/>
  <c r="Q7" i="8"/>
  <c r="Q8" i="8"/>
  <c r="Q9" i="8"/>
  <c r="Q10" i="8"/>
  <c r="Q3" i="8"/>
  <c r="I23" i="7"/>
  <c r="J23" i="7"/>
  <c r="K23" i="7"/>
  <c r="L23" i="7"/>
  <c r="M23" i="7"/>
  <c r="N23" i="7"/>
  <c r="I24" i="7"/>
  <c r="J24" i="7"/>
  <c r="K24" i="7"/>
  <c r="L24" i="7"/>
  <c r="M24" i="7"/>
  <c r="N24" i="7"/>
  <c r="I25" i="7"/>
  <c r="J25" i="7"/>
  <c r="K25" i="7"/>
  <c r="L25" i="7"/>
  <c r="M25" i="7"/>
  <c r="N25" i="7"/>
  <c r="I26" i="7"/>
  <c r="J26" i="7"/>
  <c r="K26" i="7"/>
  <c r="L26" i="7"/>
  <c r="M26" i="7"/>
  <c r="N26" i="7"/>
  <c r="I27" i="7"/>
  <c r="J27" i="7"/>
  <c r="K27" i="7"/>
  <c r="L27" i="7"/>
  <c r="M27" i="7"/>
  <c r="N27" i="7"/>
  <c r="I28" i="7"/>
  <c r="J28" i="7"/>
  <c r="K28" i="7"/>
  <c r="L28" i="7"/>
  <c r="M28" i="7"/>
  <c r="N28" i="7"/>
  <c r="I29" i="7"/>
  <c r="J29" i="7"/>
  <c r="K29" i="7"/>
  <c r="L29" i="7"/>
  <c r="M29" i="7"/>
  <c r="N29" i="7"/>
  <c r="I30" i="7"/>
  <c r="J30" i="7"/>
  <c r="K30" i="7"/>
  <c r="L30" i="7"/>
  <c r="M30" i="7"/>
  <c r="N30" i="7"/>
  <c r="I31" i="7"/>
  <c r="J31" i="7"/>
  <c r="K31" i="7"/>
  <c r="L31" i="7"/>
  <c r="M31" i="7"/>
  <c r="N31" i="7"/>
  <c r="P31" i="3"/>
  <c r="P30" i="3"/>
  <c r="P29" i="3"/>
  <c r="P28" i="3"/>
  <c r="P27" i="3"/>
  <c r="U26" i="3"/>
  <c r="T26" i="3"/>
  <c r="S26" i="3"/>
  <c r="R26" i="3"/>
  <c r="Q26" i="3"/>
  <c r="X23" i="3"/>
  <c r="X22" i="3"/>
  <c r="X21" i="3"/>
  <c r="X20" i="3"/>
  <c r="X19" i="3"/>
  <c r="AC18" i="3"/>
  <c r="AB18" i="3"/>
  <c r="AA18" i="3"/>
  <c r="Z18" i="3"/>
  <c r="Y18" i="3"/>
  <c r="X15" i="3"/>
  <c r="X14" i="3"/>
  <c r="X13" i="3"/>
  <c r="X12" i="3"/>
  <c r="X11" i="3"/>
  <c r="AC10" i="3"/>
  <c r="AB10" i="3"/>
  <c r="AA10" i="3"/>
  <c r="Z10" i="3"/>
  <c r="Y10" i="3"/>
  <c r="P23" i="3"/>
  <c r="P22" i="3"/>
  <c r="P21" i="3"/>
  <c r="P20" i="3"/>
  <c r="P19" i="3"/>
  <c r="U18" i="3"/>
  <c r="S18" i="3"/>
  <c r="R18" i="3"/>
  <c r="Q18" i="3"/>
  <c r="P15" i="3"/>
  <c r="P14" i="3"/>
  <c r="P13" i="3"/>
  <c r="P12" i="3"/>
  <c r="P11" i="3"/>
  <c r="U10" i="3"/>
  <c r="T10" i="3"/>
  <c r="S10" i="3"/>
  <c r="R10" i="3"/>
  <c r="Q10" i="3"/>
  <c r="J10" i="7"/>
  <c r="K10" i="7"/>
  <c r="L10" i="7"/>
  <c r="M10" i="7"/>
  <c r="N10" i="7"/>
  <c r="J11" i="7"/>
  <c r="K11" i="7"/>
  <c r="L11" i="7"/>
  <c r="M11" i="7"/>
  <c r="N11" i="7"/>
  <c r="J12" i="7"/>
  <c r="K12" i="7"/>
  <c r="L12" i="7"/>
  <c r="M12" i="7"/>
  <c r="N12" i="7"/>
  <c r="J13" i="7"/>
  <c r="K13" i="7"/>
  <c r="L13" i="7"/>
  <c r="M13" i="7"/>
  <c r="N13" i="7"/>
  <c r="J14" i="7"/>
  <c r="K14" i="7"/>
  <c r="L14" i="7"/>
  <c r="M14" i="7"/>
  <c r="N14" i="7"/>
  <c r="J15" i="7"/>
  <c r="K15" i="7"/>
  <c r="L15" i="7"/>
  <c r="M15" i="7"/>
  <c r="N15" i="7"/>
  <c r="J16" i="7"/>
  <c r="K16" i="7"/>
  <c r="L16" i="7"/>
  <c r="M16" i="7"/>
  <c r="N16" i="7"/>
  <c r="J17" i="7"/>
  <c r="K17" i="7"/>
  <c r="L17" i="7"/>
  <c r="M17" i="7"/>
  <c r="N17" i="7"/>
  <c r="J18" i="7"/>
  <c r="K18" i="7"/>
  <c r="L18" i="7"/>
  <c r="M18" i="7"/>
  <c r="N18" i="7"/>
  <c r="J19" i="7"/>
  <c r="K19" i="7"/>
  <c r="L19" i="7"/>
  <c r="M19" i="7"/>
  <c r="N19" i="7"/>
  <c r="J20" i="7"/>
  <c r="K20" i="7"/>
  <c r="L20" i="7"/>
  <c r="M20" i="7"/>
  <c r="N20" i="7"/>
  <c r="J21" i="7"/>
  <c r="K21" i="7"/>
  <c r="L21" i="7"/>
  <c r="M21" i="7"/>
  <c r="N21" i="7"/>
  <c r="J22" i="7"/>
  <c r="K22" i="7"/>
  <c r="L22" i="7"/>
  <c r="M22" i="7"/>
  <c r="N22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K7" i="7"/>
  <c r="L7" i="7"/>
  <c r="M7" i="7"/>
  <c r="N7" i="7"/>
  <c r="K8" i="7"/>
  <c r="L8" i="7"/>
  <c r="M8" i="7"/>
  <c r="N8" i="7"/>
  <c r="K9" i="7"/>
  <c r="L9" i="7"/>
  <c r="M9" i="7"/>
  <c r="N9" i="7"/>
  <c r="N6" i="7"/>
  <c r="N5" i="7"/>
  <c r="N4" i="7"/>
  <c r="N3" i="7"/>
  <c r="M6" i="7"/>
  <c r="M5" i="7"/>
  <c r="M4" i="7"/>
  <c r="M3" i="7"/>
  <c r="L6" i="7"/>
  <c r="L5" i="7"/>
  <c r="L4" i="7"/>
  <c r="L3" i="7"/>
  <c r="K6" i="7"/>
  <c r="K5" i="7"/>
  <c r="K4" i="7"/>
  <c r="K3" i="7"/>
  <c r="B2" i="3"/>
  <c r="J16" i="5"/>
  <c r="J15" i="5"/>
  <c r="J14" i="5"/>
  <c r="L14" i="5" s="1"/>
  <c r="K14" i="5" s="1" a="1"/>
  <c r="K14" i="5" s="1"/>
  <c r="J13" i="5"/>
  <c r="J12" i="5"/>
  <c r="J11" i="5"/>
  <c r="I15" i="3"/>
  <c r="I14" i="3"/>
  <c r="I13" i="3"/>
  <c r="I12" i="3"/>
  <c r="I11" i="3"/>
  <c r="N10" i="3"/>
  <c r="M10" i="3"/>
  <c r="L10" i="3"/>
  <c r="K10" i="3"/>
  <c r="J10" i="3"/>
  <c r="I23" i="3"/>
  <c r="I22" i="3"/>
  <c r="I21" i="3"/>
  <c r="I20" i="3"/>
  <c r="I19" i="3"/>
  <c r="N18" i="3"/>
  <c r="M18" i="3"/>
  <c r="L18" i="3"/>
  <c r="K18" i="3"/>
  <c r="J18" i="3"/>
  <c r="I31" i="3"/>
  <c r="I30" i="3"/>
  <c r="I29" i="3"/>
  <c r="I28" i="3"/>
  <c r="I27" i="3"/>
  <c r="N26" i="3"/>
  <c r="M26" i="3"/>
  <c r="K26" i="3"/>
  <c r="J26" i="3"/>
  <c r="B31" i="3"/>
  <c r="B30" i="3"/>
  <c r="B29" i="3"/>
  <c r="B28" i="3"/>
  <c r="B27" i="3"/>
  <c r="G26" i="3"/>
  <c r="F26" i="3"/>
  <c r="E26" i="3"/>
  <c r="D26" i="3"/>
  <c r="C26" i="3"/>
  <c r="B23" i="3"/>
  <c r="B22" i="3"/>
  <c r="B21" i="3"/>
  <c r="B20" i="3"/>
  <c r="B19" i="3"/>
  <c r="G18" i="3"/>
  <c r="F18" i="3"/>
  <c r="D18" i="3"/>
  <c r="C18" i="3"/>
  <c r="G10" i="3"/>
  <c r="F10" i="3"/>
  <c r="D10" i="3"/>
  <c r="C10" i="3"/>
  <c r="B15" i="3"/>
  <c r="B14" i="3"/>
  <c r="B13" i="3"/>
  <c r="B12" i="3"/>
  <c r="B11" i="3"/>
  <c r="B7" i="3"/>
  <c r="B6" i="3"/>
  <c r="B5" i="3"/>
  <c r="B4" i="3"/>
  <c r="B3" i="3"/>
  <c r="J6" i="5"/>
  <c r="J7" i="5"/>
  <c r="J8" i="5"/>
  <c r="J5" i="5"/>
  <c r="J9" i="5"/>
  <c r="J10" i="5"/>
  <c r="J3" i="5"/>
  <c r="J4" i="5"/>
  <c r="F57" i="8"/>
  <c r="A57" i="8" s="1"/>
  <c r="E85" i="8"/>
  <c r="E79" i="8"/>
  <c r="F79" i="8" s="1"/>
  <c r="A79" i="8" s="1"/>
  <c r="E91" i="8"/>
  <c r="F108" i="8"/>
  <c r="F95" i="8"/>
  <c r="A95" i="8" s="1"/>
  <c r="E40" i="8"/>
  <c r="AI41" i="8"/>
  <c r="AI44" i="8"/>
  <c r="E48" i="8"/>
  <c r="F48" i="8" s="1"/>
  <c r="E51" i="8"/>
  <c r="E36" i="8"/>
  <c r="A108" i="8"/>
  <c r="AI88" i="8" l="1"/>
  <c r="E88" i="8"/>
  <c r="E50" i="8"/>
  <c r="AI50" i="8"/>
  <c r="E38" i="8"/>
  <c r="AI38" i="8"/>
  <c r="AI55" i="8"/>
  <c r="E55" i="8"/>
  <c r="F55" i="8" s="1"/>
  <c r="A55" i="8" s="1"/>
  <c r="F46" i="9"/>
  <c r="A46" i="9"/>
  <c r="E41" i="9"/>
  <c r="AI41" i="9"/>
  <c r="E139" i="14"/>
  <c r="AI139" i="14"/>
  <c r="E52" i="9"/>
  <c r="E29" i="8"/>
  <c r="F29" i="8" s="1"/>
  <c r="A29" i="8" s="1"/>
  <c r="E4" i="9"/>
  <c r="F41" i="8"/>
  <c r="A41" i="8" s="1"/>
  <c r="E97" i="8"/>
  <c r="E20" i="8"/>
  <c r="F20" i="8" s="1"/>
  <c r="A20" i="8" s="1"/>
  <c r="E99" i="8"/>
  <c r="A82" i="9"/>
  <c r="A28" i="9"/>
  <c r="E24" i="9"/>
  <c r="F24" i="9" s="1"/>
  <c r="A24" i="9" s="1"/>
  <c r="AI48" i="9"/>
  <c r="E85" i="9"/>
  <c r="E120" i="8"/>
  <c r="F120" i="8" s="1"/>
  <c r="A120" i="8" s="1"/>
  <c r="F40" i="8"/>
  <c r="A40" i="8" s="1"/>
  <c r="E46" i="8"/>
  <c r="F46" i="8" s="1"/>
  <c r="A46" i="8" s="1"/>
  <c r="E32" i="8"/>
  <c r="E66" i="8"/>
  <c r="F110" i="9"/>
  <c r="F48" i="9"/>
  <c r="A48" i="9" s="1"/>
  <c r="A19" i="9"/>
  <c r="E58" i="9"/>
  <c r="AI39" i="14"/>
  <c r="E74" i="14"/>
  <c r="AI123" i="14"/>
  <c r="AI16" i="8"/>
  <c r="E16" i="8"/>
  <c r="F16" i="8" s="1"/>
  <c r="AI69" i="8"/>
  <c r="AI42" i="9"/>
  <c r="E42" i="9"/>
  <c r="AI219" i="14"/>
  <c r="E219" i="14"/>
  <c r="AI23" i="8"/>
  <c r="E23" i="8"/>
  <c r="F23" i="8" s="1"/>
  <c r="A23" i="8" s="1"/>
  <c r="E15" i="8"/>
  <c r="AI15" i="8"/>
  <c r="AI59" i="8"/>
  <c r="E59" i="8"/>
  <c r="F59" i="8" s="1"/>
  <c r="A59" i="8" s="1"/>
  <c r="E50" i="9"/>
  <c r="AI50" i="9"/>
  <c r="AI39" i="9"/>
  <c r="E39" i="9"/>
  <c r="F39" i="9" s="1"/>
  <c r="A39" i="9" s="1"/>
  <c r="F33" i="9"/>
  <c r="A33" i="9" s="1"/>
  <c r="AI33" i="9"/>
  <c r="E49" i="8"/>
  <c r="F49" i="8" s="1"/>
  <c r="F85" i="8"/>
  <c r="A85" i="8" s="1"/>
  <c r="F76" i="8"/>
  <c r="A76" i="8" s="1"/>
  <c r="E39" i="8"/>
  <c r="AI39" i="8"/>
  <c r="E27" i="8"/>
  <c r="F27" i="8" s="1"/>
  <c r="A27" i="8" s="1"/>
  <c r="AI10" i="8"/>
  <c r="AI91" i="8"/>
  <c r="F91" i="8"/>
  <c r="A91" i="8" s="1"/>
  <c r="E69" i="8"/>
  <c r="F69" i="8" s="1"/>
  <c r="A69" i="8" s="1"/>
  <c r="F45" i="8"/>
  <c r="A45" i="8" s="1"/>
  <c r="AI45" i="8"/>
  <c r="F37" i="8"/>
  <c r="A37" i="8" s="1"/>
  <c r="AI37" i="8"/>
  <c r="AI31" i="8"/>
  <c r="E31" i="8"/>
  <c r="AI28" i="8"/>
  <c r="F28" i="8"/>
  <c r="A28" i="8" s="1"/>
  <c r="AI60" i="8"/>
  <c r="F60" i="8"/>
  <c r="A60" i="8" s="1"/>
  <c r="AI96" i="8"/>
  <c r="E96" i="8"/>
  <c r="F96" i="8" s="1"/>
  <c r="A96" i="8" s="1"/>
  <c r="E78" i="9"/>
  <c r="AI78" i="9"/>
  <c r="F78" i="9"/>
  <c r="A78" i="9" s="1"/>
  <c r="E72" i="9"/>
  <c r="F72" i="9" s="1"/>
  <c r="A72" i="9" s="1"/>
  <c r="E69" i="9"/>
  <c r="AI69" i="9"/>
  <c r="F69" i="9"/>
  <c r="A69" i="9" s="1"/>
  <c r="E63" i="9"/>
  <c r="F63" i="9" s="1"/>
  <c r="A63" i="9" s="1"/>
  <c r="AI63" i="9"/>
  <c r="E60" i="9"/>
  <c r="F60" i="9" s="1"/>
  <c r="A60" i="9" s="1"/>
  <c r="AI60" i="9"/>
  <c r="E53" i="9"/>
  <c r="AI53" i="9"/>
  <c r="AI26" i="8"/>
  <c r="E26" i="8"/>
  <c r="F26" i="8"/>
  <c r="A26" i="8" s="1"/>
  <c r="AI26" i="9"/>
  <c r="E26" i="9"/>
  <c r="F26" i="9" s="1"/>
  <c r="A26" i="9" s="1"/>
  <c r="AI149" i="14"/>
  <c r="E149" i="14"/>
  <c r="F149" i="14" s="1"/>
  <c r="A11" i="8"/>
  <c r="F51" i="8"/>
  <c r="A51" i="8"/>
  <c r="E42" i="8"/>
  <c r="E106" i="8"/>
  <c r="F106" i="8" s="1"/>
  <c r="A106" i="8" s="1"/>
  <c r="AI17" i="8"/>
  <c r="AI76" i="8"/>
  <c r="E44" i="8"/>
  <c r="F44" i="8" s="1"/>
  <c r="A44" i="8" s="1"/>
  <c r="AI62" i="8"/>
  <c r="E62" i="8"/>
  <c r="F62" i="8" s="1"/>
  <c r="F22" i="9"/>
  <c r="A22" i="9" s="1"/>
  <c r="F100" i="9"/>
  <c r="A100" i="9" s="1"/>
  <c r="AI116" i="8"/>
  <c r="E116" i="8"/>
  <c r="F116" i="8" s="1"/>
  <c r="E108" i="9"/>
  <c r="F108" i="9" s="1"/>
  <c r="E105" i="9"/>
  <c r="F105" i="9" s="1"/>
  <c r="A105" i="9" s="1"/>
  <c r="AI105" i="9"/>
  <c r="E99" i="9"/>
  <c r="F99" i="9" s="1"/>
  <c r="A99" i="9" s="1"/>
  <c r="AI99" i="9"/>
  <c r="E96" i="9"/>
  <c r="F96" i="9" s="1"/>
  <c r="A96" i="9" s="1"/>
  <c r="AI96" i="9"/>
  <c r="AI53" i="14"/>
  <c r="E53" i="14"/>
  <c r="AI42" i="14"/>
  <c r="E42" i="14"/>
  <c r="F42" i="14" s="1"/>
  <c r="A42" i="14" s="1"/>
  <c r="A48" i="8"/>
  <c r="F38" i="8"/>
  <c r="A38" i="8"/>
  <c r="AI24" i="8"/>
  <c r="E24" i="8"/>
  <c r="F8" i="8"/>
  <c r="A8" i="8" s="1"/>
  <c r="AI8" i="8"/>
  <c r="E82" i="8"/>
  <c r="AI82" i="8"/>
  <c r="AI109" i="8"/>
  <c r="F109" i="8"/>
  <c r="A109" i="8" s="1"/>
  <c r="F42" i="9"/>
  <c r="A42" i="9" s="1"/>
  <c r="F37" i="9"/>
  <c r="A37" i="9" s="1"/>
  <c r="AI23" i="9"/>
  <c r="E23" i="9"/>
  <c r="F23" i="9" s="1"/>
  <c r="A23" i="9" s="1"/>
  <c r="AI15" i="9"/>
  <c r="E15" i="9"/>
  <c r="F15" i="9" s="1"/>
  <c r="A15" i="9" s="1"/>
  <c r="E12" i="9"/>
  <c r="F12" i="9"/>
  <c r="A12" i="9" s="1"/>
  <c r="AI6" i="9"/>
  <c r="E6" i="9"/>
  <c r="F6" i="9"/>
  <c r="A6" i="9" s="1"/>
  <c r="AI25" i="14"/>
  <c r="E25" i="14"/>
  <c r="F25" i="14" s="1"/>
  <c r="A25" i="14" s="1"/>
  <c r="F41" i="9"/>
  <c r="AI14" i="14"/>
  <c r="E14" i="14"/>
  <c r="E129" i="14"/>
  <c r="F129" i="14" s="1"/>
  <c r="A129" i="14" s="1"/>
  <c r="E118" i="8"/>
  <c r="F118" i="8" s="1"/>
  <c r="F81" i="9"/>
  <c r="A81" i="9" s="1"/>
  <c r="F45" i="9"/>
  <c r="A45" i="9" s="1"/>
  <c r="F14" i="9"/>
  <c r="A14" i="9" s="1"/>
  <c r="E18" i="9"/>
  <c r="F18" i="9" s="1"/>
  <c r="A18" i="9" s="1"/>
  <c r="AI104" i="9"/>
  <c r="F104" i="9"/>
  <c r="E101" i="9"/>
  <c r="F101" i="9" s="1"/>
  <c r="AI101" i="9"/>
  <c r="AI91" i="9"/>
  <c r="F8" i="9"/>
  <c r="A8" i="9" s="1"/>
  <c r="E97" i="14"/>
  <c r="E102" i="14"/>
  <c r="F102" i="14" s="1"/>
  <c r="F51" i="9"/>
  <c r="A51" i="9" s="1"/>
  <c r="AI21" i="9"/>
  <c r="E55" i="9"/>
  <c r="E91" i="9"/>
  <c r="F91" i="9" s="1"/>
  <c r="AI109" i="9"/>
  <c r="F109" i="9"/>
  <c r="A109" i="9" s="1"/>
  <c r="E90" i="9"/>
  <c r="F90" i="9" s="1"/>
  <c r="A90" i="9" s="1"/>
  <c r="AI90" i="9"/>
  <c r="AI67" i="9"/>
  <c r="E67" i="9"/>
  <c r="AI64" i="9"/>
  <c r="F64" i="9"/>
  <c r="A64" i="9" s="1"/>
  <c r="E54" i="9"/>
  <c r="F54" i="9" s="1"/>
  <c r="A54" i="9" s="1"/>
  <c r="AI31" i="9"/>
  <c r="E31" i="9"/>
  <c r="E27" i="9"/>
  <c r="AI27" i="9"/>
  <c r="E23" i="14"/>
  <c r="AI23" i="14"/>
  <c r="F23" i="14"/>
  <c r="E73" i="9"/>
  <c r="F73" i="9" s="1"/>
  <c r="A49" i="8"/>
  <c r="F36" i="8"/>
  <c r="A36" i="8" s="1"/>
  <c r="F39" i="8"/>
  <c r="A39" i="8" s="1"/>
  <c r="F50" i="8"/>
  <c r="A50" i="8" s="1"/>
  <c r="A62" i="8"/>
  <c r="A101" i="8"/>
  <c r="A35" i="9"/>
  <c r="A41" i="9"/>
  <c r="F14" i="14"/>
  <c r="F31" i="14"/>
  <c r="A31" i="14" s="1"/>
  <c r="F10" i="8"/>
  <c r="A10" i="8" s="1"/>
  <c r="AI87" i="8"/>
  <c r="E87" i="8"/>
  <c r="F87" i="8"/>
  <c r="AI78" i="8"/>
  <c r="E78" i="8"/>
  <c r="E105" i="8"/>
  <c r="AI105" i="8"/>
  <c r="F102" i="8"/>
  <c r="A102" i="8" s="1"/>
  <c r="AI25" i="8"/>
  <c r="E25" i="8"/>
  <c r="F25" i="8" s="1"/>
  <c r="AI4" i="8"/>
  <c r="E4" i="8"/>
  <c r="F4" i="8" s="1"/>
  <c r="AI70" i="8"/>
  <c r="E70" i="8"/>
  <c r="AI61" i="8"/>
  <c r="E61" i="8"/>
  <c r="AI90" i="8"/>
  <c r="E90" i="8"/>
  <c r="F90" i="8"/>
  <c r="AI84" i="8"/>
  <c r="E84" i="8"/>
  <c r="F84" i="8" s="1"/>
  <c r="AI81" i="8"/>
  <c r="E81" i="8"/>
  <c r="AI75" i="8"/>
  <c r="E75" i="8"/>
  <c r="AI64" i="8"/>
  <c r="E64" i="8"/>
  <c r="F64" i="8"/>
  <c r="AI107" i="8"/>
  <c r="E107" i="8"/>
  <c r="F107" i="8"/>
  <c r="F43" i="8"/>
  <c r="A43" i="8" s="1"/>
  <c r="AI7" i="8"/>
  <c r="E7" i="8"/>
  <c r="F7" i="8"/>
  <c r="AI5" i="8"/>
  <c r="E5" i="8"/>
  <c r="AI67" i="8"/>
  <c r="E67" i="8"/>
  <c r="AI122" i="8"/>
  <c r="E122" i="8"/>
  <c r="AI97" i="9"/>
  <c r="F97" i="9"/>
  <c r="A97" i="9" s="1"/>
  <c r="E83" i="9"/>
  <c r="F83" i="9" s="1"/>
  <c r="AI68" i="9"/>
  <c r="E56" i="9"/>
  <c r="AI7" i="9"/>
  <c r="E5" i="9"/>
  <c r="F5" i="9" s="1"/>
  <c r="A16" i="8"/>
  <c r="F42" i="8"/>
  <c r="A42" i="8" s="1"/>
  <c r="F86" i="8"/>
  <c r="A86" i="8" s="1"/>
  <c r="F97" i="8"/>
  <c r="A97" i="8" s="1"/>
  <c r="E83" i="8"/>
  <c r="F88" i="8"/>
  <c r="A88" i="8" s="1"/>
  <c r="E74" i="8"/>
  <c r="F74" i="8" s="1"/>
  <c r="E77" i="8"/>
  <c r="F77" i="8" s="1"/>
  <c r="E89" i="8"/>
  <c r="AI36" i="8"/>
  <c r="AI43" i="8"/>
  <c r="AI47" i="8"/>
  <c r="F15" i="8"/>
  <c r="A15" i="8" s="1"/>
  <c r="E18" i="8"/>
  <c r="F32" i="8"/>
  <c r="A32" i="8" s="1"/>
  <c r="E21" i="8"/>
  <c r="F21" i="8" s="1"/>
  <c r="F30" i="8"/>
  <c r="A30" i="8" s="1"/>
  <c r="F24" i="8"/>
  <c r="A24" i="8" s="1"/>
  <c r="AI74" i="8"/>
  <c r="AI77" i="8"/>
  <c r="AI80" i="8"/>
  <c r="AI83" i="8"/>
  <c r="AI86" i="8"/>
  <c r="AI89" i="8"/>
  <c r="E98" i="8"/>
  <c r="F98" i="8" s="1"/>
  <c r="F99" i="8"/>
  <c r="A99" i="8" s="1"/>
  <c r="E56" i="8"/>
  <c r="E58" i="8"/>
  <c r="F63" i="8"/>
  <c r="A63" i="8" s="1"/>
  <c r="AI21" i="8"/>
  <c r="AI18" i="8"/>
  <c r="F68" i="8"/>
  <c r="A68" i="8" s="1"/>
  <c r="AI65" i="8"/>
  <c r="AI63" i="8"/>
  <c r="AI56" i="8"/>
  <c r="E103" i="8"/>
  <c r="E100" i="8"/>
  <c r="F100" i="8" s="1"/>
  <c r="A116" i="8"/>
  <c r="AI5" i="9"/>
  <c r="E7" i="9"/>
  <c r="F7" i="9" s="1"/>
  <c r="F53" i="9"/>
  <c r="A53" i="9" s="1"/>
  <c r="A104" i="9"/>
  <c r="A114" i="8"/>
  <c r="E121" i="8"/>
  <c r="AI121" i="8"/>
  <c r="AI106" i="9"/>
  <c r="F106" i="9"/>
  <c r="A106" i="9" s="1"/>
  <c r="E102" i="9"/>
  <c r="AI102" i="9"/>
  <c r="E98" i="9"/>
  <c r="AI98" i="9"/>
  <c r="A92" i="9"/>
  <c r="AI79" i="9"/>
  <c r="F79" i="9"/>
  <c r="A79" i="9" s="1"/>
  <c r="AI77" i="9"/>
  <c r="F77" i="9"/>
  <c r="A77" i="9" s="1"/>
  <c r="E75" i="9"/>
  <c r="AI75" i="9"/>
  <c r="E71" i="9"/>
  <c r="AI71" i="9"/>
  <c r="E65" i="9"/>
  <c r="F65" i="9" s="1"/>
  <c r="F50" i="9"/>
  <c r="A50" i="9" s="1"/>
  <c r="E44" i="9"/>
  <c r="AI44" i="9"/>
  <c r="AI40" i="9"/>
  <c r="F40" i="9"/>
  <c r="A40" i="9" s="1"/>
  <c r="E38" i="9"/>
  <c r="F38" i="9" s="1"/>
  <c r="E36" i="9"/>
  <c r="AI36" i="9"/>
  <c r="AI34" i="9"/>
  <c r="F34" i="9"/>
  <c r="A34" i="9" s="1"/>
  <c r="E32" i="9"/>
  <c r="F32" i="9"/>
  <c r="E30" i="9"/>
  <c r="AI30" i="9"/>
  <c r="E20" i="9"/>
  <c r="E62" i="9"/>
  <c r="AI62" i="9"/>
  <c r="E17" i="9"/>
  <c r="E11" i="9"/>
  <c r="F11" i="9"/>
  <c r="E151" i="14"/>
  <c r="F151" i="14" s="1"/>
  <c r="A151" i="14" s="1"/>
  <c r="AI151" i="14"/>
  <c r="AI189" i="14"/>
  <c r="E189" i="14"/>
  <c r="A110" i="9"/>
  <c r="E93" i="9"/>
  <c r="AI93" i="9"/>
  <c r="E89" i="9"/>
  <c r="AI89" i="9"/>
  <c r="AI70" i="9"/>
  <c r="F70" i="9"/>
  <c r="A70" i="9" s="1"/>
  <c r="E66" i="9"/>
  <c r="F66" i="9" s="1"/>
  <c r="AI66" i="9"/>
  <c r="AI13" i="9"/>
  <c r="E9" i="9"/>
  <c r="F9" i="9" s="1"/>
  <c r="AI9" i="9"/>
  <c r="E3" i="9"/>
  <c r="AI3" i="9"/>
  <c r="AI126" i="14"/>
  <c r="E126" i="14"/>
  <c r="E138" i="14"/>
  <c r="AI138" i="14"/>
  <c r="F80" i="8"/>
  <c r="A80" i="8" s="1"/>
  <c r="F47" i="8"/>
  <c r="A47" i="8" s="1"/>
  <c r="F6" i="8"/>
  <c r="A6" i="8" s="1"/>
  <c r="E3" i="8"/>
  <c r="AI6" i="8"/>
  <c r="AI100" i="8"/>
  <c r="F58" i="8"/>
  <c r="F65" i="8"/>
  <c r="A65" i="8" s="1"/>
  <c r="AI68" i="8"/>
  <c r="F89" i="9"/>
  <c r="A49" i="9"/>
  <c r="F27" i="9"/>
  <c r="A27" i="9" s="1"/>
  <c r="F21" i="9"/>
  <c r="A21" i="9" s="1"/>
  <c r="A16" i="9"/>
  <c r="AI11" i="9"/>
  <c r="E13" i="9"/>
  <c r="F13" i="9" s="1"/>
  <c r="AI56" i="9"/>
  <c r="E68" i="9"/>
  <c r="F68" i="9" s="1"/>
  <c r="AI83" i="9"/>
  <c r="E95" i="9"/>
  <c r="AI110" i="9"/>
  <c r="AI118" i="8"/>
  <c r="A123" i="8"/>
  <c r="E117" i="8"/>
  <c r="AI117" i="8"/>
  <c r="E115" i="8"/>
  <c r="AI115" i="8"/>
  <c r="AI113" i="8"/>
  <c r="E113" i="8"/>
  <c r="F113" i="8" s="1"/>
  <c r="E111" i="9"/>
  <c r="AI111" i="9"/>
  <c r="E107" i="9"/>
  <c r="AI107" i="9"/>
  <c r="A101" i="9"/>
  <c r="AI88" i="9"/>
  <c r="F88" i="9"/>
  <c r="A88" i="9" s="1"/>
  <c r="AI86" i="9"/>
  <c r="F86" i="9"/>
  <c r="A86" i="9" s="1"/>
  <c r="E84" i="9"/>
  <c r="AI84" i="9"/>
  <c r="E80" i="9"/>
  <c r="F80" i="9" s="1"/>
  <c r="AI80" i="9"/>
  <c r="E74" i="9"/>
  <c r="F74" i="9"/>
  <c r="AI61" i="9"/>
  <c r="F61" i="9"/>
  <c r="A61" i="9" s="1"/>
  <c r="AI59" i="9"/>
  <c r="F59" i="9"/>
  <c r="A59" i="9" s="1"/>
  <c r="E57" i="9"/>
  <c r="AI57" i="9"/>
  <c r="AI47" i="9"/>
  <c r="F47" i="9"/>
  <c r="A47" i="9" s="1"/>
  <c r="E29" i="9"/>
  <c r="F29" i="9" s="1"/>
  <c r="AI137" i="14"/>
  <c r="E137" i="14"/>
  <c r="F103" i="9"/>
  <c r="A103" i="9" s="1"/>
  <c r="F94" i="9"/>
  <c r="A94" i="9" s="1"/>
  <c r="F85" i="9"/>
  <c r="A85" i="9" s="1"/>
  <c r="F76" i="9"/>
  <c r="A76" i="9" s="1"/>
  <c r="F67" i="9"/>
  <c r="A67" i="9" s="1"/>
  <c r="F58" i="9"/>
  <c r="A58" i="9" s="1"/>
  <c r="F52" i="9"/>
  <c r="A52" i="9" s="1"/>
  <c r="F31" i="9"/>
  <c r="A31" i="9" s="1"/>
  <c r="F25" i="9"/>
  <c r="A25" i="9" s="1"/>
  <c r="F4" i="9"/>
  <c r="A4" i="9" s="1"/>
  <c r="E119" i="8"/>
  <c r="F119" i="8" s="1"/>
  <c r="A14" i="14"/>
  <c r="AI100" i="14"/>
  <c r="E100" i="14"/>
  <c r="E7" i="14"/>
  <c r="F7" i="14" s="1"/>
  <c r="AI7" i="14"/>
  <c r="E6" i="14"/>
  <c r="AI6" i="14"/>
  <c r="E34" i="14"/>
  <c r="AI34" i="14"/>
  <c r="E62" i="14"/>
  <c r="F62" i="14" s="1"/>
  <c r="AI62" i="14"/>
  <c r="AI61" i="14"/>
  <c r="F61" i="14"/>
  <c r="A61" i="14" s="1"/>
  <c r="E8" i="14"/>
  <c r="F8" i="14" s="1"/>
  <c r="A8" i="14" s="1"/>
  <c r="E35" i="14"/>
  <c r="AI35" i="14"/>
  <c r="F39" i="14"/>
  <c r="A39" i="14"/>
  <c r="E98" i="14"/>
  <c r="AI98" i="14"/>
  <c r="AI190" i="14"/>
  <c r="E190" i="14"/>
  <c r="AI186" i="14"/>
  <c r="E186" i="14"/>
  <c r="F186" i="14" s="1"/>
  <c r="E89" i="14"/>
  <c r="E15" i="14"/>
  <c r="F15" i="14" s="1"/>
  <c r="A15" i="14" s="1"/>
  <c r="AI15" i="14"/>
  <c r="E66" i="14"/>
  <c r="E65" i="14"/>
  <c r="F65" i="14"/>
  <c r="A65" i="14" s="1"/>
  <c r="AI90" i="14"/>
  <c r="E90" i="14"/>
  <c r="F90" i="14" s="1"/>
  <c r="A90" i="14" s="1"/>
  <c r="F98" i="14"/>
  <c r="A30" i="14"/>
  <c r="E4" i="14"/>
  <c r="F85" i="14"/>
  <c r="X197" i="16"/>
  <c r="X176" i="16"/>
  <c r="X195" i="16"/>
  <c r="P195" i="16"/>
  <c r="AJ194" i="16" s="1"/>
  <c r="AK194" i="16" s="1"/>
  <c r="AL194" i="16" s="1"/>
  <c r="E218" i="14"/>
  <c r="AI217" i="14"/>
  <c r="E217" i="14"/>
  <c r="AI216" i="14"/>
  <c r="E216" i="14"/>
  <c r="F216" i="14" s="1"/>
  <c r="A216" i="14" s="1"/>
  <c r="E213" i="14"/>
  <c r="F213" i="14" s="1"/>
  <c r="A213" i="14" s="1"/>
  <c r="AI197" i="14"/>
  <c r="E197" i="14"/>
  <c r="F197" i="14" s="1"/>
  <c r="A197" i="14" s="1"/>
  <c r="AI195" i="14"/>
  <c r="E195" i="14"/>
  <c r="F195" i="14" s="1"/>
  <c r="E196" i="14"/>
  <c r="F196" i="14" s="1"/>
  <c r="F97" i="14"/>
  <c r="F184" i="14"/>
  <c r="A184" i="14" s="1"/>
  <c r="AI184" i="14"/>
  <c r="E212" i="14"/>
  <c r="F212" i="14" s="1"/>
  <c r="AI212" i="14"/>
  <c r="E206" i="14"/>
  <c r="F206" i="14" s="1"/>
  <c r="AI206" i="14"/>
  <c r="F10" i="14"/>
  <c r="A10" i="14" s="1"/>
  <c r="F50" i="14"/>
  <c r="A50" i="14" s="1"/>
  <c r="F73" i="14"/>
  <c r="A73" i="14" s="1"/>
  <c r="F106" i="14"/>
  <c r="E188" i="14"/>
  <c r="F188" i="14" s="1"/>
  <c r="AI188" i="14"/>
  <c r="E187" i="14"/>
  <c r="F187" i="14" s="1"/>
  <c r="AI187" i="14"/>
  <c r="E185" i="14"/>
  <c r="AI185" i="14"/>
  <c r="E181" i="14"/>
  <c r="F181" i="14" s="1"/>
  <c r="A181" i="14" s="1"/>
  <c r="AI181" i="14"/>
  <c r="E208" i="14"/>
  <c r="F208" i="14" s="1"/>
  <c r="A208" i="14" s="1"/>
  <c r="AI208" i="14"/>
  <c r="E201" i="14"/>
  <c r="AI201" i="14"/>
  <c r="E200" i="14"/>
  <c r="AI200" i="14"/>
  <c r="E221" i="14"/>
  <c r="AI221" i="14"/>
  <c r="E220" i="14"/>
  <c r="F220" i="14" s="1"/>
  <c r="AI220" i="14"/>
  <c r="F215" i="14"/>
  <c r="A215" i="14" s="1"/>
  <c r="AI215" i="14"/>
  <c r="E214" i="14"/>
  <c r="F214" i="14" s="1"/>
  <c r="AI214" i="14"/>
  <c r="R7" i="3"/>
  <c r="R6" i="3"/>
  <c r="Q3" i="3" a="1"/>
  <c r="Q3" i="3" s="1"/>
  <c r="R3" i="3"/>
  <c r="R4" i="3"/>
  <c r="U3" i="3" a="1"/>
  <c r="U3" i="3" s="1"/>
  <c r="U7" i="3" a="1"/>
  <c r="U7" i="3" s="1"/>
  <c r="S3" i="3" a="1"/>
  <c r="S3" i="3" s="1"/>
  <c r="T3" i="3" a="1"/>
  <c r="T3" i="3" s="1"/>
  <c r="T4" i="3" a="1"/>
  <c r="T4" i="3" s="1"/>
  <c r="U6" i="3" a="1"/>
  <c r="U6" i="3" s="1"/>
  <c r="T7" i="3" a="1"/>
  <c r="T7" i="3" s="1"/>
  <c r="Q6" i="3" a="1"/>
  <c r="Q6" i="3" s="1"/>
  <c r="U5" i="3" a="1"/>
  <c r="U5" i="3" s="1"/>
  <c r="T6" i="3" a="1"/>
  <c r="T6" i="3" s="1"/>
  <c r="Q7" i="3" a="1"/>
  <c r="Q7" i="3" s="1"/>
  <c r="S7" i="3" a="1"/>
  <c r="S7" i="3" s="1"/>
  <c r="AI103" i="14"/>
  <c r="E103" i="14"/>
  <c r="F103" i="14" s="1"/>
  <c r="AI121" i="14"/>
  <c r="E121" i="14"/>
  <c r="F121" i="14" s="1"/>
  <c r="E146" i="14"/>
  <c r="F146" i="14" s="1"/>
  <c r="AI146" i="14"/>
  <c r="F35" i="14"/>
  <c r="A35" i="14" s="1"/>
  <c r="AI108" i="14"/>
  <c r="E108" i="14"/>
  <c r="AI101" i="14"/>
  <c r="E101" i="14"/>
  <c r="E132" i="14"/>
  <c r="E182" i="14"/>
  <c r="A220" i="14"/>
  <c r="F217" i="14"/>
  <c r="A217" i="14" s="1"/>
  <c r="E29" i="14"/>
  <c r="F29" i="14" s="1"/>
  <c r="F104" i="14"/>
  <c r="A104" i="14" s="1"/>
  <c r="AI104" i="14"/>
  <c r="AI3" i="14"/>
  <c r="E3" i="14"/>
  <c r="E9" i="14"/>
  <c r="F9" i="14" s="1"/>
  <c r="AI21" i="14"/>
  <c r="F21" i="14"/>
  <c r="A21" i="14" s="1"/>
  <c r="E68" i="14"/>
  <c r="AI68" i="14"/>
  <c r="AI78" i="14"/>
  <c r="E78" i="14"/>
  <c r="AI82" i="14"/>
  <c r="E82" i="14"/>
  <c r="E142" i="14"/>
  <c r="F142" i="14" s="1"/>
  <c r="AI142" i="14"/>
  <c r="E179" i="14"/>
  <c r="D176" i="14"/>
  <c r="AI176" i="14" s="1"/>
  <c r="A27" i="14"/>
  <c r="AI33" i="14"/>
  <c r="F33" i="14"/>
  <c r="A33" i="14" s="1"/>
  <c r="F185" i="14"/>
  <c r="A185" i="14" s="1"/>
  <c r="A212" i="14"/>
  <c r="A143" i="14"/>
  <c r="AI12" i="14"/>
  <c r="F12" i="14"/>
  <c r="A12" i="14" s="1"/>
  <c r="F34" i="14"/>
  <c r="A34" i="14" s="1"/>
  <c r="AI45" i="14"/>
  <c r="F45" i="14"/>
  <c r="A45" i="14" s="1"/>
  <c r="AI125" i="14"/>
  <c r="E125" i="14"/>
  <c r="F119" i="14"/>
  <c r="A119" i="14" s="1"/>
  <c r="AI119" i="14"/>
  <c r="D174" i="14"/>
  <c r="AI174" i="14" s="1"/>
  <c r="F200" i="14"/>
  <c r="A200" i="14" s="1"/>
  <c r="E222" i="14"/>
  <c r="F222" i="14" s="1"/>
  <c r="E194" i="14"/>
  <c r="F194" i="14" s="1"/>
  <c r="E88" i="14"/>
  <c r="AI88" i="14"/>
  <c r="E28" i="14"/>
  <c r="F28" i="14" s="1"/>
  <c r="AI51" i="14"/>
  <c r="E51" i="14"/>
  <c r="F51" i="14" s="1"/>
  <c r="AI48" i="14"/>
  <c r="E48" i="14"/>
  <c r="AI71" i="14"/>
  <c r="E71" i="14"/>
  <c r="F71" i="14" s="1"/>
  <c r="AI93" i="14"/>
  <c r="E93" i="14"/>
  <c r="F93" i="14" s="1"/>
  <c r="AI81" i="14"/>
  <c r="F81" i="14"/>
  <c r="A81" i="14" s="1"/>
  <c r="E107" i="14"/>
  <c r="F107" i="14"/>
  <c r="AI116" i="14"/>
  <c r="E116" i="14"/>
  <c r="E128" i="14"/>
  <c r="F128" i="14" s="1"/>
  <c r="AI128" i="14"/>
  <c r="AI122" i="14"/>
  <c r="A187" i="14"/>
  <c r="D205" i="14"/>
  <c r="AI205" i="14" s="1"/>
  <c r="F219" i="14"/>
  <c r="A219" i="14" s="1"/>
  <c r="E87" i="14"/>
  <c r="E110" i="14"/>
  <c r="F110" i="14" s="1"/>
  <c r="AI131" i="14"/>
  <c r="E131" i="14"/>
  <c r="E202" i="14"/>
  <c r="F202" i="14" s="1"/>
  <c r="F5" i="14"/>
  <c r="A5" i="14" s="1"/>
  <c r="E11" i="14"/>
  <c r="F11" i="14" s="1"/>
  <c r="E22" i="14"/>
  <c r="F22" i="14" s="1"/>
  <c r="AI41" i="14"/>
  <c r="E41" i="14"/>
  <c r="F41" i="14" s="1"/>
  <c r="F67" i="14"/>
  <c r="A67" i="14" s="1"/>
  <c r="AI67" i="14"/>
  <c r="AI64" i="14"/>
  <c r="E64" i="14"/>
  <c r="F64" i="14" s="1"/>
  <c r="A86" i="14"/>
  <c r="E141" i="14"/>
  <c r="F141" i="14" s="1"/>
  <c r="D178" i="14"/>
  <c r="AI178" i="14" s="1"/>
  <c r="A97" i="14"/>
  <c r="AI11" i="14"/>
  <c r="F53" i="14"/>
  <c r="A53" i="14" s="1"/>
  <c r="AI80" i="14"/>
  <c r="E122" i="14"/>
  <c r="F122" i="14" s="1"/>
  <c r="AI5" i="14"/>
  <c r="A23" i="14"/>
  <c r="E44" i="14"/>
  <c r="F44" i="14" s="1"/>
  <c r="E70" i="14"/>
  <c r="AI70" i="14"/>
  <c r="F92" i="14"/>
  <c r="A92" i="14" s="1"/>
  <c r="E79" i="14"/>
  <c r="F79" i="14" s="1"/>
  <c r="A106" i="14"/>
  <c r="E124" i="14"/>
  <c r="F124" i="14" s="1"/>
  <c r="E118" i="14"/>
  <c r="F118" i="14" s="1"/>
  <c r="F189" i="14"/>
  <c r="A189" i="14" s="1"/>
  <c r="D175" i="14"/>
  <c r="AI175" i="14" s="1"/>
  <c r="AI130" i="14"/>
  <c r="E204" i="14"/>
  <c r="F204" i="14" s="1"/>
  <c r="E199" i="14"/>
  <c r="F199" i="14" s="1"/>
  <c r="AI17" i="14"/>
  <c r="F17" i="14"/>
  <c r="A17" i="14" s="1"/>
  <c r="F24" i="14"/>
  <c r="A24" i="14" s="1"/>
  <c r="AI24" i="14"/>
  <c r="AI47" i="14"/>
  <c r="E47" i="14"/>
  <c r="AI127" i="14"/>
  <c r="E127" i="14"/>
  <c r="F127" i="14" s="1"/>
  <c r="E60" i="14"/>
  <c r="F60" i="14" s="1"/>
  <c r="E91" i="14"/>
  <c r="AI91" i="14"/>
  <c r="A85" i="14"/>
  <c r="E133" i="14"/>
  <c r="F133" i="14" s="1"/>
  <c r="AI133" i="14"/>
  <c r="E147" i="14"/>
  <c r="E140" i="14"/>
  <c r="D183" i="14"/>
  <c r="AI183" i="14" s="1"/>
  <c r="E177" i="14"/>
  <c r="E207" i="14"/>
  <c r="F207" i="14"/>
  <c r="F201" i="14"/>
  <c r="A201" i="14" s="1"/>
  <c r="F218" i="14"/>
  <c r="A218" i="14" s="1"/>
  <c r="A149" i="14"/>
  <c r="AI148" i="14"/>
  <c r="F221" i="14"/>
  <c r="A221" i="14" s="1"/>
  <c r="AI132" i="14"/>
  <c r="AI63" i="14"/>
  <c r="E63" i="14"/>
  <c r="F63" i="14" s="1"/>
  <c r="E109" i="14"/>
  <c r="F109" i="14" s="1"/>
  <c r="AI150" i="14"/>
  <c r="E150" i="14"/>
  <c r="F150" i="14"/>
  <c r="D180" i="14"/>
  <c r="AI180" i="14" s="1"/>
  <c r="A196" i="14"/>
  <c r="F112" i="14"/>
  <c r="A112" i="14" s="1"/>
  <c r="A206" i="14"/>
  <c r="AI99" i="14"/>
  <c r="E99" i="14"/>
  <c r="F99" i="14" s="1"/>
  <c r="A102" i="14"/>
  <c r="AI13" i="14"/>
  <c r="E13" i="14"/>
  <c r="F13" i="14" s="1"/>
  <c r="A7" i="14"/>
  <c r="F52" i="14"/>
  <c r="A52" i="14" s="1"/>
  <c r="AI46" i="14"/>
  <c r="E46" i="14"/>
  <c r="AI43" i="14"/>
  <c r="F43" i="14"/>
  <c r="A43" i="14" s="1"/>
  <c r="F58" i="14"/>
  <c r="A58" i="14" s="1"/>
  <c r="AI58" i="14"/>
  <c r="AI84" i="14"/>
  <c r="F84" i="14"/>
  <c r="A84" i="14" s="1"/>
  <c r="E120" i="14"/>
  <c r="AI120" i="14"/>
  <c r="AI117" i="14"/>
  <c r="E117" i="14"/>
  <c r="F190" i="14"/>
  <c r="A190" i="14" s="1"/>
  <c r="F80" i="14"/>
  <c r="A80" i="14" s="1"/>
  <c r="A144" i="14"/>
  <c r="A62" i="14"/>
  <c r="E148" i="14"/>
  <c r="AI87" i="14"/>
  <c r="AI40" i="14"/>
  <c r="E40" i="14"/>
  <c r="E26" i="14"/>
  <c r="F137" i="14"/>
  <c r="A137" i="14" s="1"/>
  <c r="E111" i="14"/>
  <c r="F111" i="14" s="1"/>
  <c r="F4" i="14"/>
  <c r="A4" i="14" s="1"/>
  <c r="F69" i="14"/>
  <c r="A69" i="14" s="1"/>
  <c r="E130" i="14"/>
  <c r="F130" i="14" s="1"/>
  <c r="F139" i="14"/>
  <c r="A139" i="14" s="1"/>
  <c r="A123" i="14"/>
  <c r="AI111" i="14"/>
  <c r="F74" i="14"/>
  <c r="A74" i="14" s="1"/>
  <c r="AI112" i="14"/>
  <c r="AI107" i="14"/>
  <c r="E145" i="14"/>
  <c r="AI16" i="14"/>
  <c r="E16" i="14"/>
  <c r="F16" i="14" s="1"/>
  <c r="AI32" i="14"/>
  <c r="E32" i="14"/>
  <c r="E49" i="14"/>
  <c r="F49" i="14" s="1"/>
  <c r="AI49" i="14"/>
  <c r="E72" i="14"/>
  <c r="F72" i="14" s="1"/>
  <c r="F59" i="14"/>
  <c r="A59" i="14" s="1"/>
  <c r="AI83" i="14"/>
  <c r="E83" i="14"/>
  <c r="F105" i="14"/>
  <c r="A105" i="14" s="1"/>
  <c r="AI105" i="14"/>
  <c r="A188" i="14"/>
  <c r="E203" i="14"/>
  <c r="F203" i="14" s="1"/>
  <c r="F126" i="14"/>
  <c r="A126" i="14" s="1"/>
  <c r="AI59" i="14"/>
  <c r="AI10" i="14"/>
  <c r="E54" i="14"/>
  <c r="F54" i="14" s="1"/>
  <c r="AI52" i="14"/>
  <c r="AI50" i="14"/>
  <c r="AI92" i="14"/>
  <c r="AI106" i="14"/>
  <c r="AI129" i="14"/>
  <c r="E198" i="14"/>
  <c r="F198" i="14" s="1"/>
  <c r="AI73" i="14"/>
  <c r="F138" i="14"/>
  <c r="A138" i="14" s="1"/>
  <c r="AI86" i="14"/>
  <c r="S5" i="3" a="1"/>
  <c r="S5" i="3" s="1"/>
  <c r="Q4" i="3" a="1"/>
  <c r="Q4" i="3" s="1"/>
  <c r="T5" i="3" a="1"/>
  <c r="T5" i="3" s="1"/>
  <c r="Q5" i="3" a="1"/>
  <c r="Q5" i="3" s="1"/>
  <c r="U4" i="3" a="1"/>
  <c r="U4" i="3" s="1"/>
  <c r="S6" i="3" a="1"/>
  <c r="S6" i="3" s="1"/>
  <c r="S4" i="3" a="1"/>
  <c r="S4" i="3" s="1"/>
  <c r="B35" i="3" a="1"/>
  <c r="B35" i="3" s="1"/>
  <c r="D3" i="3" a="1"/>
  <c r="D3" i="3" s="1"/>
  <c r="D7" i="3" a="1"/>
  <c r="D7" i="3" s="1"/>
  <c r="E6" i="3" a="1"/>
  <c r="E6" i="3" s="1"/>
  <c r="D6" i="3" a="1"/>
  <c r="D6" i="3" s="1"/>
  <c r="E3" i="3" a="1"/>
  <c r="E3" i="3" s="1"/>
  <c r="E7" i="3" a="1"/>
  <c r="E7" i="3" s="1"/>
  <c r="E4" i="3" a="1"/>
  <c r="E4" i="3" s="1"/>
  <c r="E5" i="3" a="1"/>
  <c r="E5" i="3" s="1"/>
  <c r="D4" i="3" a="1"/>
  <c r="D4" i="3" s="1"/>
  <c r="D5" i="3" a="1"/>
  <c r="D5" i="3" s="1"/>
  <c r="AI168" i="14"/>
  <c r="E168" i="14"/>
  <c r="AI167" i="14"/>
  <c r="E167" i="14"/>
  <c r="F167" i="14" s="1"/>
  <c r="AI166" i="14"/>
  <c r="E166" i="14"/>
  <c r="F166" i="14" s="1"/>
  <c r="AI165" i="14"/>
  <c r="E165" i="14"/>
  <c r="F165" i="14" s="1"/>
  <c r="AI164" i="14"/>
  <c r="E164" i="14"/>
  <c r="F164" i="14" s="1"/>
  <c r="AI163" i="14"/>
  <c r="E163" i="14"/>
  <c r="F163" i="14" s="1"/>
  <c r="AI162" i="14"/>
  <c r="E162" i="14"/>
  <c r="F162" i="14" s="1"/>
  <c r="AI161" i="14"/>
  <c r="E161" i="14"/>
  <c r="AI160" i="14"/>
  <c r="E160" i="14"/>
  <c r="AI159" i="14"/>
  <c r="E159" i="14"/>
  <c r="F156" i="14"/>
  <c r="A156" i="14" s="1"/>
  <c r="F170" i="14"/>
  <c r="A170" i="14" s="1"/>
  <c r="AI169" i="14"/>
  <c r="E169" i="14"/>
  <c r="F169" i="14" s="1"/>
  <c r="AI157" i="14"/>
  <c r="E157" i="14"/>
  <c r="F157" i="14" s="1"/>
  <c r="AI155" i="14"/>
  <c r="F168" i="14"/>
  <c r="A168" i="14" s="1"/>
  <c r="AI170" i="14"/>
  <c r="AI156" i="14"/>
  <c r="F155" i="14"/>
  <c r="A155" i="14" s="1"/>
  <c r="E158" i="14"/>
  <c r="N20" i="3" a="1"/>
  <c r="E21" i="3" a="1"/>
  <c r="C21" i="3" a="1"/>
  <c r="AA11" i="3"/>
  <c r="K12" i="3" a="1"/>
  <c r="M20" i="3" a="1"/>
  <c r="J13" i="3" a="1"/>
  <c r="AA19" i="3"/>
  <c r="Z19" i="3"/>
  <c r="K14" i="3" a="1"/>
  <c r="D13" i="3" a="1"/>
  <c r="C30" i="3" a="1"/>
  <c r="M15" i="3" a="1"/>
  <c r="K23" i="3" a="1"/>
  <c r="M28" i="3" a="1"/>
  <c r="U11" i="3"/>
  <c r="N23" i="3" a="1"/>
  <c r="G21" i="3" a="1"/>
  <c r="M14" i="3" a="1"/>
  <c r="G14" i="3" a="1"/>
  <c r="D29" i="3" a="1"/>
  <c r="K13" i="3" a="1"/>
  <c r="AC19" i="3"/>
  <c r="AB19" i="3"/>
  <c r="F29" i="3" a="1"/>
  <c r="D22" i="3" a="1"/>
  <c r="M12" i="3" a="1"/>
  <c r="F31" i="3" a="1"/>
  <c r="C12" i="3" a="1"/>
  <c r="L31" i="3" a="1"/>
  <c r="J14" i="3" a="1"/>
  <c r="N13" i="3" a="1"/>
  <c r="L13" i="3" a="1"/>
  <c r="S11" i="3"/>
  <c r="J21" i="3" a="1"/>
  <c r="E28" i="3" a="1"/>
  <c r="F66" i="8" l="1"/>
  <c r="A66" i="8"/>
  <c r="A118" i="8"/>
  <c r="A91" i="9"/>
  <c r="F82" i="8"/>
  <c r="A82" i="8" s="1"/>
  <c r="A108" i="9"/>
  <c r="A73" i="9"/>
  <c r="F55" i="9"/>
  <c r="A55" i="9" s="1"/>
  <c r="F31" i="8"/>
  <c r="A31" i="8" s="1"/>
  <c r="F115" i="8"/>
  <c r="A115" i="8"/>
  <c r="F95" i="9"/>
  <c r="A95" i="9" s="1"/>
  <c r="F3" i="8"/>
  <c r="A3" i="8" s="1"/>
  <c r="F3" i="9"/>
  <c r="A3" i="9" s="1"/>
  <c r="F75" i="9"/>
  <c r="A75" i="9" s="1"/>
  <c r="F102" i="9"/>
  <c r="A102" i="9" s="1"/>
  <c r="F103" i="8"/>
  <c r="A103" i="8" s="1"/>
  <c r="F66" i="14"/>
  <c r="A66" i="14" s="1"/>
  <c r="F89" i="14"/>
  <c r="A89" i="14" s="1"/>
  <c r="F6" i="14"/>
  <c r="A6" i="14" s="1"/>
  <c r="F100" i="14"/>
  <c r="A100" i="14" s="1"/>
  <c r="A119" i="8"/>
  <c r="A29" i="9"/>
  <c r="F84" i="9"/>
  <c r="A84" i="9" s="1"/>
  <c r="F111" i="9"/>
  <c r="A111" i="9" s="1"/>
  <c r="A66" i="9"/>
  <c r="A11" i="9"/>
  <c r="A32" i="9"/>
  <c r="A38" i="9"/>
  <c r="F44" i="9"/>
  <c r="A44" i="9" s="1"/>
  <c r="A65" i="9"/>
  <c r="F98" i="9"/>
  <c r="A98" i="9" s="1"/>
  <c r="F121" i="8"/>
  <c r="A121" i="8" s="1"/>
  <c r="A77" i="8"/>
  <c r="A83" i="9"/>
  <c r="F67" i="8"/>
  <c r="A67" i="8" s="1"/>
  <c r="F5" i="8"/>
  <c r="A5" i="8" s="1"/>
  <c r="A7" i="8"/>
  <c r="F83" i="8"/>
  <c r="A83" i="8" s="1"/>
  <c r="A107" i="8"/>
  <c r="F56" i="8"/>
  <c r="A56" i="8" s="1"/>
  <c r="A25" i="8"/>
  <c r="A186" i="14"/>
  <c r="A98" i="14"/>
  <c r="F57" i="9"/>
  <c r="A57" i="9" s="1"/>
  <c r="A74" i="9"/>
  <c r="A80" i="9"/>
  <c r="F107" i="9"/>
  <c r="A107" i="9" s="1"/>
  <c r="A113" i="8"/>
  <c r="F117" i="8"/>
  <c r="A117" i="8" s="1"/>
  <c r="A68" i="9"/>
  <c r="A13" i="9"/>
  <c r="F93" i="9"/>
  <c r="A93" i="9" s="1"/>
  <c r="A9" i="9"/>
  <c r="A89" i="9"/>
  <c r="F17" i="9"/>
  <c r="A17" i="9" s="1"/>
  <c r="F62" i="9"/>
  <c r="A62" i="9" s="1"/>
  <c r="F20" i="9"/>
  <c r="A20" i="9" s="1"/>
  <c r="F30" i="9"/>
  <c r="A30" i="9" s="1"/>
  <c r="F36" i="9"/>
  <c r="A36" i="9" s="1"/>
  <c r="F71" i="9"/>
  <c r="A71" i="9" s="1"/>
  <c r="A7" i="9"/>
  <c r="A100" i="8"/>
  <c r="A58" i="8"/>
  <c r="A98" i="8"/>
  <c r="A21" i="8"/>
  <c r="A74" i="8"/>
  <c r="A5" i="9"/>
  <c r="F56" i="9"/>
  <c r="A56" i="9" s="1"/>
  <c r="F122" i="8"/>
  <c r="A122" i="8" s="1"/>
  <c r="F89" i="8"/>
  <c r="A89" i="8" s="1"/>
  <c r="A64" i="8"/>
  <c r="F75" i="8"/>
  <c r="A75" i="8" s="1"/>
  <c r="F81" i="8"/>
  <c r="A81" i="8" s="1"/>
  <c r="A84" i="8"/>
  <c r="A90" i="8"/>
  <c r="F61" i="8"/>
  <c r="A61" i="8" s="1"/>
  <c r="F70" i="8"/>
  <c r="A70" i="8" s="1"/>
  <c r="A4" i="8"/>
  <c r="F18" i="8"/>
  <c r="A18" i="8" s="1"/>
  <c r="F105" i="8"/>
  <c r="A105" i="8" s="1"/>
  <c r="F78" i="8"/>
  <c r="A78" i="8" s="1"/>
  <c r="A87" i="8"/>
  <c r="A214" i="14"/>
  <c r="A195" i="14"/>
  <c r="A29" i="14"/>
  <c r="F68" i="14"/>
  <c r="A68" i="14" s="1"/>
  <c r="A111" i="14"/>
  <c r="E178" i="14"/>
  <c r="F178" i="14" s="1"/>
  <c r="F78" i="14"/>
  <c r="A78" i="14" s="1"/>
  <c r="A44" i="14"/>
  <c r="F117" i="14"/>
  <c r="A117" i="14" s="1"/>
  <c r="E175" i="14"/>
  <c r="F175" i="14" s="1"/>
  <c r="A141" i="14"/>
  <c r="A22" i="14"/>
  <c r="A103" i="14"/>
  <c r="A194" i="14"/>
  <c r="A133" i="14"/>
  <c r="A72" i="14"/>
  <c r="A207" i="14"/>
  <c r="A118" i="14"/>
  <c r="A128" i="14"/>
  <c r="A122" i="14"/>
  <c r="A64" i="14"/>
  <c r="F116" i="14"/>
  <c r="A116" i="14" s="1"/>
  <c r="A13" i="14"/>
  <c r="F48" i="14"/>
  <c r="A48" i="14" s="1"/>
  <c r="A222" i="14"/>
  <c r="F179" i="14"/>
  <c r="A179" i="14" s="1"/>
  <c r="A71" i="14"/>
  <c r="E176" i="14"/>
  <c r="F176" i="14" s="1"/>
  <c r="A203" i="14"/>
  <c r="F145" i="14"/>
  <c r="A145" i="14" s="1"/>
  <c r="F177" i="14"/>
  <c r="A177" i="14" s="1"/>
  <c r="A124" i="14"/>
  <c r="F87" i="14"/>
  <c r="A87" i="14" s="1"/>
  <c r="E174" i="14"/>
  <c r="F174" i="14" s="1"/>
  <c r="A49" i="14"/>
  <c r="A150" i="14"/>
  <c r="F26" i="14"/>
  <c r="A26" i="14" s="1"/>
  <c r="F91" i="14"/>
  <c r="A91" i="14" s="1"/>
  <c r="F182" i="14"/>
  <c r="A182" i="14" s="1"/>
  <c r="F32" i="14"/>
  <c r="A32" i="14" s="1"/>
  <c r="E183" i="14"/>
  <c r="F183" i="14" s="1"/>
  <c r="A107" i="14"/>
  <c r="A9" i="14"/>
  <c r="F40" i="14"/>
  <c r="A40" i="14" s="1"/>
  <c r="A110" i="14"/>
  <c r="A146" i="14"/>
  <c r="A54" i="14"/>
  <c r="A130" i="14"/>
  <c r="A99" i="14"/>
  <c r="A60" i="14"/>
  <c r="A199" i="14"/>
  <c r="A79" i="14"/>
  <c r="E205" i="14"/>
  <c r="F205" i="14" s="1"/>
  <c r="A28" i="14"/>
  <c r="A142" i="14"/>
  <c r="F3" i="14"/>
  <c r="A3" i="14" s="1"/>
  <c r="A198" i="14"/>
  <c r="F108" i="14"/>
  <c r="A108" i="14" s="1"/>
  <c r="F120" i="14"/>
  <c r="A120" i="14" s="1"/>
  <c r="F140" i="14"/>
  <c r="A140" i="14" s="1"/>
  <c r="A202" i="14"/>
  <c r="A121" i="14"/>
  <c r="E180" i="14"/>
  <c r="F180" i="14" s="1"/>
  <c r="A11" i="14"/>
  <c r="A51" i="14"/>
  <c r="A109" i="14"/>
  <c r="F148" i="14"/>
  <c r="A148" i="14" s="1"/>
  <c r="A41" i="14"/>
  <c r="F82" i="14"/>
  <c r="A82" i="14" s="1"/>
  <c r="F132" i="14"/>
  <c r="A132" i="14" s="1"/>
  <c r="F47" i="14"/>
  <c r="A47" i="14" s="1"/>
  <c r="F83" i="14"/>
  <c r="A83" i="14" s="1"/>
  <c r="A16" i="14"/>
  <c r="F46" i="14"/>
  <c r="A46" i="14" s="1"/>
  <c r="A63" i="14"/>
  <c r="F147" i="14"/>
  <c r="A147" i="14" s="1"/>
  <c r="A127" i="14"/>
  <c r="A204" i="14"/>
  <c r="F70" i="14"/>
  <c r="A70" i="14" s="1"/>
  <c r="F131" i="14"/>
  <c r="A131" i="14" s="1"/>
  <c r="A93" i="14"/>
  <c r="F88" i="14"/>
  <c r="A88" i="14" s="1"/>
  <c r="F125" i="14"/>
  <c r="A125" i="14" s="1"/>
  <c r="F101" i="14"/>
  <c r="A101" i="14" s="1"/>
  <c r="K13" i="3"/>
  <c r="L31" i="3"/>
  <c r="E28" i="3"/>
  <c r="J13" i="3"/>
  <c r="N20" i="3"/>
  <c r="M12" i="3"/>
  <c r="K14" i="3"/>
  <c r="F31" i="3"/>
  <c r="K23" i="3"/>
  <c r="D29" i="3"/>
  <c r="D22" i="3"/>
  <c r="J21" i="3"/>
  <c r="G14" i="3"/>
  <c r="M15" i="3"/>
  <c r="K12" i="3"/>
  <c r="E21" i="3"/>
  <c r="J14" i="3"/>
  <c r="D13" i="3"/>
  <c r="C21" i="3"/>
  <c r="C30" i="3"/>
  <c r="C12" i="3"/>
  <c r="N13" i="3"/>
  <c r="F29" i="3"/>
  <c r="G21" i="3"/>
  <c r="M20" i="3"/>
  <c r="M28" i="3"/>
  <c r="N23" i="3"/>
  <c r="L13" i="3"/>
  <c r="M14" i="3"/>
  <c r="G3" i="3"/>
  <c r="G7" i="3"/>
  <c r="G4" i="3"/>
  <c r="G6" i="3"/>
  <c r="G5" i="3"/>
  <c r="F158" i="14"/>
  <c r="A158" i="14" s="1"/>
  <c r="A157" i="14"/>
  <c r="A169" i="14"/>
  <c r="A162" i="14"/>
  <c r="A163" i="14"/>
  <c r="A164" i="14"/>
  <c r="A165" i="14"/>
  <c r="A166" i="14"/>
  <c r="A167" i="14"/>
  <c r="F159" i="14"/>
  <c r="A159" i="14" s="1"/>
  <c r="F160" i="14"/>
  <c r="A160" i="14" s="1"/>
  <c r="F161" i="14"/>
  <c r="A161" i="14" s="1"/>
  <c r="J15" i="3" a="1"/>
  <c r="U27" i="3"/>
  <c r="D14" i="3" a="1"/>
  <c r="D14" i="3" l="1"/>
  <c r="J15" i="3"/>
  <c r="P35" i="3" a="1"/>
  <c r="P35" i="3" s="1"/>
  <c r="A178" i="14"/>
  <c r="A183" i="14"/>
  <c r="A176" i="14"/>
  <c r="A180" i="14"/>
  <c r="A205" i="14"/>
  <c r="A175" i="14"/>
  <c r="A174" i="14"/>
  <c r="G20" i="3" a="1"/>
  <c r="F22" i="3" a="1"/>
  <c r="F20" i="3" a="1"/>
  <c r="T11" i="3"/>
  <c r="J23" i="3" a="1"/>
  <c r="N14" i="3" a="1"/>
  <c r="F15" i="3" a="1"/>
  <c r="F28" i="3" a="1"/>
  <c r="C13" i="3" a="1"/>
  <c r="G13" i="3" a="1"/>
  <c r="F15" i="3" l="1"/>
  <c r="G20" i="3"/>
  <c r="F28" i="3"/>
  <c r="C13" i="3"/>
  <c r="F22" i="3"/>
  <c r="G13" i="3"/>
  <c r="F20" i="3"/>
  <c r="N14" i="3"/>
  <c r="J23" i="3"/>
  <c r="R444" i="2"/>
  <c r="T444" i="2" s="1"/>
  <c r="K28" i="3" a="1"/>
  <c r="E13" i="3" a="1"/>
  <c r="J12" i="3" a="1"/>
  <c r="M22" i="3" a="1"/>
  <c r="D15" i="3" a="1"/>
  <c r="J20" i="3" a="1"/>
  <c r="Y11" i="3"/>
  <c r="N30" i="3" a="1"/>
  <c r="E13" i="3" l="1"/>
  <c r="J12" i="3"/>
  <c r="M22" i="3"/>
  <c r="D15" i="3"/>
  <c r="K28" i="3"/>
  <c r="N30" i="3"/>
  <c r="J20" i="3"/>
  <c r="I35" i="3" a="1"/>
  <c r="I35" i="3" s="1"/>
  <c r="R942" i="2"/>
  <c r="T942" i="2" s="1"/>
  <c r="D30" i="3" a="1"/>
  <c r="E30" i="3" a="1"/>
  <c r="F14" i="3" a="1"/>
  <c r="Y19" i="3"/>
  <c r="R27" i="3"/>
  <c r="L30" i="3" a="1"/>
  <c r="D12" i="3" a="1"/>
  <c r="M31" i="3" a="1"/>
  <c r="C29" i="3" a="1"/>
  <c r="G29" i="3" a="1"/>
  <c r="G22" i="3" a="1"/>
  <c r="E12" i="3" a="1"/>
  <c r="G22" i="3" l="1"/>
  <c r="D12" i="3"/>
  <c r="E12" i="3"/>
  <c r="F14" i="3"/>
  <c r="L30" i="3"/>
  <c r="D30" i="3"/>
  <c r="M31" i="3"/>
  <c r="G29" i="3"/>
  <c r="C29" i="3"/>
  <c r="AD19" i="3"/>
  <c r="E30" i="3"/>
  <c r="X35" i="3" a="1"/>
  <c r="X35" i="3" s="1"/>
  <c r="R792" i="2" l="1"/>
  <c r="T792" i="2" s="1"/>
  <c r="R1069" i="2"/>
  <c r="T1069" i="2" s="1"/>
  <c r="R551" i="2"/>
  <c r="T551" i="2" s="1"/>
  <c r="R721" i="2"/>
  <c r="T721" i="2" s="1"/>
  <c r="R808" i="2"/>
  <c r="T808" i="2" s="1"/>
  <c r="R1113" i="2"/>
  <c r="T1113" i="2" s="1"/>
  <c r="R534" i="2"/>
  <c r="T534" i="2" s="1"/>
  <c r="R176" i="2"/>
  <c r="T176" i="2" s="1"/>
  <c r="C20" i="3" a="1"/>
  <c r="D31" i="3" a="1"/>
  <c r="L20" i="3" a="1"/>
  <c r="L29" i="3" a="1"/>
  <c r="K22" i="3" a="1"/>
  <c r="Z11" i="3"/>
  <c r="L22" i="3" a="1"/>
  <c r="N12" i="3" a="1"/>
  <c r="J31" i="3" a="1"/>
  <c r="L28" i="3" a="1"/>
  <c r="J31" i="3" l="1"/>
  <c r="L28" i="3"/>
  <c r="N12" i="3"/>
  <c r="D31" i="3"/>
  <c r="C20" i="3"/>
  <c r="L22" i="3"/>
  <c r="K22" i="3"/>
  <c r="L20" i="3"/>
  <c r="L29" i="3"/>
  <c r="R752" i="2"/>
  <c r="T752" i="2" s="1"/>
  <c r="R1054" i="2"/>
  <c r="T1054" i="2" s="1"/>
  <c r="R310" i="2"/>
  <c r="T310" i="2" s="1"/>
  <c r="R744" i="2"/>
  <c r="T744" i="2" s="1"/>
  <c r="R1055" i="2"/>
  <c r="T1055" i="2" s="1"/>
  <c r="R672" i="2"/>
  <c r="T672" i="2" s="1"/>
  <c r="R395" i="2"/>
  <c r="T395" i="2" s="1"/>
  <c r="R217" i="2"/>
  <c r="T217" i="2" s="1"/>
  <c r="R582" i="2"/>
  <c r="T582" i="2" s="1"/>
  <c r="R37" i="2"/>
  <c r="T37" i="2" s="1"/>
  <c r="R1170" i="2"/>
  <c r="T1170" i="2" s="1"/>
  <c r="R34" i="2"/>
  <c r="T34" i="2" s="1"/>
  <c r="R474" i="2"/>
  <c r="T474" i="2" s="1"/>
  <c r="R257" i="2"/>
  <c r="T257" i="2" s="1"/>
  <c r="R67" i="2"/>
  <c r="T67" i="2" s="1"/>
  <c r="R990" i="2"/>
  <c r="T990" i="2" s="1"/>
  <c r="R1066" i="2"/>
  <c r="T1066" i="2" s="1"/>
  <c r="R1026" i="2"/>
  <c r="T1026" i="2" s="1"/>
  <c r="R247" i="2"/>
  <c r="T247" i="2" s="1"/>
  <c r="R162" i="2"/>
  <c r="T162" i="2" s="1"/>
  <c r="R1048" i="2"/>
  <c r="T1048" i="2" s="1"/>
  <c r="R75" i="2"/>
  <c r="T75" i="2" s="1"/>
  <c r="R1164" i="2"/>
  <c r="T1164" i="2" s="1"/>
  <c r="R1001" i="2"/>
  <c r="T1001" i="2" s="1"/>
  <c r="R645" i="2"/>
  <c r="T645" i="2" s="1"/>
  <c r="R956" i="2"/>
  <c r="T956" i="2" s="1"/>
  <c r="R868" i="2"/>
  <c r="T868" i="2" s="1"/>
  <c r="R778" i="2"/>
  <c r="T778" i="2" s="1"/>
  <c r="R859" i="2"/>
  <c r="T859" i="2" s="1"/>
  <c r="R857" i="2"/>
  <c r="T857" i="2" s="1"/>
  <c r="R245" i="2"/>
  <c r="T245" i="2" s="1"/>
  <c r="R782" i="2"/>
  <c r="T782" i="2" s="1"/>
  <c r="N29" i="3" a="1"/>
  <c r="M30" i="3" a="1"/>
  <c r="C31" i="3" a="1"/>
  <c r="N29" i="3" l="1"/>
  <c r="C31" i="3"/>
  <c r="M30" i="3"/>
  <c r="R902" i="2"/>
  <c r="T902" i="2" s="1"/>
  <c r="F21" i="3" a="1"/>
  <c r="M21" i="3" a="1"/>
  <c r="L14" i="3" a="1"/>
  <c r="L14" i="3" l="1"/>
  <c r="F21" i="3"/>
  <c r="M21" i="3"/>
  <c r="R870" i="2"/>
  <c r="T870" i="2" s="1"/>
  <c r="R906" i="2"/>
  <c r="T906" i="2" s="1"/>
  <c r="U19" i="3"/>
  <c r="G12" i="3" a="1"/>
  <c r="E14" i="3" a="1"/>
  <c r="F30" i="3" a="1"/>
  <c r="G31" i="3" a="1"/>
  <c r="F13" i="3" a="1"/>
  <c r="Q19" i="3"/>
  <c r="L23" i="3" a="1"/>
  <c r="F12" i="3" a="1"/>
  <c r="F23" i="3" a="1"/>
  <c r="N31" i="3" a="1"/>
  <c r="T27" i="3"/>
  <c r="M23" i="3" a="1"/>
  <c r="G30" i="3" a="1"/>
  <c r="F12" i="3" l="1"/>
  <c r="N31" i="3"/>
  <c r="E14" i="3"/>
  <c r="F23" i="3"/>
  <c r="F13" i="3"/>
  <c r="F30" i="3"/>
  <c r="M23" i="3"/>
  <c r="L23" i="3"/>
  <c r="G31" i="3"/>
  <c r="G12" i="3"/>
  <c r="G30" i="3"/>
  <c r="R897" i="2"/>
  <c r="T897" i="2" s="1"/>
  <c r="R915" i="2"/>
  <c r="T915" i="2" s="1"/>
  <c r="R905" i="2"/>
  <c r="T905" i="2" s="1"/>
  <c r="R898" i="2"/>
  <c r="T898" i="2" s="1"/>
  <c r="R866" i="2"/>
  <c r="T866" i="2" s="1"/>
  <c r="R891" i="2"/>
  <c r="T891" i="2" s="1"/>
  <c r="R890" i="2"/>
  <c r="T890" i="2" s="1"/>
  <c r="R904" i="2"/>
  <c r="T904" i="2" s="1"/>
  <c r="R910" i="2"/>
  <c r="T910" i="2" s="1"/>
  <c r="R907" i="2"/>
  <c r="T907" i="2" s="1"/>
  <c r="R908" i="2"/>
  <c r="T908" i="2" s="1"/>
  <c r="R903" i="2"/>
  <c r="T903" i="2" s="1"/>
  <c r="R919" i="2" l="1"/>
  <c r="T919" i="2" s="1"/>
  <c r="R702" i="2"/>
  <c r="T702" i="2" s="1"/>
  <c r="R514" i="2"/>
  <c r="T514" i="2" s="1"/>
  <c r="R831" i="2"/>
  <c r="T831" i="2" s="1"/>
  <c r="R1256" i="2"/>
  <c r="T1256" i="2" s="1"/>
  <c r="R1167" i="2"/>
  <c r="T1167" i="2" s="1"/>
  <c r="R571" i="2"/>
  <c r="T571" i="2" s="1"/>
  <c r="R1014" i="2"/>
  <c r="T1014" i="2" s="1"/>
  <c r="R404" i="2"/>
  <c r="T404" i="2" s="1"/>
  <c r="R680" i="2"/>
  <c r="T680" i="2" s="1"/>
  <c r="R603" i="2"/>
  <c r="T603" i="2" s="1"/>
  <c r="R1241" i="2"/>
  <c r="T1241" i="2" s="1"/>
  <c r="R881" i="2"/>
  <c r="T881" i="2" s="1"/>
  <c r="R21" i="2"/>
  <c r="T21" i="2" s="1"/>
  <c r="R1260" i="2"/>
  <c r="T1260" i="2" s="1"/>
  <c r="R268" i="2"/>
  <c r="T268" i="2" s="1"/>
  <c r="R1020" i="2"/>
  <c r="T1020" i="2" s="1"/>
  <c r="R79" i="2"/>
  <c r="T79" i="2" s="1"/>
  <c r="R950" i="2"/>
  <c r="T950" i="2" s="1"/>
  <c r="R585" i="2"/>
  <c r="T585" i="2" s="1"/>
  <c r="R1314" i="2"/>
  <c r="T1314" i="2" s="1"/>
  <c r="R926" i="2"/>
  <c r="T926" i="2" s="1"/>
  <c r="R317" i="2"/>
  <c r="T317" i="2" s="1"/>
  <c r="R1217" i="2"/>
  <c r="T1217" i="2" s="1"/>
  <c r="R1150" i="2"/>
  <c r="T1150" i="2" s="1"/>
  <c r="R666" i="2"/>
  <c r="T666" i="2" s="1"/>
  <c r="R507" i="2"/>
  <c r="T507" i="2" s="1"/>
  <c r="R513" i="2"/>
  <c r="T513" i="2" s="1"/>
  <c r="R759" i="2"/>
  <c r="T759" i="2" s="1"/>
  <c r="R840" i="2"/>
  <c r="T840" i="2" s="1"/>
  <c r="R1028" i="2"/>
  <c r="T1028" i="2" s="1"/>
  <c r="R716" i="2"/>
  <c r="T716" i="2" s="1"/>
  <c r="R116" i="2"/>
  <c r="T116" i="2" s="1"/>
  <c r="R654" i="2"/>
  <c r="T654" i="2" s="1"/>
  <c r="R845" i="2"/>
  <c r="T845" i="2" s="1"/>
  <c r="R225" i="2"/>
  <c r="T225" i="2" s="1"/>
  <c r="R1070" i="2"/>
  <c r="T1070" i="2" s="1"/>
  <c r="R31" i="2"/>
  <c r="T31" i="2" s="1"/>
  <c r="R1121" i="2"/>
  <c r="T1121" i="2" s="1"/>
  <c r="R343" i="2"/>
  <c r="T343" i="2" s="1"/>
  <c r="R472" i="2"/>
  <c r="T472" i="2" s="1"/>
  <c r="R132" i="2"/>
  <c r="T132" i="2" s="1"/>
  <c r="R510" i="2"/>
  <c r="T510" i="2" s="1"/>
  <c r="R251" i="2"/>
  <c r="T251" i="2" s="1"/>
  <c r="R264" i="2"/>
  <c r="T264" i="2" s="1"/>
  <c r="R1302" i="2"/>
  <c r="T1302" i="2" s="1"/>
  <c r="R153" i="2"/>
  <c r="T153" i="2" s="1"/>
  <c r="R535" i="2"/>
  <c r="T535" i="2" s="1"/>
  <c r="R1277" i="2"/>
  <c r="T1277" i="2" s="1"/>
  <c r="R814" i="2"/>
  <c r="T814" i="2" s="1"/>
  <c r="R261" i="2"/>
  <c r="T261" i="2" s="1"/>
  <c r="R379" i="2"/>
  <c r="T379" i="2" s="1"/>
  <c r="R279" i="2"/>
  <c r="T279" i="2" s="1"/>
  <c r="R9" i="2"/>
  <c r="T9" i="2" s="1"/>
  <c r="R1149" i="2"/>
  <c r="T1149" i="2" s="1"/>
  <c r="R201" i="2"/>
  <c r="T201" i="2" s="1"/>
  <c r="R961" i="2"/>
  <c r="T961" i="2" s="1"/>
  <c r="R888" i="2"/>
  <c r="T888" i="2" s="1"/>
  <c r="R292" i="2"/>
  <c r="T292" i="2" s="1"/>
  <c r="R10" i="2"/>
  <c r="T10" i="2" s="1"/>
  <c r="R562" i="2"/>
  <c r="T562" i="2" s="1"/>
  <c r="R1141" i="2"/>
  <c r="T1141" i="2" s="1"/>
  <c r="R136" i="2"/>
  <c r="T136" i="2" s="1"/>
  <c r="R900" i="2"/>
  <c r="T900" i="2" s="1"/>
  <c r="R459" i="2"/>
  <c r="T459" i="2" s="1"/>
  <c r="R70" i="2"/>
  <c r="T70" i="2" s="1"/>
  <c r="R1218" i="2"/>
  <c r="T1218" i="2" s="1"/>
  <c r="R65" i="2"/>
  <c r="T65" i="2" s="1"/>
  <c r="R434" i="2"/>
  <c r="T434" i="2" s="1"/>
  <c r="R262" i="2"/>
  <c r="T262" i="2" s="1"/>
  <c r="R168" i="2"/>
  <c r="T168" i="2" s="1"/>
  <c r="R673" i="2"/>
  <c r="T673" i="2" s="1"/>
  <c r="R180" i="2"/>
  <c r="T180" i="2" s="1"/>
  <c r="R1025" i="2"/>
  <c r="T1025" i="2" s="1"/>
  <c r="R380" i="2"/>
  <c r="T380" i="2" s="1"/>
  <c r="R36" i="2"/>
  <c r="T36" i="2" s="1"/>
  <c r="R345" i="2"/>
  <c r="T345" i="2" s="1"/>
  <c r="R1033" i="2"/>
  <c r="T1033" i="2" s="1"/>
  <c r="R698" i="2"/>
  <c r="T698" i="2" s="1"/>
  <c r="R442" i="2"/>
  <c r="T442" i="2" s="1"/>
  <c r="R266" i="2"/>
  <c r="T266" i="2" s="1"/>
  <c r="R93" i="2"/>
  <c r="T93" i="2" s="1"/>
  <c r="R23" i="2"/>
  <c r="T23" i="2" s="1"/>
  <c r="R340" i="2"/>
  <c r="T340" i="2" s="1"/>
  <c r="R194" i="2"/>
  <c r="T194" i="2" s="1"/>
  <c r="R967" i="2"/>
  <c r="T967" i="2" s="1"/>
  <c r="R1219" i="2"/>
  <c r="T1219" i="2" s="1"/>
  <c r="R131" i="2"/>
  <c r="T131" i="2" s="1"/>
  <c r="R1230" i="2"/>
  <c r="T1230" i="2" s="1"/>
  <c r="R884" i="2"/>
  <c r="T884" i="2" s="1"/>
  <c r="R483" i="2"/>
  <c r="T483" i="2" s="1"/>
  <c r="R825" i="2"/>
  <c r="T825" i="2" s="1"/>
  <c r="R205" i="2"/>
  <c r="T205" i="2" s="1"/>
  <c r="R6" i="2"/>
  <c r="R542" i="2"/>
  <c r="T542" i="2" s="1"/>
  <c r="R754" i="2"/>
  <c r="T754" i="2" s="1"/>
  <c r="R623" i="2"/>
  <c r="T623" i="2" s="1"/>
  <c r="R508" i="2"/>
  <c r="T508" i="2" s="1"/>
  <c r="R597" i="2"/>
  <c r="T597" i="2" s="1"/>
  <c r="R683" i="2"/>
  <c r="T683" i="2" s="1"/>
  <c r="R425" i="2"/>
  <c r="T425" i="2" s="1"/>
  <c r="R178" i="2"/>
  <c r="T178" i="2" s="1"/>
  <c r="R544" i="2"/>
  <c r="T544" i="2" s="1"/>
  <c r="R1324" i="2"/>
  <c r="T1324" i="2" s="1"/>
  <c r="R688" i="2"/>
  <c r="T688" i="2" s="1"/>
  <c r="R1037" i="2"/>
  <c r="T1037" i="2" s="1"/>
  <c r="R1204" i="2"/>
  <c r="T1204" i="2" s="1"/>
  <c r="R390" i="2"/>
  <c r="T390" i="2" s="1"/>
  <c r="R737" i="2"/>
  <c r="T737" i="2" s="1"/>
  <c r="R790" i="2"/>
  <c r="T790" i="2" s="1"/>
  <c r="R17" i="2"/>
  <c r="R1269" i="2"/>
  <c r="T1269" i="2" s="1"/>
  <c r="R959" i="2"/>
  <c r="T959" i="2" s="1"/>
  <c r="R1032" i="2"/>
  <c r="T1032" i="2" s="1"/>
  <c r="R635" i="2"/>
  <c r="T635" i="2" s="1"/>
  <c r="R486" i="2"/>
  <c r="T486" i="2" s="1"/>
  <c r="R1257" i="2"/>
  <c r="T1257" i="2" s="1"/>
  <c r="R367" i="2"/>
  <c r="T367" i="2" s="1"/>
  <c r="R1232" i="2"/>
  <c r="T1232" i="2" s="1"/>
  <c r="R1196" i="2"/>
  <c r="T1196" i="2" s="1"/>
  <c r="R318" i="2"/>
  <c r="T318" i="2" s="1"/>
  <c r="R1067" i="2"/>
  <c r="T1067" i="2" s="1"/>
  <c r="R682" i="2"/>
  <c r="T682" i="2" s="1"/>
  <c r="R979" i="2"/>
  <c r="T979" i="2" s="1"/>
  <c r="R494" i="2"/>
  <c r="T494" i="2" s="1"/>
  <c r="R315" i="2"/>
  <c r="T315" i="2" s="1"/>
  <c r="R506" i="2"/>
  <c r="T506" i="2" s="1"/>
  <c r="R11" i="2"/>
  <c r="T11" i="2" s="1"/>
  <c r="R602" i="2"/>
  <c r="T602" i="2" s="1"/>
  <c r="R1305" i="2"/>
  <c r="T1305" i="2" s="1"/>
  <c r="R936" i="2"/>
  <c r="T936" i="2" s="1"/>
  <c r="R549" i="2"/>
  <c r="T549" i="2" s="1"/>
  <c r="R539" i="2"/>
  <c r="T539" i="2" s="1"/>
  <c r="R289" i="2"/>
  <c r="T289" i="2" s="1"/>
  <c r="R1209" i="2"/>
  <c r="T1209" i="2" s="1"/>
  <c r="R1234" i="2"/>
  <c r="T1234" i="2" s="1"/>
  <c r="R134" i="2"/>
  <c r="T134" i="2" s="1"/>
  <c r="R649" i="2"/>
  <c r="T649" i="2" s="1"/>
  <c r="R1065" i="2"/>
  <c r="T1065" i="2" s="1"/>
  <c r="R426" i="2"/>
  <c r="T426" i="2" s="1"/>
  <c r="R203" i="2"/>
  <c r="T203" i="2" s="1"/>
  <c r="R185" i="2"/>
  <c r="T185" i="2" s="1"/>
  <c r="R1158" i="2"/>
  <c r="T1158" i="2" s="1"/>
  <c r="R1076" i="2"/>
  <c r="T1076" i="2" s="1"/>
  <c r="R664" i="2"/>
  <c r="T664" i="2" s="1"/>
  <c r="R983" i="2"/>
  <c r="T983" i="2" s="1"/>
  <c r="R1287" i="2"/>
  <c r="T1287" i="2" s="1"/>
  <c r="R1090" i="2"/>
  <c r="T1090" i="2" s="1"/>
  <c r="R487" i="2"/>
  <c r="T487" i="2" s="1"/>
  <c r="R52" i="2"/>
  <c r="T52" i="2" s="1"/>
  <c r="R447" i="2"/>
  <c r="T447" i="2" s="1"/>
  <c r="R1207" i="2"/>
  <c r="T1207" i="2" s="1"/>
  <c r="R300" i="2"/>
  <c r="T300" i="2" s="1"/>
  <c r="R463" i="2"/>
  <c r="T463" i="2" s="1"/>
  <c r="R1317" i="2"/>
  <c r="T1317" i="2" s="1"/>
  <c r="R756" i="2"/>
  <c r="T756" i="2" s="1"/>
  <c r="R1117" i="2"/>
  <c r="T1117" i="2" s="1"/>
  <c r="R320" i="2"/>
  <c r="T320" i="2" s="1"/>
  <c r="R122" i="2"/>
  <c r="T122" i="2" s="1"/>
  <c r="R899" i="2"/>
  <c r="T899" i="2" s="1"/>
  <c r="R128" i="2"/>
  <c r="T128" i="2" s="1"/>
  <c r="R295" i="2"/>
  <c r="T295" i="2" s="1"/>
  <c r="R62" i="2"/>
  <c r="T62" i="2" s="1"/>
  <c r="R1114" i="2"/>
  <c r="T1114" i="2" s="1"/>
  <c r="R789" i="2"/>
  <c r="T789" i="2" s="1"/>
  <c r="R989" i="2"/>
  <c r="T989" i="2" s="1"/>
  <c r="R1216" i="2"/>
  <c r="T1216" i="2" s="1"/>
  <c r="R211" i="2"/>
  <c r="T211" i="2" s="1"/>
  <c r="R229" i="2"/>
  <c r="T229" i="2" s="1"/>
  <c r="R648" i="2"/>
  <c r="T648" i="2" s="1"/>
  <c r="R417" i="2"/>
  <c r="T417" i="2" s="1"/>
  <c r="R748" i="2"/>
  <c r="T748" i="2" s="1"/>
  <c r="R156" i="2"/>
  <c r="T156" i="2" s="1"/>
  <c r="R1110" i="2"/>
  <c r="T1110" i="2" s="1"/>
  <c r="R491" i="2"/>
  <c r="T491" i="2" s="1"/>
  <c r="R823" i="2"/>
  <c r="T823" i="2" s="1"/>
  <c r="R405" i="2"/>
  <c r="T405" i="2" s="1"/>
  <c r="R745" i="2"/>
  <c r="T745" i="2" s="1"/>
  <c r="R45" i="2"/>
  <c r="T45" i="2" s="1"/>
  <c r="R111" i="2"/>
  <c r="T111" i="2" s="1"/>
  <c r="R1062" i="2"/>
  <c r="T1062" i="2" s="1"/>
  <c r="R848" i="2"/>
  <c r="T848" i="2" s="1"/>
  <c r="R830" i="2"/>
  <c r="T830" i="2" s="1"/>
  <c r="R174" i="2"/>
  <c r="T174" i="2" s="1"/>
  <c r="R282" i="2"/>
  <c r="T282" i="2" s="1"/>
  <c r="R221" i="2"/>
  <c r="T221" i="2" s="1"/>
  <c r="R722" i="2"/>
  <c r="T722" i="2" s="1"/>
  <c r="R398" i="2"/>
  <c r="T398" i="2" s="1"/>
  <c r="R1229" i="2"/>
  <c r="T1229" i="2" s="1"/>
  <c r="R670" i="2"/>
  <c r="T670" i="2" s="1"/>
  <c r="R328" i="2"/>
  <c r="T328" i="2" s="1"/>
  <c r="R753" i="2"/>
  <c r="T753" i="2" s="1"/>
  <c r="R916" i="2"/>
  <c r="T916" i="2" s="1"/>
  <c r="R1173" i="2"/>
  <c r="T1173" i="2" s="1"/>
  <c r="R167" i="2"/>
  <c r="T167" i="2" s="1"/>
  <c r="R668" i="2"/>
  <c r="T668" i="2" s="1"/>
  <c r="R220" i="2"/>
  <c r="T220" i="2" s="1"/>
  <c r="R219" i="2"/>
  <c r="T219" i="2" s="1"/>
  <c r="R1272" i="2"/>
  <c r="T1272" i="2" s="1"/>
  <c r="R624" i="2"/>
  <c r="T624" i="2" s="1"/>
  <c r="R929" i="2"/>
  <c r="T929" i="2" s="1"/>
  <c r="R333" i="2"/>
  <c r="T333" i="2" s="1"/>
  <c r="R877" i="2"/>
  <c r="T877" i="2" s="1"/>
  <c r="R518" i="2"/>
  <c r="T518" i="2" s="1"/>
  <c r="R1080" i="2"/>
  <c r="T1080" i="2" s="1"/>
  <c r="R55" i="2"/>
  <c r="T55" i="2" s="1"/>
  <c r="R436" i="2"/>
  <c r="T436" i="2" s="1"/>
  <c r="R939" i="2"/>
  <c r="T939" i="2" s="1"/>
  <c r="R563" i="2"/>
  <c r="T563" i="2" s="1"/>
  <c r="R746" i="2"/>
  <c r="T746" i="2" s="1"/>
  <c r="R175" i="2"/>
  <c r="T175" i="2" s="1"/>
  <c r="R978" i="2"/>
  <c r="T978" i="2" s="1"/>
  <c r="R313" i="2"/>
  <c r="T313" i="2" s="1"/>
  <c r="R314" i="2"/>
  <c r="T314" i="2" s="1"/>
  <c r="R391" i="2"/>
  <c r="T391" i="2" s="1"/>
  <c r="R419" i="2"/>
  <c r="T419" i="2" s="1"/>
  <c r="R72" i="2"/>
  <c r="T72" i="2" s="1"/>
  <c r="R1185" i="2"/>
  <c r="T1185" i="2" s="1"/>
  <c r="R130" i="2"/>
  <c r="T130" i="2" s="1"/>
  <c r="R1142" i="2"/>
  <c r="T1142" i="2" s="1"/>
  <c r="R922" i="2"/>
  <c r="T922" i="2" s="1"/>
  <c r="R392" i="2"/>
  <c r="T392" i="2" s="1"/>
  <c r="R411" i="2"/>
  <c r="T411" i="2" s="1"/>
  <c r="R690" i="2"/>
  <c r="T690" i="2" s="1"/>
  <c r="R572" i="2"/>
  <c r="T572" i="2" s="1"/>
  <c r="R701" i="2"/>
  <c r="T701" i="2" s="1"/>
  <c r="R133" i="2"/>
  <c r="T133" i="2" s="1"/>
  <c r="R1268" i="2"/>
  <c r="T1268" i="2" s="1"/>
  <c r="R1210" i="2"/>
  <c r="T1210" i="2" s="1"/>
  <c r="R521" i="2"/>
  <c r="T521" i="2" s="1"/>
  <c r="R855" i="2"/>
  <c r="T855" i="2" s="1"/>
  <c r="R653" i="2"/>
  <c r="T653" i="2" s="1"/>
  <c r="R388" i="2"/>
  <c r="T388" i="2" s="1"/>
  <c r="R280" i="2"/>
  <c r="T280" i="2" s="1"/>
  <c r="R215" i="2"/>
  <c r="T215" i="2" s="1"/>
  <c r="R750" i="2"/>
  <c r="T750" i="2" s="1"/>
  <c r="R1279" i="2"/>
  <c r="T1279" i="2" s="1"/>
  <c r="R940" i="2"/>
  <c r="T940" i="2" s="1"/>
  <c r="R1231" i="2"/>
  <c r="T1231" i="2" s="1"/>
  <c r="R1316" i="2"/>
  <c r="T1316" i="2" s="1"/>
  <c r="R587" i="2"/>
  <c r="T587" i="2" s="1"/>
  <c r="R933" i="2"/>
  <c r="T933" i="2" s="1"/>
  <c r="R1105" i="2"/>
  <c r="T1105" i="2" s="1"/>
  <c r="R681" i="2"/>
  <c r="T681" i="2" s="1"/>
  <c r="R802" i="2"/>
  <c r="T802" i="2" s="1"/>
  <c r="R1312" i="2"/>
  <c r="T1312" i="2" s="1"/>
  <c r="R457" i="2"/>
  <c r="T457" i="2" s="1"/>
  <c r="R361" i="2"/>
  <c r="T361" i="2" s="1"/>
  <c r="R626" i="2"/>
  <c r="T626" i="2" s="1"/>
  <c r="R450" i="2"/>
  <c r="T450" i="2" s="1"/>
  <c r="R1227" i="2"/>
  <c r="T1227" i="2" s="1"/>
  <c r="R108" i="2"/>
  <c r="T108" i="2" s="1"/>
  <c r="R352" i="2"/>
  <c r="T352" i="2" s="1"/>
  <c r="R548" i="2"/>
  <c r="T548" i="2" s="1"/>
  <c r="R1200" i="2"/>
  <c r="T1200" i="2" s="1"/>
  <c r="R796" i="2"/>
  <c r="T796" i="2" s="1"/>
  <c r="R57" i="2"/>
  <c r="T57" i="2" s="1"/>
  <c r="R210" i="2"/>
  <c r="T210" i="2" s="1"/>
  <c r="R1052" i="2"/>
  <c r="T1052" i="2" s="1"/>
  <c r="R148" i="2"/>
  <c r="T148" i="2" s="1"/>
  <c r="R1266" i="2"/>
  <c r="T1266" i="2" s="1"/>
  <c r="R1023" i="2"/>
  <c r="T1023" i="2" s="1"/>
  <c r="R1282" i="2"/>
  <c r="T1282" i="2" s="1"/>
  <c r="R107" i="2"/>
  <c r="T107" i="2" s="1"/>
  <c r="R397" i="2"/>
  <c r="T397" i="2" s="1"/>
  <c r="R1261" i="2"/>
  <c r="T1261" i="2" s="1"/>
  <c r="R1010" i="2"/>
  <c r="T1010" i="2" s="1"/>
  <c r="R188" i="2"/>
  <c r="T188" i="2" s="1"/>
  <c r="R601" i="2"/>
  <c r="T601" i="2" s="1"/>
  <c r="R24" i="2"/>
  <c r="T24" i="2" s="1"/>
  <c r="R269" i="2"/>
  <c r="T269" i="2" s="1"/>
  <c r="R1226" i="2"/>
  <c r="T1226" i="2" s="1"/>
  <c r="R971" i="2"/>
  <c r="T971" i="2" s="1"/>
  <c r="R707" i="2"/>
  <c r="T707" i="2" s="1"/>
  <c r="R1223" i="2"/>
  <c r="T1223" i="2" s="1"/>
  <c r="R293" i="2"/>
  <c r="T293" i="2" s="1"/>
  <c r="R25" i="2"/>
  <c r="T25" i="2" s="1"/>
  <c r="R396" i="2"/>
  <c r="T396" i="2" s="1"/>
  <c r="R187" i="2"/>
  <c r="T187" i="2" s="1"/>
  <c r="R177" i="2"/>
  <c r="T177" i="2" s="1"/>
  <c r="R941" i="2"/>
  <c r="T941" i="2" s="1"/>
  <c r="R1095" i="2"/>
  <c r="T1095" i="2" s="1"/>
  <c r="R821" i="2"/>
  <c r="T821" i="2" s="1"/>
  <c r="R655" i="2"/>
  <c r="T655" i="2" s="1"/>
  <c r="R554" i="2"/>
  <c r="T554" i="2" s="1"/>
  <c r="R499" i="2"/>
  <c r="T499" i="2" s="1"/>
  <c r="R663" i="2"/>
  <c r="T663" i="2" s="1"/>
  <c r="R935" i="2"/>
  <c r="T935" i="2" s="1"/>
  <c r="R843" i="2"/>
  <c r="T843" i="2" s="1"/>
  <c r="R1009" i="2"/>
  <c r="T1009" i="2" s="1"/>
  <c r="R607" i="2"/>
  <c r="T607" i="2" s="1"/>
  <c r="R797" i="2"/>
  <c r="T797" i="2" s="1"/>
  <c r="R705" i="2"/>
  <c r="T705" i="2" s="1"/>
  <c r="R617" i="2"/>
  <c r="T617" i="2" s="1"/>
  <c r="R896" i="2"/>
  <c r="T896" i="2" s="1"/>
  <c r="R120" i="2"/>
  <c r="T120" i="2" s="1"/>
  <c r="R18" i="2"/>
  <c r="T18" i="2" s="1"/>
  <c r="R547" i="2"/>
  <c r="T547" i="2" s="1"/>
  <c r="R762" i="2"/>
  <c r="T762" i="2" s="1"/>
  <c r="R305" i="2"/>
  <c r="T305" i="2" s="1"/>
  <c r="R725" i="2"/>
  <c r="T725" i="2" s="1"/>
  <c r="R712" i="2"/>
  <c r="T712" i="2" s="1"/>
  <c r="R639" i="2"/>
  <c r="T639" i="2" s="1"/>
  <c r="R1074" i="2"/>
  <c r="T1074" i="2" s="1"/>
  <c r="R202" i="2"/>
  <c r="T202" i="2" s="1"/>
  <c r="R1326" i="2"/>
  <c r="T1326" i="2" s="1"/>
  <c r="R490" i="2"/>
  <c r="T490" i="2" s="1"/>
  <c r="R375" i="2"/>
  <c r="T375" i="2" s="1"/>
  <c r="R166" i="2"/>
  <c r="T166" i="2" s="1"/>
  <c r="R960" i="2"/>
  <c r="T960" i="2" s="1"/>
  <c r="R61" i="2"/>
  <c r="T61" i="2" s="1"/>
  <c r="R691" i="2"/>
  <c r="T691" i="2" s="1"/>
  <c r="R1135" i="2"/>
  <c r="T1135" i="2" s="1"/>
  <c r="R1085" i="2"/>
  <c r="T1085" i="2" s="1"/>
  <c r="R620" i="2"/>
  <c r="T620" i="2" s="1"/>
  <c r="R651" i="2"/>
  <c r="T651" i="2" s="1"/>
  <c r="R329" i="2"/>
  <c r="T329" i="2" s="1"/>
  <c r="R917" i="2"/>
  <c r="T917" i="2" s="1"/>
  <c r="R1103" i="2"/>
  <c r="T1103" i="2" s="1"/>
  <c r="R699" i="2"/>
  <c r="T699" i="2" s="1"/>
  <c r="R60" i="2"/>
  <c r="T60" i="2" s="1"/>
  <c r="R723" i="2"/>
  <c r="T723" i="2" s="1"/>
  <c r="R30" i="2"/>
  <c r="T30" i="2" s="1"/>
  <c r="R708" i="2"/>
  <c r="T708" i="2" s="1"/>
  <c r="R558" i="2"/>
  <c r="T558" i="2" s="1"/>
  <c r="R307" i="2"/>
  <c r="T307" i="2" s="1"/>
  <c r="R115" i="2"/>
  <c r="T115" i="2" s="1"/>
  <c r="R687" i="2"/>
  <c r="T687" i="2" s="1"/>
  <c r="R1163" i="2"/>
  <c r="T1163" i="2" s="1"/>
  <c r="R1021" i="2"/>
  <c r="T1021" i="2" s="1"/>
  <c r="R1294" i="2"/>
  <c r="T1294" i="2" s="1"/>
  <c r="R805" i="2"/>
  <c r="T805" i="2" s="1"/>
  <c r="R1143" i="2"/>
  <c r="T1143" i="2" s="1"/>
  <c r="R1254" i="2"/>
  <c r="T1254" i="2" s="1"/>
  <c r="R1296" i="2"/>
  <c r="T1296" i="2" s="1"/>
  <c r="R408" i="2"/>
  <c r="T408" i="2" s="1"/>
  <c r="R385" i="2"/>
  <c r="T385" i="2" s="1"/>
  <c r="R454" i="2"/>
  <c r="T454" i="2" s="1"/>
  <c r="R373" i="2"/>
  <c r="T373" i="2" s="1"/>
  <c r="R1172" i="2"/>
  <c r="T1172" i="2" s="1"/>
  <c r="R669" i="2"/>
  <c r="T669" i="2" s="1"/>
  <c r="R1247" i="2"/>
  <c r="T1247" i="2" s="1"/>
  <c r="R1096" i="2"/>
  <c r="T1096" i="2" s="1"/>
  <c r="R736" i="2"/>
  <c r="T736" i="2" s="1"/>
  <c r="R94" i="2"/>
  <c r="T94" i="2" s="1"/>
  <c r="R533" i="2"/>
  <c r="T533" i="2" s="1"/>
  <c r="R813" i="2"/>
  <c r="T813" i="2" s="1"/>
  <c r="R556" i="2"/>
  <c r="T556" i="2" s="1"/>
  <c r="R97" i="2"/>
  <c r="T97" i="2" s="1"/>
  <c r="R1000" i="2"/>
  <c r="T1000" i="2" s="1"/>
  <c r="R47" i="2"/>
  <c r="T47" i="2" s="1"/>
  <c r="R150" i="2"/>
  <c r="T150" i="2" s="1"/>
  <c r="R118" i="2"/>
  <c r="T118" i="2" s="1"/>
  <c r="R418" i="2"/>
  <c r="T418" i="2" s="1"/>
  <c r="R505" i="2"/>
  <c r="T505" i="2" s="1"/>
  <c r="R1176" i="2"/>
  <c r="T1176" i="2" s="1"/>
  <c r="R316" i="2"/>
  <c r="T316" i="2" s="1"/>
  <c r="R522" i="2"/>
  <c r="T522" i="2" s="1"/>
  <c r="R364" i="2"/>
  <c r="T364" i="2" s="1"/>
  <c r="R1034" i="2"/>
  <c r="T1034" i="2" s="1"/>
  <c r="R455" i="2"/>
  <c r="T455" i="2" s="1"/>
  <c r="R91" i="2"/>
  <c r="T91" i="2" s="1"/>
  <c r="R1058" i="2"/>
  <c r="T1058" i="2" s="1"/>
  <c r="R502" i="2"/>
  <c r="T502" i="2" s="1"/>
  <c r="R1244" i="2"/>
  <c r="T1244" i="2" s="1"/>
  <c r="R453" i="2"/>
  <c r="T453" i="2" s="1"/>
  <c r="R589" i="2"/>
  <c r="T589" i="2" s="1"/>
  <c r="R77" i="2"/>
  <c r="T77" i="2" s="1"/>
  <c r="R559" i="2"/>
  <c r="T559" i="2" s="1"/>
  <c r="R1152" i="2"/>
  <c r="T1152" i="2" s="1"/>
  <c r="R327" i="2"/>
  <c r="T327" i="2" s="1"/>
  <c r="R86" i="2"/>
  <c r="T86" i="2" s="1"/>
  <c r="R827" i="2"/>
  <c r="T827" i="2" s="1"/>
  <c r="R1194" i="2"/>
  <c r="T1194" i="2" s="1"/>
  <c r="R591" i="2"/>
  <c r="T591" i="2" s="1"/>
  <c r="R612" i="2"/>
  <c r="T612" i="2" s="1"/>
  <c r="R1315" i="2"/>
  <c r="T1315" i="2" s="1"/>
  <c r="R1043" i="2"/>
  <c r="T1043" i="2" s="1"/>
  <c r="R1225" i="2"/>
  <c r="T1225" i="2" s="1"/>
  <c r="R98" i="2"/>
  <c r="T98" i="2" s="1"/>
  <c r="R1111" i="2"/>
  <c r="T1111" i="2" s="1"/>
  <c r="R370" i="2"/>
  <c r="T370" i="2" s="1"/>
  <c r="R641" i="2"/>
  <c r="T641" i="2" s="1"/>
  <c r="R1239" i="2"/>
  <c r="T1239" i="2" s="1"/>
  <c r="R372" i="2"/>
  <c r="T372" i="2" s="1"/>
  <c r="R885" i="2"/>
  <c r="T885" i="2" s="1"/>
  <c r="R1007" i="2"/>
  <c r="T1007" i="2" s="1"/>
  <c r="R962" i="2"/>
  <c r="T962" i="2" s="1"/>
  <c r="R80" i="2"/>
  <c r="T80" i="2" s="1"/>
  <c r="R1304" i="2"/>
  <c r="T1304" i="2" s="1"/>
  <c r="R1275" i="2"/>
  <c r="T1275" i="2" s="1"/>
  <c r="R283" i="2"/>
  <c r="T283" i="2" s="1"/>
  <c r="R550" i="2"/>
  <c r="T550" i="2" s="1"/>
  <c r="R223" i="2"/>
  <c r="T223" i="2" s="1"/>
  <c r="R1109" i="2"/>
  <c r="T1109" i="2" s="1"/>
  <c r="R937" i="2"/>
  <c r="T937" i="2" s="1"/>
  <c r="R697" i="2"/>
  <c r="T697" i="2" s="1"/>
  <c r="R258" i="2"/>
  <c r="T258" i="2" s="1"/>
  <c r="R199" i="2"/>
  <c r="T199" i="2" s="1"/>
  <c r="R347" i="2"/>
  <c r="T347" i="2" s="1"/>
  <c r="R142" i="2"/>
  <c r="T142" i="2" s="1"/>
  <c r="R276" i="2"/>
  <c r="T276" i="2" s="1"/>
  <c r="R374" i="2"/>
  <c r="T374" i="2" s="1"/>
  <c r="R1118" i="2"/>
  <c r="T1118" i="2" s="1"/>
  <c r="R889" i="2"/>
  <c r="T889" i="2" s="1"/>
  <c r="R477" i="2"/>
  <c r="T477" i="2" s="1"/>
  <c r="R430" i="2"/>
  <c r="T430" i="2" s="1"/>
  <c r="R435" i="2"/>
  <c r="T435" i="2" s="1"/>
  <c r="R1030" i="2"/>
  <c r="T1030" i="2" s="1"/>
  <c r="R129" i="2"/>
  <c r="T129" i="2" s="1"/>
  <c r="R1301" i="2"/>
  <c r="T1301" i="2" s="1"/>
  <c r="R810" i="2"/>
  <c r="T810" i="2" s="1"/>
  <c r="R204" i="2"/>
  <c r="T204" i="2" s="1"/>
  <c r="R127" i="2"/>
  <c r="T127" i="2" s="1"/>
  <c r="R826" i="2"/>
  <c r="T826" i="2" s="1"/>
  <c r="R222" i="2"/>
  <c r="T222" i="2" s="1"/>
  <c r="R1053" i="2"/>
  <c r="T1053" i="2" s="1"/>
  <c r="R383" i="2"/>
  <c r="T383" i="2" s="1"/>
  <c r="R4" i="2"/>
  <c r="T4" i="2" s="1"/>
  <c r="R1284" i="2"/>
  <c r="T1284" i="2" s="1"/>
  <c r="R1072" i="2"/>
  <c r="T1072" i="2" s="1"/>
  <c r="R1073" i="2"/>
  <c r="T1073" i="2" s="1"/>
  <c r="R1102" i="2"/>
  <c r="T1102" i="2" s="1"/>
  <c r="R695" i="2"/>
  <c r="T695" i="2" s="1"/>
  <c r="R714" i="2"/>
  <c r="T714" i="2" s="1"/>
  <c r="R675" i="2"/>
  <c r="T675" i="2" s="1"/>
  <c r="R212" i="2"/>
  <c r="T212" i="2" s="1"/>
  <c r="R214" i="2"/>
  <c r="T214" i="2" s="1"/>
  <c r="R650" i="2"/>
  <c r="T650" i="2" s="1"/>
  <c r="R1319" i="2"/>
  <c r="T1319" i="2" s="1"/>
  <c r="R53" i="2"/>
  <c r="T53" i="2" s="1"/>
  <c r="R1321" i="2"/>
  <c r="T1321" i="2" s="1"/>
  <c r="R679" i="2"/>
  <c r="T679" i="2" s="1"/>
  <c r="R297" i="2"/>
  <c r="T297" i="2" s="1"/>
  <c r="R671" i="2"/>
  <c r="T671" i="2" s="1"/>
  <c r="R124" i="2"/>
  <c r="T124" i="2" s="1"/>
  <c r="R1306" i="2"/>
  <c r="T1306" i="2" s="1"/>
  <c r="R604" i="2"/>
  <c r="T604" i="2" s="1"/>
  <c r="R787" i="2"/>
  <c r="T787" i="2" s="1"/>
  <c r="R631" i="2"/>
  <c r="T631" i="2" s="1"/>
  <c r="R431" i="2"/>
  <c r="T431" i="2" s="1"/>
  <c r="R117" i="2"/>
  <c r="T117" i="2" s="1"/>
  <c r="R605" i="2"/>
  <c r="T605" i="2" s="1"/>
  <c r="R949" i="2"/>
  <c r="T949" i="2" s="1"/>
  <c r="R1016" i="2"/>
  <c r="T1016" i="2" s="1"/>
  <c r="R1238" i="2"/>
  <c r="T1238" i="2" s="1"/>
  <c r="R1299" i="2"/>
  <c r="T1299" i="2" s="1"/>
  <c r="R319" i="2"/>
  <c r="T319" i="2" s="1"/>
  <c r="R709" i="2"/>
  <c r="T709" i="2" s="1"/>
  <c r="R516" i="2"/>
  <c r="T516" i="2" s="1"/>
  <c r="R96" i="2"/>
  <c r="T96" i="2" s="1"/>
  <c r="R595" i="2"/>
  <c r="T595" i="2" s="1"/>
  <c r="R931" i="2"/>
  <c r="T931" i="2" s="1"/>
  <c r="R273" i="2"/>
  <c r="T273" i="2" s="1"/>
  <c r="R545" i="2"/>
  <c r="T545" i="2" s="1"/>
  <c r="R954" i="2"/>
  <c r="T954" i="2" s="1"/>
  <c r="R678" i="2"/>
  <c r="T678" i="2" s="1"/>
  <c r="R537" i="2"/>
  <c r="T537" i="2" s="1"/>
  <c r="R1059" i="2"/>
  <c r="T1059" i="2" s="1"/>
  <c r="R1203" i="2"/>
  <c r="T1203" i="2" s="1"/>
  <c r="R1136" i="2"/>
  <c r="T1136" i="2" s="1"/>
  <c r="R1112" i="2"/>
  <c r="T1112" i="2" s="1"/>
  <c r="R46" i="2"/>
  <c r="T46" i="2" s="1"/>
  <c r="R421" i="2"/>
  <c r="T421" i="2" s="1"/>
  <c r="R692" i="2"/>
  <c r="T692" i="2" s="1"/>
  <c r="R1115" i="2"/>
  <c r="T1115" i="2" s="1"/>
  <c r="R1145" i="2"/>
  <c r="T1145" i="2" s="1"/>
  <c r="R619" i="2"/>
  <c r="T619" i="2" s="1"/>
  <c r="R1134" i="2"/>
  <c r="T1134" i="2" s="1"/>
  <c r="R1237" i="2"/>
  <c r="T1237" i="2" s="1"/>
  <c r="R334" i="2"/>
  <c r="T334" i="2" s="1"/>
  <c r="R806" i="2"/>
  <c r="T806" i="2" s="1"/>
  <c r="R78" i="2"/>
  <c r="T78" i="2" s="1"/>
  <c r="R580" i="2"/>
  <c r="T580" i="2" s="1"/>
  <c r="R255" i="2"/>
  <c r="T255" i="2" s="1"/>
  <c r="R1243" i="2"/>
  <c r="T1243" i="2" s="1"/>
  <c r="R1250" i="2"/>
  <c r="T1250" i="2" s="1"/>
  <c r="R181" i="2"/>
  <c r="T181" i="2" s="1"/>
  <c r="R658" i="2"/>
  <c r="T658" i="2" s="1"/>
  <c r="R815" i="2"/>
  <c r="T815" i="2" s="1"/>
  <c r="R237" i="2"/>
  <c r="T237" i="2" s="1"/>
  <c r="R13" i="2"/>
  <c r="T13" i="2" s="1"/>
  <c r="R412" i="2"/>
  <c r="T412" i="2" s="1"/>
  <c r="R420" i="2"/>
  <c r="T420" i="2" s="1"/>
  <c r="R616" i="2"/>
  <c r="T616" i="2" s="1"/>
  <c r="R1178" i="2"/>
  <c r="T1178" i="2" s="1"/>
  <c r="R438" i="2"/>
  <c r="T438" i="2" s="1"/>
  <c r="R820" i="2"/>
  <c r="T820" i="2" s="1"/>
  <c r="R661" i="2"/>
  <c r="T661" i="2" s="1"/>
  <c r="R40" i="2"/>
  <c r="T40" i="2" s="1"/>
  <c r="R1159" i="2"/>
  <c r="T1159" i="2" s="1"/>
  <c r="R437" i="2"/>
  <c r="T437" i="2" s="1"/>
  <c r="R525" i="2"/>
  <c r="T525" i="2" s="1"/>
  <c r="R195" i="2"/>
  <c r="T195" i="2" s="1"/>
  <c r="R583" i="2"/>
  <c r="T583" i="2" s="1"/>
  <c r="R1215" i="2"/>
  <c r="T1215" i="2" s="1"/>
  <c r="R112" i="2"/>
  <c r="T112" i="2" s="1"/>
  <c r="R393" i="2"/>
  <c r="T393" i="2" s="1"/>
  <c r="R16" i="2"/>
  <c r="T16" i="2" s="1"/>
  <c r="R284" i="2"/>
  <c r="T284" i="2" s="1"/>
  <c r="R788" i="2"/>
  <c r="T788" i="2" s="1"/>
  <c r="R232" i="2"/>
  <c r="T232" i="2" s="1"/>
  <c r="R630" i="2"/>
  <c r="T630" i="2" s="1"/>
  <c r="R102" i="2"/>
  <c r="T102" i="2" s="1"/>
  <c r="R1038" i="2"/>
  <c r="T1038" i="2" s="1"/>
  <c r="R1280" i="2"/>
  <c r="T1280" i="2" s="1"/>
  <c r="R213" i="2"/>
  <c r="T213" i="2" s="1"/>
  <c r="R947" i="2"/>
  <c r="T947" i="2" s="1"/>
  <c r="R423" i="2"/>
  <c r="T423" i="2" s="1"/>
  <c r="R573" i="2"/>
  <c r="T573" i="2" s="1"/>
  <c r="R146" i="2"/>
  <c r="T146" i="2" s="1"/>
  <c r="R1068" i="2"/>
  <c r="T1068" i="2" s="1"/>
  <c r="R749" i="2"/>
  <c r="T749" i="2" s="1"/>
  <c r="R90" i="2"/>
  <c r="T90" i="2" s="1"/>
  <c r="R569" i="2"/>
  <c r="T569" i="2" s="1"/>
  <c r="R158" i="2"/>
  <c r="T158" i="2" s="1"/>
  <c r="R1044" i="2"/>
  <c r="T1044" i="2" s="1"/>
  <c r="R1155" i="2"/>
  <c r="T1155" i="2" s="1"/>
  <c r="R384" i="2"/>
  <c r="T384" i="2" s="1"/>
  <c r="R275" i="2"/>
  <c r="T275" i="2" s="1"/>
  <c r="R642" i="2"/>
  <c r="T642" i="2" s="1"/>
  <c r="R625" i="2"/>
  <c r="T625" i="2" s="1"/>
  <c r="R22" i="2"/>
  <c r="T22" i="2" s="1"/>
  <c r="R913" i="2"/>
  <c r="T913" i="2" s="1"/>
  <c r="R741" i="2"/>
  <c r="T741" i="2" s="1"/>
  <c r="R660" i="2"/>
  <c r="T660" i="2" s="1"/>
  <c r="R461" i="2"/>
  <c r="T461" i="2" s="1"/>
  <c r="R636" i="2"/>
  <c r="T636" i="2" s="1"/>
  <c r="R1017" i="2"/>
  <c r="T1017" i="2" s="1"/>
  <c r="R1040" i="2"/>
  <c r="T1040" i="2" s="1"/>
  <c r="R1288" i="2"/>
  <c r="T1288" i="2" s="1"/>
  <c r="R1235" i="2"/>
  <c r="T1235" i="2" s="1"/>
  <c r="R1246" i="2"/>
  <c r="T1246" i="2" s="1"/>
  <c r="R804" i="2"/>
  <c r="T804" i="2" s="1"/>
  <c r="R458" i="2"/>
  <c r="T458" i="2" s="1"/>
  <c r="R160" i="2"/>
  <c r="T160" i="2" s="1"/>
  <c r="R183" i="2"/>
  <c r="T183" i="2" s="1"/>
  <c r="R532" i="2"/>
  <c r="T532" i="2" s="1"/>
  <c r="R932" i="2"/>
  <c r="T932" i="2" s="1"/>
  <c r="R581" i="2"/>
  <c r="T581" i="2" s="1"/>
  <c r="R1148" i="2"/>
  <c r="T1148" i="2" s="1"/>
  <c r="R263" i="2"/>
  <c r="T263" i="2" s="1"/>
  <c r="R445" i="2"/>
  <c r="T445" i="2" s="1"/>
  <c r="R812" i="2"/>
  <c r="T812" i="2" s="1"/>
  <c r="R1290" i="2"/>
  <c r="T1290" i="2" s="1"/>
  <c r="R520" i="2"/>
  <c r="T520" i="2" s="1"/>
  <c r="R446" i="2"/>
  <c r="T446" i="2" s="1"/>
  <c r="R39" i="2"/>
  <c r="T39" i="2" s="1"/>
  <c r="R739" i="2"/>
  <c r="T739" i="2" s="1"/>
  <c r="R882" i="2"/>
  <c r="T882" i="2" s="1"/>
  <c r="R286" i="2"/>
  <c r="T286" i="2" s="1"/>
  <c r="R1002" i="2"/>
  <c r="T1002" i="2" s="1"/>
  <c r="R287" i="2"/>
  <c r="T287" i="2" s="1"/>
  <c r="R206" i="2"/>
  <c r="T206" i="2" s="1"/>
  <c r="R448" i="2"/>
  <c r="T448" i="2" s="1"/>
  <c r="R1313" i="2"/>
  <c r="T1313" i="2" s="1"/>
  <c r="R376" i="2"/>
  <c r="T376" i="2" s="1"/>
  <c r="R1222" i="2"/>
  <c r="T1222" i="2" s="1"/>
  <c r="R667" i="2"/>
  <c r="T667" i="2" s="1"/>
  <c r="R105" i="2"/>
  <c r="T105" i="2" s="1"/>
  <c r="R596" i="2"/>
  <c r="T596" i="2" s="1"/>
  <c r="R1094" i="2"/>
  <c r="T1094" i="2" s="1"/>
  <c r="R1271" i="2"/>
  <c r="T1271" i="2" s="1"/>
  <c r="R985" i="2"/>
  <c r="T985" i="2" s="1"/>
  <c r="R1124" i="2"/>
  <c r="T1124" i="2" s="1"/>
  <c r="R713" i="2"/>
  <c r="T713" i="2" s="1"/>
  <c r="R833" i="2"/>
  <c r="T833" i="2" s="1"/>
  <c r="R27" i="2"/>
  <c r="T27" i="2" s="1"/>
  <c r="R541" i="2"/>
  <c r="T541" i="2" s="1"/>
  <c r="R422" i="2"/>
  <c r="T422" i="2" s="1"/>
  <c r="R700" i="2"/>
  <c r="T700" i="2" s="1"/>
  <c r="R966" i="2"/>
  <c r="T966" i="2" s="1"/>
  <c r="R566" i="2"/>
  <c r="T566" i="2" s="1"/>
  <c r="R322" i="2"/>
  <c r="T322" i="2" s="1"/>
  <c r="R816" i="2"/>
  <c r="T816" i="2" s="1"/>
  <c r="R968" i="2"/>
  <c r="T968" i="2" s="1"/>
  <c r="R618" i="2"/>
  <c r="T618" i="2" s="1"/>
  <c r="R348" i="2"/>
  <c r="T348" i="2" s="1"/>
  <c r="R761" i="2"/>
  <c r="T761" i="2" s="1"/>
  <c r="R715" i="2"/>
  <c r="T715" i="2" s="1"/>
  <c r="R103" i="2"/>
  <c r="T103" i="2" s="1"/>
  <c r="R144" i="2"/>
  <c r="T144" i="2" s="1"/>
  <c r="R1039" i="2"/>
  <c r="T1039" i="2" s="1"/>
  <c r="R963" i="2"/>
  <c r="T963" i="2" s="1"/>
  <c r="R799" i="2"/>
  <c r="T799" i="2" s="1"/>
  <c r="R1123" i="2"/>
  <c r="T1123" i="2" s="1"/>
  <c r="R346" i="2"/>
  <c r="T346" i="2" s="1"/>
  <c r="R610" i="2"/>
  <c r="T610" i="2" s="1"/>
  <c r="R303" i="2"/>
  <c r="T303" i="2" s="1"/>
  <c r="R89" i="2"/>
  <c r="T89" i="2" s="1"/>
  <c r="R984" i="2"/>
  <c r="T984" i="2" s="1"/>
  <c r="R955" i="2"/>
  <c r="T955" i="2" s="1"/>
  <c r="R1156" i="2"/>
  <c r="T1156" i="2" s="1"/>
  <c r="R1211" i="2"/>
  <c r="T1211" i="2" s="1"/>
  <c r="R171" i="2"/>
  <c r="T171" i="2" s="1"/>
  <c r="R637" i="2"/>
  <c r="T637" i="2" s="1"/>
  <c r="R344" i="2"/>
  <c r="T344" i="2" s="1"/>
  <c r="R517" i="2"/>
  <c r="T517" i="2" s="1"/>
  <c r="R44" i="2"/>
  <c r="T44" i="2" s="1"/>
  <c r="R1098" i="2"/>
  <c r="T1098" i="2" s="1"/>
  <c r="R439" i="2"/>
  <c r="T439" i="2" s="1"/>
  <c r="R768" i="2"/>
  <c r="T768" i="2" s="1"/>
  <c r="R766" i="2"/>
  <c r="T766" i="2" s="1"/>
  <c r="R633" i="2"/>
  <c r="T633" i="2" s="1"/>
  <c r="R925" i="2"/>
  <c r="T925" i="2" s="1"/>
  <c r="R63" i="2"/>
  <c r="T63" i="2" s="1"/>
  <c r="R710" i="2"/>
  <c r="T710" i="2" s="1"/>
  <c r="R996" i="2"/>
  <c r="T996" i="2" s="1"/>
  <c r="R644" i="2"/>
  <c r="T644" i="2" s="1"/>
  <c r="R489" i="2"/>
  <c r="T489" i="2" s="1"/>
  <c r="R598" i="2"/>
  <c r="T598" i="2" s="1"/>
  <c r="R1183" i="2"/>
  <c r="T1183" i="2" s="1"/>
  <c r="R555" i="2"/>
  <c r="T555" i="2" s="1"/>
  <c r="R1157" i="2"/>
  <c r="T1157" i="2" s="1"/>
  <c r="R443" i="2"/>
  <c r="T443" i="2" s="1"/>
  <c r="R308" i="2"/>
  <c r="T308" i="2" s="1"/>
  <c r="R1161" i="2"/>
  <c r="T1161" i="2" s="1"/>
  <c r="R427" i="2"/>
  <c r="T427" i="2" s="1"/>
  <c r="R717" i="2"/>
  <c r="T717" i="2" s="1"/>
  <c r="R41" i="2"/>
  <c r="T41" i="2" s="1"/>
  <c r="R1077" i="2"/>
  <c r="T1077" i="2" s="1"/>
  <c r="R104" i="2"/>
  <c r="T104" i="2" s="1"/>
  <c r="R836" i="2"/>
  <c r="T836" i="2" s="1"/>
  <c r="R468" i="2"/>
  <c r="T468" i="2" s="1"/>
  <c r="R95" i="2"/>
  <c r="T95" i="2" s="1"/>
  <c r="R1224" i="2"/>
  <c r="T1224" i="2" s="1"/>
  <c r="R588" i="2"/>
  <c r="T588" i="2" s="1"/>
  <c r="R239" i="2"/>
  <c r="T239" i="2" s="1"/>
  <c r="R621" i="2"/>
  <c r="T621" i="2" s="1"/>
  <c r="R629" i="2"/>
  <c r="T629" i="2" s="1"/>
  <c r="R467" i="2"/>
  <c r="T467" i="2" s="1"/>
  <c r="R12" i="2"/>
  <c r="T12" i="2" s="1"/>
  <c r="R137" i="2"/>
  <c r="T137" i="2" s="1"/>
  <c r="R466" i="2"/>
  <c r="T466" i="2" s="1"/>
  <c r="R74" i="2"/>
  <c r="T74" i="2" s="1"/>
  <c r="R351" i="2"/>
  <c r="T351" i="2" s="1"/>
  <c r="R235" i="2"/>
  <c r="T235" i="2" s="1"/>
  <c r="R1049" i="2"/>
  <c r="T1049" i="2" s="1"/>
  <c r="R152" i="2"/>
  <c r="T152" i="2" s="1"/>
  <c r="R1308" i="2"/>
  <c r="T1308" i="2" s="1"/>
  <c r="R726" i="2"/>
  <c r="T726" i="2" s="1"/>
  <c r="R469" i="2"/>
  <c r="T469" i="2" s="1"/>
  <c r="R1140" i="2"/>
  <c r="T1140" i="2" s="1"/>
  <c r="R164" i="2"/>
  <c r="T164" i="2" s="1"/>
  <c r="R365" i="2"/>
  <c r="T365" i="2" s="1"/>
  <c r="R473" i="2"/>
  <c r="T473" i="2" s="1"/>
  <c r="R1295" i="2"/>
  <c r="T1295" i="2" s="1"/>
  <c r="R14" i="2"/>
  <c r="T14" i="2" s="1"/>
  <c r="R561" i="2"/>
  <c r="T561" i="2" s="1"/>
  <c r="R1100" i="2"/>
  <c r="T1100" i="2" s="1"/>
  <c r="R88" i="2"/>
  <c r="T88" i="2" s="1"/>
  <c r="R928" i="2"/>
  <c r="T928" i="2" s="1"/>
  <c r="R686" i="2"/>
  <c r="T686" i="2" s="1"/>
  <c r="R1144" i="2"/>
  <c r="T1144" i="2" s="1"/>
  <c r="R1233" i="2"/>
  <c r="T1233" i="2" s="1"/>
  <c r="R110" i="2"/>
  <c r="T110" i="2" s="1"/>
  <c r="R977" i="2"/>
  <c r="T977" i="2" s="1"/>
  <c r="R51" i="2"/>
  <c r="T51" i="2" s="1"/>
  <c r="R1139" i="2"/>
  <c r="T1139" i="2" s="1"/>
  <c r="R1011" i="2"/>
  <c r="T1011" i="2" s="1"/>
  <c r="R592" i="2"/>
  <c r="T592" i="2" s="1"/>
  <c r="R302" i="2"/>
  <c r="T302" i="2" s="1"/>
  <c r="R1060" i="2"/>
  <c r="T1060" i="2" s="1"/>
  <c r="R465" i="2"/>
  <c r="T465" i="2" s="1"/>
  <c r="R1258" i="2"/>
  <c r="T1258" i="2" s="1"/>
  <c r="R832" i="2"/>
  <c r="T832" i="2" s="1"/>
  <c r="R948" i="2"/>
  <c r="T948" i="2" s="1"/>
  <c r="R274" i="2"/>
  <c r="T274" i="2" s="1"/>
  <c r="R306" i="2"/>
  <c r="T306" i="2" s="1"/>
  <c r="R640" i="2"/>
  <c r="T640" i="2" s="1"/>
  <c r="R381" i="2"/>
  <c r="T381" i="2" s="1"/>
  <c r="R265" i="2"/>
  <c r="T265" i="2" s="1"/>
  <c r="R1075" i="2"/>
  <c r="T1075" i="2" s="1"/>
  <c r="R394" i="2"/>
  <c r="T394" i="2" s="1"/>
  <c r="R643" i="2"/>
  <c r="T643" i="2" s="1"/>
  <c r="R850" i="2"/>
  <c r="T850" i="2" s="1"/>
  <c r="R1108" i="2"/>
  <c r="T1108" i="2" s="1"/>
  <c r="R860" i="2"/>
  <c r="T860" i="2" s="1"/>
  <c r="R765" i="2"/>
  <c r="T765" i="2" s="1"/>
  <c r="R312" i="2"/>
  <c r="T312" i="2" s="1"/>
  <c r="R987" i="2"/>
  <c r="T987" i="2" s="1"/>
  <c r="R1264" i="2"/>
  <c r="T1264" i="2" s="1"/>
  <c r="R973" i="2"/>
  <c r="T973" i="2" s="1"/>
  <c r="R1303" i="2"/>
  <c r="T1303" i="2" s="1"/>
  <c r="R938" i="2"/>
  <c r="T938" i="2" s="1"/>
  <c r="R704" i="2"/>
  <c r="T704" i="2" s="1"/>
  <c r="R728" i="2"/>
  <c r="T728" i="2" s="1"/>
  <c r="R20" i="2"/>
  <c r="T20" i="2" s="1"/>
  <c r="R1019" i="2"/>
  <c r="T1019" i="2" s="1"/>
  <c r="R764" i="2"/>
  <c r="T764" i="2" s="1"/>
  <c r="R1042" i="2"/>
  <c r="T1042" i="2" s="1"/>
  <c r="R634" i="2"/>
  <c r="T634" i="2" s="1"/>
  <c r="R594" i="2"/>
  <c r="T594" i="2" s="1"/>
  <c r="R1087" i="2"/>
  <c r="T1087" i="2" s="1"/>
  <c r="R1184" i="2"/>
  <c r="T1184" i="2" s="1"/>
  <c r="R139" i="2"/>
  <c r="T139" i="2" s="1"/>
  <c r="R260" i="2"/>
  <c r="T260" i="2" s="1"/>
  <c r="R611" i="2"/>
  <c r="T611" i="2" s="1"/>
  <c r="R1045" i="2"/>
  <c r="T1045" i="2" s="1"/>
  <c r="R1177" i="2"/>
  <c r="T1177" i="2" s="1"/>
  <c r="R1031" i="2"/>
  <c r="T1031" i="2" s="1"/>
  <c r="R786" i="2"/>
  <c r="T786" i="2" s="1"/>
  <c r="R82" i="2"/>
  <c r="T82" i="2" s="1"/>
  <c r="R809" i="2"/>
  <c r="T809" i="2" s="1"/>
  <c r="R729" i="2"/>
  <c r="T729" i="2" s="1"/>
  <c r="R1008" i="2"/>
  <c r="T1008" i="2" s="1"/>
  <c r="R613" i="2"/>
  <c r="T613" i="2" s="1"/>
  <c r="R169" i="2"/>
  <c r="T169" i="2" s="1"/>
  <c r="R1122" i="2"/>
  <c r="T1122" i="2" s="1"/>
  <c r="R1012" i="2"/>
  <c r="T1012" i="2" s="1"/>
  <c r="R241" i="2"/>
  <c r="T241" i="2" s="1"/>
  <c r="R121" i="2"/>
  <c r="T121" i="2" s="1"/>
  <c r="R451" i="2"/>
  <c r="T451" i="2" s="1"/>
  <c r="R684" i="2"/>
  <c r="T684" i="2" s="1"/>
  <c r="R536" i="2"/>
  <c r="T536" i="2" s="1"/>
  <c r="R500" i="2"/>
  <c r="T500" i="2" s="1"/>
  <c r="R579" i="2"/>
  <c r="T579" i="2" s="1"/>
  <c r="R994" i="2"/>
  <c r="T994" i="2" s="1"/>
  <c r="R1311" i="2"/>
  <c r="T1311" i="2" s="1"/>
  <c r="R387" i="2"/>
  <c r="T387" i="2" s="1"/>
  <c r="R1281" i="2"/>
  <c r="T1281" i="2" s="1"/>
  <c r="R59" i="2"/>
  <c r="T59" i="2" s="1"/>
  <c r="R1132" i="2"/>
  <c r="T1132" i="2" s="1"/>
  <c r="R414" i="2"/>
  <c r="T414" i="2" s="1"/>
  <c r="R304" i="2"/>
  <c r="T304" i="2" s="1"/>
  <c r="R1236" i="2"/>
  <c r="T1236" i="2" s="1"/>
  <c r="R138" i="2"/>
  <c r="T138" i="2" s="1"/>
  <c r="R1278" i="2"/>
  <c r="T1278" i="2" s="1"/>
  <c r="R1182" i="2"/>
  <c r="T1182" i="2" s="1"/>
  <c r="R504" i="2"/>
  <c r="T504" i="2" s="1"/>
  <c r="R192" i="2"/>
  <c r="T192" i="2" s="1"/>
  <c r="R1249" i="2"/>
  <c r="T1249" i="2" s="1"/>
  <c r="R1084" i="2"/>
  <c r="T1084" i="2" s="1"/>
  <c r="R288" i="2"/>
  <c r="T288" i="2" s="1"/>
  <c r="R1242" i="2"/>
  <c r="T1242" i="2" s="1"/>
  <c r="R113" i="2"/>
  <c r="T113" i="2" s="1"/>
  <c r="R234" i="2"/>
  <c r="T234" i="2" s="1"/>
  <c r="R19" i="2"/>
  <c r="T19" i="2" s="1"/>
  <c r="R1131" i="2"/>
  <c r="T1131" i="2" s="1"/>
  <c r="R135" i="2"/>
  <c r="T135" i="2" s="1"/>
  <c r="R50" i="2"/>
  <c r="T50" i="2" s="1"/>
  <c r="R511" i="2"/>
  <c r="T511" i="2" s="1"/>
  <c r="R335" i="2"/>
  <c r="T335" i="2" s="1"/>
  <c r="R1078" i="2"/>
  <c r="T1078" i="2" s="1"/>
  <c r="R1202" i="2"/>
  <c r="T1202" i="2" s="1"/>
  <c r="R119" i="2"/>
  <c r="T119" i="2" s="1"/>
  <c r="R182" i="2"/>
  <c r="T182" i="2" s="1"/>
  <c r="R29" i="2"/>
  <c r="T29" i="2" s="1"/>
  <c r="R546" i="2"/>
  <c r="T546" i="2" s="1"/>
  <c r="R409" i="2"/>
  <c r="T409" i="2" s="1"/>
  <c r="R462" i="2"/>
  <c r="T462" i="2" s="1"/>
  <c r="R924" i="2"/>
  <c r="T924" i="2" s="1"/>
  <c r="R230" i="2"/>
  <c r="T230" i="2" s="1"/>
  <c r="R1127" i="2"/>
  <c r="T1127" i="2" s="1"/>
  <c r="R972" i="2"/>
  <c r="T972" i="2" s="1"/>
  <c r="R296" i="2"/>
  <c r="T296" i="2" s="1"/>
  <c r="R141" i="2"/>
  <c r="T141" i="2" s="1"/>
  <c r="R236" i="2"/>
  <c r="T236" i="2" s="1"/>
  <c r="R846" i="2"/>
  <c r="T846" i="2" s="1"/>
  <c r="R951" i="2"/>
  <c r="T951" i="2" s="1"/>
  <c r="R42" i="2"/>
  <c r="T42" i="2" s="1"/>
  <c r="R981" i="2"/>
  <c r="T981" i="2" s="1"/>
  <c r="R3" i="2"/>
  <c r="R909" i="2"/>
  <c r="T909" i="2" s="1"/>
  <c r="R674" i="2"/>
  <c r="T674" i="2" s="1"/>
  <c r="R732" i="2"/>
  <c r="T732" i="2" s="1"/>
  <c r="R403" i="2"/>
  <c r="T403" i="2" s="1"/>
  <c r="R1221" i="2"/>
  <c r="T1221" i="2" s="1"/>
  <c r="R48" i="2"/>
  <c r="T48" i="2" s="1"/>
  <c r="R1022" i="2"/>
  <c r="T1022" i="2" s="1"/>
  <c r="R189" i="2"/>
  <c r="T189" i="2" s="1"/>
  <c r="R1093" i="2"/>
  <c r="T1093" i="2" s="1"/>
  <c r="R1088" i="2"/>
  <c r="T1088" i="2" s="1"/>
  <c r="R1251" i="2"/>
  <c r="T1251" i="2" s="1"/>
  <c r="R934" i="2"/>
  <c r="T934" i="2" s="1"/>
  <c r="R524" i="2"/>
  <c r="T524" i="2" s="1"/>
  <c r="R193" i="2"/>
  <c r="T193" i="2" s="1"/>
  <c r="R1004" i="2"/>
  <c r="T1004" i="2" s="1"/>
  <c r="R54" i="2"/>
  <c r="T54" i="2" s="1"/>
  <c r="R399" i="2"/>
  <c r="T399" i="2" s="1"/>
  <c r="R441" i="2"/>
  <c r="T441" i="2" s="1"/>
  <c r="R198" i="2"/>
  <c r="T198" i="2" s="1"/>
  <c r="R657" i="2"/>
  <c r="T657" i="2" s="1"/>
  <c r="R28" i="2"/>
  <c r="T28" i="2" s="1"/>
  <c r="R828" i="2"/>
  <c r="T828" i="2" s="1"/>
  <c r="R369" i="2"/>
  <c r="T369" i="2" s="1"/>
  <c r="R770" i="2"/>
  <c r="T770" i="2" s="1"/>
  <c r="R1119" i="2"/>
  <c r="T1119" i="2" s="1"/>
  <c r="R1283" i="2"/>
  <c r="T1283" i="2" s="1"/>
  <c r="R452" i="2"/>
  <c r="T452" i="2" s="1"/>
  <c r="R1097" i="2"/>
  <c r="T1097" i="2" s="1"/>
  <c r="R696" i="2"/>
  <c r="T696" i="2" s="1"/>
  <c r="R772" i="2"/>
  <c r="T772" i="2" s="1"/>
  <c r="R209" i="2"/>
  <c r="T209" i="2" s="1"/>
  <c r="R1120" i="2"/>
  <c r="T1120" i="2" s="1"/>
  <c r="R433" i="2"/>
  <c r="T433" i="2" s="1"/>
  <c r="R946" i="2"/>
  <c r="T946" i="2" s="1"/>
  <c r="R126" i="2"/>
  <c r="T126" i="2" s="1"/>
  <c r="R1129" i="2"/>
  <c r="T1129" i="2" s="1"/>
  <c r="R492" i="2"/>
  <c r="T492" i="2" s="1"/>
  <c r="R632" i="2"/>
  <c r="T632" i="2" s="1"/>
  <c r="R101" i="2"/>
  <c r="T101" i="2" s="1"/>
  <c r="R1147" i="2"/>
  <c r="T1147" i="2" s="1"/>
  <c r="R35" i="2"/>
  <c r="T35" i="2" s="1"/>
  <c r="R1208" i="2"/>
  <c r="T1208" i="2" s="1"/>
  <c r="R622" i="2"/>
  <c r="T622" i="2" s="1"/>
  <c r="R432" i="2"/>
  <c r="T432" i="2" s="1"/>
  <c r="R66" i="2"/>
  <c r="T66" i="2" s="1"/>
  <c r="R685" i="2"/>
  <c r="T685" i="2" s="1"/>
  <c r="R818" i="2"/>
  <c r="T818" i="2" s="1"/>
  <c r="R92" i="2"/>
  <c r="T92" i="2" s="1"/>
  <c r="R240" i="2"/>
  <c r="T240" i="2" s="1"/>
  <c r="R1276" i="2"/>
  <c r="T1276" i="2" s="1"/>
  <c r="R1262" i="2"/>
  <c r="T1262" i="2" s="1"/>
  <c r="R497" i="2"/>
  <c r="T497" i="2" s="1"/>
  <c r="R921" i="2"/>
  <c r="T921" i="2" s="1"/>
  <c r="R834" i="2"/>
  <c r="T834" i="2" s="1"/>
  <c r="R416" i="2"/>
  <c r="T416" i="2" s="1"/>
  <c r="R829" i="2"/>
  <c r="T829" i="2" s="1"/>
  <c r="R321" i="2"/>
  <c r="T321" i="2" s="1"/>
  <c r="R538" i="2"/>
  <c r="T538" i="2" s="1"/>
  <c r="R1255" i="2"/>
  <c r="T1255" i="2" s="1"/>
  <c r="R154" i="2"/>
  <c r="T154" i="2" s="1"/>
  <c r="R207" i="2"/>
  <c r="T207" i="2" s="1"/>
  <c r="R114" i="2"/>
  <c r="T114" i="2" s="1"/>
  <c r="R1047" i="2"/>
  <c r="T1047" i="2" s="1"/>
  <c r="R1201" i="2"/>
  <c r="T1201" i="2" s="1"/>
  <c r="R1192" i="2"/>
  <c r="T1192" i="2" s="1"/>
  <c r="R1050" i="2"/>
  <c r="T1050" i="2" s="1"/>
  <c r="R1046" i="2"/>
  <c r="T1046" i="2" s="1"/>
  <c r="R464" i="2"/>
  <c r="T464" i="2" s="1"/>
  <c r="R1187" i="2"/>
  <c r="T1187" i="2" s="1"/>
  <c r="R557" i="2"/>
  <c r="T557" i="2" s="1"/>
  <c r="R32" i="2"/>
  <c r="T32" i="2" s="1"/>
  <c r="R1126" i="2"/>
  <c r="T1126" i="2" s="1"/>
  <c r="R578" i="2"/>
  <c r="T578" i="2" s="1"/>
  <c r="R1199" i="2"/>
  <c r="T1199" i="2" s="1"/>
  <c r="R85" i="2"/>
  <c r="T85" i="2" s="1"/>
  <c r="R1089" i="2"/>
  <c r="T1089" i="2" s="1"/>
  <c r="R410" i="2"/>
  <c r="T410" i="2" s="1"/>
  <c r="R964" i="2"/>
  <c r="T964" i="2" s="1"/>
  <c r="R368" i="2"/>
  <c r="T368" i="2" s="1"/>
  <c r="R64" i="2"/>
  <c r="T64" i="2" s="1"/>
  <c r="R801" i="2"/>
  <c r="T801" i="2" s="1"/>
  <c r="R1310" i="2"/>
  <c r="T1310" i="2" s="1"/>
  <c r="R281" i="2"/>
  <c r="T281" i="2" s="1"/>
  <c r="R662" i="2"/>
  <c r="T662" i="2" s="1"/>
  <c r="R184" i="2"/>
  <c r="T184" i="2" s="1"/>
  <c r="R798" i="2"/>
  <c r="T798" i="2" s="1"/>
  <c r="R958" i="2"/>
  <c r="T958" i="2" s="1"/>
  <c r="R341" i="2"/>
  <c r="T341" i="2" s="1"/>
  <c r="R811" i="2"/>
  <c r="T811" i="2" s="1"/>
  <c r="R886" i="2"/>
  <c r="T886" i="2" s="1"/>
  <c r="R776" i="2"/>
  <c r="T776" i="2" s="1"/>
  <c r="R49" i="2"/>
  <c r="T49" i="2" s="1"/>
  <c r="R1137" i="2"/>
  <c r="T1137" i="2" s="1"/>
  <c r="R173" i="2"/>
  <c r="T173" i="2" s="1"/>
  <c r="R503" i="2"/>
  <c r="T503" i="2" s="1"/>
  <c r="R995" i="2"/>
  <c r="T995" i="2" s="1"/>
  <c r="R694" i="2"/>
  <c r="T694" i="2" s="1"/>
  <c r="R342" i="2"/>
  <c r="T342" i="2" s="1"/>
  <c r="R1061" i="2"/>
  <c r="T1061" i="2" s="1"/>
  <c r="R1174" i="2"/>
  <c r="T1174" i="2" s="1"/>
  <c r="R1003" i="2"/>
  <c r="T1003" i="2" s="1"/>
  <c r="R1057" i="2"/>
  <c r="T1057" i="2" s="1"/>
  <c r="R676" i="2"/>
  <c r="T676" i="2" s="1"/>
  <c r="R1083" i="2"/>
  <c r="T1083" i="2" s="1"/>
  <c r="R285" i="2"/>
  <c r="T285" i="2" s="1"/>
  <c r="R986" i="2"/>
  <c r="T986" i="2" s="1"/>
  <c r="R471" i="2"/>
  <c r="T471" i="2" s="1"/>
  <c r="R301" i="2"/>
  <c r="T301" i="2" s="1"/>
  <c r="R233" i="2"/>
  <c r="T233" i="2" s="1"/>
  <c r="R428" i="2"/>
  <c r="T428" i="2" s="1"/>
  <c r="R795" i="2"/>
  <c r="T795" i="2" s="1"/>
  <c r="R568" i="2"/>
  <c r="T568" i="2" s="1"/>
  <c r="R371" i="2"/>
  <c r="T371" i="2" s="1"/>
  <c r="R615" i="2"/>
  <c r="T615" i="2" s="1"/>
  <c r="R231" i="2"/>
  <c r="T231" i="2" s="1"/>
  <c r="R56" i="2"/>
  <c r="T56" i="2" s="1"/>
  <c r="R1027" i="2"/>
  <c r="T1027" i="2" s="1"/>
  <c r="R763" i="2"/>
  <c r="T763" i="2" s="1"/>
  <c r="R1253" i="2"/>
  <c r="T1253" i="2" s="1"/>
  <c r="R163" i="2"/>
  <c r="T163" i="2" s="1"/>
  <c r="R531" i="2"/>
  <c r="T531" i="2" s="1"/>
  <c r="R1024" i="2"/>
  <c r="T1024" i="2" s="1"/>
  <c r="R577" i="2"/>
  <c r="T577" i="2" s="1"/>
  <c r="R277" i="2"/>
  <c r="T277" i="2" s="1"/>
  <c r="R481" i="2"/>
  <c r="T481" i="2" s="1"/>
  <c r="R847" i="2"/>
  <c r="T847" i="2" s="1"/>
  <c r="R331" i="2"/>
  <c r="T331" i="2" s="1"/>
  <c r="R1041" i="2"/>
  <c r="T1041" i="2" s="1"/>
  <c r="R243" i="2"/>
  <c r="T243" i="2" s="1"/>
  <c r="R1128" i="2"/>
  <c r="T1128" i="2" s="1"/>
  <c r="R751" i="2"/>
  <c r="T751" i="2" s="1"/>
  <c r="R574" i="2"/>
  <c r="T574" i="2" s="1"/>
  <c r="R242" i="2"/>
  <c r="T242" i="2" s="1"/>
  <c r="R151" i="2"/>
  <c r="T151" i="2" s="1"/>
  <c r="R475" i="2"/>
  <c r="T475" i="2" s="1"/>
  <c r="R853" i="2"/>
  <c r="T853" i="2" s="1"/>
  <c r="R299" i="2"/>
  <c r="T299" i="2" s="1"/>
  <c r="R1130" i="2"/>
  <c r="T1130" i="2" s="1"/>
  <c r="R244" i="2"/>
  <c r="T244" i="2" s="1"/>
  <c r="R76" i="2"/>
  <c r="T76" i="2" s="1"/>
  <c r="R529" i="2"/>
  <c r="T529" i="2" s="1"/>
  <c r="R1035" i="2"/>
  <c r="T1035" i="2" s="1"/>
  <c r="R819" i="2"/>
  <c r="T819" i="2" s="1"/>
  <c r="R803" i="2"/>
  <c r="T803" i="2" s="1"/>
  <c r="R149" i="2"/>
  <c r="T149" i="2" s="1"/>
  <c r="R140" i="2"/>
  <c r="T140" i="2" s="1"/>
  <c r="R470" i="2"/>
  <c r="T470" i="2" s="1"/>
  <c r="R837" i="2"/>
  <c r="T837" i="2" s="1"/>
  <c r="R1169" i="2"/>
  <c r="T1169" i="2" s="1"/>
  <c r="R250" i="2"/>
  <c r="T250" i="2" s="1"/>
  <c r="R567" i="2"/>
  <c r="T567" i="2" s="1"/>
  <c r="R775" i="2"/>
  <c r="T775" i="2" s="1"/>
  <c r="R1056" i="2"/>
  <c r="T1056" i="2" s="1"/>
  <c r="R159" i="2"/>
  <c r="T159" i="2" s="1"/>
  <c r="R1168" i="2"/>
  <c r="T1168" i="2" s="1"/>
  <c r="R969" i="2"/>
  <c r="T969" i="2" s="1"/>
  <c r="R785" i="2"/>
  <c r="T785" i="2" s="1"/>
  <c r="R106" i="2"/>
  <c r="T106" i="2" s="1"/>
  <c r="R1186" i="2"/>
  <c r="T1186" i="2" s="1"/>
  <c r="R1006" i="2"/>
  <c r="T1006" i="2" s="1"/>
  <c r="R773" i="2"/>
  <c r="T773" i="2" s="1"/>
  <c r="R330" i="2"/>
  <c r="T330" i="2" s="1"/>
  <c r="R495" i="2"/>
  <c r="T495" i="2" s="1"/>
  <c r="R576" i="2"/>
  <c r="T576" i="2" s="1"/>
  <c r="R298" i="2"/>
  <c r="T298" i="2" s="1"/>
  <c r="R143" i="2"/>
  <c r="T143" i="2" s="1"/>
  <c r="R817" i="2"/>
  <c r="T817" i="2" s="1"/>
  <c r="R190" i="2"/>
  <c r="T190" i="2" s="1"/>
  <c r="R424" i="2"/>
  <c r="T424" i="2" s="1"/>
  <c r="R526" i="2"/>
  <c r="T526" i="2" s="1"/>
  <c r="R238" i="2"/>
  <c r="T238" i="2" s="1"/>
  <c r="R415" i="2"/>
  <c r="T415" i="2" s="1"/>
  <c r="R565" i="2"/>
  <c r="T565" i="2" s="1"/>
  <c r="R771" i="2"/>
  <c r="T771" i="2" s="1"/>
  <c r="R656" i="2"/>
  <c r="T656" i="2" s="1"/>
  <c r="R734" i="2"/>
  <c r="T734" i="2" s="1"/>
  <c r="R527" i="2"/>
  <c r="T527" i="2" s="1"/>
  <c r="R336" i="2"/>
  <c r="T336" i="2" s="1"/>
  <c r="R720" i="2"/>
  <c r="T720" i="2" s="1"/>
  <c r="R1166" i="2"/>
  <c r="T1166" i="2" s="1"/>
  <c r="R512" i="2"/>
  <c r="T512" i="2" s="1"/>
  <c r="R1081" i="2"/>
  <c r="T1081" i="2" s="1"/>
  <c r="R1240" i="2"/>
  <c r="T1240" i="2" s="1"/>
  <c r="R226" i="2"/>
  <c r="T226" i="2" s="1"/>
  <c r="R338" i="2"/>
  <c r="T338" i="2" s="1"/>
  <c r="R1171" i="2"/>
  <c r="T1171" i="2" s="1"/>
  <c r="R73" i="2"/>
  <c r="T73" i="2" s="1"/>
  <c r="R1191" i="2"/>
  <c r="T1191" i="2" s="1"/>
  <c r="R354" i="2"/>
  <c r="T354" i="2" s="1"/>
  <c r="R485" i="2"/>
  <c r="T485" i="2" s="1"/>
  <c r="R606" i="2"/>
  <c r="T606" i="2" s="1"/>
  <c r="R99" i="2"/>
  <c r="T99" i="2" s="1"/>
  <c r="R1029" i="2"/>
  <c r="T1029" i="2" s="1"/>
  <c r="R1309" i="2"/>
  <c r="T1309" i="2" s="1"/>
  <c r="R382" i="2"/>
  <c r="T382" i="2" s="1"/>
  <c r="R652" i="2"/>
  <c r="T652" i="2" s="1"/>
  <c r="R1293" i="2"/>
  <c r="T1293" i="2" s="1"/>
  <c r="R609" i="2"/>
  <c r="T609" i="2" s="1"/>
  <c r="R1106" i="2"/>
  <c r="T1106" i="2" s="1"/>
  <c r="R406" i="2"/>
  <c r="T406" i="2" s="1"/>
  <c r="R945" i="2"/>
  <c r="T945" i="2" s="1"/>
  <c r="R1190" i="2"/>
  <c r="T1190" i="2" s="1"/>
  <c r="R1248" i="2"/>
  <c r="T1248" i="2" s="1"/>
  <c r="R731" i="2"/>
  <c r="T731" i="2" s="1"/>
  <c r="R800" i="2"/>
  <c r="T800" i="2" s="1"/>
  <c r="R974" i="2"/>
  <c r="T974" i="2" s="1"/>
  <c r="R246" i="2"/>
  <c r="T246" i="2" s="1"/>
  <c r="R488" i="2"/>
  <c r="T488" i="2" s="1"/>
  <c r="R1071" i="2"/>
  <c r="T1071" i="2" s="1"/>
  <c r="R693" i="2"/>
  <c r="T693" i="2" s="1"/>
  <c r="R1125" i="2"/>
  <c r="T1125" i="2" s="1"/>
  <c r="R992" i="2"/>
  <c r="T992" i="2" s="1"/>
  <c r="R413" i="2"/>
  <c r="T413" i="2" s="1"/>
  <c r="R7" i="2"/>
  <c r="T7" i="2" s="1"/>
  <c r="R157" i="2"/>
  <c r="T157" i="2" s="1"/>
  <c r="R186" i="2"/>
  <c r="T186" i="2" s="1"/>
  <c r="R791" i="2"/>
  <c r="T791" i="2" s="1"/>
  <c r="R894" i="2"/>
  <c r="T894" i="2" s="1"/>
  <c r="R109" i="2"/>
  <c r="T109" i="2" s="1"/>
  <c r="R794" i="2"/>
  <c r="T794" i="2" s="1"/>
  <c r="R570" i="2"/>
  <c r="T570" i="2" s="1"/>
  <c r="R161" i="2"/>
  <c r="T161" i="2" s="1"/>
  <c r="R727" i="2"/>
  <c r="T727" i="2" s="1"/>
  <c r="R730" i="2"/>
  <c r="T730" i="2" s="1"/>
  <c r="R1297" i="2"/>
  <c r="T1297" i="2" s="1"/>
  <c r="R953" i="2"/>
  <c r="T953" i="2" s="1"/>
  <c r="R930" i="2"/>
  <c r="T930" i="2" s="1"/>
  <c r="R1267" i="2"/>
  <c r="T1267" i="2" s="1"/>
  <c r="R747" i="2"/>
  <c r="T747" i="2" s="1"/>
  <c r="R918" i="2"/>
  <c r="T918" i="2" s="1"/>
  <c r="R355" i="2"/>
  <c r="T355" i="2" s="1"/>
  <c r="R564" i="2"/>
  <c r="T564" i="2" s="1"/>
  <c r="R519" i="2"/>
  <c r="T519" i="2" s="1"/>
  <c r="R259" i="2"/>
  <c r="T259" i="2" s="1"/>
  <c r="R1291" i="2"/>
  <c r="T1291" i="2" s="1"/>
  <c r="R8" i="2"/>
  <c r="R552" i="2"/>
  <c r="T552" i="2" s="1"/>
  <c r="R575" i="2"/>
  <c r="T575" i="2" s="1"/>
  <c r="R1205" i="2"/>
  <c r="T1205" i="2" s="1"/>
  <c r="R84" i="2"/>
  <c r="T84" i="2" s="1"/>
  <c r="R1064" i="2"/>
  <c r="T1064" i="2" s="1"/>
  <c r="R155" i="2"/>
  <c r="T155" i="2" s="1"/>
  <c r="R248" i="2"/>
  <c r="T248" i="2" s="1"/>
  <c r="R460" i="2"/>
  <c r="T460" i="2" s="1"/>
  <c r="R530" i="2"/>
  <c r="T530" i="2" s="1"/>
  <c r="R923" i="2"/>
  <c r="T923" i="2" s="1"/>
  <c r="R401" i="2"/>
  <c r="T401" i="2" s="1"/>
  <c r="R1036" i="2"/>
  <c r="T1036" i="2" s="1"/>
  <c r="R389" i="2"/>
  <c r="T389" i="2" s="1"/>
  <c r="R718" i="2"/>
  <c r="T718" i="2" s="1"/>
  <c r="R849" i="2"/>
  <c r="T849" i="2" s="1"/>
  <c r="R943" i="2"/>
  <c r="T943" i="2" s="1"/>
  <c r="R584" i="2"/>
  <c r="T584" i="2" s="1"/>
  <c r="R456" i="2"/>
  <c r="T456" i="2" s="1"/>
  <c r="R627" i="2"/>
  <c r="T627" i="2" s="1"/>
  <c r="R743" i="2"/>
  <c r="T743" i="2" s="1"/>
  <c r="R706" i="2"/>
  <c r="T706" i="2" s="1"/>
  <c r="R5" i="2"/>
  <c r="T5" i="2" s="1"/>
  <c r="R1273" i="2"/>
  <c r="T1273" i="2" s="1"/>
  <c r="R1263" i="2"/>
  <c r="T1263" i="2" s="1"/>
  <c r="R1092" i="2"/>
  <c r="T1092" i="2" s="1"/>
  <c r="R988" i="2"/>
  <c r="T988" i="2" s="1"/>
  <c r="R332" i="2"/>
  <c r="T332" i="2" s="1"/>
  <c r="R1214" i="2"/>
  <c r="T1214" i="2" s="1"/>
  <c r="R553" i="2"/>
  <c r="T553" i="2" s="1"/>
  <c r="R835" i="2"/>
  <c r="T835" i="2" s="1"/>
  <c r="R677" i="2"/>
  <c r="T677" i="2" s="1"/>
  <c r="R309" i="2"/>
  <c r="T309" i="2" s="1"/>
  <c r="R528" i="2"/>
  <c r="T528" i="2" s="1"/>
  <c r="R711" i="2"/>
  <c r="T711" i="2" s="1"/>
  <c r="R200" i="2"/>
  <c r="T200" i="2" s="1"/>
  <c r="R1151" i="2"/>
  <c r="T1151" i="2" s="1"/>
  <c r="R278" i="2"/>
  <c r="T278" i="2" s="1"/>
  <c r="R325" i="2"/>
  <c r="T325" i="2" s="1"/>
  <c r="R272" i="2"/>
  <c r="T272" i="2" s="1"/>
  <c r="R793" i="2"/>
  <c r="T793" i="2" s="1"/>
  <c r="R1079" i="2"/>
  <c r="T1079" i="2" s="1"/>
  <c r="R323" i="2"/>
  <c r="T323" i="2" s="1"/>
  <c r="R291" i="2"/>
  <c r="T291" i="2" s="1"/>
  <c r="R854" i="2"/>
  <c r="T854" i="2" s="1"/>
  <c r="R628" i="2"/>
  <c r="T628" i="2" s="1"/>
  <c r="R196" i="2"/>
  <c r="T196" i="2" s="1"/>
  <c r="R1005" i="2"/>
  <c r="T1005" i="2" s="1"/>
  <c r="R993" i="2"/>
  <c r="T993" i="2" s="1"/>
  <c r="R540" i="2"/>
  <c r="T540" i="2" s="1"/>
  <c r="R480" i="2"/>
  <c r="T480" i="2" s="1"/>
  <c r="R515" i="2"/>
  <c r="T515" i="2" s="1"/>
  <c r="R758" i="2"/>
  <c r="T758" i="2" s="1"/>
  <c r="R400" i="2"/>
  <c r="T400" i="2" s="1"/>
  <c r="R256" i="2"/>
  <c r="T256" i="2" s="1"/>
  <c r="R290" i="2"/>
  <c r="T290" i="2" s="1"/>
  <c r="R366" i="2"/>
  <c r="T366" i="2" s="1"/>
  <c r="R689" i="2"/>
  <c r="T689" i="2" s="1"/>
  <c r="R197" i="2"/>
  <c r="T197" i="2" s="1"/>
  <c r="R738" i="2"/>
  <c r="T738" i="2" s="1"/>
  <c r="R498" i="2"/>
  <c r="T498" i="2" s="1"/>
  <c r="R38" i="2"/>
  <c r="T38" i="2" s="1"/>
  <c r="R493" i="2"/>
  <c r="T493" i="2" s="1"/>
  <c r="R326" i="2"/>
  <c r="T326" i="2" s="1"/>
  <c r="R123" i="2"/>
  <c r="T123" i="2" s="1"/>
  <c r="R740" i="2"/>
  <c r="T740" i="2" s="1"/>
  <c r="R1099" i="2"/>
  <c r="T1099" i="2" s="1"/>
  <c r="R87" i="2"/>
  <c r="T87" i="2" s="1"/>
  <c r="R1175" i="2"/>
  <c r="T1175" i="2" s="1"/>
  <c r="R1292" i="2"/>
  <c r="T1292" i="2" s="1"/>
  <c r="R724" i="2"/>
  <c r="T724" i="2" s="1"/>
  <c r="R893" i="2"/>
  <c r="T893" i="2" s="1"/>
  <c r="R179" i="2"/>
  <c r="T179" i="2" s="1"/>
  <c r="R15" i="2"/>
  <c r="T15" i="2" s="1"/>
  <c r="R735" i="2"/>
  <c r="T735" i="2" s="1"/>
  <c r="R719" i="2"/>
  <c r="T719" i="2" s="1"/>
  <c r="R58" i="2"/>
  <c r="T58" i="2" s="1"/>
  <c r="R501" i="2"/>
  <c r="T501" i="2" s="1"/>
  <c r="R590" i="2"/>
  <c r="T590" i="2" s="1"/>
  <c r="R1160" i="2"/>
  <c r="T1160" i="2" s="1"/>
  <c r="R227" i="2"/>
  <c r="T227" i="2" s="1"/>
  <c r="R378" i="2"/>
  <c r="T378" i="2" s="1"/>
  <c r="R851" i="2"/>
  <c r="T851" i="2" s="1"/>
  <c r="R944" i="2"/>
  <c r="T944" i="2" s="1"/>
  <c r="R1051" i="2"/>
  <c r="T1051" i="2" s="1"/>
  <c r="R100" i="2"/>
  <c r="T100" i="2" s="1"/>
  <c r="R224" i="2"/>
  <c r="T224" i="2" s="1"/>
  <c r="R1181" i="2"/>
  <c r="T1181" i="2" s="1"/>
  <c r="R350" i="2"/>
  <c r="T350" i="2" s="1"/>
  <c r="R359" i="2"/>
  <c r="T359" i="2" s="1"/>
  <c r="R1063" i="2"/>
  <c r="T1063" i="2" s="1"/>
  <c r="R982" i="2"/>
  <c r="T982" i="2" s="1"/>
  <c r="R1018" i="2"/>
  <c r="T1018" i="2" s="1"/>
  <c r="R838" i="2"/>
  <c r="T838" i="2" s="1"/>
  <c r="R170" i="2"/>
  <c r="T170" i="2" s="1"/>
  <c r="R767" i="2"/>
  <c r="T767" i="2" s="1"/>
  <c r="R218" i="2"/>
  <c r="T218" i="2" s="1"/>
  <c r="R228" i="2"/>
  <c r="T228" i="2" s="1"/>
  <c r="R839" i="2"/>
  <c r="T839" i="2" s="1"/>
  <c r="R71" i="2"/>
  <c r="T71" i="2" s="1"/>
  <c r="R980" i="2"/>
  <c r="T980" i="2" s="1"/>
  <c r="R1107" i="2"/>
  <c r="T1107" i="2" s="1"/>
  <c r="R377" i="2"/>
  <c r="T377" i="2" s="1"/>
  <c r="R1285" i="2"/>
  <c r="T1285" i="2" s="1"/>
  <c r="R353" i="2"/>
  <c r="T353" i="2" s="1"/>
  <c r="R646" i="2"/>
  <c r="T646" i="2" s="1"/>
  <c r="R1213" i="2"/>
  <c r="T1213" i="2" s="1"/>
  <c r="R755" i="2"/>
  <c r="T755" i="2" s="1"/>
  <c r="R208" i="2"/>
  <c r="T208" i="2" s="1"/>
  <c r="R449" i="2"/>
  <c r="T449" i="2" s="1"/>
  <c r="R560" i="2"/>
  <c r="T560" i="2" s="1"/>
  <c r="R779" i="2"/>
  <c r="T779" i="2" s="1"/>
  <c r="R83" i="2"/>
  <c r="T83" i="2" s="1"/>
  <c r="R1300" i="2"/>
  <c r="T1300" i="2" s="1"/>
  <c r="R1270" i="2"/>
  <c r="T1270" i="2" s="1"/>
  <c r="R68" i="2"/>
  <c r="T68" i="2" s="1"/>
  <c r="R1286" i="2"/>
  <c r="T1286" i="2" s="1"/>
  <c r="R1154" i="2"/>
  <c r="T1154" i="2" s="1"/>
  <c r="R1252" i="2"/>
  <c r="T1252" i="2" s="1"/>
  <c r="R362" i="2"/>
  <c r="T362" i="2" s="1"/>
  <c r="R429" i="2"/>
  <c r="T429" i="2" s="1"/>
  <c r="R659" i="2"/>
  <c r="T659" i="2" s="1"/>
  <c r="R757" i="2"/>
  <c r="T757" i="2" s="1"/>
  <c r="R975" i="2"/>
  <c r="T975" i="2" s="1"/>
  <c r="R665" i="2"/>
  <c r="T665" i="2" s="1"/>
  <c r="R769" i="2"/>
  <c r="T769" i="2" s="1"/>
  <c r="R1091" i="2"/>
  <c r="T1091" i="2" s="1"/>
  <c r="R1188" i="2"/>
  <c r="T1188" i="2" s="1"/>
  <c r="R216" i="2"/>
  <c r="T216" i="2" s="1"/>
  <c r="R1259" i="2"/>
  <c r="T1259" i="2" s="1"/>
  <c r="R841" i="2"/>
  <c r="T841" i="2" s="1"/>
  <c r="R1265" i="2"/>
  <c r="T1265" i="2" s="1"/>
  <c r="R593" i="2"/>
  <c r="T593" i="2" s="1"/>
  <c r="R608" i="2"/>
  <c r="T608" i="2" s="1"/>
  <c r="R976" i="2"/>
  <c r="T976" i="2" s="1"/>
  <c r="R1013" i="2"/>
  <c r="T1013" i="2" s="1"/>
  <c r="R1162" i="2"/>
  <c r="T1162" i="2" s="1"/>
  <c r="R777" i="2"/>
  <c r="T777" i="2" s="1"/>
  <c r="R1138" i="2"/>
  <c r="T1138" i="2" s="1"/>
  <c r="R927" i="2"/>
  <c r="T927" i="2" s="1"/>
  <c r="R892" i="2"/>
  <c r="T892" i="2" s="1"/>
  <c r="R599" i="2"/>
  <c r="T599" i="2" s="1"/>
  <c r="R991" i="2"/>
  <c r="T991" i="2" s="1"/>
  <c r="R998" i="2"/>
  <c r="T998" i="2" s="1"/>
  <c r="R1153" i="2"/>
  <c r="T1153" i="2" s="1"/>
  <c r="R1307" i="2"/>
  <c r="T1307" i="2" s="1"/>
  <c r="R2" i="2"/>
  <c r="R191" i="2"/>
  <c r="T191" i="2" s="1"/>
  <c r="R172" i="2"/>
  <c r="T172" i="2" s="1"/>
  <c r="R647" i="2"/>
  <c r="T647" i="2" s="1"/>
  <c r="R270" i="2"/>
  <c r="T270" i="2" s="1"/>
  <c r="R1133" i="2"/>
  <c r="T1133" i="2" s="1"/>
  <c r="R1179" i="2"/>
  <c r="T1179" i="2" s="1"/>
  <c r="R1086" i="2"/>
  <c r="T1086" i="2" s="1"/>
  <c r="R294" i="2"/>
  <c r="T294" i="2" s="1"/>
  <c r="R26" i="2"/>
  <c r="T26" i="2" s="1"/>
  <c r="R774" i="2"/>
  <c r="T774" i="2" s="1"/>
  <c r="R844" i="2"/>
  <c r="T844" i="2" s="1"/>
  <c r="R43" i="2"/>
  <c r="T43" i="2" s="1"/>
  <c r="R543" i="2"/>
  <c r="T543" i="2" s="1"/>
  <c r="R1197" i="2"/>
  <c r="T1197" i="2" s="1"/>
  <c r="R482" i="2"/>
  <c r="T482" i="2" s="1"/>
  <c r="R509" i="2"/>
  <c r="T509" i="2" s="1"/>
  <c r="R1116" i="2"/>
  <c r="T1116" i="2" s="1"/>
  <c r="R733" i="2"/>
  <c r="T733" i="2" s="1"/>
  <c r="R1212" i="2"/>
  <c r="T1212" i="2" s="1"/>
  <c r="R33" i="2"/>
  <c r="T33" i="2" s="1"/>
  <c r="R842" i="2"/>
  <c r="T842" i="2" s="1"/>
  <c r="R703" i="2"/>
  <c r="T703" i="2" s="1"/>
  <c r="R1015" i="2"/>
  <c r="T1015" i="2" s="1"/>
  <c r="R784" i="2"/>
  <c r="T784" i="2" s="1"/>
  <c r="R742" i="2"/>
  <c r="T742" i="2" s="1"/>
  <c r="R1298" i="2"/>
  <c r="T1298" i="2" s="1"/>
  <c r="R760" i="2"/>
  <c r="T760" i="2" s="1"/>
  <c r="R81" i="2"/>
  <c r="T81" i="2" s="1"/>
  <c r="R523" i="2"/>
  <c r="T523" i="2" s="1"/>
  <c r="R1180" i="2"/>
  <c r="T1180" i="2" s="1"/>
  <c r="R783" i="2"/>
  <c r="T783" i="2" s="1"/>
  <c r="R1195" i="2"/>
  <c r="T1195" i="2" s="1"/>
  <c r="R165" i="2"/>
  <c r="T165" i="2" s="1"/>
  <c r="R586" i="2"/>
  <c r="T586" i="2" s="1"/>
  <c r="R69" i="2"/>
  <c r="T69" i="2" s="1"/>
  <c r="R965" i="2"/>
  <c r="T965" i="2" s="1"/>
  <c r="R1228" i="2"/>
  <c r="T1228" i="2" s="1"/>
  <c r="R1193" i="2"/>
  <c r="T1193" i="2" s="1"/>
  <c r="R271" i="2"/>
  <c r="T271" i="2" s="1"/>
  <c r="R1245" i="2"/>
  <c r="T1245" i="2" s="1"/>
  <c r="R363" i="2"/>
  <c r="T363" i="2" s="1"/>
  <c r="R1198" i="2"/>
  <c r="T1198" i="2" s="1"/>
  <c r="R357" i="2"/>
  <c r="T357" i="2" s="1"/>
  <c r="R614" i="2"/>
  <c r="T614" i="2" s="1"/>
  <c r="R407" i="2"/>
  <c r="T407" i="2" s="1"/>
  <c r="R476" i="2"/>
  <c r="T476" i="2" s="1"/>
  <c r="R145" i="2"/>
  <c r="T145" i="2" s="1"/>
  <c r="R807" i="2"/>
  <c r="T807" i="2" s="1"/>
  <c r="R1274" i="2"/>
  <c r="T1274" i="2" s="1"/>
  <c r="R600" i="2"/>
  <c r="T600" i="2" s="1"/>
  <c r="R125" i="2"/>
  <c r="T125" i="2" s="1"/>
  <c r="R484" i="2"/>
  <c r="T484" i="2" s="1"/>
  <c r="R1082" i="2"/>
  <c r="T1082" i="2" s="1"/>
  <c r="R999" i="2"/>
  <c r="T999" i="2" s="1"/>
  <c r="R1104" i="2"/>
  <c r="T1104" i="2" s="1"/>
  <c r="R311" i="2"/>
  <c r="T311" i="2" s="1"/>
  <c r="R858" i="2"/>
  <c r="T858" i="2" s="1"/>
  <c r="R1165" i="2"/>
  <c r="T1165" i="2" s="1"/>
  <c r="R824" i="2"/>
  <c r="T824" i="2" s="1"/>
  <c r="R254" i="2"/>
  <c r="T254" i="2" s="1"/>
  <c r="R349" i="2"/>
  <c r="T349" i="2" s="1"/>
  <c r="R267" i="2"/>
  <c r="T267" i="2" s="1"/>
  <c r="R1189" i="2"/>
  <c r="T1189" i="2" s="1"/>
  <c r="R337" i="2"/>
  <c r="T337" i="2" s="1"/>
  <c r="R1146" i="2"/>
  <c r="T1146" i="2" s="1"/>
  <c r="R997" i="2"/>
  <c r="T997" i="2" s="1"/>
  <c r="R1220" i="2"/>
  <c r="T1220" i="2" s="1"/>
  <c r="R852" i="2"/>
  <c r="T852" i="2" s="1"/>
  <c r="R781" i="2"/>
  <c r="T781" i="2" s="1"/>
  <c r="R1101" i="2"/>
  <c r="T1101" i="2" s="1"/>
  <c r="R402" i="2"/>
  <c r="T402" i="2" s="1"/>
  <c r="R496" i="2"/>
  <c r="T496" i="2" s="1"/>
  <c r="R479" i="2"/>
  <c r="T479" i="2" s="1"/>
  <c r="R822" i="2"/>
  <c r="T822" i="2" s="1"/>
  <c r="R970" i="2"/>
  <c r="T970" i="2" s="1"/>
  <c r="R358" i="2"/>
  <c r="T358" i="2" s="1"/>
  <c r="R952" i="2"/>
  <c r="T952" i="2" s="1"/>
  <c r="R360" i="2"/>
  <c r="T360" i="2" s="1"/>
  <c r="R1289" i="2"/>
  <c r="T1289" i="2" s="1"/>
  <c r="R638" i="2"/>
  <c r="T638" i="2" s="1"/>
  <c r="R324" i="2"/>
  <c r="T324" i="2" s="1"/>
  <c r="R920" i="2"/>
  <c r="T920" i="2" s="1"/>
  <c r="R252" i="2"/>
  <c r="T252" i="2" s="1"/>
  <c r="R339" i="2"/>
  <c r="T339" i="2" s="1"/>
  <c r="R1206" i="2"/>
  <c r="T1206" i="2" s="1"/>
  <c r="R249" i="2"/>
  <c r="T249" i="2" s="1"/>
  <c r="R478" i="2"/>
  <c r="T478" i="2" s="1"/>
  <c r="R862" i="2"/>
  <c r="T862" i="2" s="1"/>
  <c r="R869" i="2"/>
  <c r="T869" i="2" s="1"/>
  <c r="R865" i="2"/>
  <c r="T865" i="2" s="1"/>
  <c r="R872" i="2"/>
  <c r="T872" i="2" s="1"/>
  <c r="R873" i="2"/>
  <c r="T873" i="2" s="1"/>
  <c r="R440" i="2"/>
  <c r="T440" i="2" s="1"/>
  <c r="R867" i="2"/>
  <c r="T867" i="2" s="1"/>
  <c r="R780" i="2"/>
  <c r="T780" i="2" s="1"/>
  <c r="R871" i="2"/>
  <c r="T871" i="2" s="1"/>
  <c r="R878" i="2"/>
  <c r="T878" i="2" s="1"/>
  <c r="R957" i="2"/>
  <c r="T957" i="2" s="1"/>
  <c r="R386" i="2"/>
  <c r="T386" i="2" s="1"/>
  <c r="R356" i="2"/>
  <c r="T356" i="2" s="1"/>
  <c r="R147" i="2"/>
  <c r="T147" i="2" s="1"/>
  <c r="R856" i="2"/>
  <c r="T856" i="2" s="1"/>
  <c r="R253" i="2"/>
  <c r="T253" i="2" s="1"/>
  <c r="R864" i="2"/>
  <c r="T864" i="2" s="1"/>
  <c r="R874" i="2"/>
  <c r="T874" i="2" s="1"/>
  <c r="R861" i="2"/>
  <c r="T861" i="2" s="1"/>
  <c r="R863" i="2"/>
  <c r="T863" i="2" s="1"/>
  <c r="R879" i="2"/>
  <c r="T879" i="2" s="1"/>
  <c r="R883" i="2"/>
  <c r="T883" i="2" s="1"/>
  <c r="R875" i="2"/>
  <c r="T875" i="2" s="1"/>
  <c r="R880" i="2"/>
  <c r="T880" i="2" s="1"/>
  <c r="R876" i="2"/>
  <c r="T876" i="2" s="1"/>
  <c r="R911" i="2"/>
  <c r="T911" i="2" s="1"/>
  <c r="R914" i="2"/>
  <c r="T914" i="2" s="1"/>
  <c r="R912" i="2"/>
  <c r="T912" i="2" s="1"/>
  <c r="R895" i="2"/>
  <c r="T895" i="2" s="1"/>
  <c r="R901" i="2"/>
  <c r="T901" i="2" s="1"/>
  <c r="R887" i="2"/>
  <c r="T887" i="2" s="1"/>
  <c r="G28" i="3" a="1"/>
  <c r="E29" i="3" a="1"/>
  <c r="T19" i="3"/>
  <c r="U31" i="3"/>
  <c r="C22" i="3" a="1"/>
  <c r="G23" i="3" a="1"/>
  <c r="Q20" i="3"/>
  <c r="AB11" i="3"/>
  <c r="AB20" i="3"/>
  <c r="AC11" i="3"/>
  <c r="N28" i="3" a="1"/>
  <c r="D23" i="3" a="1"/>
  <c r="S27" i="3"/>
  <c r="E15" i="3" a="1"/>
  <c r="D423" i="13" l="1"/>
  <c r="D435" i="13"/>
  <c r="D440" i="13"/>
  <c r="D424" i="13"/>
  <c r="D436" i="13"/>
  <c r="D441" i="13"/>
  <c r="D425" i="13"/>
  <c r="D437" i="13"/>
  <c r="D418" i="13"/>
  <c r="D426" i="13"/>
  <c r="D438" i="13"/>
  <c r="D415" i="13"/>
  <c r="D427" i="13"/>
  <c r="D439" i="13"/>
  <c r="D428" i="13"/>
  <c r="D419" i="13"/>
  <c r="D431" i="13"/>
  <c r="D443" i="13"/>
  <c r="D432" i="13"/>
  <c r="D444" i="13"/>
  <c r="D420" i="13"/>
  <c r="D421" i="13"/>
  <c r="D433" i="13"/>
  <c r="D445" i="13"/>
  <c r="D422" i="13"/>
  <c r="D434" i="13"/>
  <c r="D446" i="13"/>
  <c r="D416" i="13"/>
  <c r="D417" i="13"/>
  <c r="D442" i="13"/>
  <c r="D429" i="13"/>
  <c r="D430" i="13"/>
  <c r="E415" i="13"/>
  <c r="E427" i="13"/>
  <c r="E439" i="13"/>
  <c r="E421" i="13"/>
  <c r="E422" i="13"/>
  <c r="E416" i="13"/>
  <c r="E428" i="13"/>
  <c r="E440" i="13"/>
  <c r="E420" i="13"/>
  <c r="E446" i="13"/>
  <c r="E417" i="13"/>
  <c r="E429" i="13"/>
  <c r="E441" i="13"/>
  <c r="E431" i="13"/>
  <c r="E443" i="13"/>
  <c r="E432" i="13"/>
  <c r="E444" i="13"/>
  <c r="E418" i="13"/>
  <c r="E430" i="13"/>
  <c r="E442" i="13"/>
  <c r="E419" i="13"/>
  <c r="E445" i="13"/>
  <c r="E434" i="13"/>
  <c r="E423" i="13"/>
  <c r="E435" i="13"/>
  <c r="E424" i="13"/>
  <c r="E436" i="13"/>
  <c r="E433" i="13"/>
  <c r="E425" i="13"/>
  <c r="E437" i="13"/>
  <c r="E426" i="13"/>
  <c r="E438" i="13"/>
  <c r="D23" i="3"/>
  <c r="E29" i="3"/>
  <c r="C22" i="3"/>
  <c r="E15" i="3"/>
  <c r="E407" i="13"/>
  <c r="E408" i="13"/>
  <c r="E409" i="13"/>
  <c r="E410" i="13"/>
  <c r="E411" i="13"/>
  <c r="E412" i="13"/>
  <c r="E413" i="13"/>
  <c r="E414" i="13"/>
  <c r="D414" i="13"/>
  <c r="D407" i="13"/>
  <c r="D408" i="13"/>
  <c r="D411" i="13"/>
  <c r="D409" i="13"/>
  <c r="D410" i="13"/>
  <c r="D412" i="13"/>
  <c r="D413" i="13"/>
  <c r="G28" i="3"/>
  <c r="N28" i="3"/>
  <c r="G23" i="3"/>
  <c r="AD11" i="3"/>
  <c r="E399" i="13"/>
  <c r="E400" i="13"/>
  <c r="E404" i="13"/>
  <c r="E405" i="13"/>
  <c r="E401" i="13"/>
  <c r="E402" i="13"/>
  <c r="E403" i="13"/>
  <c r="E406" i="13"/>
  <c r="D400" i="13"/>
  <c r="D399" i="13"/>
  <c r="D401" i="13"/>
  <c r="D402" i="13"/>
  <c r="D403" i="13"/>
  <c r="D404" i="13"/>
  <c r="D405" i="13"/>
  <c r="D40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E387" i="13"/>
  <c r="E388" i="13"/>
  <c r="E389" i="13"/>
  <c r="E390" i="13"/>
  <c r="E391" i="13"/>
  <c r="E392" i="13"/>
  <c r="E398" i="13"/>
  <c r="E393" i="13"/>
  <c r="E394" i="13"/>
  <c r="E395" i="13"/>
  <c r="E396" i="13"/>
  <c r="E397" i="13"/>
  <c r="E380" i="13"/>
  <c r="E381" i="13"/>
  <c r="E382" i="13"/>
  <c r="E371" i="13"/>
  <c r="E385" i="13"/>
  <c r="E377" i="13"/>
  <c r="E379" i="13"/>
  <c r="E383" i="13"/>
  <c r="E376" i="13"/>
  <c r="E378" i="13"/>
  <c r="E372" i="13"/>
  <c r="E384" i="13"/>
  <c r="E373" i="13"/>
  <c r="E374" i="13"/>
  <c r="E386" i="13"/>
  <c r="E375" i="13"/>
  <c r="D376" i="13"/>
  <c r="D384" i="13"/>
  <c r="D377" i="13"/>
  <c r="D378" i="13"/>
  <c r="D381" i="13"/>
  <c r="D382" i="13"/>
  <c r="D374" i="13"/>
  <c r="D379" i="13"/>
  <c r="D380" i="13"/>
  <c r="D372" i="13"/>
  <c r="D385" i="13"/>
  <c r="D371" i="13"/>
  <c r="D383" i="13"/>
  <c r="D373" i="13"/>
  <c r="D386" i="13"/>
  <c r="D375" i="13"/>
  <c r="E363" i="13"/>
  <c r="E364" i="13"/>
  <c r="E365" i="13"/>
  <c r="E366" i="13"/>
  <c r="E367" i="13"/>
  <c r="E368" i="13"/>
  <c r="E369" i="13"/>
  <c r="E370" i="13"/>
  <c r="D363" i="13"/>
  <c r="D364" i="13"/>
  <c r="D365" i="13"/>
  <c r="D366" i="13"/>
  <c r="D367" i="13"/>
  <c r="D368" i="13"/>
  <c r="D369" i="13"/>
  <c r="D370" i="13"/>
  <c r="E356" i="13"/>
  <c r="E345" i="13"/>
  <c r="E357" i="13"/>
  <c r="E348" i="13"/>
  <c r="E341" i="13"/>
  <c r="E354" i="13"/>
  <c r="E346" i="13"/>
  <c r="E358" i="13"/>
  <c r="E347" i="13"/>
  <c r="E359" i="13"/>
  <c r="E360" i="13"/>
  <c r="E351" i="13"/>
  <c r="E340" i="13"/>
  <c r="E353" i="13"/>
  <c r="E342" i="13"/>
  <c r="E355" i="13"/>
  <c r="E344" i="13"/>
  <c r="E349" i="13"/>
  <c r="E361" i="13"/>
  <c r="E350" i="13"/>
  <c r="E362" i="13"/>
  <c r="E339" i="13"/>
  <c r="E352" i="13"/>
  <c r="E343" i="13"/>
  <c r="D356" i="13"/>
  <c r="D344" i="13"/>
  <c r="D345" i="13"/>
  <c r="D357" i="13"/>
  <c r="D360" i="13"/>
  <c r="D351" i="13"/>
  <c r="D342" i="13"/>
  <c r="D355" i="13"/>
  <c r="D346" i="13"/>
  <c r="D358" i="13"/>
  <c r="D347" i="13"/>
  <c r="D359" i="13"/>
  <c r="D348" i="13"/>
  <c r="D339" i="13"/>
  <c r="D352" i="13"/>
  <c r="D341" i="13"/>
  <c r="D343" i="13"/>
  <c r="D349" i="13"/>
  <c r="D361" i="13"/>
  <c r="D350" i="13"/>
  <c r="D362" i="13"/>
  <c r="D340" i="13"/>
  <c r="D353" i="13"/>
  <c r="D354" i="13"/>
  <c r="D331" i="13"/>
  <c r="D335" i="13"/>
  <c r="D332" i="13"/>
  <c r="D333" i="13"/>
  <c r="D338" i="13"/>
  <c r="D334" i="13"/>
  <c r="D336" i="13"/>
  <c r="D337" i="13"/>
  <c r="E334" i="13"/>
  <c r="E335" i="13"/>
  <c r="E338" i="13"/>
  <c r="E332" i="13"/>
  <c r="E336" i="13"/>
  <c r="E337" i="13"/>
  <c r="E333" i="13"/>
  <c r="E331" i="13"/>
  <c r="E316" i="13"/>
  <c r="E328" i="13"/>
  <c r="E317" i="13"/>
  <c r="E329" i="13"/>
  <c r="E330" i="13"/>
  <c r="E319" i="13"/>
  <c r="E318" i="13"/>
  <c r="E321" i="13"/>
  <c r="E323" i="13"/>
  <c r="E320" i="13"/>
  <c r="E322" i="13"/>
  <c r="E324" i="13"/>
  <c r="E325" i="13"/>
  <c r="E326" i="13"/>
  <c r="E315" i="13"/>
  <c r="E327" i="13"/>
  <c r="D319" i="13"/>
  <c r="D320" i="13"/>
  <c r="D322" i="13"/>
  <c r="D324" i="13"/>
  <c r="D321" i="13"/>
  <c r="D323" i="13"/>
  <c r="D326" i="13"/>
  <c r="D325" i="13"/>
  <c r="D315" i="13"/>
  <c r="D316" i="13"/>
  <c r="D328" i="13"/>
  <c r="D317" i="13"/>
  <c r="D329" i="13"/>
  <c r="D318" i="13"/>
  <c r="D330" i="13"/>
  <c r="D327" i="13"/>
  <c r="D305" i="13"/>
  <c r="D306" i="13"/>
  <c r="D295" i="13"/>
  <c r="D307" i="13"/>
  <c r="D296" i="13"/>
  <c r="D308" i="13"/>
  <c r="D297" i="13"/>
  <c r="D309" i="13"/>
  <c r="D313" i="13"/>
  <c r="D303" i="13"/>
  <c r="D304" i="13"/>
  <c r="D298" i="13"/>
  <c r="D310" i="13"/>
  <c r="D299" i="13"/>
  <c r="D311" i="13"/>
  <c r="D301" i="13"/>
  <c r="D302" i="13"/>
  <c r="D314" i="13"/>
  <c r="D300" i="13"/>
  <c r="D312" i="13"/>
  <c r="E309" i="13"/>
  <c r="E298" i="13"/>
  <c r="E310" i="13"/>
  <c r="E297" i="13"/>
  <c r="E299" i="13"/>
  <c r="E311" i="13"/>
  <c r="E300" i="13"/>
  <c r="E312" i="13"/>
  <c r="E301" i="13"/>
  <c r="E313" i="13"/>
  <c r="E306" i="13"/>
  <c r="E296" i="13"/>
  <c r="E308" i="13"/>
  <c r="E302" i="13"/>
  <c r="E314" i="13"/>
  <c r="E303" i="13"/>
  <c r="E305" i="13"/>
  <c r="E295" i="13"/>
  <c r="E307" i="13"/>
  <c r="E304" i="13"/>
  <c r="E271" i="13"/>
  <c r="E283" i="13"/>
  <c r="E274" i="13"/>
  <c r="E286" i="13"/>
  <c r="E275" i="13"/>
  <c r="E287" i="13"/>
  <c r="E276" i="13"/>
  <c r="E288" i="13"/>
  <c r="E278" i="13"/>
  <c r="E290" i="13"/>
  <c r="E280" i="13"/>
  <c r="E292" i="13"/>
  <c r="E293" i="13"/>
  <c r="E279" i="13"/>
  <c r="E294" i="13"/>
  <c r="E272" i="13"/>
  <c r="E273" i="13"/>
  <c r="E277" i="13"/>
  <c r="E281" i="13"/>
  <c r="E282" i="13"/>
  <c r="E291" i="13"/>
  <c r="E284" i="13"/>
  <c r="E285" i="13"/>
  <c r="E289" i="13"/>
  <c r="D271" i="13"/>
  <c r="D283" i="13"/>
  <c r="D272" i="13"/>
  <c r="D273" i="13"/>
  <c r="D274" i="13"/>
  <c r="D286" i="13"/>
  <c r="D275" i="13"/>
  <c r="D287" i="13"/>
  <c r="D276" i="13"/>
  <c r="D288" i="13"/>
  <c r="D278" i="13"/>
  <c r="D290" i="13"/>
  <c r="D280" i="13"/>
  <c r="D292" i="13"/>
  <c r="D293" i="13"/>
  <c r="D294" i="13"/>
  <c r="D291" i="13"/>
  <c r="D277" i="13"/>
  <c r="D279" i="13"/>
  <c r="D281" i="13"/>
  <c r="D289" i="13"/>
  <c r="D282" i="13"/>
  <c r="D284" i="13"/>
  <c r="D285" i="13"/>
  <c r="D265" i="13"/>
  <c r="D266" i="13"/>
  <c r="D269" i="13"/>
  <c r="T6" i="2"/>
  <c r="M5" i="3"/>
  <c r="L5" i="3"/>
  <c r="N5" i="3"/>
  <c r="J5" i="3"/>
  <c r="K5" i="3"/>
  <c r="D10" i="13"/>
  <c r="D22" i="13"/>
  <c r="D12" i="13"/>
  <c r="D18" i="13"/>
  <c r="D25" i="13"/>
  <c r="D17" i="13"/>
  <c r="D30" i="13"/>
  <c r="D13" i="13"/>
  <c r="D23" i="13"/>
  <c r="D11" i="13"/>
  <c r="D9" i="13"/>
  <c r="D8" i="13"/>
  <c r="D15" i="13"/>
  <c r="D31" i="13"/>
  <c r="D21" i="13"/>
  <c r="D24" i="13"/>
  <c r="D19" i="13"/>
  <c r="D32" i="13"/>
  <c r="D7" i="13"/>
  <c r="D20" i="13"/>
  <c r="D28" i="13"/>
  <c r="D27" i="13"/>
  <c r="D14" i="13"/>
  <c r="D29" i="13"/>
  <c r="D26" i="13"/>
  <c r="D16" i="13"/>
  <c r="D251" i="13"/>
  <c r="D253" i="13"/>
  <c r="D258" i="13"/>
  <c r="D249" i="13"/>
  <c r="D250" i="13"/>
  <c r="D256" i="13"/>
  <c r="D254" i="13"/>
  <c r="D260" i="13"/>
  <c r="D259" i="13"/>
  <c r="D261" i="13"/>
  <c r="D255" i="13"/>
  <c r="D262" i="13"/>
  <c r="D248" i="13"/>
  <c r="D225" i="13"/>
  <c r="D111" i="13"/>
  <c r="D158" i="13"/>
  <c r="D183" i="13"/>
  <c r="D92" i="13"/>
  <c r="D93" i="13"/>
  <c r="D81" i="13"/>
  <c r="D138" i="13"/>
  <c r="D242" i="13"/>
  <c r="D106" i="13"/>
  <c r="D67" i="13"/>
  <c r="D192" i="13"/>
  <c r="D160" i="13"/>
  <c r="D168" i="13"/>
  <c r="D218" i="13"/>
  <c r="D230" i="13"/>
  <c r="D154" i="13"/>
  <c r="D132" i="13"/>
  <c r="D104" i="13"/>
  <c r="D127" i="13"/>
  <c r="D108" i="13"/>
  <c r="D184" i="13"/>
  <c r="D190" i="13"/>
  <c r="D128" i="13"/>
  <c r="D52" i="13"/>
  <c r="D224" i="13"/>
  <c r="D131" i="13"/>
  <c r="D51" i="13"/>
  <c r="D116" i="13"/>
  <c r="D194" i="13"/>
  <c r="D150" i="13"/>
  <c r="D120" i="13"/>
  <c r="D157" i="13"/>
  <c r="D197" i="13"/>
  <c r="D186" i="13"/>
  <c r="D43" i="13"/>
  <c r="D58" i="13"/>
  <c r="D125" i="13"/>
  <c r="D240" i="13"/>
  <c r="D135" i="13"/>
  <c r="D100" i="13"/>
  <c r="D238" i="13"/>
  <c r="D61" i="13"/>
  <c r="D103" i="13"/>
  <c r="D101" i="13"/>
  <c r="D71" i="13"/>
  <c r="D33" i="13"/>
  <c r="D77" i="13"/>
  <c r="D145" i="13"/>
  <c r="D79" i="13"/>
  <c r="D149" i="13"/>
  <c r="D68" i="13"/>
  <c r="D84" i="13"/>
  <c r="D252" i="13"/>
  <c r="D222" i="13"/>
  <c r="D36" i="13"/>
  <c r="D109" i="13"/>
  <c r="D246" i="13"/>
  <c r="D185" i="13"/>
  <c r="D87" i="13"/>
  <c r="D105" i="13"/>
  <c r="D244" i="13"/>
  <c r="D200" i="13"/>
  <c r="D241" i="13"/>
  <c r="D123" i="13"/>
  <c r="D86" i="13"/>
  <c r="D70" i="13"/>
  <c r="D80" i="13"/>
  <c r="D195" i="13"/>
  <c r="D90" i="13"/>
  <c r="D191" i="13"/>
  <c r="D217" i="13"/>
  <c r="D209" i="13"/>
  <c r="D153" i="13"/>
  <c r="D202" i="13"/>
  <c r="D180" i="13"/>
  <c r="D177" i="13"/>
  <c r="D148" i="13"/>
  <c r="D188" i="13"/>
  <c r="D178" i="13"/>
  <c r="D53" i="13"/>
  <c r="D211" i="13"/>
  <c r="D198" i="13"/>
  <c r="D99" i="13"/>
  <c r="D78" i="13"/>
  <c r="D110" i="13"/>
  <c r="D247" i="13"/>
  <c r="D129" i="13"/>
  <c r="D243" i="13"/>
  <c r="D162" i="13"/>
  <c r="D63" i="13"/>
  <c r="D199" i="13"/>
  <c r="D85" i="13"/>
  <c r="D234" i="13"/>
  <c r="D95" i="13"/>
  <c r="D223" i="13"/>
  <c r="D159" i="13"/>
  <c r="D167" i="13"/>
  <c r="D47" i="13"/>
  <c r="D193" i="13"/>
  <c r="D124" i="13"/>
  <c r="D66" i="13"/>
  <c r="D117" i="13"/>
  <c r="D215" i="13"/>
  <c r="D239" i="13"/>
  <c r="D155" i="13"/>
  <c r="D121" i="13"/>
  <c r="D96" i="13"/>
  <c r="D76" i="13"/>
  <c r="D57" i="13"/>
  <c r="D205" i="13"/>
  <c r="D65" i="13"/>
  <c r="D189" i="13"/>
  <c r="D143" i="13"/>
  <c r="D231" i="13"/>
  <c r="D82" i="13"/>
  <c r="D203" i="13"/>
  <c r="D98" i="13"/>
  <c r="D91" i="13"/>
  <c r="D152" i="13"/>
  <c r="D235" i="13"/>
  <c r="D208" i="13"/>
  <c r="D204" i="13"/>
  <c r="D173" i="13"/>
  <c r="D89" i="13"/>
  <c r="D237" i="13"/>
  <c r="D41" i="13"/>
  <c r="D56" i="13"/>
  <c r="D134" i="13"/>
  <c r="D175" i="13"/>
  <c r="D49" i="13"/>
  <c r="D174" i="13"/>
  <c r="D245" i="13"/>
  <c r="D107" i="13"/>
  <c r="D236" i="13"/>
  <c r="D45" i="13"/>
  <c r="D226" i="13"/>
  <c r="D161" i="13"/>
  <c r="D39" i="13"/>
  <c r="D165" i="13"/>
  <c r="D35" i="13"/>
  <c r="D171" i="13"/>
  <c r="D55" i="13"/>
  <c r="D97" i="13"/>
  <c r="D64" i="13"/>
  <c r="D187" i="13"/>
  <c r="D60" i="13"/>
  <c r="D114" i="13"/>
  <c r="D74" i="13"/>
  <c r="D44" i="13"/>
  <c r="D115" i="13"/>
  <c r="D163" i="13"/>
  <c r="D233" i="13"/>
  <c r="D133" i="13"/>
  <c r="D40" i="13"/>
  <c r="D130" i="13"/>
  <c r="D166" i="13"/>
  <c r="D54" i="13"/>
  <c r="D119" i="13"/>
  <c r="D83" i="13"/>
  <c r="D164" i="13"/>
  <c r="D126" i="13"/>
  <c r="D141" i="13"/>
  <c r="D181" i="13"/>
  <c r="D206" i="13"/>
  <c r="D227" i="13"/>
  <c r="D207" i="13"/>
  <c r="D48" i="13"/>
  <c r="D62" i="13"/>
  <c r="D169" i="13"/>
  <c r="D118" i="13"/>
  <c r="D156" i="13"/>
  <c r="D147" i="13"/>
  <c r="D212" i="13"/>
  <c r="D38" i="13"/>
  <c r="D112" i="13"/>
  <c r="D140" i="13"/>
  <c r="D196" i="13"/>
  <c r="D221" i="13"/>
  <c r="D216" i="13"/>
  <c r="D232" i="13"/>
  <c r="D170" i="13"/>
  <c r="D182" i="13"/>
  <c r="D34" i="13"/>
  <c r="D213" i="13"/>
  <c r="D220" i="13"/>
  <c r="D142" i="13"/>
  <c r="D176" i="13"/>
  <c r="D72" i="13"/>
  <c r="D113" i="13"/>
  <c r="D102" i="13"/>
  <c r="D136" i="13"/>
  <c r="D201" i="13"/>
  <c r="D151" i="13"/>
  <c r="D146" i="13"/>
  <c r="D73" i="13"/>
  <c r="D179" i="13"/>
  <c r="D219" i="13"/>
  <c r="D94" i="13"/>
  <c r="D139" i="13"/>
  <c r="D46" i="13"/>
  <c r="D42" i="13"/>
  <c r="D214" i="13"/>
  <c r="D88" i="13"/>
  <c r="D228" i="13"/>
  <c r="D59" i="13"/>
  <c r="D69" i="13"/>
  <c r="D75" i="13"/>
  <c r="D37" i="13"/>
  <c r="D229" i="13"/>
  <c r="D172" i="13"/>
  <c r="D50" i="13"/>
  <c r="D210" i="13"/>
  <c r="D144" i="13"/>
  <c r="D137" i="13"/>
  <c r="D122" i="13"/>
  <c r="T3" i="2"/>
  <c r="N7" i="3"/>
  <c r="L7" i="3"/>
  <c r="M7" i="3"/>
  <c r="J7" i="3"/>
  <c r="K7" i="3"/>
  <c r="T2" i="2"/>
  <c r="L6" i="3"/>
  <c r="M6" i="3"/>
  <c r="K6" i="3"/>
  <c r="N6" i="3"/>
  <c r="J6" i="3"/>
  <c r="T8" i="2"/>
  <c r="M4" i="3"/>
  <c r="K4" i="3"/>
  <c r="J4" i="3"/>
  <c r="N4" i="3"/>
  <c r="L4" i="3"/>
  <c r="D4" i="13"/>
  <c r="D2" i="13"/>
  <c r="D3" i="13"/>
  <c r="D5" i="13"/>
  <c r="D6" i="13"/>
  <c r="D257" i="13"/>
  <c r="E4" i="13"/>
  <c r="E5" i="13"/>
  <c r="E7" i="13"/>
  <c r="E2" i="13"/>
  <c r="E252" i="13"/>
  <c r="E57" i="13"/>
  <c r="E262" i="13"/>
  <c r="E248" i="13"/>
  <c r="E205" i="13"/>
  <c r="E191" i="13"/>
  <c r="E251" i="13"/>
  <c r="E253" i="13"/>
  <c r="E51" i="13"/>
  <c r="E148" i="13"/>
  <c r="E255" i="13"/>
  <c r="E257" i="13"/>
  <c r="E260" i="13"/>
  <c r="E32" i="13"/>
  <c r="E83" i="13"/>
  <c r="E78" i="13"/>
  <c r="E216" i="13"/>
  <c r="E91" i="13"/>
  <c r="E192" i="13"/>
  <c r="E133" i="13"/>
  <c r="E132" i="13"/>
  <c r="E39" i="13"/>
  <c r="E34" i="13"/>
  <c r="E152" i="13"/>
  <c r="E143" i="13"/>
  <c r="E231" i="13"/>
  <c r="E117" i="13"/>
  <c r="E222" i="13"/>
  <c r="E204" i="13"/>
  <c r="E235" i="13"/>
  <c r="E218" i="13"/>
  <c r="E229" i="13"/>
  <c r="E100" i="13"/>
  <c r="E164" i="13"/>
  <c r="E16" i="13"/>
  <c r="E176" i="13"/>
  <c r="E61" i="13"/>
  <c r="E186" i="13"/>
  <c r="E236" i="13"/>
  <c r="E171" i="13"/>
  <c r="E247" i="13"/>
  <c r="E62" i="13"/>
  <c r="E135" i="13"/>
  <c r="E219" i="13"/>
  <c r="E166" i="13"/>
  <c r="E141" i="13"/>
  <c r="E230" i="13"/>
  <c r="E185" i="13"/>
  <c r="E60" i="13"/>
  <c r="E75" i="13"/>
  <c r="E92" i="13"/>
  <c r="E97" i="13"/>
  <c r="E127" i="13"/>
  <c r="E102" i="13"/>
  <c r="E25" i="13"/>
  <c r="E183" i="13"/>
  <c r="E45" i="13"/>
  <c r="E27" i="13"/>
  <c r="E206" i="13"/>
  <c r="E103" i="13"/>
  <c r="E202" i="13"/>
  <c r="E228" i="13"/>
  <c r="E184" i="13"/>
  <c r="E194" i="13"/>
  <c r="E165" i="13"/>
  <c r="E19" i="13"/>
  <c r="E225" i="13"/>
  <c r="E217" i="13"/>
  <c r="E172" i="13"/>
  <c r="E137" i="13"/>
  <c r="E150" i="13"/>
  <c r="E85" i="13"/>
  <c r="E173" i="13"/>
  <c r="E189" i="13"/>
  <c r="E18" i="13"/>
  <c r="E71" i="13"/>
  <c r="E121" i="13"/>
  <c r="E65" i="13"/>
  <c r="E227" i="13"/>
  <c r="E140" i="13"/>
  <c r="E161" i="13"/>
  <c r="E200" i="13"/>
  <c r="E53" i="13"/>
  <c r="E96" i="13"/>
  <c r="E142" i="13"/>
  <c r="E195" i="13"/>
  <c r="E64" i="13"/>
  <c r="E129" i="13"/>
  <c r="E226" i="13"/>
  <c r="E163" i="13"/>
  <c r="E179" i="13"/>
  <c r="E157" i="13"/>
  <c r="E182" i="13"/>
  <c r="E124" i="13"/>
  <c r="E213" i="13"/>
  <c r="E94" i="13"/>
  <c r="E221" i="13"/>
  <c r="E41" i="13"/>
  <c r="E197" i="13"/>
  <c r="E48" i="13"/>
  <c r="E10" i="13"/>
  <c r="E104" i="13"/>
  <c r="E56" i="13"/>
  <c r="E159" i="13"/>
  <c r="E207" i="13"/>
  <c r="E158" i="13"/>
  <c r="E15" i="13"/>
  <c r="E31" i="13"/>
  <c r="E136" i="13"/>
  <c r="E74" i="13"/>
  <c r="E233" i="13"/>
  <c r="E116" i="13"/>
  <c r="E35" i="13"/>
  <c r="E93" i="13"/>
  <c r="E47" i="13"/>
  <c r="E68" i="13"/>
  <c r="E42" i="13"/>
  <c r="E198" i="13"/>
  <c r="E63" i="13"/>
  <c r="E209" i="13"/>
  <c r="E23" i="13"/>
  <c r="E77" i="13"/>
  <c r="E21" i="13"/>
  <c r="E115" i="13"/>
  <c r="E187" i="13"/>
  <c r="E169" i="13"/>
  <c r="E188" i="13"/>
  <c r="E12" i="13"/>
  <c r="E110" i="13"/>
  <c r="E175" i="13"/>
  <c r="E118" i="13"/>
  <c r="E178" i="13"/>
  <c r="E29" i="13"/>
  <c r="E238" i="13"/>
  <c r="E90" i="13"/>
  <c r="E144" i="13"/>
  <c r="E95" i="13"/>
  <c r="E99" i="13"/>
  <c r="E70" i="13"/>
  <c r="E259" i="13"/>
  <c r="E54" i="13"/>
  <c r="E105" i="13"/>
  <c r="E79" i="13"/>
  <c r="E201" i="13"/>
  <c r="E167" i="13"/>
  <c r="E223" i="13"/>
  <c r="E72" i="13"/>
  <c r="E181" i="13"/>
  <c r="E14" i="13"/>
  <c r="E17" i="13"/>
  <c r="E126" i="13"/>
  <c r="E43" i="13"/>
  <c r="E254" i="13"/>
  <c r="E46" i="13"/>
  <c r="E240" i="13"/>
  <c r="E122" i="13"/>
  <c r="E215" i="13"/>
  <c r="E130" i="13"/>
  <c r="E120" i="13"/>
  <c r="E160" i="13"/>
  <c r="E237" i="13"/>
  <c r="E241" i="13"/>
  <c r="E211" i="13"/>
  <c r="E138" i="13"/>
  <c r="E210" i="13"/>
  <c r="E174" i="13"/>
  <c r="E154" i="13"/>
  <c r="E123" i="13"/>
  <c r="E50" i="13"/>
  <c r="E40" i="13"/>
  <c r="E153" i="13"/>
  <c r="E239" i="13"/>
  <c r="E87" i="13"/>
  <c r="E81" i="13"/>
  <c r="E49" i="13"/>
  <c r="E162" i="13"/>
  <c r="E107" i="13"/>
  <c r="E109" i="13"/>
  <c r="E170" i="13"/>
  <c r="E98" i="13"/>
  <c r="E208" i="13"/>
  <c r="E69" i="13"/>
  <c r="E38" i="13"/>
  <c r="E145" i="13"/>
  <c r="E112" i="13"/>
  <c r="E244" i="13"/>
  <c r="E111" i="13"/>
  <c r="E59" i="13"/>
  <c r="E73" i="13"/>
  <c r="E246" i="13"/>
  <c r="E101" i="13"/>
  <c r="E128" i="13"/>
  <c r="E245" i="13"/>
  <c r="E20" i="13"/>
  <c r="E86" i="13"/>
  <c r="E55" i="13"/>
  <c r="E58" i="13"/>
  <c r="E155" i="13"/>
  <c r="E232" i="13"/>
  <c r="E76" i="13"/>
  <c r="E214" i="13"/>
  <c r="E30" i="13"/>
  <c r="E147" i="13"/>
  <c r="E190" i="13"/>
  <c r="E52" i="13"/>
  <c r="E224" i="13"/>
  <c r="E156" i="13"/>
  <c r="E33" i="13"/>
  <c r="E28" i="13"/>
  <c r="E13" i="13"/>
  <c r="E193" i="13"/>
  <c r="E37" i="13"/>
  <c r="E88" i="13"/>
  <c r="E125" i="13"/>
  <c r="E242" i="13"/>
  <c r="E113" i="13"/>
  <c r="E82" i="13"/>
  <c r="E151" i="13"/>
  <c r="E149" i="13"/>
  <c r="E139" i="13"/>
  <c r="E199" i="13"/>
  <c r="E177" i="13"/>
  <c r="E24" i="13"/>
  <c r="E203" i="13"/>
  <c r="E11" i="13"/>
  <c r="E106" i="13"/>
  <c r="E212" i="13"/>
  <c r="E66" i="13"/>
  <c r="E108" i="13"/>
  <c r="E146" i="13"/>
  <c r="E114" i="13"/>
  <c r="E119" i="13"/>
  <c r="E8" i="13"/>
  <c r="E131" i="13"/>
  <c r="E80" i="13"/>
  <c r="E9" i="13"/>
  <c r="E84" i="13"/>
  <c r="E44" i="13"/>
  <c r="E196" i="13"/>
  <c r="E26" i="13"/>
  <c r="E220" i="13"/>
  <c r="E180" i="13"/>
  <c r="T17" i="2"/>
  <c r="J3" i="3"/>
  <c r="M3" i="3"/>
  <c r="N3" i="3"/>
  <c r="L3" i="3"/>
  <c r="K3" i="3"/>
  <c r="E23" i="3" a="1"/>
  <c r="AB15" i="3"/>
  <c r="K20" i="3" a="1"/>
  <c r="R14" i="3"/>
  <c r="D28" i="3" a="1"/>
  <c r="K15" i="3" a="1"/>
  <c r="K30" i="3" a="1"/>
  <c r="L12" i="3" a="1"/>
  <c r="U29" i="3"/>
  <c r="C28" i="3" a="1"/>
  <c r="U14" i="3"/>
  <c r="Y22" i="3"/>
  <c r="Z20" i="3"/>
  <c r="Q30" i="3"/>
  <c r="J29" i="3" a="1"/>
  <c r="U21" i="3"/>
  <c r="Y20" i="3"/>
  <c r="S19" i="3"/>
  <c r="G15" i="3" a="1"/>
  <c r="AB23" i="3"/>
  <c r="Z12" i="3"/>
  <c r="E20" i="3" a="1"/>
  <c r="C15" i="3" a="1"/>
  <c r="T15" i="3"/>
  <c r="Y23" i="3"/>
  <c r="N21" i="3" a="1"/>
  <c r="Y21" i="3"/>
  <c r="Q14" i="3"/>
  <c r="M29" i="3" a="1"/>
  <c r="S29" i="3"/>
  <c r="D20" i="3" a="1"/>
  <c r="AB12" i="3"/>
  <c r="AC15" i="3"/>
  <c r="R15" i="3"/>
  <c r="T30" i="3"/>
  <c r="M27" i="3" a="1"/>
  <c r="R19" i="3"/>
  <c r="S12" i="3"/>
  <c r="R28" i="3"/>
  <c r="AA12" i="3"/>
  <c r="K29" i="3" a="1"/>
  <c r="J30" i="3" a="1"/>
  <c r="C2222" i="2" l="1" a="1"/>
  <c r="C2222" i="2" s="1"/>
  <c r="C2177" i="2" a="1"/>
  <c r="C2177" i="2" s="1"/>
  <c r="C2097" i="2" a="1"/>
  <c r="C2097" i="2" s="1"/>
  <c r="C2007" i="2" a="1"/>
  <c r="C2007" i="2" s="1"/>
  <c r="C1917" i="2" a="1"/>
  <c r="C1917" i="2" s="1"/>
  <c r="C1827" i="2" a="1"/>
  <c r="C1827" i="2" s="1"/>
  <c r="C1737" i="2" a="1"/>
  <c r="C1737" i="2" s="1"/>
  <c r="C1647" i="2" a="1"/>
  <c r="C1647" i="2" s="1"/>
  <c r="C1557" i="2" a="1"/>
  <c r="C1557" i="2" s="1"/>
  <c r="C1467" i="2" a="1"/>
  <c r="C1467" i="2" s="1"/>
  <c r="C1377" i="2" a="1"/>
  <c r="C1377" i="2" s="1"/>
  <c r="C1287" i="2" a="1"/>
  <c r="C1287" i="2" s="1"/>
  <c r="C1197" i="2" a="1"/>
  <c r="C1197" i="2" s="1"/>
  <c r="C1107" i="2" a="1"/>
  <c r="C1107" i="2" s="1"/>
  <c r="C1017" i="2" a="1"/>
  <c r="C1017" i="2" s="1"/>
  <c r="C927" i="2" a="1"/>
  <c r="C927" i="2" s="1"/>
  <c r="L50" i="5" s="1"/>
  <c r="K50" i="5" s="1" a="1"/>
  <c r="K50" i="5" s="1"/>
  <c r="C837" i="2" a="1"/>
  <c r="C837" i="2" s="1"/>
  <c r="C747" i="2" a="1"/>
  <c r="C747" i="2" s="1"/>
  <c r="C657" i="2" a="1"/>
  <c r="C657" i="2" s="1"/>
  <c r="C567" i="2" a="1"/>
  <c r="C567" i="2" s="1"/>
  <c r="L30" i="5" s="1"/>
  <c r="K30" i="5" s="1" a="1"/>
  <c r="K30" i="5" s="1"/>
  <c r="C477" i="2" a="1"/>
  <c r="C477" i="2" s="1"/>
  <c r="C387" i="2" a="1"/>
  <c r="C387" i="2" s="1"/>
  <c r="L20" i="5" s="1"/>
  <c r="K20" i="5" s="1" a="1"/>
  <c r="K20" i="5" s="1"/>
  <c r="C297" i="2" a="1"/>
  <c r="C297" i="2" s="1"/>
  <c r="C197" i="2" a="1"/>
  <c r="C197" i="2" s="1"/>
  <c r="C147" i="2" a="1"/>
  <c r="C147" i="2" s="1"/>
  <c r="C97" i="2" a="1"/>
  <c r="C97" i="2" s="1"/>
  <c r="C1102" i="2" a="1"/>
  <c r="C1102" i="2" s="1"/>
  <c r="C1012" i="2" a="1"/>
  <c r="C1012" i="2" s="1"/>
  <c r="C922" i="2" a="1"/>
  <c r="C922" i="2" s="1"/>
  <c r="C832" i="2" a="1"/>
  <c r="C832" i="2" s="1"/>
  <c r="C742" i="2" a="1"/>
  <c r="C742" i="2" s="1"/>
  <c r="C652" i="2" a="1"/>
  <c r="C652" i="2" s="1"/>
  <c r="C562" i="2" a="1"/>
  <c r="C562" i="2" s="1"/>
  <c r="C472" i="2" a="1"/>
  <c r="C472" i="2" s="1"/>
  <c r="C382" i="2" a="1"/>
  <c r="C382" i="2" s="1"/>
  <c r="C292" i="2" a="1"/>
  <c r="C292" i="2" s="1"/>
  <c r="C192" i="2" a="1"/>
  <c r="C192" i="2" s="1"/>
  <c r="C92" i="2" a="1"/>
  <c r="C92" i="2" s="1"/>
  <c r="C332" i="2" a="1"/>
  <c r="C332" i="2" s="1"/>
  <c r="C132" i="2" a="1"/>
  <c r="C132" i="2" s="1"/>
  <c r="C2217" i="2" a="1"/>
  <c r="C2217" i="2" s="1"/>
  <c r="C2137" i="2" a="1"/>
  <c r="C2137" i="2" s="1"/>
  <c r="C2092" i="2" a="1"/>
  <c r="C2092" i="2" s="1"/>
  <c r="C2047" i="2" a="1"/>
  <c r="C2047" i="2" s="1"/>
  <c r="C2002" i="2" a="1"/>
  <c r="C2002" i="2" s="1"/>
  <c r="L105" i="5" s="1"/>
  <c r="K105" i="5" s="1" a="1"/>
  <c r="K105" i="5" s="1"/>
  <c r="C1957" i="2" a="1"/>
  <c r="C1957" i="2" s="1"/>
  <c r="C1912" i="2" a="1"/>
  <c r="C1912" i="2" s="1"/>
  <c r="C1867" i="2" a="1"/>
  <c r="C1867" i="2" s="1"/>
  <c r="C1822" i="2" a="1"/>
  <c r="C1822" i="2" s="1"/>
  <c r="C1777" i="2" a="1"/>
  <c r="C1777" i="2" s="1"/>
  <c r="C1732" i="2" a="1"/>
  <c r="C1732" i="2" s="1"/>
  <c r="C1687" i="2" a="1"/>
  <c r="C1687" i="2" s="1"/>
  <c r="C1642" i="2" a="1"/>
  <c r="C1642" i="2" s="1"/>
  <c r="C1597" i="2" a="1"/>
  <c r="C1597" i="2" s="1"/>
  <c r="C1552" i="2" a="1"/>
  <c r="C1552" i="2" s="1"/>
  <c r="C1507" i="2" a="1"/>
  <c r="C1507" i="2" s="1"/>
  <c r="C1462" i="2" a="1"/>
  <c r="C1462" i="2" s="1"/>
  <c r="L77" i="5" s="1"/>
  <c r="K77" i="5" s="1" a="1"/>
  <c r="K77" i="5" s="1"/>
  <c r="C1417" i="2" a="1"/>
  <c r="C1417" i="2" s="1"/>
  <c r="C1372" i="2" a="1"/>
  <c r="C1372" i="2" s="1"/>
  <c r="C1327" i="2" a="1"/>
  <c r="C1327" i="2" s="1"/>
  <c r="C1282" i="2" a="1"/>
  <c r="C1282" i="2" s="1"/>
  <c r="C1237" i="2" a="1"/>
  <c r="C1237" i="2" s="1"/>
  <c r="C1192" i="2" a="1"/>
  <c r="C1192" i="2" s="1"/>
  <c r="C1147" i="2" a="1"/>
  <c r="C1147" i="2" s="1"/>
  <c r="L61" i="5" s="1"/>
  <c r="K61" i="5" s="1" a="1"/>
  <c r="K61" i="5" s="1"/>
  <c r="C1057" i="2" a="1"/>
  <c r="C1057" i="2" s="1"/>
  <c r="C967" i="2" a="1"/>
  <c r="C967" i="2" s="1"/>
  <c r="C877" i="2" a="1"/>
  <c r="C877" i="2" s="1"/>
  <c r="C787" i="2" a="1"/>
  <c r="C787" i="2" s="1"/>
  <c r="L43" i="5" s="1"/>
  <c r="K43" i="5" s="1" a="1"/>
  <c r="K43" i="5" s="1"/>
  <c r="C697" i="2" a="1"/>
  <c r="C697" i="2" s="1"/>
  <c r="C607" i="2" a="1"/>
  <c r="C607" i="2" s="1"/>
  <c r="L32" i="5" s="1"/>
  <c r="K32" i="5" s="1" a="1"/>
  <c r="K32" i="5" s="1"/>
  <c r="C517" i="2" a="1"/>
  <c r="C517" i="2" s="1"/>
  <c r="C427" i="2" a="1"/>
  <c r="C427" i="2" s="1"/>
  <c r="L22" i="5" s="1"/>
  <c r="K22" i="5" s="1" a="1"/>
  <c r="K22" i="5" s="1"/>
  <c r="C337" i="2" a="1"/>
  <c r="C337" i="2" s="1"/>
  <c r="C247" i="2" a="1"/>
  <c r="C247" i="2" s="1"/>
  <c r="C142" i="2" a="1"/>
  <c r="C142" i="2" s="1"/>
  <c r="C37" i="2" a="1"/>
  <c r="C37" i="2" s="1"/>
  <c r="C282" i="2" a="1"/>
  <c r="C282" i="2" s="1"/>
  <c r="C82" i="2" a="1"/>
  <c r="C82" i="2" s="1"/>
  <c r="C2212" i="2" a="1"/>
  <c r="C2212" i="2" s="1"/>
  <c r="C2172" i="2" a="1"/>
  <c r="C2172" i="2" s="1"/>
  <c r="C2087" i="2" a="1"/>
  <c r="C2087" i="2" s="1"/>
  <c r="C1997" i="2" a="1"/>
  <c r="C1997" i="2" s="1"/>
  <c r="C1907" i="2" a="1"/>
  <c r="C1907" i="2" s="1"/>
  <c r="C1817" i="2" a="1"/>
  <c r="C1817" i="2" s="1"/>
  <c r="C1727" i="2" a="1"/>
  <c r="C1727" i="2" s="1"/>
  <c r="C1637" i="2" a="1"/>
  <c r="C1637" i="2" s="1"/>
  <c r="C1547" i="2" a="1"/>
  <c r="C1547" i="2" s="1"/>
  <c r="C1457" i="2" a="1"/>
  <c r="C1457" i="2" s="1"/>
  <c r="C1367" i="2" a="1"/>
  <c r="C1367" i="2" s="1"/>
  <c r="C1277" i="2" a="1"/>
  <c r="C1277" i="2" s="1"/>
  <c r="C1187" i="2" a="1"/>
  <c r="C1187" i="2" s="1"/>
  <c r="C1097" i="2" a="1"/>
  <c r="C1097" i="2" s="1"/>
  <c r="C1007" i="2" a="1"/>
  <c r="C1007" i="2" s="1"/>
  <c r="L54" i="5" s="1"/>
  <c r="K54" i="5" s="1" a="1"/>
  <c r="K54" i="5" s="1"/>
  <c r="C917" i="2" a="1"/>
  <c r="C917" i="2" s="1"/>
  <c r="C827" i="2" a="1"/>
  <c r="C827" i="2" s="1"/>
  <c r="C737" i="2" a="1"/>
  <c r="C737" i="2" s="1"/>
  <c r="C647" i="2" a="1"/>
  <c r="C647" i="2" s="1"/>
  <c r="L34" i="5" s="1"/>
  <c r="K34" i="5" s="1" a="1"/>
  <c r="K34" i="5" s="1"/>
  <c r="C557" i="2" a="1"/>
  <c r="C557" i="2" s="1"/>
  <c r="C467" i="2" a="1"/>
  <c r="C467" i="2" s="1"/>
  <c r="C377" i="2" a="1"/>
  <c r="C377" i="2" s="1"/>
  <c r="C287" i="2" a="1"/>
  <c r="C287" i="2" s="1"/>
  <c r="C242" i="2" a="1"/>
  <c r="C242" i="2" s="1"/>
  <c r="C137" i="2" a="1"/>
  <c r="C137" i="2" s="1"/>
  <c r="C87" i="2" a="1"/>
  <c r="C87" i="2" s="1"/>
  <c r="L4" i="5" s="1"/>
  <c r="K4" i="5" s="1" a="1"/>
  <c r="K4" i="5" s="1"/>
  <c r="C32" i="2" a="1"/>
  <c r="C32" i="2" s="1"/>
  <c r="C1142" i="2" a="1"/>
  <c r="C1142" i="2" s="1"/>
  <c r="C1052" i="2" a="1"/>
  <c r="C1052" i="2" s="1"/>
  <c r="C962" i="2" a="1"/>
  <c r="C962" i="2" s="1"/>
  <c r="C872" i="2" a="1"/>
  <c r="C872" i="2" s="1"/>
  <c r="C782" i="2" a="1"/>
  <c r="C782" i="2" s="1"/>
  <c r="C692" i="2" a="1"/>
  <c r="C692" i="2" s="1"/>
  <c r="C602" i="2" a="1"/>
  <c r="C602" i="2" s="1"/>
  <c r="C512" i="2" a="1"/>
  <c r="C512" i="2" s="1"/>
  <c r="C372" i="2" a="1"/>
  <c r="C372" i="2" s="1"/>
  <c r="C187" i="2" a="1"/>
  <c r="C187" i="2" s="1"/>
  <c r="C152" i="2" a="1"/>
  <c r="C152" i="2" s="1"/>
  <c r="C2207" i="2" a="1"/>
  <c r="C2207" i="2" s="1"/>
  <c r="C2132" i="2" a="1"/>
  <c r="C2132" i="2" s="1"/>
  <c r="C2082" i="2" a="1"/>
  <c r="C2082" i="2" s="1"/>
  <c r="L109" i="5" s="1"/>
  <c r="K109" i="5" s="1" a="1"/>
  <c r="K109" i="5" s="1"/>
  <c r="C2042" i="2" a="1"/>
  <c r="C2042" i="2" s="1"/>
  <c r="L107" i="5" s="1"/>
  <c r="K107" i="5" s="1" a="1"/>
  <c r="K107" i="5" s="1"/>
  <c r="C1992" i="2" a="1"/>
  <c r="C1992" i="2" s="1"/>
  <c r="C1952" i="2" a="1"/>
  <c r="C1952" i="2" s="1"/>
  <c r="C1902" i="2" a="1"/>
  <c r="C1902" i="2" s="1"/>
  <c r="C1862" i="2" a="1"/>
  <c r="C1862" i="2" s="1"/>
  <c r="L98" i="5" s="1"/>
  <c r="K98" i="5" s="1" a="1"/>
  <c r="K98" i="5" s="1"/>
  <c r="C1812" i="2" a="1"/>
  <c r="C1812" i="2" s="1"/>
  <c r="C1772" i="2" a="1"/>
  <c r="C1772" i="2" s="1"/>
  <c r="C1722" i="2" a="1"/>
  <c r="C1722" i="2" s="1"/>
  <c r="C1682" i="2" a="1"/>
  <c r="C1682" i="2" s="1"/>
  <c r="L88" i="5" s="1"/>
  <c r="K88" i="5" s="1" a="1"/>
  <c r="K88" i="5" s="1"/>
  <c r="C1632" i="2" a="1"/>
  <c r="C1632" i="2" s="1"/>
  <c r="C1592" i="2" a="1"/>
  <c r="C1592" i="2" s="1"/>
  <c r="C1542" i="2" a="1"/>
  <c r="C1542" i="2" s="1"/>
  <c r="C1502" i="2" a="1"/>
  <c r="C1502" i="2" s="1"/>
  <c r="L79" i="5" s="1"/>
  <c r="K79" i="5" s="1" a="1"/>
  <c r="K79" i="5" s="1"/>
  <c r="C1452" i="2" a="1"/>
  <c r="C1452" i="2" s="1"/>
  <c r="C1412" i="2" a="1"/>
  <c r="C1412" i="2" s="1"/>
  <c r="C1362" i="2" a="1"/>
  <c r="C1362" i="2" s="1"/>
  <c r="C1322" i="2" a="1"/>
  <c r="C1322" i="2" s="1"/>
  <c r="L70" i="5" s="1"/>
  <c r="K70" i="5" s="1" a="1"/>
  <c r="K70" i="5" s="1"/>
  <c r="C1272" i="2" a="1"/>
  <c r="C1272" i="2" s="1"/>
  <c r="C1232" i="2" a="1"/>
  <c r="C1232" i="2" s="1"/>
  <c r="C1182" i="2" a="1"/>
  <c r="C1182" i="2" s="1"/>
  <c r="C1092" i="2" a="1"/>
  <c r="C1092" i="2" s="1"/>
  <c r="C1002" i="2" a="1"/>
  <c r="C1002" i="2" s="1"/>
  <c r="C912" i="2" a="1"/>
  <c r="C912" i="2" s="1"/>
  <c r="C822" i="2" a="1"/>
  <c r="C822" i="2" s="1"/>
  <c r="C732" i="2" a="1"/>
  <c r="C732" i="2" s="1"/>
  <c r="C642" i="2" a="1"/>
  <c r="C642" i="2" s="1"/>
  <c r="C552" i="2" a="1"/>
  <c r="C552" i="2" s="1"/>
  <c r="C462" i="2" a="1"/>
  <c r="C462" i="2" s="1"/>
  <c r="C422" i="2" a="1"/>
  <c r="C422" i="2" s="1"/>
  <c r="C237" i="2" a="1"/>
  <c r="C237" i="2" s="1"/>
  <c r="C27" i="2" a="1"/>
  <c r="C27" i="2" s="1"/>
  <c r="C2167" i="2" a="1"/>
  <c r="C2167" i="2" s="1"/>
  <c r="C2127" i="2" a="1"/>
  <c r="C2127" i="2" s="1"/>
  <c r="C2037" i="2" a="1"/>
  <c r="C2037" i="2" s="1"/>
  <c r="C1947" i="2" a="1"/>
  <c r="C1947" i="2" s="1"/>
  <c r="C1857" i="2" a="1"/>
  <c r="C1857" i="2" s="1"/>
  <c r="C1767" i="2" a="1"/>
  <c r="C1767" i="2" s="1"/>
  <c r="C1677" i="2" a="1"/>
  <c r="C1677" i="2" s="1"/>
  <c r="C1587" i="2" a="1"/>
  <c r="C1587" i="2" s="1"/>
  <c r="C1497" i="2" a="1"/>
  <c r="C1497" i="2" s="1"/>
  <c r="C1407" i="2" a="1"/>
  <c r="C1407" i="2" s="1"/>
  <c r="C1317" i="2" a="1"/>
  <c r="C1317" i="2" s="1"/>
  <c r="C1227" i="2" a="1"/>
  <c r="C1227" i="2" s="1"/>
  <c r="C1137" i="2" a="1"/>
  <c r="C1137" i="2" s="1"/>
  <c r="C1047" i="2" a="1"/>
  <c r="C1047" i="2" s="1"/>
  <c r="C957" i="2" a="1"/>
  <c r="C957" i="2" s="1"/>
  <c r="C867" i="2" a="1"/>
  <c r="C867" i="2" s="1"/>
  <c r="L47" i="5" s="1"/>
  <c r="K47" i="5" s="1" a="1"/>
  <c r="K47" i="5" s="1"/>
  <c r="C777" i="2" a="1"/>
  <c r="C777" i="2" s="1"/>
  <c r="C687" i="2" a="1"/>
  <c r="C687" i="2" s="1"/>
  <c r="L36" i="5" s="1"/>
  <c r="K36" i="5" s="1" a="1"/>
  <c r="K36" i="5" s="1"/>
  <c r="C597" i="2" a="1"/>
  <c r="C597" i="2" s="1"/>
  <c r="C507" i="2" a="1"/>
  <c r="C507" i="2" s="1"/>
  <c r="C417" i="2" a="1"/>
  <c r="C417" i="2" s="1"/>
  <c r="C327" i="2" a="1"/>
  <c r="C327" i="2" s="1"/>
  <c r="L17" i="5" s="1"/>
  <c r="K17" i="5" s="1" a="1"/>
  <c r="K17" i="5" s="1"/>
  <c r="C232" i="2" a="1"/>
  <c r="C232" i="2" s="1"/>
  <c r="C182" i="2" a="1"/>
  <c r="C182" i="2" s="1"/>
  <c r="C77" i="2" a="1"/>
  <c r="C77" i="2" s="1"/>
  <c r="C22" i="2" a="1"/>
  <c r="C22" i="2" s="1"/>
  <c r="C952" i="2" a="1"/>
  <c r="C952" i="2" s="1"/>
  <c r="C862" i="2" a="1"/>
  <c r="C862" i="2" s="1"/>
  <c r="C772" i="2" a="1"/>
  <c r="C772" i="2" s="1"/>
  <c r="C682" i="2" a="1"/>
  <c r="C682" i="2" s="1"/>
  <c r="C592" i="2" a="1"/>
  <c r="C592" i="2" s="1"/>
  <c r="C502" i="2" a="1"/>
  <c r="C502" i="2" s="1"/>
  <c r="C412" i="2" a="1"/>
  <c r="C412" i="2" s="1"/>
  <c r="C322" i="2" a="1"/>
  <c r="C322" i="2" s="1"/>
  <c r="C227" i="2" a="1"/>
  <c r="C227" i="2" s="1"/>
  <c r="C127" i="2" a="1"/>
  <c r="C127" i="2" s="1"/>
  <c r="C17" i="2" a="1"/>
  <c r="C17" i="2" s="1"/>
  <c r="C932" i="2" a="1"/>
  <c r="C932" i="2" s="1"/>
  <c r="C612" i="2" a="1"/>
  <c r="C612" i="2" s="1"/>
  <c r="C202" i="2" a="1"/>
  <c r="C202" i="2" s="1"/>
  <c r="C2202" i="2" a="1"/>
  <c r="C2202" i="2" s="1"/>
  <c r="L115" i="5" s="1"/>
  <c r="K115" i="5" s="1" a="1"/>
  <c r="K115" i="5" s="1"/>
  <c r="C2122" i="2" a="1"/>
  <c r="C2122" i="2" s="1"/>
  <c r="L111" i="5" s="1"/>
  <c r="K111" i="5" s="1" a="1"/>
  <c r="K111" i="5" s="1"/>
  <c r="C2077" i="2" a="1"/>
  <c r="C2077" i="2" s="1"/>
  <c r="C2032" i="2" a="1"/>
  <c r="C2032" i="2" s="1"/>
  <c r="C1987" i="2" a="1"/>
  <c r="C1987" i="2" s="1"/>
  <c r="C1942" i="2" a="1"/>
  <c r="C1942" i="2" s="1"/>
  <c r="L102" i="5" s="1"/>
  <c r="K102" i="5" s="1" a="1"/>
  <c r="K102" i="5" s="1"/>
  <c r="C1897" i="2" a="1"/>
  <c r="C1897" i="2" s="1"/>
  <c r="C1852" i="2" a="1"/>
  <c r="C1852" i="2" s="1"/>
  <c r="C1807" i="2" a="1"/>
  <c r="C1807" i="2" s="1"/>
  <c r="C1762" i="2" a="1"/>
  <c r="C1762" i="2" s="1"/>
  <c r="L92" i="5" s="1"/>
  <c r="K92" i="5" s="1" a="1"/>
  <c r="K92" i="5" s="1"/>
  <c r="C1717" i="2" a="1"/>
  <c r="C1717" i="2" s="1"/>
  <c r="C1672" i="2" a="1"/>
  <c r="C1672" i="2" s="1"/>
  <c r="C1627" i="2" a="1"/>
  <c r="C1627" i="2" s="1"/>
  <c r="C1582" i="2" a="1"/>
  <c r="C1582" i="2" s="1"/>
  <c r="L83" i="5" s="1"/>
  <c r="K83" i="5" s="1" a="1"/>
  <c r="K83" i="5" s="1"/>
  <c r="C1537" i="2" a="1"/>
  <c r="C1537" i="2" s="1"/>
  <c r="C1492" i="2" a="1"/>
  <c r="C1492" i="2" s="1"/>
  <c r="C1447" i="2" a="1"/>
  <c r="C1447" i="2" s="1"/>
  <c r="C1402" i="2" a="1"/>
  <c r="C1402" i="2" s="1"/>
  <c r="L74" i="5" s="1"/>
  <c r="K74" i="5" s="1" a="1"/>
  <c r="K74" i="5" s="1"/>
  <c r="C1357" i="2" a="1"/>
  <c r="C1357" i="2" s="1"/>
  <c r="C1312" i="2" a="1"/>
  <c r="C1312" i="2" s="1"/>
  <c r="C1267" i="2" a="1"/>
  <c r="C1267" i="2" s="1"/>
  <c r="C1222" i="2" a="1"/>
  <c r="C1222" i="2" s="1"/>
  <c r="C1177" i="2" a="1"/>
  <c r="C1177" i="2" s="1"/>
  <c r="C1132" i="2" a="1"/>
  <c r="C1132" i="2" s="1"/>
  <c r="C1087" i="2" a="1"/>
  <c r="C1087" i="2" s="1"/>
  <c r="L58" i="5" s="1"/>
  <c r="K58" i="5" s="1" a="1"/>
  <c r="K58" i="5" s="1"/>
  <c r="C1042" i="2" a="1"/>
  <c r="C1042" i="2" s="1"/>
  <c r="C997" i="2" a="1"/>
  <c r="C997" i="2" s="1"/>
  <c r="C907" i="2" a="1"/>
  <c r="C907" i="2" s="1"/>
  <c r="C817" i="2" a="1"/>
  <c r="C817" i="2" s="1"/>
  <c r="C727" i="2" a="1"/>
  <c r="C727" i="2" s="1"/>
  <c r="L39" i="5" s="1"/>
  <c r="K39" i="5" s="1" a="1"/>
  <c r="K39" i="5" s="1"/>
  <c r="C637" i="2" a="1"/>
  <c r="C637" i="2" s="1"/>
  <c r="C547" i="2" a="1"/>
  <c r="C547" i="2" s="1"/>
  <c r="C457" i="2" a="1"/>
  <c r="C457" i="2" s="1"/>
  <c r="C367" i="2" a="1"/>
  <c r="C367" i="2" s="1"/>
  <c r="C277" i="2" a="1"/>
  <c r="C277" i="2" s="1"/>
  <c r="C177" i="2" a="1"/>
  <c r="C177" i="2" s="1"/>
  <c r="C72" i="2" a="1"/>
  <c r="C72" i="2" s="1"/>
  <c r="C1022" i="2" a="1"/>
  <c r="C1022" i="2" s="1"/>
  <c r="C572" i="2" a="1"/>
  <c r="C572" i="2" s="1"/>
  <c r="C42" i="2" a="1"/>
  <c r="C42" i="2" s="1"/>
  <c r="C2162" i="2" a="1"/>
  <c r="C2162" i="2" s="1"/>
  <c r="C2117" i="2" a="1"/>
  <c r="C2117" i="2" s="1"/>
  <c r="C2027" i="2" a="1"/>
  <c r="C2027" i="2" s="1"/>
  <c r="C1937" i="2" a="1"/>
  <c r="C1937" i="2" s="1"/>
  <c r="C1847" i="2" a="1"/>
  <c r="C1847" i="2" s="1"/>
  <c r="C1757" i="2" a="1"/>
  <c r="C1757" i="2" s="1"/>
  <c r="C1667" i="2" a="1"/>
  <c r="C1667" i="2" s="1"/>
  <c r="C1577" i="2" a="1"/>
  <c r="C1577" i="2" s="1"/>
  <c r="C1487" i="2" a="1"/>
  <c r="C1487" i="2" s="1"/>
  <c r="C1397" i="2" a="1"/>
  <c r="C1397" i="2" s="1"/>
  <c r="C1307" i="2" a="1"/>
  <c r="C1307" i="2" s="1"/>
  <c r="C1217" i="2" a="1"/>
  <c r="C1217" i="2" s="1"/>
  <c r="C1127" i="2" a="1"/>
  <c r="C1127" i="2" s="1"/>
  <c r="C1037" i="2" a="1"/>
  <c r="C1037" i="2" s="1"/>
  <c r="C947" i="2" a="1"/>
  <c r="C947" i="2" s="1"/>
  <c r="C857" i="2" a="1"/>
  <c r="C857" i="2" s="1"/>
  <c r="C767" i="2" a="1"/>
  <c r="C767" i="2" s="1"/>
  <c r="C677" i="2" a="1"/>
  <c r="C677" i="2" s="1"/>
  <c r="C587" i="2" a="1"/>
  <c r="C587" i="2" s="1"/>
  <c r="L31" i="5" s="1"/>
  <c r="K31" i="5" s="1" a="1"/>
  <c r="K31" i="5" s="1"/>
  <c r="C497" i="2" a="1"/>
  <c r="C497" i="2" s="1"/>
  <c r="C407" i="2" a="1"/>
  <c r="C407" i="2" s="1"/>
  <c r="L21" i="5" s="1"/>
  <c r="K21" i="5" s="1" a="1"/>
  <c r="K21" i="5" s="1"/>
  <c r="C317" i="2" a="1"/>
  <c r="C317" i="2" s="1"/>
  <c r="C222" i="2" a="1"/>
  <c r="C222" i="2" s="1"/>
  <c r="C172" i="2" a="1"/>
  <c r="C172" i="2" s="1"/>
  <c r="C122" i="2" a="1"/>
  <c r="C122" i="2" s="1"/>
  <c r="C67" i="2" a="1"/>
  <c r="C67" i="2" s="1"/>
  <c r="C12" i="2" a="1"/>
  <c r="C12" i="2" s="1"/>
  <c r="C992" i="2" a="1"/>
  <c r="C992" i="2" s="1"/>
  <c r="C902" i="2" a="1"/>
  <c r="C902" i="2" s="1"/>
  <c r="C812" i="2" a="1"/>
  <c r="C812" i="2" s="1"/>
  <c r="C722" i="2" a="1"/>
  <c r="C722" i="2" s="1"/>
  <c r="C632" i="2" a="1"/>
  <c r="C632" i="2" s="1"/>
  <c r="C542" i="2" a="1"/>
  <c r="C542" i="2" s="1"/>
  <c r="C452" i="2" a="1"/>
  <c r="C452" i="2" s="1"/>
  <c r="C362" i="2" a="1"/>
  <c r="C362" i="2" s="1"/>
  <c r="C272" i="2" a="1"/>
  <c r="C272" i="2" s="1"/>
  <c r="C117" i="2" a="1"/>
  <c r="C117" i="2" s="1"/>
  <c r="C7" i="2" a="1"/>
  <c r="C7" i="2" s="1"/>
  <c r="C752" i="2" a="1"/>
  <c r="C752" i="2" s="1"/>
  <c r="C392" i="2" a="1"/>
  <c r="C392" i="2" s="1"/>
  <c r="C2197" i="2" a="1"/>
  <c r="C2197" i="2" s="1"/>
  <c r="C2157" i="2" a="1"/>
  <c r="C2157" i="2" s="1"/>
  <c r="C2112" i="2" a="1"/>
  <c r="C2112" i="2" s="1"/>
  <c r="C2072" i="2" a="1"/>
  <c r="C2072" i="2" s="1"/>
  <c r="C2022" i="2" a="1"/>
  <c r="C2022" i="2" s="1"/>
  <c r="L106" i="5" s="1"/>
  <c r="K106" i="5" s="1" a="1"/>
  <c r="K106" i="5" s="1"/>
  <c r="C1982" i="2" a="1"/>
  <c r="C1982" i="2" s="1"/>
  <c r="L104" i="5" s="1"/>
  <c r="K104" i="5" s="1" a="1"/>
  <c r="K104" i="5" s="1"/>
  <c r="C1932" i="2" a="1"/>
  <c r="C1932" i="2" s="1"/>
  <c r="C1892" i="2" a="1"/>
  <c r="C1892" i="2" s="1"/>
  <c r="C1842" i="2" a="1"/>
  <c r="C1842" i="2" s="1"/>
  <c r="C1802" i="2" a="1"/>
  <c r="C1802" i="2" s="1"/>
  <c r="L94" i="5" s="1"/>
  <c r="K94" i="5" s="1" a="1"/>
  <c r="K94" i="5" s="1"/>
  <c r="C1752" i="2" a="1"/>
  <c r="C1752" i="2" s="1"/>
  <c r="C1712" i="2" a="1"/>
  <c r="C1712" i="2" s="1"/>
  <c r="C1662" i="2" a="1"/>
  <c r="C1662" i="2" s="1"/>
  <c r="C1622" i="2" a="1"/>
  <c r="C1622" i="2" s="1"/>
  <c r="L85" i="5" s="1"/>
  <c r="K85" i="5" s="1" a="1"/>
  <c r="K85" i="5" s="1"/>
  <c r="C1572" i="2" a="1"/>
  <c r="C1572" i="2" s="1"/>
  <c r="C1532" i="2" a="1"/>
  <c r="C1532" i="2" s="1"/>
  <c r="C1482" i="2" a="1"/>
  <c r="C1482" i="2" s="1"/>
  <c r="L78" i="5" s="1"/>
  <c r="K78" i="5" s="1" a="1"/>
  <c r="K78" i="5" s="1"/>
  <c r="C1442" i="2" a="1"/>
  <c r="C1442" i="2" s="1"/>
  <c r="L76" i="5" s="1"/>
  <c r="K76" i="5" s="1" a="1"/>
  <c r="K76" i="5" s="1"/>
  <c r="C1392" i="2" a="1"/>
  <c r="C1392" i="2" s="1"/>
  <c r="C1352" i="2" a="1"/>
  <c r="C1352" i="2" s="1"/>
  <c r="C1302" i="2" a="1"/>
  <c r="C1302" i="2" s="1"/>
  <c r="C1262" i="2" a="1"/>
  <c r="C1262" i="2" s="1"/>
  <c r="L67" i="5" s="1"/>
  <c r="K67" i="5" s="1" a="1"/>
  <c r="K67" i="5" s="1"/>
  <c r="C1212" i="2" a="1"/>
  <c r="C1212" i="2" s="1"/>
  <c r="C1172" i="2" a="1"/>
  <c r="C1172" i="2" s="1"/>
  <c r="C1122" i="2" a="1"/>
  <c r="C1122" i="2" s="1"/>
  <c r="C1082" i="2" a="1"/>
  <c r="C1082" i="2" s="1"/>
  <c r="C1032" i="2" a="1"/>
  <c r="C1032" i="2" s="1"/>
  <c r="C942" i="2" a="1"/>
  <c r="C942" i="2" s="1"/>
  <c r="C852" i="2" a="1"/>
  <c r="C852" i="2" s="1"/>
  <c r="C762" i="2" a="1"/>
  <c r="C762" i="2" s="1"/>
  <c r="C672" i="2" a="1"/>
  <c r="C672" i="2" s="1"/>
  <c r="C582" i="2" a="1"/>
  <c r="C582" i="2" s="1"/>
  <c r="C492" i="2" a="1"/>
  <c r="C492" i="2" s="1"/>
  <c r="C402" i="2" a="1"/>
  <c r="C402" i="2" s="1"/>
  <c r="C312" i="2" a="1"/>
  <c r="C312" i="2" s="1"/>
  <c r="C167" i="2" a="1"/>
  <c r="C167" i="2" s="1"/>
  <c r="C62" i="2" a="1"/>
  <c r="C62" i="2" s="1"/>
  <c r="C972" i="2" a="1"/>
  <c r="C972" i="2" s="1"/>
  <c r="C522" i="2" a="1"/>
  <c r="C522" i="2" s="1"/>
  <c r="C252" i="2" a="1"/>
  <c r="C252" i="2" s="1"/>
  <c r="C2152" i="2" a="1"/>
  <c r="C2152" i="2" s="1"/>
  <c r="C2067" i="2" a="1"/>
  <c r="C2067" i="2" s="1"/>
  <c r="C1977" i="2" a="1"/>
  <c r="C1977" i="2" s="1"/>
  <c r="C1887" i="2" a="1"/>
  <c r="C1887" i="2" s="1"/>
  <c r="C1797" i="2" a="1"/>
  <c r="C1797" i="2" s="1"/>
  <c r="C1707" i="2" a="1"/>
  <c r="C1707" i="2" s="1"/>
  <c r="C1617" i="2" a="1"/>
  <c r="C1617" i="2" s="1"/>
  <c r="C1527" i="2" a="1"/>
  <c r="C1527" i="2" s="1"/>
  <c r="C1437" i="2" a="1"/>
  <c r="C1437" i="2" s="1"/>
  <c r="C1347" i="2" a="1"/>
  <c r="C1347" i="2" s="1"/>
  <c r="C1257" i="2" a="1"/>
  <c r="C1257" i="2" s="1"/>
  <c r="C1167" i="2" a="1"/>
  <c r="C1167" i="2" s="1"/>
  <c r="L62" i="5" s="1"/>
  <c r="K62" i="5" s="1" a="1"/>
  <c r="K62" i="5" s="1"/>
  <c r="C1077" i="2" a="1"/>
  <c r="C1077" i="2" s="1"/>
  <c r="C987" i="2" a="1"/>
  <c r="C987" i="2" s="1"/>
  <c r="L53" i="5" s="1"/>
  <c r="K53" i="5" s="1" a="1"/>
  <c r="K53" i="5" s="1"/>
  <c r="C897" i="2" a="1"/>
  <c r="C897" i="2" s="1"/>
  <c r="C807" i="2" a="1"/>
  <c r="C807" i="2" s="1"/>
  <c r="C717" i="2" a="1"/>
  <c r="C717" i="2" s="1"/>
  <c r="C627" i="2" a="1"/>
  <c r="C627" i="2" s="1"/>
  <c r="L33" i="5" s="1"/>
  <c r="K33" i="5" s="1" a="1"/>
  <c r="K33" i="5" s="1"/>
  <c r="C537" i="2" a="1"/>
  <c r="C537" i="2" s="1"/>
  <c r="C447" i="2" a="1"/>
  <c r="C447" i="2" s="1"/>
  <c r="C357" i="2" a="1"/>
  <c r="C357" i="2" s="1"/>
  <c r="C267" i="2" a="1"/>
  <c r="C267" i="2" s="1"/>
  <c r="L13" i="5" s="1"/>
  <c r="K13" i="5" s="1" a="1"/>
  <c r="K13" i="5" s="1"/>
  <c r="C217" i="2" a="1"/>
  <c r="C217" i="2" s="1"/>
  <c r="C162" i="2" a="1"/>
  <c r="C162" i="2" s="1"/>
  <c r="C112" i="2" a="1"/>
  <c r="C112" i="2" s="1"/>
  <c r="C57" i="2" a="1"/>
  <c r="C57" i="2" s="1"/>
  <c r="C2" i="2" a="1"/>
  <c r="C2" i="2" s="1"/>
  <c r="C892" i="2" a="1"/>
  <c r="C892" i="2" s="1"/>
  <c r="C802" i="2" a="1"/>
  <c r="C802" i="2" s="1"/>
  <c r="C712" i="2" a="1"/>
  <c r="C712" i="2" s="1"/>
  <c r="C622" i="2" a="1"/>
  <c r="C622" i="2" s="1"/>
  <c r="C532" i="2" a="1"/>
  <c r="C532" i="2" s="1"/>
  <c r="C442" i="2" a="1"/>
  <c r="C442" i="2" s="1"/>
  <c r="C352" i="2" a="1"/>
  <c r="C352" i="2" s="1"/>
  <c r="C262" i="2" a="1"/>
  <c r="C262" i="2" s="1"/>
  <c r="C107" i="2" a="1"/>
  <c r="C107" i="2" s="1"/>
  <c r="L5" i="5" s="1"/>
  <c r="K5" i="5" s="1" a="1"/>
  <c r="K5" i="5" s="1"/>
  <c r="C792" i="2" a="1"/>
  <c r="C792" i="2" s="1"/>
  <c r="C432" i="2" a="1"/>
  <c r="C432" i="2" s="1"/>
  <c r="C2192" i="2" a="1"/>
  <c r="C2192" i="2" s="1"/>
  <c r="C2147" i="2" a="1"/>
  <c r="C2147" i="2" s="1"/>
  <c r="C2107" i="2" a="1"/>
  <c r="C2107" i="2" s="1"/>
  <c r="C2062" i="2" a="1"/>
  <c r="C2062" i="2" s="1"/>
  <c r="L108" i="5" s="1"/>
  <c r="K108" i="5" s="1" a="1"/>
  <c r="K108" i="5" s="1"/>
  <c r="C2017" i="2" a="1"/>
  <c r="C2017" i="2" s="1"/>
  <c r="C1972" i="2" a="1"/>
  <c r="C1972" i="2" s="1"/>
  <c r="C1927" i="2" a="1"/>
  <c r="C1927" i="2" s="1"/>
  <c r="C1882" i="2" a="1"/>
  <c r="C1882" i="2" s="1"/>
  <c r="L99" i="5" s="1"/>
  <c r="K99" i="5" s="1" a="1"/>
  <c r="K99" i="5" s="1"/>
  <c r="C1837" i="2" a="1"/>
  <c r="C1837" i="2" s="1"/>
  <c r="C1792" i="2" a="1"/>
  <c r="C1792" i="2" s="1"/>
  <c r="C1747" i="2" a="1"/>
  <c r="C1747" i="2" s="1"/>
  <c r="C1702" i="2" a="1"/>
  <c r="C1702" i="2" s="1"/>
  <c r="L89" i="5" s="1"/>
  <c r="K89" i="5" s="1" a="1"/>
  <c r="K89" i="5" s="1"/>
  <c r="C1657" i="2" a="1"/>
  <c r="C1657" i="2" s="1"/>
  <c r="C1612" i="2" a="1"/>
  <c r="C1612" i="2" s="1"/>
  <c r="C1567" i="2" a="1"/>
  <c r="C1567" i="2" s="1"/>
  <c r="C1522" i="2" a="1"/>
  <c r="C1522" i="2" s="1"/>
  <c r="L80" i="5" s="1"/>
  <c r="K80" i="5" s="1" a="1"/>
  <c r="K80" i="5" s="1"/>
  <c r="C1477" i="2" a="1"/>
  <c r="C1477" i="2" s="1"/>
  <c r="C1432" i="2" a="1"/>
  <c r="C1432" i="2" s="1"/>
  <c r="C1387" i="2" a="1"/>
  <c r="C1387" i="2" s="1"/>
  <c r="C1342" i="2" a="1"/>
  <c r="C1342" i="2" s="1"/>
  <c r="L71" i="5" s="1"/>
  <c r="K71" i="5" s="1" a="1"/>
  <c r="K71" i="5" s="1"/>
  <c r="C1297" i="2" a="1"/>
  <c r="C1297" i="2" s="1"/>
  <c r="C1252" i="2" a="1"/>
  <c r="C1252" i="2" s="1"/>
  <c r="C1207" i="2" a="1"/>
  <c r="C1207" i="2" s="1"/>
  <c r="L64" i="5" s="1"/>
  <c r="K64" i="5" s="1" a="1"/>
  <c r="K64" i="5" s="1"/>
  <c r="C1162" i="2" a="1"/>
  <c r="C1162" i="2" s="1"/>
  <c r="C1117" i="2" a="1"/>
  <c r="C1117" i="2" s="1"/>
  <c r="C1072" i="2" a="1"/>
  <c r="C1072" i="2" s="1"/>
  <c r="C1027" i="2" a="1"/>
  <c r="C1027" i="2" s="1"/>
  <c r="L55" i="5" s="1"/>
  <c r="K55" i="5" s="1" a="1"/>
  <c r="K55" i="5" s="1"/>
  <c r="C982" i="2" a="1"/>
  <c r="C982" i="2" s="1"/>
  <c r="C937" i="2" a="1"/>
  <c r="C937" i="2" s="1"/>
  <c r="C847" i="2" a="1"/>
  <c r="C847" i="2" s="1"/>
  <c r="C757" i="2" a="1"/>
  <c r="C757" i="2" s="1"/>
  <c r="C667" i="2" a="1"/>
  <c r="C667" i="2" s="1"/>
  <c r="L35" i="5" s="1"/>
  <c r="K35" i="5" s="1" a="1"/>
  <c r="K35" i="5" s="1"/>
  <c r="C577" i="2" a="1"/>
  <c r="C577" i="2" s="1"/>
  <c r="C487" i="2" a="1"/>
  <c r="C487" i="2" s="1"/>
  <c r="L26" i="5" s="1"/>
  <c r="K26" i="5" s="1" a="1"/>
  <c r="K26" i="5" s="1"/>
  <c r="C397" i="2" a="1"/>
  <c r="C397" i="2" s="1"/>
  <c r="C307" i="2" a="1"/>
  <c r="C307" i="2" s="1"/>
  <c r="L16" i="5" s="1"/>
  <c r="K16" i="5" s="1" a="1"/>
  <c r="K16" i="5" s="1"/>
  <c r="C212" i="2" a="1"/>
  <c r="C212" i="2" s="1"/>
  <c r="C52" i="2" a="1"/>
  <c r="C52" i="2" s="1"/>
  <c r="C702" i="2" a="1"/>
  <c r="C702" i="2" s="1"/>
  <c r="C342" i="2" a="1"/>
  <c r="C342" i="2" s="1"/>
  <c r="C2187" i="2" a="1"/>
  <c r="C2187" i="2" s="1"/>
  <c r="C2057" i="2" a="1"/>
  <c r="C2057" i="2" s="1"/>
  <c r="C1967" i="2" a="1"/>
  <c r="C1967" i="2" s="1"/>
  <c r="C1877" i="2" a="1"/>
  <c r="C1877" i="2" s="1"/>
  <c r="C1787" i="2" a="1"/>
  <c r="C1787" i="2" s="1"/>
  <c r="C1697" i="2" a="1"/>
  <c r="C1697" i="2" s="1"/>
  <c r="C1607" i="2" a="1"/>
  <c r="C1607" i="2" s="1"/>
  <c r="C1517" i="2" a="1"/>
  <c r="C1517" i="2" s="1"/>
  <c r="C1427" i="2" a="1"/>
  <c r="C1427" i="2" s="1"/>
  <c r="C1337" i="2" a="1"/>
  <c r="C1337" i="2" s="1"/>
  <c r="C1247" i="2" a="1"/>
  <c r="C1247" i="2" s="1"/>
  <c r="C1157" i="2" a="1"/>
  <c r="C1157" i="2" s="1"/>
  <c r="C1067" i="2" a="1"/>
  <c r="C1067" i="2" s="1"/>
  <c r="C977" i="2" a="1"/>
  <c r="C977" i="2" s="1"/>
  <c r="C887" i="2" a="1"/>
  <c r="C887" i="2" s="1"/>
  <c r="C797" i="2" a="1"/>
  <c r="C797" i="2" s="1"/>
  <c r="C707" i="2" a="1"/>
  <c r="C707" i="2" s="1"/>
  <c r="L37" i="5" s="1"/>
  <c r="K37" i="5" s="1" a="1"/>
  <c r="K37" i="5" s="1"/>
  <c r="C617" i="2" a="1"/>
  <c r="C617" i="2" s="1"/>
  <c r="C527" i="2" a="1"/>
  <c r="C527" i="2" s="1"/>
  <c r="L28" i="5" s="1"/>
  <c r="K28" i="5" s="1" a="1"/>
  <c r="K28" i="5" s="1"/>
  <c r="C437" i="2" a="1"/>
  <c r="C437" i="2" s="1"/>
  <c r="C347" i="2" a="1"/>
  <c r="C347" i="2" s="1"/>
  <c r="L18" i="5" s="1"/>
  <c r="K18" i="5" s="1" a="1"/>
  <c r="K18" i="5" s="1"/>
  <c r="C257" i="2" a="1"/>
  <c r="C257" i="2" s="1"/>
  <c r="C207" i="2" a="1"/>
  <c r="C207" i="2" s="1"/>
  <c r="C157" i="2" a="1"/>
  <c r="C157" i="2" s="1"/>
  <c r="C102" i="2" a="1"/>
  <c r="C102" i="2" s="1"/>
  <c r="C47" i="2" a="1"/>
  <c r="C47" i="2" s="1"/>
  <c r="C1742" i="2" a="1"/>
  <c r="C1742" i="2" s="1"/>
  <c r="L91" i="5" s="1"/>
  <c r="K91" i="5" s="1" a="1"/>
  <c r="K91" i="5" s="1"/>
  <c r="C1652" i="2" a="1"/>
  <c r="C1652" i="2" s="1"/>
  <c r="C1562" i="2" a="1"/>
  <c r="C1562" i="2" s="1"/>
  <c r="L82" i="5" s="1"/>
  <c r="K82" i="5" s="1" a="1"/>
  <c r="K82" i="5" s="1"/>
  <c r="C1472" i="2" a="1"/>
  <c r="C1472" i="2" s="1"/>
  <c r="C1382" i="2" a="1"/>
  <c r="C1382" i="2" s="1"/>
  <c r="L73" i="5" s="1"/>
  <c r="K73" i="5" s="1" a="1"/>
  <c r="K73" i="5" s="1"/>
  <c r="C1292" i="2" a="1"/>
  <c r="C1292" i="2" s="1"/>
  <c r="C1202" i="2" a="1"/>
  <c r="C1202" i="2" s="1"/>
  <c r="C1112" i="2" a="1"/>
  <c r="C1112" i="2" s="1"/>
  <c r="C882" i="2" a="1"/>
  <c r="C882" i="2" s="1"/>
  <c r="C662" i="2" a="1"/>
  <c r="C662" i="2" s="1"/>
  <c r="C302" i="2" a="1"/>
  <c r="C302" i="2" s="1"/>
  <c r="C2182" i="2" a="1"/>
  <c r="C2182" i="2" s="1"/>
  <c r="C2142" i="2" a="1"/>
  <c r="C2142" i="2" s="1"/>
  <c r="C2102" i="2" a="1"/>
  <c r="C2102" i="2" s="1"/>
  <c r="L110" i="5" s="1"/>
  <c r="K110" i="5" s="1" a="1"/>
  <c r="K110" i="5" s="1"/>
  <c r="C2052" i="2" a="1"/>
  <c r="C2052" i="2" s="1"/>
  <c r="C2012" i="2" a="1"/>
  <c r="C2012" i="2" s="1"/>
  <c r="C1962" i="2" a="1"/>
  <c r="C1962" i="2" s="1"/>
  <c r="L103" i="5" s="1"/>
  <c r="K103" i="5" s="1" a="1"/>
  <c r="K103" i="5" s="1"/>
  <c r="C1922" i="2" a="1"/>
  <c r="C1922" i="2" s="1"/>
  <c r="L101" i="5" s="1"/>
  <c r="K101" i="5" s="1" a="1"/>
  <c r="K101" i="5" s="1"/>
  <c r="C1872" i="2" a="1"/>
  <c r="C1872" i="2" s="1"/>
  <c r="C1832" i="2" a="1"/>
  <c r="C1832" i="2" s="1"/>
  <c r="C1782" i="2" a="1"/>
  <c r="C1782" i="2" s="1"/>
  <c r="L93" i="5" s="1"/>
  <c r="K93" i="5" s="1" a="1"/>
  <c r="K93" i="5" s="1"/>
  <c r="C1692" i="2" a="1"/>
  <c r="C1692" i="2" s="1"/>
  <c r="C1602" i="2" a="1"/>
  <c r="C1602" i="2" s="1"/>
  <c r="C1512" i="2" a="1"/>
  <c r="C1512" i="2" s="1"/>
  <c r="C1422" i="2" a="1"/>
  <c r="C1422" i="2" s="1"/>
  <c r="C1332" i="2" a="1"/>
  <c r="C1332" i="2" s="1"/>
  <c r="C1242" i="2" a="1"/>
  <c r="C1242" i="2" s="1"/>
  <c r="L66" i="5" s="1"/>
  <c r="K66" i="5" s="1" a="1"/>
  <c r="K66" i="5" s="1"/>
  <c r="C1152" i="2" a="1"/>
  <c r="C1152" i="2" s="1"/>
  <c r="C1062" i="2" a="1"/>
  <c r="C1062" i="2" s="1"/>
  <c r="C842" i="2" a="1"/>
  <c r="C842" i="2" s="1"/>
  <c r="C482" i="2" a="1"/>
  <c r="C482" i="2" s="1"/>
  <c r="L25" i="5" s="1"/>
  <c r="K25" i="5" s="1" a="1"/>
  <c r="K25" i="5" s="1"/>
  <c r="B415" i="13"/>
  <c r="B427" i="13"/>
  <c r="B439" i="13"/>
  <c r="B416" i="13"/>
  <c r="B428" i="13"/>
  <c r="B440" i="13"/>
  <c r="B417" i="13"/>
  <c r="B429" i="13"/>
  <c r="B441" i="13"/>
  <c r="B420" i="13"/>
  <c r="B444" i="13"/>
  <c r="B418" i="13"/>
  <c r="B430" i="13"/>
  <c r="B442" i="13"/>
  <c r="B419" i="13"/>
  <c r="B431" i="13"/>
  <c r="B443" i="13"/>
  <c r="B432" i="13"/>
  <c r="B421" i="13"/>
  <c r="B433" i="13"/>
  <c r="B445" i="13"/>
  <c r="B422" i="13"/>
  <c r="B434" i="13"/>
  <c r="B446" i="13"/>
  <c r="B423" i="13"/>
  <c r="B435" i="13"/>
  <c r="B424" i="13"/>
  <c r="B436" i="13"/>
  <c r="B425" i="13"/>
  <c r="B437" i="13"/>
  <c r="B426" i="13"/>
  <c r="B438" i="13"/>
  <c r="F419" i="13"/>
  <c r="F431" i="13"/>
  <c r="F443" i="13"/>
  <c r="F420" i="13"/>
  <c r="F432" i="13"/>
  <c r="F444" i="13"/>
  <c r="F421" i="13"/>
  <c r="F433" i="13"/>
  <c r="F445" i="13"/>
  <c r="F435" i="13"/>
  <c r="F436" i="13"/>
  <c r="F437" i="13"/>
  <c r="F426" i="13"/>
  <c r="F422" i="13"/>
  <c r="F434" i="13"/>
  <c r="F446" i="13"/>
  <c r="F423" i="13"/>
  <c r="F415" i="13"/>
  <c r="F427" i="13"/>
  <c r="F439" i="13"/>
  <c r="F416" i="13"/>
  <c r="F428" i="13"/>
  <c r="F440" i="13"/>
  <c r="F438" i="13"/>
  <c r="F417" i="13"/>
  <c r="F429" i="13"/>
  <c r="F441" i="13"/>
  <c r="F418" i="13"/>
  <c r="F430" i="13"/>
  <c r="F442" i="13"/>
  <c r="F424" i="13"/>
  <c r="F425" i="13"/>
  <c r="C419" i="13"/>
  <c r="C431" i="13"/>
  <c r="C443" i="13"/>
  <c r="C420" i="13"/>
  <c r="C432" i="13"/>
  <c r="C444" i="13"/>
  <c r="C421" i="13"/>
  <c r="C433" i="13"/>
  <c r="C445" i="13"/>
  <c r="C424" i="13"/>
  <c r="C437" i="13"/>
  <c r="C422" i="13"/>
  <c r="C434" i="13"/>
  <c r="C446" i="13"/>
  <c r="C423" i="13"/>
  <c r="C435" i="13"/>
  <c r="C425" i="13"/>
  <c r="C426" i="13"/>
  <c r="C438" i="13"/>
  <c r="C415" i="13"/>
  <c r="C427" i="13"/>
  <c r="C439" i="13"/>
  <c r="C416" i="13"/>
  <c r="C428" i="13"/>
  <c r="C440" i="13"/>
  <c r="C417" i="13"/>
  <c r="C429" i="13"/>
  <c r="C441" i="13"/>
  <c r="C418" i="13"/>
  <c r="C430" i="13"/>
  <c r="C442" i="13"/>
  <c r="C436" i="13"/>
  <c r="L116" i="5"/>
  <c r="K116" i="5" s="1" a="1"/>
  <c r="K116" i="5" s="1"/>
  <c r="L114" i="5"/>
  <c r="K114" i="5" s="1" a="1"/>
  <c r="K114" i="5" s="1"/>
  <c r="L113" i="5"/>
  <c r="K113" i="5" s="1" a="1"/>
  <c r="K113" i="5" s="1"/>
  <c r="J30" i="3"/>
  <c r="K20" i="3"/>
  <c r="D28" i="3"/>
  <c r="D20" i="3"/>
  <c r="C15" i="3"/>
  <c r="K30" i="3"/>
  <c r="E20" i="3"/>
  <c r="E23" i="3"/>
  <c r="K29" i="3"/>
  <c r="M29" i="3"/>
  <c r="C28" i="3"/>
  <c r="L112" i="5"/>
  <c r="K112" i="5" s="1" a="1"/>
  <c r="K112" i="5" s="1"/>
  <c r="B407" i="13"/>
  <c r="B408" i="13"/>
  <c r="B409" i="13"/>
  <c r="B410" i="13"/>
  <c r="B411" i="13"/>
  <c r="B412" i="13"/>
  <c r="B413" i="13"/>
  <c r="B414" i="13"/>
  <c r="F411" i="13"/>
  <c r="F413" i="13"/>
  <c r="F410" i="13"/>
  <c r="F412" i="13"/>
  <c r="F414" i="13"/>
  <c r="F408" i="13"/>
  <c r="F407" i="13"/>
  <c r="F409" i="13"/>
  <c r="C411" i="13"/>
  <c r="C412" i="13"/>
  <c r="C413" i="13"/>
  <c r="C414" i="13"/>
  <c r="C408" i="13"/>
  <c r="C407" i="13"/>
  <c r="C409" i="13"/>
  <c r="C410" i="13"/>
  <c r="G15" i="3"/>
  <c r="C403" i="13"/>
  <c r="C404" i="13"/>
  <c r="C405" i="13"/>
  <c r="C406" i="13"/>
  <c r="C399" i="13"/>
  <c r="C400" i="13"/>
  <c r="C401" i="13"/>
  <c r="C402" i="13"/>
  <c r="B399" i="13"/>
  <c r="B400" i="13"/>
  <c r="B401" i="13"/>
  <c r="B402" i="13"/>
  <c r="B405" i="13"/>
  <c r="B403" i="13"/>
  <c r="B404" i="13"/>
  <c r="B406" i="13"/>
  <c r="F403" i="13"/>
  <c r="F404" i="13"/>
  <c r="F406" i="13"/>
  <c r="F405" i="13"/>
  <c r="F399" i="13"/>
  <c r="F400" i="13"/>
  <c r="F401" i="13"/>
  <c r="F402" i="13"/>
  <c r="J29" i="3"/>
  <c r="N21" i="3"/>
  <c r="K15" i="3"/>
  <c r="M27" i="3"/>
  <c r="V19" i="3"/>
  <c r="L12" i="3"/>
  <c r="F387" i="13"/>
  <c r="F388" i="13"/>
  <c r="F389" i="13"/>
  <c r="F390" i="13"/>
  <c r="F398" i="13"/>
  <c r="F391" i="13"/>
  <c r="F392" i="13"/>
  <c r="F393" i="13"/>
  <c r="F394" i="13"/>
  <c r="F395" i="13"/>
  <c r="F396" i="13"/>
  <c r="F397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B387" i="13"/>
  <c r="G387" i="13" s="1" a="1"/>
  <c r="G387" i="13" s="1"/>
  <c r="B388" i="13"/>
  <c r="G388" i="13" s="1" a="1"/>
  <c r="G388" i="13" s="1"/>
  <c r="B389" i="13"/>
  <c r="B390" i="13"/>
  <c r="B391" i="13"/>
  <c r="B392" i="13"/>
  <c r="B393" i="13"/>
  <c r="B394" i="13"/>
  <c r="B395" i="13"/>
  <c r="B396" i="13"/>
  <c r="B397" i="13"/>
  <c r="B398" i="13"/>
  <c r="C372" i="13"/>
  <c r="C384" i="13"/>
  <c r="C385" i="13"/>
  <c r="C381" i="13"/>
  <c r="C382" i="13"/>
  <c r="C371" i="13"/>
  <c r="C373" i="13"/>
  <c r="C374" i="13"/>
  <c r="C386" i="13"/>
  <c r="C375" i="13"/>
  <c r="C377" i="13"/>
  <c r="C378" i="13"/>
  <c r="C376" i="13"/>
  <c r="C383" i="13"/>
  <c r="C379" i="13"/>
  <c r="C380" i="13"/>
  <c r="B380" i="13"/>
  <c r="B381" i="13"/>
  <c r="B382" i="13"/>
  <c r="B383" i="13"/>
  <c r="B385" i="13"/>
  <c r="B386" i="13"/>
  <c r="B375" i="13"/>
  <c r="B376" i="13"/>
  <c r="B371" i="13"/>
  <c r="B377" i="13"/>
  <c r="B372" i="13"/>
  <c r="B384" i="13"/>
  <c r="B378" i="13"/>
  <c r="B373" i="13"/>
  <c r="B374" i="13"/>
  <c r="B379" i="13"/>
  <c r="F371" i="13"/>
  <c r="F372" i="13"/>
  <c r="F384" i="13"/>
  <c r="F373" i="13"/>
  <c r="F385" i="13"/>
  <c r="F374" i="13"/>
  <c r="F386" i="13"/>
  <c r="F375" i="13"/>
  <c r="F377" i="13"/>
  <c r="F383" i="13"/>
  <c r="F376" i="13"/>
  <c r="F378" i="13"/>
  <c r="F379" i="13"/>
  <c r="F380" i="13"/>
  <c r="F381" i="13"/>
  <c r="F382" i="13"/>
  <c r="L100" i="5"/>
  <c r="K100" i="5" s="1" a="1"/>
  <c r="K100" i="5" s="1"/>
  <c r="B363" i="13"/>
  <c r="B364" i="13"/>
  <c r="B365" i="13"/>
  <c r="B366" i="13"/>
  <c r="B367" i="13"/>
  <c r="B368" i="13"/>
  <c r="B369" i="13"/>
  <c r="B370" i="13"/>
  <c r="C363" i="13"/>
  <c r="C364" i="13"/>
  <c r="C365" i="13"/>
  <c r="C366" i="13"/>
  <c r="C367" i="13"/>
  <c r="C368" i="13"/>
  <c r="C369" i="13"/>
  <c r="C370" i="13"/>
  <c r="F363" i="13"/>
  <c r="F364" i="13"/>
  <c r="F365" i="13"/>
  <c r="F366" i="13"/>
  <c r="F367" i="13"/>
  <c r="F368" i="13"/>
  <c r="F369" i="13"/>
  <c r="F370" i="13"/>
  <c r="L96" i="5"/>
  <c r="K96" i="5" s="1" a="1"/>
  <c r="K96" i="5" s="1"/>
  <c r="L97" i="5"/>
  <c r="K97" i="5" s="1" a="1"/>
  <c r="K97" i="5" s="1"/>
  <c r="B339" i="13"/>
  <c r="B351" i="13"/>
  <c r="B340" i="13"/>
  <c r="B352" i="13"/>
  <c r="B341" i="13"/>
  <c r="B342" i="13"/>
  <c r="B343" i="13"/>
  <c r="B355" i="13"/>
  <c r="B344" i="13"/>
  <c r="B345" i="13"/>
  <c r="B357" i="13"/>
  <c r="B360" i="13"/>
  <c r="B346" i="13"/>
  <c r="B358" i="13"/>
  <c r="B359" i="13"/>
  <c r="B354" i="13"/>
  <c r="B347" i="13"/>
  <c r="B348" i="13"/>
  <c r="B349" i="13"/>
  <c r="B361" i="13"/>
  <c r="B362" i="13"/>
  <c r="B353" i="13"/>
  <c r="B356" i="13"/>
  <c r="B350" i="13"/>
  <c r="F345" i="13"/>
  <c r="F357" i="13"/>
  <c r="F359" i="13"/>
  <c r="F360" i="13"/>
  <c r="F339" i="13"/>
  <c r="F353" i="13"/>
  <c r="F343" i="13"/>
  <c r="F346" i="13"/>
  <c r="F358" i="13"/>
  <c r="F347" i="13"/>
  <c r="F348" i="13"/>
  <c r="F351" i="13"/>
  <c r="F340" i="13"/>
  <c r="F352" i="13"/>
  <c r="F342" i="13"/>
  <c r="F355" i="13"/>
  <c r="F356" i="13"/>
  <c r="F349" i="13"/>
  <c r="F361" i="13"/>
  <c r="F350" i="13"/>
  <c r="F362" i="13"/>
  <c r="F341" i="13"/>
  <c r="F354" i="13"/>
  <c r="F344" i="13"/>
  <c r="C339" i="13"/>
  <c r="C340" i="13"/>
  <c r="C352" i="13"/>
  <c r="C343" i="13"/>
  <c r="C355" i="13"/>
  <c r="C345" i="13"/>
  <c r="C357" i="13"/>
  <c r="C360" i="13"/>
  <c r="C353" i="13"/>
  <c r="C342" i="13"/>
  <c r="C356" i="13"/>
  <c r="C346" i="13"/>
  <c r="C358" i="13"/>
  <c r="C347" i="13"/>
  <c r="C359" i="13"/>
  <c r="C348" i="13"/>
  <c r="C341" i="13"/>
  <c r="C354" i="13"/>
  <c r="C344" i="13"/>
  <c r="C349" i="13"/>
  <c r="C361" i="13"/>
  <c r="C350" i="13"/>
  <c r="C362" i="13"/>
  <c r="C351" i="13"/>
  <c r="L90" i="5"/>
  <c r="K90" i="5" s="1" a="1"/>
  <c r="K90" i="5" s="1"/>
  <c r="B331" i="13"/>
  <c r="B332" i="13"/>
  <c r="B333" i="13"/>
  <c r="B334" i="13"/>
  <c r="B335" i="13"/>
  <c r="B336" i="13"/>
  <c r="B337" i="13"/>
  <c r="B338" i="13"/>
  <c r="F336" i="13"/>
  <c r="F332" i="13"/>
  <c r="F338" i="13"/>
  <c r="F331" i="13"/>
  <c r="F335" i="13"/>
  <c r="F337" i="13"/>
  <c r="F334" i="13"/>
  <c r="F333" i="13"/>
  <c r="C335" i="13"/>
  <c r="C338" i="13"/>
  <c r="C331" i="13"/>
  <c r="C332" i="13"/>
  <c r="C336" i="13"/>
  <c r="C333" i="13"/>
  <c r="C334" i="13"/>
  <c r="C337" i="13"/>
  <c r="L87" i="5"/>
  <c r="K87" i="5" s="1" a="1"/>
  <c r="K87" i="5" s="1"/>
  <c r="B315" i="13"/>
  <c r="B327" i="13"/>
  <c r="B316" i="13"/>
  <c r="B328" i="13"/>
  <c r="B323" i="13"/>
  <c r="B317" i="13"/>
  <c r="B329" i="13"/>
  <c r="B318" i="13"/>
  <c r="B330" i="13"/>
  <c r="B319" i="13"/>
  <c r="B320" i="13"/>
  <c r="B321" i="13"/>
  <c r="B324" i="13"/>
  <c r="B325" i="13"/>
  <c r="B326" i="13"/>
  <c r="B322" i="13"/>
  <c r="F324" i="13"/>
  <c r="F325" i="13"/>
  <c r="F317" i="13"/>
  <c r="F319" i="13"/>
  <c r="F326" i="13"/>
  <c r="F327" i="13"/>
  <c r="F316" i="13"/>
  <c r="F315" i="13"/>
  <c r="F328" i="13"/>
  <c r="F329" i="13"/>
  <c r="F320" i="13"/>
  <c r="F318" i="13"/>
  <c r="F321" i="13"/>
  <c r="F322" i="13"/>
  <c r="F323" i="13"/>
  <c r="F330" i="13"/>
  <c r="C323" i="13"/>
  <c r="C324" i="13"/>
  <c r="C326" i="13"/>
  <c r="C317" i="13"/>
  <c r="C325" i="13"/>
  <c r="C318" i="13"/>
  <c r="C315" i="13"/>
  <c r="C327" i="13"/>
  <c r="C328" i="13"/>
  <c r="C316" i="13"/>
  <c r="C329" i="13"/>
  <c r="C319" i="13"/>
  <c r="C320" i="13"/>
  <c r="C321" i="13"/>
  <c r="C322" i="13"/>
  <c r="C330" i="13"/>
  <c r="AA213" i="16" a="1"/>
  <c r="AA213" i="16" s="1"/>
  <c r="AA96" i="16" a="1"/>
  <c r="Z113" i="16" s="1"/>
  <c r="AG113" i="16" s="1"/>
  <c r="AA194" i="16" a="1"/>
  <c r="AA194" i="16" s="1"/>
  <c r="AA78" i="16" a="1"/>
  <c r="AA116" i="16" a="1"/>
  <c r="AA155" i="16" a="1"/>
  <c r="AA155" i="16" s="1"/>
  <c r="AA175" i="16" a="1"/>
  <c r="AA175" i="16" s="1"/>
  <c r="AA136" i="16" a="1"/>
  <c r="Z152" i="16" s="1"/>
  <c r="AG152" i="16" s="1"/>
  <c r="AA38" i="16" a="1"/>
  <c r="AA58" i="16" a="1"/>
  <c r="Z75" i="16" s="1"/>
  <c r="AG75" i="16" s="1"/>
  <c r="AA20" i="16" a="1"/>
  <c r="Z35" i="16" s="1"/>
  <c r="AG35" i="16" s="1"/>
  <c r="AA2" i="16" a="1"/>
  <c r="L86" i="5"/>
  <c r="K86" i="5" s="1" a="1"/>
  <c r="K86" i="5" s="1"/>
  <c r="L84" i="5"/>
  <c r="K84" i="5" s="1" a="1"/>
  <c r="K84" i="5" s="1"/>
  <c r="B296" i="13"/>
  <c r="B308" i="13"/>
  <c r="B297" i="13"/>
  <c r="B309" i="13"/>
  <c r="B298" i="13"/>
  <c r="B310" i="13"/>
  <c r="B299" i="13"/>
  <c r="B311" i="13"/>
  <c r="B312" i="13"/>
  <c r="B300" i="13"/>
  <c r="B301" i="13"/>
  <c r="B313" i="13"/>
  <c r="B295" i="13"/>
  <c r="B302" i="13"/>
  <c r="B314" i="13"/>
  <c r="B307" i="13"/>
  <c r="B303" i="13"/>
  <c r="B304" i="13"/>
  <c r="B305" i="13"/>
  <c r="B306" i="13"/>
  <c r="F301" i="13"/>
  <c r="F302" i="13"/>
  <c r="F314" i="13"/>
  <c r="F313" i="13"/>
  <c r="F303" i="13"/>
  <c r="F304" i="13"/>
  <c r="F305" i="13"/>
  <c r="F297" i="13"/>
  <c r="F298" i="13"/>
  <c r="F310" i="13"/>
  <c r="F299" i="13"/>
  <c r="F311" i="13"/>
  <c r="F300" i="13"/>
  <c r="F312" i="13"/>
  <c r="F306" i="13"/>
  <c r="F295" i="13"/>
  <c r="F307" i="13"/>
  <c r="F309" i="13"/>
  <c r="F296" i="13"/>
  <c r="F308" i="13"/>
  <c r="C302" i="13"/>
  <c r="C314" i="13"/>
  <c r="C301" i="13"/>
  <c r="C303" i="13"/>
  <c r="C304" i="13"/>
  <c r="C305" i="13"/>
  <c r="C310" i="13"/>
  <c r="C311" i="13"/>
  <c r="C300" i="13"/>
  <c r="C312" i="13"/>
  <c r="C313" i="13"/>
  <c r="C306" i="13"/>
  <c r="C295" i="13"/>
  <c r="C307" i="13"/>
  <c r="C309" i="13"/>
  <c r="C298" i="13"/>
  <c r="C299" i="13"/>
  <c r="C296" i="13"/>
  <c r="C308" i="13"/>
  <c r="C297" i="13"/>
  <c r="L81" i="5"/>
  <c r="K81" i="5" s="1" a="1"/>
  <c r="K81" i="5" s="1"/>
  <c r="B271" i="13"/>
  <c r="B283" i="13"/>
  <c r="B272" i="13"/>
  <c r="B284" i="13"/>
  <c r="B273" i="13"/>
  <c r="B285" i="13"/>
  <c r="B274" i="13"/>
  <c r="B286" i="13"/>
  <c r="B275" i="13"/>
  <c r="B287" i="13"/>
  <c r="B276" i="13"/>
  <c r="B288" i="13"/>
  <c r="B278" i="13"/>
  <c r="B290" i="13"/>
  <c r="B280" i="13"/>
  <c r="B292" i="13"/>
  <c r="B277" i="13"/>
  <c r="B279" i="13"/>
  <c r="AA193" i="14" a="1"/>
  <c r="Z208" i="14" s="1"/>
  <c r="AG208" i="14" s="1"/>
  <c r="B281" i="13"/>
  <c r="B282" i="13"/>
  <c r="AA211" i="14" a="1"/>
  <c r="B289" i="13"/>
  <c r="B291" i="13"/>
  <c r="B293" i="13"/>
  <c r="B294" i="13"/>
  <c r="AA2" i="15" a="1"/>
  <c r="C5" i="3"/>
  <c r="F271" i="13"/>
  <c r="F283" i="13"/>
  <c r="F274" i="13"/>
  <c r="F286" i="13"/>
  <c r="F275" i="13"/>
  <c r="F287" i="13"/>
  <c r="F276" i="13"/>
  <c r="F288" i="13"/>
  <c r="F278" i="13"/>
  <c r="F290" i="13"/>
  <c r="F280" i="13"/>
  <c r="F292" i="13"/>
  <c r="F293" i="13"/>
  <c r="F294" i="13"/>
  <c r="F272" i="13"/>
  <c r="F279" i="13"/>
  <c r="F273" i="13"/>
  <c r="F277" i="13"/>
  <c r="F289" i="13"/>
  <c r="F281" i="13"/>
  <c r="F291" i="13"/>
  <c r="F282" i="13"/>
  <c r="F284" i="13"/>
  <c r="F285" i="13"/>
  <c r="C271" i="13"/>
  <c r="C283" i="13"/>
  <c r="C272" i="13"/>
  <c r="C284" i="13"/>
  <c r="C273" i="13"/>
  <c r="C285" i="13"/>
  <c r="C274" i="13"/>
  <c r="C286" i="13"/>
  <c r="C275" i="13"/>
  <c r="C287" i="13"/>
  <c r="C276" i="13"/>
  <c r="C288" i="13"/>
  <c r="C278" i="13"/>
  <c r="C290" i="13"/>
  <c r="C280" i="13"/>
  <c r="C292" i="13"/>
  <c r="C289" i="13"/>
  <c r="C282" i="13"/>
  <c r="C291" i="13"/>
  <c r="C293" i="13"/>
  <c r="C294" i="13"/>
  <c r="C281" i="13"/>
  <c r="C277" i="13"/>
  <c r="C279" i="13"/>
  <c r="AA173" i="14" a="1"/>
  <c r="L75" i="5"/>
  <c r="K75" i="5" s="1" a="1"/>
  <c r="K75" i="5" s="1"/>
  <c r="F4" i="13"/>
  <c r="F2" i="13"/>
  <c r="F3" i="13"/>
  <c r="AA154" i="14" a="1"/>
  <c r="AA154" i="14" s="1"/>
  <c r="L72" i="5"/>
  <c r="K72" i="5" s="1" a="1"/>
  <c r="K72" i="5" s="1"/>
  <c r="B3" i="13"/>
  <c r="C7" i="3"/>
  <c r="B156" i="13"/>
  <c r="C150" i="13"/>
  <c r="B2" i="13"/>
  <c r="B4" i="13"/>
  <c r="E263" i="13"/>
  <c r="AA20" i="14" a="1"/>
  <c r="AA20" i="14" s="1"/>
  <c r="C4" i="3"/>
  <c r="F153" i="13"/>
  <c r="F21" i="13"/>
  <c r="F115" i="13"/>
  <c r="F109" i="13"/>
  <c r="C15" i="13"/>
  <c r="F61" i="13"/>
  <c r="F213" i="13"/>
  <c r="F138" i="13"/>
  <c r="F238" i="13"/>
  <c r="E3" i="13"/>
  <c r="C103" i="13"/>
  <c r="F249" i="13"/>
  <c r="F204" i="13"/>
  <c r="F26" i="13"/>
  <c r="F134" i="13"/>
  <c r="C242" i="13"/>
  <c r="F146" i="13"/>
  <c r="F135" i="13"/>
  <c r="F79" i="13"/>
  <c r="E22" i="13"/>
  <c r="C5" i="13"/>
  <c r="F169" i="13"/>
  <c r="F190" i="13"/>
  <c r="F202" i="13"/>
  <c r="E243" i="13"/>
  <c r="E250" i="13"/>
  <c r="E256" i="13"/>
  <c r="C80" i="13"/>
  <c r="F44" i="13"/>
  <c r="F220" i="13"/>
  <c r="F259" i="13"/>
  <c r="C220" i="13"/>
  <c r="F55" i="13"/>
  <c r="F58" i="13"/>
  <c r="F171" i="13"/>
  <c r="E168" i="13"/>
  <c r="E258" i="13"/>
  <c r="E36" i="13"/>
  <c r="C249" i="13"/>
  <c r="F7" i="13"/>
  <c r="F175" i="13"/>
  <c r="F131" i="13"/>
  <c r="E67" i="13"/>
  <c r="E134" i="13"/>
  <c r="E261" i="13"/>
  <c r="C255" i="13"/>
  <c r="F227" i="13"/>
  <c r="F63" i="13"/>
  <c r="F46" i="13"/>
  <c r="C98" i="13"/>
  <c r="F59" i="13"/>
  <c r="F51" i="13"/>
  <c r="F140" i="13"/>
  <c r="F62" i="13"/>
  <c r="E6" i="13"/>
  <c r="C121" i="13"/>
  <c r="F25" i="13"/>
  <c r="F165" i="13"/>
  <c r="F245" i="13"/>
  <c r="F57" i="13"/>
  <c r="C24" i="13"/>
  <c r="F129" i="13"/>
  <c r="F161" i="13"/>
  <c r="F24" i="13"/>
  <c r="F229" i="13"/>
  <c r="C41" i="13"/>
  <c r="C258" i="13"/>
  <c r="C189" i="13"/>
  <c r="C126" i="13"/>
  <c r="C14" i="13"/>
  <c r="C173" i="13"/>
  <c r="C69" i="13"/>
  <c r="C2" i="13"/>
  <c r="C237" i="13"/>
  <c r="C39" i="13"/>
  <c r="C155" i="13"/>
  <c r="C238" i="13"/>
  <c r="C77" i="13"/>
  <c r="C164" i="13"/>
  <c r="C270" i="13"/>
  <c r="C105" i="13"/>
  <c r="C33" i="13"/>
  <c r="C38" i="13"/>
  <c r="C100" i="13"/>
  <c r="C145" i="13"/>
  <c r="C74" i="13"/>
  <c r="C142" i="13"/>
  <c r="C62" i="13"/>
  <c r="C130" i="13"/>
  <c r="C81" i="13"/>
  <c r="C231" i="13"/>
  <c r="C44" i="13"/>
  <c r="C218" i="13"/>
  <c r="C246" i="13"/>
  <c r="C236" i="13"/>
  <c r="C36" i="13"/>
  <c r="C221" i="13"/>
  <c r="C178" i="13"/>
  <c r="C201" i="13"/>
  <c r="C7" i="13"/>
  <c r="C91" i="13"/>
  <c r="C256" i="13"/>
  <c r="C99" i="13"/>
  <c r="C83" i="13"/>
  <c r="C12" i="13"/>
  <c r="C117" i="13"/>
  <c r="C102" i="13"/>
  <c r="C32" i="13"/>
  <c r="C86" i="13"/>
  <c r="F233" i="13"/>
  <c r="F174" i="13"/>
  <c r="F49" i="13"/>
  <c r="F200" i="13"/>
  <c r="F195" i="13"/>
  <c r="F226" i="13"/>
  <c r="F23" i="13"/>
  <c r="F87" i="13"/>
  <c r="F173" i="13"/>
  <c r="F116" i="13"/>
  <c r="F242" i="13"/>
  <c r="F110" i="13"/>
  <c r="F125" i="13"/>
  <c r="F16" i="13"/>
  <c r="F70" i="13"/>
  <c r="F232" i="13"/>
  <c r="F5" i="13"/>
  <c r="F50" i="13"/>
  <c r="F96" i="13"/>
  <c r="F42" i="13"/>
  <c r="F130" i="13"/>
  <c r="C268" i="13"/>
  <c r="D264" i="13"/>
  <c r="C198" i="13"/>
  <c r="C76" i="13"/>
  <c r="C132" i="13"/>
  <c r="C195" i="13"/>
  <c r="C87" i="13"/>
  <c r="C163" i="13"/>
  <c r="C260" i="13"/>
  <c r="C208" i="13"/>
  <c r="C159" i="13"/>
  <c r="C30" i="13"/>
  <c r="C254" i="13"/>
  <c r="C167" i="13"/>
  <c r="C143" i="13"/>
  <c r="C75" i="13"/>
  <c r="C233" i="13"/>
  <c r="C21" i="13"/>
  <c r="C245" i="13"/>
  <c r="C153" i="13"/>
  <c r="C82" i="13"/>
  <c r="C247" i="13"/>
  <c r="C116" i="13"/>
  <c r="C59" i="13"/>
  <c r="C252" i="13"/>
  <c r="F180" i="13"/>
  <c r="F216" i="13"/>
  <c r="F176" i="13"/>
  <c r="F94" i="13"/>
  <c r="F234" i="13"/>
  <c r="F167" i="13"/>
  <c r="F47" i="13"/>
  <c r="F71" i="13"/>
  <c r="F150" i="13"/>
  <c r="F9" i="13"/>
  <c r="F179" i="13"/>
  <c r="F214" i="13"/>
  <c r="F40" i="13"/>
  <c r="F67" i="13"/>
  <c r="F188" i="13"/>
  <c r="F225" i="13"/>
  <c r="F182" i="13"/>
  <c r="F170" i="13"/>
  <c r="F189" i="13"/>
  <c r="F27" i="13"/>
  <c r="F69" i="13"/>
  <c r="C267" i="13"/>
  <c r="D263" i="13"/>
  <c r="C46" i="13"/>
  <c r="C68" i="13"/>
  <c r="C200" i="13"/>
  <c r="C157" i="13"/>
  <c r="C226" i="13"/>
  <c r="C34" i="13"/>
  <c r="C13" i="13"/>
  <c r="C199" i="13"/>
  <c r="C125" i="13"/>
  <c r="C40" i="13"/>
  <c r="C259" i="13"/>
  <c r="C63" i="13"/>
  <c r="C192" i="13"/>
  <c r="C56" i="13"/>
  <c r="C209" i="13"/>
  <c r="C16" i="13"/>
  <c r="C183" i="13"/>
  <c r="C128" i="13"/>
  <c r="C25" i="13"/>
  <c r="C122" i="13"/>
  <c r="C217" i="13"/>
  <c r="C37" i="13"/>
  <c r="F39" i="13"/>
  <c r="F123" i="13"/>
  <c r="F75" i="13"/>
  <c r="F66" i="13"/>
  <c r="F203" i="13"/>
  <c r="F253" i="13"/>
  <c r="F184" i="13"/>
  <c r="F11" i="13"/>
  <c r="F85" i="13"/>
  <c r="F163" i="13"/>
  <c r="F101" i="13"/>
  <c r="F89" i="13"/>
  <c r="F100" i="13"/>
  <c r="F201" i="13"/>
  <c r="F172" i="13"/>
  <c r="F114" i="13"/>
  <c r="F45" i="13"/>
  <c r="F156" i="13"/>
  <c r="F205" i="13"/>
  <c r="F119" i="13"/>
  <c r="F127" i="13"/>
  <c r="F102" i="13"/>
  <c r="E269" i="13"/>
  <c r="C266" i="13"/>
  <c r="F270" i="13"/>
  <c r="C179" i="13"/>
  <c r="C49" i="13"/>
  <c r="C269" i="13"/>
  <c r="E89" i="13"/>
  <c r="E249" i="13"/>
  <c r="E234" i="13"/>
  <c r="C60" i="13"/>
  <c r="C47" i="13"/>
  <c r="C244" i="13"/>
  <c r="C204" i="13"/>
  <c r="C176" i="13"/>
  <c r="C6" i="13"/>
  <c r="C115" i="13"/>
  <c r="C151" i="13"/>
  <c r="C112" i="13"/>
  <c r="C50" i="13"/>
  <c r="C235" i="13"/>
  <c r="C172" i="13"/>
  <c r="C70" i="13"/>
  <c r="C11" i="13"/>
  <c r="C133" i="13"/>
  <c r="C146" i="13"/>
  <c r="C228" i="13"/>
  <c r="C45" i="13"/>
  <c r="C214" i="13"/>
  <c r="C120" i="13"/>
  <c r="C229" i="13"/>
  <c r="F250" i="13"/>
  <c r="F41" i="13"/>
  <c r="F239" i="13"/>
  <c r="F254" i="13"/>
  <c r="F147" i="13"/>
  <c r="F72" i="13"/>
  <c r="F248" i="13"/>
  <c r="F19" i="13"/>
  <c r="F82" i="13"/>
  <c r="F112" i="13"/>
  <c r="F217" i="13"/>
  <c r="F158" i="13"/>
  <c r="F28" i="13"/>
  <c r="F164" i="13"/>
  <c r="F230" i="13"/>
  <c r="F20" i="13"/>
  <c r="F98" i="13"/>
  <c r="F186" i="13"/>
  <c r="F183" i="13"/>
  <c r="F76" i="13"/>
  <c r="F56" i="13"/>
  <c r="F145" i="13"/>
  <c r="E270" i="13"/>
  <c r="C265" i="13"/>
  <c r="F269" i="13"/>
  <c r="C89" i="13"/>
  <c r="C51" i="13"/>
  <c r="C141" i="13"/>
  <c r="C230" i="13"/>
  <c r="C97" i="13"/>
  <c r="C84" i="13"/>
  <c r="C243" i="13"/>
  <c r="C108" i="13"/>
  <c r="C90" i="13"/>
  <c r="C52" i="13"/>
  <c r="C251" i="13"/>
  <c r="C188" i="13"/>
  <c r="C241" i="13"/>
  <c r="C123" i="13"/>
  <c r="C55" i="13"/>
  <c r="C248" i="13"/>
  <c r="C53" i="13"/>
  <c r="C182" i="13"/>
  <c r="C42" i="13"/>
  <c r="C194" i="13"/>
  <c r="C101" i="13"/>
  <c r="F74" i="13"/>
  <c r="F104" i="13"/>
  <c r="F77" i="13"/>
  <c r="F143" i="13"/>
  <c r="F196" i="13"/>
  <c r="F262" i="13"/>
  <c r="F33" i="13"/>
  <c r="F43" i="13"/>
  <c r="F141" i="13"/>
  <c r="F132" i="13"/>
  <c r="F95" i="13"/>
  <c r="F14" i="13"/>
  <c r="F240" i="13"/>
  <c r="F162" i="13"/>
  <c r="F208" i="13"/>
  <c r="F209" i="13"/>
  <c r="F34" i="13"/>
  <c r="F237" i="13"/>
  <c r="F6" i="13"/>
  <c r="F92" i="13"/>
  <c r="F211" i="13"/>
  <c r="F199" i="13"/>
  <c r="E268" i="13"/>
  <c r="C264" i="13"/>
  <c r="F268" i="13"/>
  <c r="C22" i="13"/>
  <c r="C186" i="13"/>
  <c r="C170" i="13"/>
  <c r="C54" i="13"/>
  <c r="C180" i="13"/>
  <c r="C113" i="13"/>
  <c r="C169" i="13"/>
  <c r="C175" i="13"/>
  <c r="C111" i="13"/>
  <c r="C240" i="13"/>
  <c r="C110" i="13"/>
  <c r="C31" i="13"/>
  <c r="C73" i="13"/>
  <c r="C156" i="13"/>
  <c r="C191" i="13"/>
  <c r="C185" i="13"/>
  <c r="C138" i="13"/>
  <c r="C57" i="13"/>
  <c r="C114" i="13"/>
  <c r="C162" i="13"/>
  <c r="C19" i="13"/>
  <c r="C239" i="13"/>
  <c r="C92" i="13"/>
  <c r="F235" i="13"/>
  <c r="F258" i="13"/>
  <c r="F218" i="13"/>
  <c r="F36" i="13"/>
  <c r="F17" i="13"/>
  <c r="F191" i="13"/>
  <c r="F151" i="13"/>
  <c r="F198" i="13"/>
  <c r="F142" i="13"/>
  <c r="F88" i="13"/>
  <c r="F53" i="13"/>
  <c r="F86" i="13"/>
  <c r="F90" i="13"/>
  <c r="F48" i="13"/>
  <c r="F148" i="13"/>
  <c r="F223" i="13"/>
  <c r="F65" i="13"/>
  <c r="F149" i="13"/>
  <c r="F10" i="13"/>
  <c r="F221" i="13"/>
  <c r="F210" i="13"/>
  <c r="F260" i="13"/>
  <c r="E267" i="13"/>
  <c r="C263" i="13"/>
  <c r="F267" i="13"/>
  <c r="C227" i="13"/>
  <c r="C232" i="13"/>
  <c r="C64" i="13"/>
  <c r="C23" i="13"/>
  <c r="C96" i="13"/>
  <c r="C197" i="13"/>
  <c r="C27" i="13"/>
  <c r="C205" i="13"/>
  <c r="C154" i="13"/>
  <c r="C139" i="13"/>
  <c r="C207" i="13"/>
  <c r="C18" i="13"/>
  <c r="C94" i="13"/>
  <c r="C212" i="13"/>
  <c r="C140" i="13"/>
  <c r="C219" i="13"/>
  <c r="C8" i="13"/>
  <c r="C152" i="13"/>
  <c r="C168" i="13"/>
  <c r="C210" i="13"/>
  <c r="C187" i="13"/>
  <c r="C222" i="13"/>
  <c r="F193" i="13"/>
  <c r="F261" i="13"/>
  <c r="F113" i="13"/>
  <c r="F257" i="13"/>
  <c r="F83" i="13"/>
  <c r="F192" i="13"/>
  <c r="F120" i="13"/>
  <c r="F187" i="13"/>
  <c r="F228" i="13"/>
  <c r="F243" i="13"/>
  <c r="F122" i="13"/>
  <c r="F157" i="13"/>
  <c r="F224" i="13"/>
  <c r="F35" i="13"/>
  <c r="F212" i="13"/>
  <c r="F194" i="13"/>
  <c r="F64" i="13"/>
  <c r="F52" i="13"/>
  <c r="F152" i="13"/>
  <c r="F256" i="13"/>
  <c r="F29" i="13"/>
  <c r="F255" i="13"/>
  <c r="E266" i="13"/>
  <c r="D270" i="13"/>
  <c r="F266" i="13"/>
  <c r="C107" i="13"/>
  <c r="C171" i="13"/>
  <c r="C184" i="13"/>
  <c r="C206" i="13"/>
  <c r="C67" i="13"/>
  <c r="C66" i="13"/>
  <c r="C93" i="13"/>
  <c r="C48" i="13"/>
  <c r="C9" i="13"/>
  <c r="C104" i="13"/>
  <c r="C35" i="13"/>
  <c r="C225" i="13"/>
  <c r="C10" i="13"/>
  <c r="C174" i="13"/>
  <c r="C215" i="13"/>
  <c r="C177" i="13"/>
  <c r="C193" i="13"/>
  <c r="C17" i="13"/>
  <c r="C216" i="13"/>
  <c r="C134" i="13"/>
  <c r="C72" i="13"/>
  <c r="C147" i="13"/>
  <c r="C131" i="13"/>
  <c r="F236" i="13"/>
  <c r="F30" i="13"/>
  <c r="F32" i="13"/>
  <c r="F78" i="13"/>
  <c r="F244" i="13"/>
  <c r="F73" i="13"/>
  <c r="F137" i="13"/>
  <c r="F144" i="13"/>
  <c r="F128" i="13"/>
  <c r="F103" i="13"/>
  <c r="F178" i="13"/>
  <c r="F247" i="13"/>
  <c r="F22" i="13"/>
  <c r="F166" i="13"/>
  <c r="F246" i="13"/>
  <c r="F8" i="13"/>
  <c r="F105" i="13"/>
  <c r="F18" i="13"/>
  <c r="F117" i="13"/>
  <c r="F60" i="13"/>
  <c r="F124" i="13"/>
  <c r="F13" i="13"/>
  <c r="E265" i="13"/>
  <c r="F265" i="13"/>
  <c r="C20" i="13"/>
  <c r="C127" i="13"/>
  <c r="C190" i="13"/>
  <c r="C202" i="13"/>
  <c r="C161" i="13"/>
  <c r="C106" i="13"/>
  <c r="C137" i="13"/>
  <c r="C165" i="13"/>
  <c r="C26" i="13"/>
  <c r="C109" i="13"/>
  <c r="C158" i="13"/>
  <c r="C196" i="13"/>
  <c r="C211" i="13"/>
  <c r="C135" i="13"/>
  <c r="C234" i="13"/>
  <c r="C261" i="13"/>
  <c r="C58" i="13"/>
  <c r="C71" i="13"/>
  <c r="C213" i="13"/>
  <c r="C124" i="13"/>
  <c r="C61" i="13"/>
  <c r="C257" i="13"/>
  <c r="C88" i="13"/>
  <c r="C4" i="13"/>
  <c r="F219" i="13"/>
  <c r="F93" i="13"/>
  <c r="F107" i="13"/>
  <c r="F121" i="13"/>
  <c r="F91" i="13"/>
  <c r="F108" i="13"/>
  <c r="F154" i="13"/>
  <c r="F133" i="13"/>
  <c r="F106" i="13"/>
  <c r="F197" i="13"/>
  <c r="F139" i="13"/>
  <c r="F118" i="13"/>
  <c r="F12" i="13"/>
  <c r="F160" i="13"/>
  <c r="F80" i="13"/>
  <c r="F177" i="13"/>
  <c r="F31" i="13"/>
  <c r="F215" i="13"/>
  <c r="F231" i="13"/>
  <c r="F54" i="13"/>
  <c r="F206" i="13"/>
  <c r="E264" i="13"/>
  <c r="D268" i="13"/>
  <c r="F264" i="13"/>
  <c r="C129" i="13"/>
  <c r="C149" i="13"/>
  <c r="C28" i="13"/>
  <c r="C203" i="13"/>
  <c r="C160" i="13"/>
  <c r="C29" i="13"/>
  <c r="C262" i="13"/>
  <c r="C43" i="13"/>
  <c r="C253" i="13"/>
  <c r="C65" i="13"/>
  <c r="C118" i="13"/>
  <c r="C144" i="13"/>
  <c r="C181" i="13"/>
  <c r="C78" i="13"/>
  <c r="C250" i="13"/>
  <c r="C166" i="13"/>
  <c r="C119" i="13"/>
  <c r="C224" i="13"/>
  <c r="C79" i="13"/>
  <c r="C223" i="13"/>
  <c r="C85" i="13"/>
  <c r="C148" i="13"/>
  <c r="C95" i="13"/>
  <c r="C136" i="13"/>
  <c r="C3" i="13"/>
  <c r="F168" i="13"/>
  <c r="F15" i="13"/>
  <c r="F251" i="13"/>
  <c r="F97" i="13"/>
  <c r="F99" i="13"/>
  <c r="F159" i="13"/>
  <c r="F207" i="13"/>
  <c r="F37" i="13"/>
  <c r="F181" i="13"/>
  <c r="F252" i="13"/>
  <c r="F241" i="13"/>
  <c r="F155" i="13"/>
  <c r="F84" i="13"/>
  <c r="F185" i="13"/>
  <c r="F111" i="13"/>
  <c r="F38" i="13"/>
  <c r="F81" i="13"/>
  <c r="F68" i="13"/>
  <c r="F126" i="13"/>
  <c r="F222" i="13"/>
  <c r="F136" i="13"/>
  <c r="D267" i="13"/>
  <c r="F263" i="13"/>
  <c r="B264" i="13"/>
  <c r="B265" i="13"/>
  <c r="B266" i="13"/>
  <c r="B267" i="13"/>
  <c r="B268" i="13"/>
  <c r="B269" i="13"/>
  <c r="B270" i="13"/>
  <c r="B263" i="13"/>
  <c r="C6" i="3"/>
  <c r="L68" i="5"/>
  <c r="K68" i="5" s="1" a="1"/>
  <c r="K68" i="5" s="1"/>
  <c r="AA2" i="9" a="1"/>
  <c r="AA96" i="14" a="1"/>
  <c r="AA54" i="8" a="1"/>
  <c r="AA2" i="8" a="1"/>
  <c r="L42" i="5"/>
  <c r="K42" i="5" s="1" a="1"/>
  <c r="K42" i="5" s="1"/>
  <c r="L60" i="5"/>
  <c r="K60" i="5" s="1" a="1"/>
  <c r="K60" i="5" s="1"/>
  <c r="L46" i="5"/>
  <c r="K46" i="5" s="1" a="1"/>
  <c r="K46" i="5" s="1"/>
  <c r="L45" i="5"/>
  <c r="K45" i="5" s="1" a="1"/>
  <c r="K45" i="5" s="1"/>
  <c r="L8" i="5"/>
  <c r="K8" i="5" s="1" a="1"/>
  <c r="K8" i="5" s="1"/>
  <c r="L12" i="5"/>
  <c r="K12" i="5" s="1" a="1"/>
  <c r="K12" i="5" s="1"/>
  <c r="AA2" i="14" a="1"/>
  <c r="AA57" i="14" a="1"/>
  <c r="L11" i="5"/>
  <c r="K11" i="5" s="1" a="1"/>
  <c r="K11" i="5" s="1"/>
  <c r="L52" i="5"/>
  <c r="K52" i="5" s="1" a="1"/>
  <c r="K52" i="5" s="1"/>
  <c r="AA136" i="14" a="1"/>
  <c r="L9" i="5"/>
  <c r="K9" i="5" s="1" a="1"/>
  <c r="K9" i="5" s="1"/>
  <c r="L27" i="5"/>
  <c r="K27" i="5" s="1" a="1"/>
  <c r="K27" i="5" s="1"/>
  <c r="L65" i="5"/>
  <c r="K65" i="5" s="1" a="1"/>
  <c r="K65" i="5" s="1"/>
  <c r="AA112" i="8" a="1"/>
  <c r="AA73" i="8" a="1"/>
  <c r="L57" i="5"/>
  <c r="K57" i="5" s="1" a="1"/>
  <c r="K57" i="5" s="1"/>
  <c r="L24" i="5"/>
  <c r="K24" i="5" s="1" a="1"/>
  <c r="K24" i="5" s="1"/>
  <c r="AA35" i="8" a="1"/>
  <c r="L40" i="5"/>
  <c r="K40" i="5" s="1" a="1"/>
  <c r="K40" i="5" s="1"/>
  <c r="L69" i="5"/>
  <c r="K69" i="5" s="1" a="1"/>
  <c r="K69" i="5" s="1"/>
  <c r="L29" i="5"/>
  <c r="K29" i="5" s="1" a="1"/>
  <c r="K29" i="5" s="1"/>
  <c r="L6" i="5"/>
  <c r="K6" i="5" s="1" a="1"/>
  <c r="K6" i="5" s="1"/>
  <c r="AA38" i="14" a="1"/>
  <c r="L15" i="5"/>
  <c r="K15" i="5" s="1" a="1"/>
  <c r="K15" i="5" s="1"/>
  <c r="L51" i="5"/>
  <c r="K51" i="5" s="1" a="1"/>
  <c r="K51" i="5" s="1"/>
  <c r="L49" i="5"/>
  <c r="K49" i="5" s="1" a="1"/>
  <c r="K49" i="5" s="1"/>
  <c r="L10" i="5"/>
  <c r="K10" i="5" s="1" a="1"/>
  <c r="K10" i="5" s="1"/>
  <c r="AA94" i="8" a="1"/>
  <c r="AA115" i="14" a="1"/>
  <c r="AA77" i="14" a="1"/>
  <c r="L59" i="5"/>
  <c r="K59" i="5" s="1" a="1"/>
  <c r="K59" i="5" s="1"/>
  <c r="AA14" i="8" a="1"/>
  <c r="L7" i="5"/>
  <c r="K7" i="5" s="1" a="1"/>
  <c r="K7" i="5" s="1"/>
  <c r="L3" i="5"/>
  <c r="K3" i="5" s="1" a="1"/>
  <c r="K3" i="5" s="1"/>
  <c r="L63" i="5"/>
  <c r="K63" i="5" s="1" a="1"/>
  <c r="K63" i="5" s="1"/>
  <c r="L19" i="5"/>
  <c r="K19" i="5" s="1" a="1"/>
  <c r="K19" i="5" s="1"/>
  <c r="L23" i="5"/>
  <c r="K23" i="5" s="1" a="1"/>
  <c r="K23" i="5" s="1"/>
  <c r="L44" i="5"/>
  <c r="K44" i="5" s="1" a="1"/>
  <c r="K44" i="5" s="1"/>
  <c r="L56" i="5"/>
  <c r="K56" i="5" s="1" a="1"/>
  <c r="K56" i="5" s="1"/>
  <c r="L48" i="5"/>
  <c r="K48" i="5" s="1" a="1"/>
  <c r="K48" i="5" s="1"/>
  <c r="B7" i="13"/>
  <c r="B21" i="13"/>
  <c r="B5" i="13"/>
  <c r="B12" i="13"/>
  <c r="B14" i="13"/>
  <c r="B22" i="13"/>
  <c r="B15" i="13"/>
  <c r="B10" i="13"/>
  <c r="B25" i="13"/>
  <c r="B6" i="13"/>
  <c r="B20" i="13"/>
  <c r="B24" i="13"/>
  <c r="B23" i="13"/>
  <c r="B9" i="13"/>
  <c r="B11" i="13"/>
  <c r="B18" i="13"/>
  <c r="B13" i="13"/>
  <c r="B19" i="13"/>
  <c r="B17" i="13"/>
  <c r="B16" i="13"/>
  <c r="B8" i="13"/>
  <c r="B257" i="13"/>
  <c r="B248" i="13"/>
  <c r="B146" i="13"/>
  <c r="B167" i="13"/>
  <c r="B249" i="13"/>
  <c r="B163" i="13"/>
  <c r="B168" i="13"/>
  <c r="B108" i="13"/>
  <c r="B141" i="13"/>
  <c r="B251" i="13"/>
  <c r="B254" i="13"/>
  <c r="B135" i="13"/>
  <c r="B103" i="13"/>
  <c r="B117" i="13"/>
  <c r="B130" i="13"/>
  <c r="B125" i="13"/>
  <c r="B133" i="13"/>
  <c r="B256" i="13"/>
  <c r="B93" i="13"/>
  <c r="B259" i="13"/>
  <c r="B165" i="13"/>
  <c r="B262" i="13"/>
  <c r="B260" i="13"/>
  <c r="B109" i="13"/>
  <c r="B261" i="13"/>
  <c r="B255" i="13"/>
  <c r="B157" i="13"/>
  <c r="B170" i="13"/>
  <c r="B104" i="13"/>
  <c r="B158" i="13"/>
  <c r="B253" i="13"/>
  <c r="B106" i="13"/>
  <c r="B144" i="13"/>
  <c r="B107" i="13"/>
  <c r="B92" i="13"/>
  <c r="B252" i="13"/>
  <c r="B87" i="13"/>
  <c r="B169" i="13"/>
  <c r="B80" i="13"/>
  <c r="B74" i="13"/>
  <c r="B236" i="13"/>
  <c r="B30" i="13"/>
  <c r="B209" i="13"/>
  <c r="B199" i="13"/>
  <c r="B50" i="13"/>
  <c r="B65" i="13"/>
  <c r="B124" i="13"/>
  <c r="B46" i="13"/>
  <c r="B175" i="13"/>
  <c r="B99" i="13"/>
  <c r="C3" i="3"/>
  <c r="B63" i="13"/>
  <c r="B234" i="13"/>
  <c r="B86" i="13"/>
  <c r="B214" i="13"/>
  <c r="B150" i="13"/>
  <c r="B131" i="13"/>
  <c r="B121" i="13"/>
  <c r="B111" i="13"/>
  <c r="B153" i="13"/>
  <c r="B239" i="13"/>
  <c r="B246" i="13"/>
  <c r="B148" i="13"/>
  <c r="B145" i="13"/>
  <c r="B237" i="13"/>
  <c r="B198" i="13"/>
  <c r="B32" i="13"/>
  <c r="B132" i="13"/>
  <c r="B41" i="13"/>
  <c r="B88" i="13"/>
  <c r="B72" i="13"/>
  <c r="B49" i="13"/>
  <c r="B128" i="13"/>
  <c r="B89" i="13"/>
  <c r="B73" i="13"/>
  <c r="B250" i="13"/>
  <c r="B160" i="13"/>
  <c r="B97" i="13"/>
  <c r="B126" i="13"/>
  <c r="B210" i="13"/>
  <c r="B116" i="13"/>
  <c r="B120" i="13"/>
  <c r="B71" i="13"/>
  <c r="B217" i="13"/>
  <c r="B138" i="13"/>
  <c r="B177" i="13"/>
  <c r="B152" i="13"/>
  <c r="B68" i="13"/>
  <c r="B81" i="13"/>
  <c r="B227" i="13"/>
  <c r="B159" i="13"/>
  <c r="B110" i="13"/>
  <c r="B60" i="13"/>
  <c r="B129" i="13"/>
  <c r="B39" i="13"/>
  <c r="B200" i="13"/>
  <c r="B91" i="13"/>
  <c r="B77" i="13"/>
  <c r="B187" i="13"/>
  <c r="B174" i="13"/>
  <c r="B225" i="13"/>
  <c r="B57" i="13"/>
  <c r="B241" i="13"/>
  <c r="B166" i="13"/>
  <c r="B26" i="13"/>
  <c r="B61" i="13"/>
  <c r="B48" i="13"/>
  <c r="B38" i="13"/>
  <c r="B27" i="13"/>
  <c r="B211" i="13"/>
  <c r="B223" i="13"/>
  <c r="B173" i="13"/>
  <c r="B179" i="13"/>
  <c r="B136" i="13"/>
  <c r="B78" i="13"/>
  <c r="B94" i="13"/>
  <c r="B95" i="13"/>
  <c r="B118" i="13"/>
  <c r="B66" i="13"/>
  <c r="B193" i="13"/>
  <c r="B192" i="13"/>
  <c r="B235" i="13"/>
  <c r="B123" i="13"/>
  <c r="B33" i="13"/>
  <c r="B52" i="13"/>
  <c r="B43" i="13"/>
  <c r="B147" i="13"/>
  <c r="B195" i="13"/>
  <c r="B231" i="13"/>
  <c r="B171" i="13"/>
  <c r="B161" i="13"/>
  <c r="B28" i="13"/>
  <c r="B105" i="13"/>
  <c r="B31" i="13"/>
  <c r="B143" i="13"/>
  <c r="B79" i="13"/>
  <c r="B102" i="13"/>
  <c r="B240" i="13"/>
  <c r="B204" i="13"/>
  <c r="B229" i="13"/>
  <c r="B70" i="13"/>
  <c r="B51" i="13"/>
  <c r="B258" i="13"/>
  <c r="B238" i="13"/>
  <c r="B205" i="13"/>
  <c r="B230" i="13"/>
  <c r="B34" i="13"/>
  <c r="B67" i="13"/>
  <c r="B196" i="13"/>
  <c r="B201" i="13"/>
  <c r="B62" i="13"/>
  <c r="B36" i="13"/>
  <c r="B96" i="13"/>
  <c r="B232" i="13"/>
  <c r="B162" i="13"/>
  <c r="B203" i="13"/>
  <c r="B47" i="13"/>
  <c r="B164" i="13"/>
  <c r="B228" i="13"/>
  <c r="B45" i="13"/>
  <c r="B226" i="13"/>
  <c r="B247" i="13"/>
  <c r="B218" i="13"/>
  <c r="B221" i="13"/>
  <c r="B183" i="13"/>
  <c r="B244" i="13"/>
  <c r="B149" i="13"/>
  <c r="B55" i="13"/>
  <c r="B180" i="13"/>
  <c r="B53" i="13"/>
  <c r="B58" i="13"/>
  <c r="B90" i="13"/>
  <c r="B44" i="13"/>
  <c r="B84" i="13"/>
  <c r="B224" i="13"/>
  <c r="B134" i="13"/>
  <c r="B56" i="13"/>
  <c r="B114" i="13"/>
  <c r="B127" i="13"/>
  <c r="B178" i="13"/>
  <c r="B181" i="13"/>
  <c r="B233" i="13"/>
  <c r="B35" i="13"/>
  <c r="B182" i="13"/>
  <c r="B54" i="13"/>
  <c r="B83" i="13"/>
  <c r="B185" i="13"/>
  <c r="B188" i="13"/>
  <c r="B243" i="13"/>
  <c r="B59" i="13"/>
  <c r="B98" i="13"/>
  <c r="B190" i="13"/>
  <c r="B206" i="13"/>
  <c r="B213" i="13"/>
  <c r="B139" i="13"/>
  <c r="B82" i="13"/>
  <c r="B222" i="13"/>
  <c r="B69" i="13"/>
  <c r="B155" i="13"/>
  <c r="B215" i="13"/>
  <c r="B42" i="13"/>
  <c r="B242" i="13"/>
  <c r="B115" i="13"/>
  <c r="B189" i="13"/>
  <c r="B245" i="13"/>
  <c r="B29" i="13"/>
  <c r="B194" i="13"/>
  <c r="B100" i="13"/>
  <c r="B101" i="13"/>
  <c r="B197" i="13"/>
  <c r="B122" i="13"/>
  <c r="B112" i="13"/>
  <c r="B202" i="13"/>
  <c r="B140" i="13"/>
  <c r="B154" i="13"/>
  <c r="B75" i="13"/>
  <c r="B208" i="13"/>
  <c r="B186" i="13"/>
  <c r="B212" i="13"/>
  <c r="B184" i="13"/>
  <c r="B37" i="13"/>
  <c r="B142" i="13"/>
  <c r="B64" i="13"/>
  <c r="B207" i="13"/>
  <c r="B113" i="13"/>
  <c r="B216" i="13"/>
  <c r="B172" i="13"/>
  <c r="B40" i="13"/>
  <c r="B219" i="13"/>
  <c r="B151" i="13"/>
  <c r="B85" i="13"/>
  <c r="B191" i="13"/>
  <c r="B76" i="13"/>
  <c r="B137" i="13"/>
  <c r="B220" i="13"/>
  <c r="B176" i="13"/>
  <c r="B119" i="13"/>
  <c r="M13" i="3" a="1"/>
  <c r="G173" i="13" l="1" a="1"/>
  <c r="G173" i="13" s="1"/>
  <c r="G90" i="13" a="1"/>
  <c r="G90" i="13" s="1"/>
  <c r="G102" i="13" a="1"/>
  <c r="G102" i="13" s="1"/>
  <c r="G19" i="13" a="1"/>
  <c r="G19" i="13" s="1"/>
  <c r="G58" i="13" a="1"/>
  <c r="G58" i="13" s="1"/>
  <c r="G135" i="13" a="1"/>
  <c r="G135" i="13" s="1"/>
  <c r="G186" i="13" a="1"/>
  <c r="G186" i="13" s="1"/>
  <c r="G77" i="13" a="1"/>
  <c r="G77" i="13" s="1"/>
  <c r="G210" i="13" a="1"/>
  <c r="G210" i="13" s="1"/>
  <c r="G33" i="13" a="1"/>
  <c r="G33" i="13" s="1"/>
  <c r="G223" i="13" a="1"/>
  <c r="G223" i="13" s="1"/>
  <c r="G248" i="13" a="1"/>
  <c r="G248" i="13" s="1"/>
  <c r="G151" i="13" a="1"/>
  <c r="G151" i="13" s="1"/>
  <c r="G245" i="13" a="1"/>
  <c r="G245" i="13" s="1"/>
  <c r="G87" i="13" a="1"/>
  <c r="G87" i="13" s="1"/>
  <c r="G127" i="13" a="1"/>
  <c r="G127" i="13" s="1"/>
  <c r="G10" i="13" a="1"/>
  <c r="G10" i="13" s="1"/>
  <c r="G238" i="13" a="1"/>
  <c r="G238" i="13" s="1"/>
  <c r="G13" i="13" a="1"/>
  <c r="G13" i="13" s="1"/>
  <c r="G93" i="13" a="1"/>
  <c r="G93" i="13" s="1"/>
  <c r="G179" i="13" a="1"/>
  <c r="G179" i="13" s="1"/>
  <c r="G236" i="13" a="1"/>
  <c r="G236" i="13" s="1"/>
  <c r="G130" i="13" a="1"/>
  <c r="G130" i="13" s="1"/>
  <c r="G211" i="13" a="1"/>
  <c r="G211" i="13" s="1"/>
  <c r="G42" i="13" a="1"/>
  <c r="G42" i="13" s="1"/>
  <c r="G207" i="13" a="1"/>
  <c r="G207" i="13" s="1"/>
  <c r="G214" i="13" a="1"/>
  <c r="G214" i="13" s="1"/>
  <c r="G30" i="13" a="1"/>
  <c r="G30" i="13" s="1"/>
  <c r="G54" i="13" a="1"/>
  <c r="G54" i="13" s="1"/>
  <c r="G196" i="13" a="1"/>
  <c r="G196" i="13" s="1"/>
  <c r="G52" i="13" a="1"/>
  <c r="G52" i="13" s="1"/>
  <c r="G225" i="13" a="1"/>
  <c r="G225" i="13" s="1"/>
  <c r="G81" i="13" a="1"/>
  <c r="G81" i="13" s="1"/>
  <c r="G389" i="13" a="1"/>
  <c r="G389" i="13" s="1"/>
  <c r="G101" i="13" a="1"/>
  <c r="G101" i="13" s="1"/>
  <c r="G226" i="13" a="1"/>
  <c r="G226" i="13" s="1"/>
  <c r="G9" i="13" a="1"/>
  <c r="G9" i="13" s="1"/>
  <c r="G146" i="13" a="1"/>
  <c r="G146" i="13" s="1"/>
  <c r="G217" i="13" a="1"/>
  <c r="G217" i="13" s="1"/>
  <c r="G216" i="13" a="1"/>
  <c r="G216" i="13" s="1"/>
  <c r="G197" i="13" a="1"/>
  <c r="G197" i="13" s="1"/>
  <c r="G84" i="13" a="1"/>
  <c r="G84" i="13" s="1"/>
  <c r="G396" i="13" a="1"/>
  <c r="G396" i="13" s="1"/>
  <c r="G59" i="13" a="1"/>
  <c r="G59" i="13" s="1"/>
  <c r="G184" i="13" a="1"/>
  <c r="G184" i="13" s="1"/>
  <c r="G67" i="13" a="1"/>
  <c r="G67" i="13" s="1"/>
  <c r="G145" i="13" a="1"/>
  <c r="G145" i="13" s="1"/>
  <c r="G143" i="13" a="1"/>
  <c r="G143" i="13" s="1"/>
  <c r="G25" i="13" a="1"/>
  <c r="G25" i="13" s="1"/>
  <c r="G116" i="13" a="1"/>
  <c r="G116" i="13" s="1"/>
  <c r="G259" i="13" a="1"/>
  <c r="G259" i="13" s="1"/>
  <c r="G95" i="13" a="1"/>
  <c r="G95" i="13" s="1"/>
  <c r="G126" i="13" a="1"/>
  <c r="G126" i="13" s="1"/>
  <c r="G218" i="13" a="1"/>
  <c r="G218" i="13" s="1"/>
  <c r="G215" i="13" a="1"/>
  <c r="G215" i="13" s="1"/>
  <c r="G246" i="13" a="1"/>
  <c r="G246" i="13" s="1"/>
  <c r="G251" i="13" a="1"/>
  <c r="G251" i="13" s="1"/>
  <c r="G390" i="13" a="1"/>
  <c r="G390" i="13" s="1"/>
  <c r="G258" i="13" a="1"/>
  <c r="G258" i="13" s="1"/>
  <c r="G237" i="13" a="1"/>
  <c r="G237" i="13" s="1"/>
  <c r="G249" i="13" a="1"/>
  <c r="G249" i="13" s="1"/>
  <c r="G21" i="13" a="1"/>
  <c r="G21" i="13" s="1"/>
  <c r="G250" i="13" a="1"/>
  <c r="G250" i="13" s="1"/>
  <c r="G74" i="13" a="1"/>
  <c r="G74" i="13" s="1"/>
  <c r="G125" i="13" a="1"/>
  <c r="G125" i="13" s="1"/>
  <c r="G209" i="13" a="1"/>
  <c r="G209" i="13" s="1"/>
  <c r="G253" i="13" a="1"/>
  <c r="G253" i="13" s="1"/>
  <c r="G60" i="13" a="1"/>
  <c r="G60" i="13" s="1"/>
  <c r="G262" i="13" a="1"/>
  <c r="G262" i="13" s="1"/>
  <c r="G76" i="13" a="1"/>
  <c r="G76" i="13" s="1"/>
  <c r="G23" i="13" a="1"/>
  <c r="G23" i="13" s="1"/>
  <c r="G44" i="13" a="1"/>
  <c r="G44" i="13" s="1"/>
  <c r="G187" i="13" a="1"/>
  <c r="G187" i="13" s="1"/>
  <c r="G199" i="13" a="1"/>
  <c r="G199" i="13" s="1"/>
  <c r="G189" i="13" a="1"/>
  <c r="G189" i="13" s="1"/>
  <c r="G260" i="13" a="1"/>
  <c r="G260" i="13" s="1"/>
  <c r="G118" i="13" a="1"/>
  <c r="G118" i="13" s="1"/>
  <c r="G88" i="13" a="1"/>
  <c r="G88" i="13" s="1"/>
  <c r="G150" i="13" a="1"/>
  <c r="G150" i="13" s="1"/>
  <c r="G220" i="13" a="1"/>
  <c r="G220" i="13" s="1"/>
  <c r="G122" i="13" a="1"/>
  <c r="G122" i="13" s="1"/>
  <c r="G147" i="13" a="1"/>
  <c r="G147" i="13" s="1"/>
  <c r="G69" i="13" a="1"/>
  <c r="G69" i="13" s="1"/>
  <c r="G133" i="13" a="1"/>
  <c r="G133" i="13" s="1"/>
  <c r="G222" i="13" a="1"/>
  <c r="G222" i="13" s="1"/>
  <c r="G37" i="13" a="1"/>
  <c r="G37" i="13" s="1"/>
  <c r="G47" i="13" a="1"/>
  <c r="G47" i="13" s="1"/>
  <c r="G27" i="13" a="1"/>
  <c r="G27" i="13" s="1"/>
  <c r="G72" i="13" a="1"/>
  <c r="G72" i="13" s="1"/>
  <c r="G92" i="13" a="1"/>
  <c r="G92" i="13" s="1"/>
  <c r="G61" i="13" a="1"/>
  <c r="G61" i="13" s="1"/>
  <c r="G43" i="13" a="1"/>
  <c r="G43" i="13" s="1"/>
  <c r="G256" i="13" a="1"/>
  <c r="G256" i="13" s="1"/>
  <c r="G163" i="13" a="1"/>
  <c r="G163" i="13" s="1"/>
  <c r="G5" i="13" a="1"/>
  <c r="G5" i="13" s="1"/>
  <c r="G398" i="13" a="1"/>
  <c r="G398" i="13" s="1"/>
  <c r="G291" i="13" a="1"/>
  <c r="G291" i="13" s="1"/>
  <c r="G270" i="13" a="1"/>
  <c r="G270" i="13" s="1"/>
  <c r="G3" i="13" a="1"/>
  <c r="G3" i="13" s="1"/>
  <c r="G392" i="13" a="1"/>
  <c r="G392" i="13" s="1"/>
  <c r="G446" i="13" a="1"/>
  <c r="G446" i="13" s="1"/>
  <c r="G418" i="13" a="1"/>
  <c r="G418" i="13" s="1"/>
  <c r="G434" i="13" a="1"/>
  <c r="G434" i="13" s="1"/>
  <c r="G444" i="13" a="1"/>
  <c r="G444" i="13" s="1"/>
  <c r="G334" i="13" a="1"/>
  <c r="G334" i="13" s="1"/>
  <c r="G384" i="13" a="1"/>
  <c r="G384" i="13" s="1"/>
  <c r="G409" i="13" a="1"/>
  <c r="G409" i="13" s="1"/>
  <c r="G422" i="13" a="1"/>
  <c r="G422" i="13" s="1"/>
  <c r="G420" i="13" a="1"/>
  <c r="G420" i="13" s="1"/>
  <c r="G445" i="13" a="1"/>
  <c r="G445" i="13" s="1"/>
  <c r="G441" i="13" a="1"/>
  <c r="G441" i="13" s="1"/>
  <c r="G406" i="13" a="1"/>
  <c r="G406" i="13" s="1"/>
  <c r="G438" i="13" a="1"/>
  <c r="G438" i="13" s="1"/>
  <c r="G433" i="13" a="1"/>
  <c r="G433" i="13" s="1"/>
  <c r="G429" i="13" a="1"/>
  <c r="G429" i="13" s="1"/>
  <c r="G426" i="13" a="1"/>
  <c r="G426" i="13" s="1"/>
  <c r="G421" i="13" a="1"/>
  <c r="G421" i="13" s="1"/>
  <c r="G417" i="13" a="1"/>
  <c r="G417" i="13" s="1"/>
  <c r="G437" i="13" a="1"/>
  <c r="G437" i="13" s="1"/>
  <c r="G432" i="13" a="1"/>
  <c r="G432" i="13" s="1"/>
  <c r="G440" i="13" a="1"/>
  <c r="G440" i="13" s="1"/>
  <c r="G397" i="13" a="1"/>
  <c r="G397" i="13" s="1"/>
  <c r="G425" i="13" a="1"/>
  <c r="G425" i="13" s="1"/>
  <c r="G443" i="13" a="1"/>
  <c r="G443" i="13" s="1"/>
  <c r="G428" i="13" a="1"/>
  <c r="G428" i="13" s="1"/>
  <c r="G436" i="13" a="1"/>
  <c r="G436" i="13" s="1"/>
  <c r="G431" i="13" a="1"/>
  <c r="G431" i="13" s="1"/>
  <c r="G416" i="13" a="1"/>
  <c r="G416" i="13" s="1"/>
  <c r="G395" i="13" a="1"/>
  <c r="G395" i="13" s="1"/>
  <c r="G424" i="13" a="1"/>
  <c r="G424" i="13" s="1"/>
  <c r="G419" i="13" a="1"/>
  <c r="G419" i="13" s="1"/>
  <c r="G439" i="13" a="1"/>
  <c r="G439" i="13" s="1"/>
  <c r="G435" i="13" a="1"/>
  <c r="G435" i="13" s="1"/>
  <c r="G442" i="13" a="1"/>
  <c r="G442" i="13" s="1"/>
  <c r="G427" i="13" a="1"/>
  <c r="G427" i="13" s="1"/>
  <c r="G393" i="13" a="1"/>
  <c r="G393" i="13" s="1"/>
  <c r="G423" i="13" a="1"/>
  <c r="G423" i="13" s="1"/>
  <c r="G430" i="13" a="1"/>
  <c r="G430" i="13" s="1"/>
  <c r="G415" i="13" a="1"/>
  <c r="G415" i="13" s="1"/>
  <c r="G167" i="13" a="1"/>
  <c r="G167" i="13" s="1"/>
  <c r="G234" i="13" a="1"/>
  <c r="G234" i="13" s="1"/>
  <c r="G104" i="13" a="1"/>
  <c r="G104" i="13" s="1"/>
  <c r="G85" i="13" a="1"/>
  <c r="G85" i="13" s="1"/>
  <c r="G174" i="13" a="1"/>
  <c r="G174" i="13" s="1"/>
  <c r="G63" i="13" a="1"/>
  <c r="G63" i="13" s="1"/>
  <c r="G212" i="13" a="1"/>
  <c r="G212" i="13" s="1"/>
  <c r="G228" i="13" a="1"/>
  <c r="G228" i="13" s="1"/>
  <c r="G169" i="13" a="1"/>
  <c r="G169" i="13" s="1"/>
  <c r="G40" i="13" a="1"/>
  <c r="G40" i="13" s="1"/>
  <c r="G48" i="13" a="1"/>
  <c r="G48" i="13" s="1"/>
  <c r="G162" i="13" a="1"/>
  <c r="G162" i="13" s="1"/>
  <c r="G113" i="13" a="1"/>
  <c r="G113" i="13" s="1"/>
  <c r="G56" i="13" a="1"/>
  <c r="G56" i="13" s="1"/>
  <c r="G112" i="13" a="1"/>
  <c r="G112" i="13" s="1"/>
  <c r="G32" i="13" a="1"/>
  <c r="G32" i="13" s="1"/>
  <c r="G57" i="13" a="1"/>
  <c r="G57" i="13" s="1"/>
  <c r="G7" i="13" a="1"/>
  <c r="G7" i="13" s="1"/>
  <c r="G123" i="13" a="1"/>
  <c r="G123" i="13" s="1"/>
  <c r="G164" i="13" a="1"/>
  <c r="G164" i="13" s="1"/>
  <c r="G192" i="13" a="1"/>
  <c r="G192" i="13" s="1"/>
  <c r="G233" i="13" a="1"/>
  <c r="G233" i="13" s="1"/>
  <c r="G208" i="13" a="1"/>
  <c r="G208" i="13" s="1"/>
  <c r="G205" i="13" a="1"/>
  <c r="G205" i="13" s="1"/>
  <c r="G75" i="13" a="1"/>
  <c r="G75" i="13" s="1"/>
  <c r="G190" i="13" a="1"/>
  <c r="G190" i="13" s="1"/>
  <c r="G178" i="13" a="1"/>
  <c r="G178" i="13" s="1"/>
  <c r="G203" i="13" a="1"/>
  <c r="G203" i="13" s="1"/>
  <c r="G28" i="13" a="1"/>
  <c r="G28" i="13" s="1"/>
  <c r="G193" i="13" a="1"/>
  <c r="G193" i="13" s="1"/>
  <c r="G200" i="13" a="1"/>
  <c r="G200" i="13" s="1"/>
  <c r="G153" i="13" a="1"/>
  <c r="G153" i="13" s="1"/>
  <c r="G46" i="13" a="1"/>
  <c r="G46" i="13" s="1"/>
  <c r="G8" i="13" a="1"/>
  <c r="G8" i="13" s="1"/>
  <c r="G29" i="13" a="1"/>
  <c r="G29" i="13" s="1"/>
  <c r="G206" i="13" a="1"/>
  <c r="G206" i="13" s="1"/>
  <c r="G172" i="13" a="1"/>
  <c r="G172" i="13" s="1"/>
  <c r="G115" i="13" a="1"/>
  <c r="G115" i="13" s="1"/>
  <c r="G71" i="13" a="1"/>
  <c r="G71" i="13" s="1"/>
  <c r="G16" i="13" a="1"/>
  <c r="G16" i="13" s="1"/>
  <c r="G292" i="13" a="1"/>
  <c r="G292" i="13" s="1"/>
  <c r="G154" i="13" a="1"/>
  <c r="G154" i="13" s="1"/>
  <c r="G140" i="13" a="1"/>
  <c r="G140" i="13" s="1"/>
  <c r="G242" i="13" a="1"/>
  <c r="G242" i="13" s="1"/>
  <c r="G114" i="13" a="1"/>
  <c r="G114" i="13" s="1"/>
  <c r="G244" i="13" a="1"/>
  <c r="G244" i="13" s="1"/>
  <c r="G232" i="13" a="1"/>
  <c r="G232" i="13" s="1"/>
  <c r="G51" i="13" a="1"/>
  <c r="G51" i="13" s="1"/>
  <c r="G171" i="13" a="1"/>
  <c r="G171" i="13" s="1"/>
  <c r="G129" i="13" a="1"/>
  <c r="G129" i="13" s="1"/>
  <c r="G120" i="13" a="1"/>
  <c r="G120" i="13" s="1"/>
  <c r="G121" i="13" a="1"/>
  <c r="G121" i="13" s="1"/>
  <c r="G65" i="13" a="1"/>
  <c r="G65" i="13" s="1"/>
  <c r="G107" i="13" a="1"/>
  <c r="G107" i="13" s="1"/>
  <c r="G17" i="13" a="1"/>
  <c r="G17" i="13" s="1"/>
  <c r="G15" i="13" a="1"/>
  <c r="G15" i="13" s="1"/>
  <c r="G98" i="13" a="1"/>
  <c r="G98" i="13" s="1"/>
  <c r="G202" i="13" a="1"/>
  <c r="G202" i="13" s="1"/>
  <c r="G183" i="13" a="1"/>
  <c r="G183" i="13" s="1"/>
  <c r="G96" i="13" a="1"/>
  <c r="G96" i="13" s="1"/>
  <c r="G70" i="13" a="1"/>
  <c r="G70" i="13" s="1"/>
  <c r="G231" i="13" a="1"/>
  <c r="G231" i="13" s="1"/>
  <c r="G26" i="13" a="1"/>
  <c r="G26" i="13" s="1"/>
  <c r="G41" i="13" a="1"/>
  <c r="G41" i="13" s="1"/>
  <c r="G50" i="13" a="1"/>
  <c r="G50" i="13" s="1"/>
  <c r="G165" i="13" a="1"/>
  <c r="G165" i="13" s="1"/>
  <c r="G141" i="13" a="1"/>
  <c r="G141" i="13" s="1"/>
  <c r="G22" i="13" a="1"/>
  <c r="G22" i="13" s="1"/>
  <c r="G290" i="13" a="1"/>
  <c r="G290" i="13" s="1"/>
  <c r="G230" i="13" a="1"/>
  <c r="G230" i="13" s="1"/>
  <c r="G99" i="13" a="1"/>
  <c r="G99" i="13" s="1"/>
  <c r="G297" i="13" a="1"/>
  <c r="G297" i="13" s="1"/>
  <c r="G119" i="13" a="1"/>
  <c r="G119" i="13" s="1"/>
  <c r="G243" i="13" a="1"/>
  <c r="G243" i="13" s="1"/>
  <c r="G176" i="13" a="1"/>
  <c r="G176" i="13" s="1"/>
  <c r="G188" i="13" a="1"/>
  <c r="G188" i="13" s="1"/>
  <c r="G134" i="13" a="1"/>
  <c r="G134" i="13" s="1"/>
  <c r="G221" i="13" a="1"/>
  <c r="G221" i="13" s="1"/>
  <c r="G36" i="13" a="1"/>
  <c r="G36" i="13" s="1"/>
  <c r="G229" i="13" a="1"/>
  <c r="G229" i="13" s="1"/>
  <c r="G94" i="13" a="1"/>
  <c r="G94" i="13" s="1"/>
  <c r="G166" i="13" a="1"/>
  <c r="G166" i="13" s="1"/>
  <c r="G110" i="13" a="1"/>
  <c r="G110" i="13" s="1"/>
  <c r="G132" i="13" a="1"/>
  <c r="G132" i="13" s="1"/>
  <c r="G106" i="13" a="1"/>
  <c r="G106" i="13" s="1"/>
  <c r="G14" i="13" a="1"/>
  <c r="G14" i="13" s="1"/>
  <c r="G293" i="13" a="1"/>
  <c r="G293" i="13" s="1"/>
  <c r="G89" i="13" a="1"/>
  <c r="G89" i="13" s="1"/>
  <c r="G185" i="13" a="1"/>
  <c r="G185" i="13" s="1"/>
  <c r="G78" i="13" a="1"/>
  <c r="G78" i="13" s="1"/>
  <c r="G18" i="13" a="1"/>
  <c r="G18" i="13" s="1"/>
  <c r="G12" i="13" a="1"/>
  <c r="G12" i="13" s="1"/>
  <c r="G288" i="13" a="1"/>
  <c r="G288" i="13" s="1"/>
  <c r="G73" i="13" a="1"/>
  <c r="G73" i="13" s="1"/>
  <c r="G235" i="13" a="1"/>
  <c r="G235" i="13" s="1"/>
  <c r="G64" i="13" a="1"/>
  <c r="G64" i="13" s="1"/>
  <c r="G224" i="13" a="1"/>
  <c r="G224" i="13" s="1"/>
  <c r="G204" i="13" a="1"/>
  <c r="G204" i="13" s="1"/>
  <c r="G142" i="13" a="1"/>
  <c r="G142" i="13" s="1"/>
  <c r="G83" i="13" a="1"/>
  <c r="G83" i="13" s="1"/>
  <c r="G201" i="13" a="1"/>
  <c r="G201" i="13" s="1"/>
  <c r="G227" i="13" a="1"/>
  <c r="G227" i="13" s="1"/>
  <c r="G198" i="13" a="1"/>
  <c r="G198" i="13" s="1"/>
  <c r="G86" i="13" a="1"/>
  <c r="G86" i="13" s="1"/>
  <c r="G289" i="13" a="1"/>
  <c r="G289" i="13" s="1"/>
  <c r="G191" i="13" a="1"/>
  <c r="G191" i="13" s="1"/>
  <c r="G100" i="13" a="1"/>
  <c r="G100" i="13" s="1"/>
  <c r="G82" i="13" a="1"/>
  <c r="G82" i="13" s="1"/>
  <c r="G182" i="13" a="1"/>
  <c r="G182" i="13" s="1"/>
  <c r="G45" i="13" a="1"/>
  <c r="G45" i="13" s="1"/>
  <c r="G79" i="13" a="1"/>
  <c r="G79" i="13" s="1"/>
  <c r="G68" i="13" a="1"/>
  <c r="G68" i="13" s="1"/>
  <c r="G170" i="13" a="1"/>
  <c r="G170" i="13" s="1"/>
  <c r="G269" i="13" a="1"/>
  <c r="G269" i="13" s="1"/>
  <c r="G391" i="13" a="1"/>
  <c r="G391" i="13" s="1"/>
  <c r="G139" i="13" a="1"/>
  <c r="G139" i="13" s="1"/>
  <c r="G152" i="13" a="1"/>
  <c r="G152" i="13" s="1"/>
  <c r="G80" i="13" a="1"/>
  <c r="G80" i="13" s="1"/>
  <c r="G281" i="13" a="1"/>
  <c r="G281" i="13" s="1"/>
  <c r="G307" i="13" a="1"/>
  <c r="G307" i="13" s="1"/>
  <c r="G309" i="13" a="1"/>
  <c r="G309" i="13" s="1"/>
  <c r="G318" i="13" a="1"/>
  <c r="G318" i="13" s="1"/>
  <c r="G354" i="13" a="1"/>
  <c r="G354" i="13" s="1"/>
  <c r="G194" i="13" a="1"/>
  <c r="G194" i="13" s="1"/>
  <c r="G148" i="13" a="1"/>
  <c r="G148" i="13" s="1"/>
  <c r="G31" i="13" a="1"/>
  <c r="G31" i="13" s="1"/>
  <c r="G267" i="13" a="1"/>
  <c r="G267" i="13" s="1"/>
  <c r="G372" i="13" a="1"/>
  <c r="G372" i="13" s="1"/>
  <c r="G35" i="13" a="1"/>
  <c r="G35" i="13" s="1"/>
  <c r="G34" i="13" a="1"/>
  <c r="G34" i="13" s="1"/>
  <c r="G157" i="13" a="1"/>
  <c r="G157" i="13" s="1"/>
  <c r="G24" i="13" a="1"/>
  <c r="G24" i="13" s="1"/>
  <c r="G268" i="13" a="1"/>
  <c r="G268" i="13" s="1"/>
  <c r="G213" i="13" a="1"/>
  <c r="G213" i="13" s="1"/>
  <c r="G53" i="13" a="1"/>
  <c r="G53" i="13" s="1"/>
  <c r="G177" i="13" a="1"/>
  <c r="G177" i="13" s="1"/>
  <c r="G255" i="13" a="1"/>
  <c r="G255" i="13" s="1"/>
  <c r="G117" i="13" a="1"/>
  <c r="G117" i="13" s="1"/>
  <c r="G20" i="13" a="1"/>
  <c r="G20" i="13" s="1"/>
  <c r="G219" i="13" a="1"/>
  <c r="G219" i="13" s="1"/>
  <c r="G181" i="13" a="1"/>
  <c r="G181" i="13" s="1"/>
  <c r="G180" i="13" a="1"/>
  <c r="G180" i="13" s="1"/>
  <c r="G105" i="13" a="1"/>
  <c r="G105" i="13" s="1"/>
  <c r="G138" i="13" a="1"/>
  <c r="G138" i="13" s="1"/>
  <c r="G128" i="13" a="1"/>
  <c r="G128" i="13" s="1"/>
  <c r="G239" i="13" a="1"/>
  <c r="G239" i="13" s="1"/>
  <c r="G175" i="13" a="1"/>
  <c r="G175" i="13" s="1"/>
  <c r="G261" i="13" a="1"/>
  <c r="G261" i="13" s="1"/>
  <c r="G103" i="13" a="1"/>
  <c r="G103" i="13" s="1"/>
  <c r="G257" i="13" a="1"/>
  <c r="G257" i="13" s="1"/>
  <c r="G6" i="13" a="1"/>
  <c r="G6" i="13" s="1"/>
  <c r="G266" i="13" a="1"/>
  <c r="G266" i="13" s="1"/>
  <c r="G55" i="13" a="1"/>
  <c r="G55" i="13" s="1"/>
  <c r="G49" i="13" a="1"/>
  <c r="G49" i="13" s="1"/>
  <c r="G252" i="13" a="1"/>
  <c r="G252" i="13" s="1"/>
  <c r="G109" i="13" a="1"/>
  <c r="G109" i="13" s="1"/>
  <c r="G149" i="13" a="1"/>
  <c r="G149" i="13" s="1"/>
  <c r="G66" i="13" a="1"/>
  <c r="G66" i="13" s="1"/>
  <c r="G39" i="13" a="1"/>
  <c r="G39" i="13" s="1"/>
  <c r="G254" i="13" a="1"/>
  <c r="G254" i="13" s="1"/>
  <c r="G322" i="13" a="1"/>
  <c r="G322" i="13" s="1"/>
  <c r="G328" i="13" a="1"/>
  <c r="G328" i="13" s="1"/>
  <c r="G326" i="13" a="1"/>
  <c r="G326" i="13" s="1"/>
  <c r="G368" i="13" a="1"/>
  <c r="G368" i="13" s="1"/>
  <c r="G324" i="13" a="1"/>
  <c r="G324" i="13" s="1"/>
  <c r="G195" i="13" a="1"/>
  <c r="G195" i="13" s="1"/>
  <c r="G108" i="13" a="1"/>
  <c r="G108" i="13" s="1"/>
  <c r="G155" i="13" a="1"/>
  <c r="G155" i="13" s="1"/>
  <c r="G62" i="13" a="1"/>
  <c r="G62" i="13" s="1"/>
  <c r="G241" i="13" a="1"/>
  <c r="G241" i="13" s="1"/>
  <c r="G159" i="13" a="1"/>
  <c r="G159" i="13" s="1"/>
  <c r="G168" i="13" a="1"/>
  <c r="G168" i="13" s="1"/>
  <c r="G321" i="13" a="1"/>
  <c r="G321" i="13" s="1"/>
  <c r="G338" i="13" a="1"/>
  <c r="G338" i="13" s="1"/>
  <c r="G379" i="13" a="1"/>
  <c r="G379" i="13" s="1"/>
  <c r="G383" i="13" a="1"/>
  <c r="G383" i="13" s="1"/>
  <c r="G394" i="13" a="1"/>
  <c r="G394" i="13" s="1"/>
  <c r="G131" i="13" a="1"/>
  <c r="G131" i="13" s="1"/>
  <c r="G144" i="13" a="1"/>
  <c r="G144" i="13" s="1"/>
  <c r="G137" i="13" a="1"/>
  <c r="G137" i="13" s="1"/>
  <c r="G247" i="13" a="1"/>
  <c r="G247" i="13" s="1"/>
  <c r="G240" i="13" a="1"/>
  <c r="G240" i="13" s="1"/>
  <c r="G136" i="13" a="1"/>
  <c r="G136" i="13" s="1"/>
  <c r="G158" i="13" a="1"/>
  <c r="G158" i="13" s="1"/>
  <c r="G11" i="13" a="1"/>
  <c r="G11" i="13" s="1"/>
  <c r="G160" i="13" a="1"/>
  <c r="G160" i="13" s="1"/>
  <c r="G287" i="13" a="1"/>
  <c r="G287" i="13" s="1"/>
  <c r="G304" i="13" a="1"/>
  <c r="G304" i="13" s="1"/>
  <c r="G310" i="13" a="1"/>
  <c r="G310" i="13" s="1"/>
  <c r="G319" i="13" a="1"/>
  <c r="G319" i="13" s="1"/>
  <c r="G336" i="13" a="1"/>
  <c r="G336" i="13" s="1"/>
  <c r="G348" i="13" a="1"/>
  <c r="G348" i="13" s="1"/>
  <c r="G342" i="13" a="1"/>
  <c r="G342" i="13" s="1"/>
  <c r="G364" i="13" a="1"/>
  <c r="G364" i="13" s="1"/>
  <c r="G373" i="13" a="1"/>
  <c r="G373" i="13" s="1"/>
  <c r="G381" i="13" a="1"/>
  <c r="G381" i="13" s="1"/>
  <c r="G411" i="13" a="1"/>
  <c r="G411" i="13" s="1"/>
  <c r="G282" i="13" a="1"/>
  <c r="G282" i="13" s="1"/>
  <c r="G275" i="13" a="1"/>
  <c r="G275" i="13" s="1"/>
  <c r="G303" i="13" a="1"/>
  <c r="G303" i="13" s="1"/>
  <c r="G298" i="13" a="1"/>
  <c r="G298" i="13" s="1"/>
  <c r="G330" i="13" a="1"/>
  <c r="G330" i="13" s="1"/>
  <c r="G335" i="13" a="1"/>
  <c r="G335" i="13" s="1"/>
  <c r="G347" i="13" a="1"/>
  <c r="G347" i="13" s="1"/>
  <c r="G341" i="13" a="1"/>
  <c r="G341" i="13" s="1"/>
  <c r="G363" i="13" a="1"/>
  <c r="G363" i="13" s="1"/>
  <c r="G378" i="13" a="1"/>
  <c r="G378" i="13" s="1"/>
  <c r="G380" i="13" a="1"/>
  <c r="G380" i="13" s="1"/>
  <c r="G410" i="13" a="1"/>
  <c r="G410" i="13" s="1"/>
  <c r="G286" i="13" a="1"/>
  <c r="G286" i="13" s="1"/>
  <c r="G352" i="13" a="1"/>
  <c r="G352" i="13" s="1"/>
  <c r="G274" i="13" a="1"/>
  <c r="G274" i="13" s="1"/>
  <c r="G314" i="13" a="1"/>
  <c r="G314" i="13" s="1"/>
  <c r="G329" i="13" a="1"/>
  <c r="G329" i="13" s="1"/>
  <c r="G333" i="13" a="1"/>
  <c r="G333" i="13" s="1"/>
  <c r="G359" i="13" a="1"/>
  <c r="G359" i="13" s="1"/>
  <c r="G340" i="13" a="1"/>
  <c r="G340" i="13" s="1"/>
  <c r="G408" i="13" a="1"/>
  <c r="G408" i="13" s="1"/>
  <c r="G91" i="13" a="1"/>
  <c r="G91" i="13" s="1"/>
  <c r="G279" i="13" a="1"/>
  <c r="G279" i="13" s="1"/>
  <c r="G285" i="13" a="1"/>
  <c r="G285" i="13" s="1"/>
  <c r="G302" i="13" a="1"/>
  <c r="G302" i="13" s="1"/>
  <c r="G308" i="13" a="1"/>
  <c r="G308" i="13" s="1"/>
  <c r="G317" i="13" a="1"/>
  <c r="G317" i="13" s="1"/>
  <c r="G332" i="13" a="1"/>
  <c r="G332" i="13" s="1"/>
  <c r="G358" i="13" a="1"/>
  <c r="G358" i="13" s="1"/>
  <c r="G351" i="13" a="1"/>
  <c r="G351" i="13" s="1"/>
  <c r="G377" i="13" a="1"/>
  <c r="G377" i="13" s="1"/>
  <c r="G407" i="13" a="1"/>
  <c r="G407" i="13" s="1"/>
  <c r="G38" i="13" a="1"/>
  <c r="G38" i="13" s="1"/>
  <c r="G265" i="13" a="1"/>
  <c r="G265" i="13" s="1"/>
  <c r="G277" i="13" a="1"/>
  <c r="G277" i="13" s="1"/>
  <c r="G273" i="13" a="1"/>
  <c r="G273" i="13" s="1"/>
  <c r="G295" i="13" a="1"/>
  <c r="G295" i="13" s="1"/>
  <c r="G296" i="13" a="1"/>
  <c r="G296" i="13" s="1"/>
  <c r="G323" i="13" a="1"/>
  <c r="G323" i="13" s="1"/>
  <c r="G331" i="13" a="1"/>
  <c r="G331" i="13" s="1"/>
  <c r="G346" i="13" a="1"/>
  <c r="G346" i="13" s="1"/>
  <c r="G339" i="13" a="1"/>
  <c r="G339" i="13" s="1"/>
  <c r="G371" i="13" a="1"/>
  <c r="G371" i="13" s="1"/>
  <c r="G404" i="13" a="1"/>
  <c r="G404" i="13" s="1"/>
  <c r="G161" i="13" a="1"/>
  <c r="G161" i="13" s="1"/>
  <c r="G111" i="13" a="1"/>
  <c r="G111" i="13" s="1"/>
  <c r="G124" i="13" a="1"/>
  <c r="G124" i="13" s="1"/>
  <c r="G264" i="13" a="1"/>
  <c r="G264" i="13" s="1"/>
  <c r="G284" i="13" a="1"/>
  <c r="G284" i="13" s="1"/>
  <c r="G313" i="13" a="1"/>
  <c r="G313" i="13" s="1"/>
  <c r="G350" i="13" a="1"/>
  <c r="G350" i="13" s="1"/>
  <c r="G360" i="13" a="1"/>
  <c r="G360" i="13" s="1"/>
  <c r="G370" i="13" a="1"/>
  <c r="G370" i="13" s="1"/>
  <c r="G376" i="13" a="1"/>
  <c r="G376" i="13" s="1"/>
  <c r="G403" i="13" a="1"/>
  <c r="G403" i="13" s="1"/>
  <c r="G4" i="13" a="1"/>
  <c r="G4" i="13" s="1"/>
  <c r="G280" i="13" a="1"/>
  <c r="G280" i="13" s="1"/>
  <c r="G272" i="13" a="1"/>
  <c r="G272" i="13" s="1"/>
  <c r="G301" i="13" a="1"/>
  <c r="G301" i="13" s="1"/>
  <c r="G316" i="13" a="1"/>
  <c r="G316" i="13" s="1"/>
  <c r="G356" i="13" a="1"/>
  <c r="G356" i="13" s="1"/>
  <c r="G357" i="13" a="1"/>
  <c r="G357" i="13" s="1"/>
  <c r="G369" i="13" a="1"/>
  <c r="G369" i="13" s="1"/>
  <c r="G375" i="13" a="1"/>
  <c r="G375" i="13" s="1"/>
  <c r="G405" i="13" a="1"/>
  <c r="G405" i="13" s="1"/>
  <c r="G2" i="13" a="1"/>
  <c r="G2" i="13" s="1"/>
  <c r="G294" i="13" a="1"/>
  <c r="G294" i="13" s="1"/>
  <c r="G283" i="13" a="1"/>
  <c r="G283" i="13" s="1"/>
  <c r="G300" i="13" a="1"/>
  <c r="G300" i="13" s="1"/>
  <c r="G325" i="13" a="1"/>
  <c r="G325" i="13" s="1"/>
  <c r="G327" i="13" a="1"/>
  <c r="G327" i="13" s="1"/>
  <c r="G353" i="13" a="1"/>
  <c r="G353" i="13" s="1"/>
  <c r="G345" i="13" a="1"/>
  <c r="G345" i="13" s="1"/>
  <c r="G386" i="13" a="1"/>
  <c r="G386" i="13" s="1"/>
  <c r="G402" i="13" a="1"/>
  <c r="G402" i="13" s="1"/>
  <c r="G278" i="13" a="1"/>
  <c r="G278" i="13" s="1"/>
  <c r="G271" i="13" a="1"/>
  <c r="G271" i="13" s="1"/>
  <c r="G312" i="13" a="1"/>
  <c r="G312" i="13" s="1"/>
  <c r="G315" i="13" a="1"/>
  <c r="G315" i="13" s="1"/>
  <c r="G362" i="13" a="1"/>
  <c r="G362" i="13" s="1"/>
  <c r="G344" i="13" a="1"/>
  <c r="G344" i="13" s="1"/>
  <c r="G367" i="13" a="1"/>
  <c r="G367" i="13" s="1"/>
  <c r="G385" i="13" a="1"/>
  <c r="G385" i="13" s="1"/>
  <c r="G401" i="13" a="1"/>
  <c r="G401" i="13" s="1"/>
  <c r="G414" i="13" a="1"/>
  <c r="G414" i="13" s="1"/>
  <c r="G156" i="13" a="1"/>
  <c r="G156" i="13" s="1"/>
  <c r="G306" i="13" a="1"/>
  <c r="G306" i="13" s="1"/>
  <c r="G311" i="13" a="1"/>
  <c r="G311" i="13" s="1"/>
  <c r="G361" i="13" a="1"/>
  <c r="G361" i="13" s="1"/>
  <c r="G355" i="13" a="1"/>
  <c r="G355" i="13" s="1"/>
  <c r="G366" i="13" a="1"/>
  <c r="G366" i="13" s="1"/>
  <c r="G400" i="13" a="1"/>
  <c r="G400" i="13" s="1"/>
  <c r="G413" i="13" a="1"/>
  <c r="G413" i="13" s="1"/>
  <c r="G97" i="13" a="1"/>
  <c r="G97" i="13" s="1"/>
  <c r="G263" i="13" a="1"/>
  <c r="G263" i="13" s="1"/>
  <c r="G276" i="13" a="1"/>
  <c r="G276" i="13" s="1"/>
  <c r="G305" i="13" a="1"/>
  <c r="G305" i="13" s="1"/>
  <c r="G299" i="13" a="1"/>
  <c r="G299" i="13" s="1"/>
  <c r="G320" i="13" a="1"/>
  <c r="G320" i="13" s="1"/>
  <c r="G337" i="13" a="1"/>
  <c r="G337" i="13" s="1"/>
  <c r="G349" i="13" a="1"/>
  <c r="G349" i="13" s="1"/>
  <c r="G343" i="13" a="1"/>
  <c r="G343" i="13" s="1"/>
  <c r="G365" i="13" a="1"/>
  <c r="G365" i="13" s="1"/>
  <c r="G374" i="13" a="1"/>
  <c r="G374" i="13" s="1"/>
  <c r="G382" i="13" a="1"/>
  <c r="G382" i="13" s="1"/>
  <c r="G399" i="13" a="1"/>
  <c r="G399" i="13" s="1"/>
  <c r="G412" i="13" a="1"/>
  <c r="G412" i="13" s="1"/>
  <c r="Z150" i="16"/>
  <c r="AG150" i="16" s="1"/>
  <c r="Z151" i="16"/>
  <c r="AG151" i="16" s="1"/>
  <c r="Z148" i="16"/>
  <c r="AG148" i="16" s="1"/>
  <c r="Z149" i="16"/>
  <c r="AG149" i="16" s="1"/>
  <c r="Z146" i="16"/>
  <c r="AG146" i="16" s="1"/>
  <c r="Z147" i="16"/>
  <c r="AG147" i="16" s="1"/>
  <c r="Z144" i="16"/>
  <c r="AG144" i="16" s="1"/>
  <c r="Z145" i="16"/>
  <c r="AG145" i="16" s="1"/>
  <c r="Z140" i="16"/>
  <c r="AG140" i="16" s="1"/>
  <c r="Z141" i="16"/>
  <c r="AG141" i="16" s="1"/>
  <c r="Z132" i="16"/>
  <c r="AG132" i="16" s="1"/>
  <c r="Z130" i="16"/>
  <c r="AG130" i="16" s="1"/>
  <c r="Z131" i="16"/>
  <c r="AG131" i="16" s="1"/>
  <c r="Z133" i="16"/>
  <c r="AG133" i="16" s="1"/>
  <c r="AA136" i="16"/>
  <c r="Z139" i="16" s="1"/>
  <c r="AG139" i="16" s="1"/>
  <c r="Z128" i="16"/>
  <c r="AG128" i="16" s="1"/>
  <c r="Z129" i="16"/>
  <c r="AG129" i="16" s="1"/>
  <c r="Z126" i="16"/>
  <c r="AG126" i="16" s="1"/>
  <c r="Z127" i="16"/>
  <c r="AG127" i="16" s="1"/>
  <c r="Z124" i="16"/>
  <c r="AG124" i="16" s="1"/>
  <c r="Z125" i="16"/>
  <c r="AG125" i="16" s="1"/>
  <c r="Z122" i="16"/>
  <c r="AG122" i="16" s="1"/>
  <c r="Z123" i="16"/>
  <c r="AG123" i="16" s="1"/>
  <c r="Z120" i="16"/>
  <c r="AG120" i="16" s="1"/>
  <c r="Z121" i="16"/>
  <c r="AG121" i="16" s="1"/>
  <c r="Z118" i="16"/>
  <c r="AG118" i="16" s="1"/>
  <c r="Z119" i="16"/>
  <c r="AG119" i="16" s="1"/>
  <c r="AA116" i="16"/>
  <c r="Z116" i="16" s="1"/>
  <c r="Z111" i="16"/>
  <c r="AG111" i="16" s="1"/>
  <c r="Z112" i="16"/>
  <c r="AG112" i="16" s="1"/>
  <c r="Z109" i="16"/>
  <c r="AG109" i="16" s="1"/>
  <c r="Z110" i="16"/>
  <c r="AG110" i="16" s="1"/>
  <c r="Z107" i="16"/>
  <c r="AG107" i="16" s="1"/>
  <c r="Z108" i="16"/>
  <c r="AG108" i="16" s="1"/>
  <c r="Z105" i="16"/>
  <c r="AG105" i="16" s="1"/>
  <c r="Z106" i="16"/>
  <c r="AG106" i="16" s="1"/>
  <c r="M13" i="3"/>
  <c r="Z103" i="16"/>
  <c r="AG103" i="16" s="1"/>
  <c r="Z101" i="16"/>
  <c r="AG101" i="16" s="1"/>
  <c r="Z102" i="16"/>
  <c r="AG102" i="16" s="1"/>
  <c r="Z99" i="16"/>
  <c r="AG99" i="16" s="1"/>
  <c r="Z100" i="16"/>
  <c r="AG100" i="16" s="1"/>
  <c r="Z97" i="16"/>
  <c r="AG97" i="16" s="1"/>
  <c r="Z98" i="16"/>
  <c r="AG98" i="16" s="1"/>
  <c r="AA96" i="16"/>
  <c r="Z96" i="16" s="1"/>
  <c r="Z92" i="16"/>
  <c r="AG92" i="16" s="1"/>
  <c r="Z93" i="16"/>
  <c r="AG93" i="16" s="1"/>
  <c r="Z90" i="16"/>
  <c r="AG90" i="16" s="1"/>
  <c r="Z91" i="16"/>
  <c r="AG91" i="16" s="1"/>
  <c r="Z88" i="16"/>
  <c r="AG88" i="16" s="1"/>
  <c r="Z89" i="16"/>
  <c r="AG89" i="16" s="1"/>
  <c r="Z86" i="16"/>
  <c r="AG86" i="16" s="1"/>
  <c r="Z87" i="16"/>
  <c r="AG87" i="16" s="1"/>
  <c r="Z84" i="16"/>
  <c r="AG84" i="16" s="1"/>
  <c r="Z85" i="16"/>
  <c r="AG85" i="16" s="1"/>
  <c r="AA78" i="16"/>
  <c r="Z78" i="16" s="1"/>
  <c r="Z83" i="16"/>
  <c r="AG83" i="16" s="1"/>
  <c r="Z81" i="16"/>
  <c r="AG81" i="16" s="1"/>
  <c r="Z82" i="16"/>
  <c r="AG82" i="16" s="1"/>
  <c r="Z73" i="16"/>
  <c r="AG73" i="16" s="1"/>
  <c r="Z74" i="16"/>
  <c r="AG74" i="16" s="1"/>
  <c r="Z71" i="16"/>
  <c r="AG71" i="16" s="1"/>
  <c r="Z72" i="16"/>
  <c r="AG72" i="16" s="1"/>
  <c r="Z69" i="16"/>
  <c r="AG69" i="16" s="1"/>
  <c r="Z70" i="16"/>
  <c r="AG70" i="16" s="1"/>
  <c r="Z67" i="16"/>
  <c r="AG67" i="16" s="1"/>
  <c r="Z68" i="16"/>
  <c r="AG68" i="16" s="1"/>
  <c r="Z65" i="16"/>
  <c r="AG65" i="16" s="1"/>
  <c r="Z66" i="16"/>
  <c r="AG66" i="16" s="1"/>
  <c r="Z63" i="16"/>
  <c r="AG63" i="16" s="1"/>
  <c r="Z64" i="16"/>
  <c r="AG64" i="16" s="1"/>
  <c r="Z61" i="16"/>
  <c r="AG61" i="16" s="1"/>
  <c r="Z62" i="16"/>
  <c r="AG62" i="16" s="1"/>
  <c r="Z59" i="16"/>
  <c r="AG59" i="16" s="1"/>
  <c r="Z60" i="16"/>
  <c r="AG60" i="16" s="1"/>
  <c r="AA58" i="16"/>
  <c r="Z58" i="16" s="1"/>
  <c r="Z54" i="16"/>
  <c r="AG54" i="16" s="1"/>
  <c r="Z55" i="16"/>
  <c r="AG55" i="16" s="1"/>
  <c r="Z52" i="16"/>
  <c r="AG52" i="16" s="1"/>
  <c r="Z50" i="16"/>
  <c r="AG50" i="16" s="1"/>
  <c r="Z51" i="16"/>
  <c r="AG51" i="16" s="1"/>
  <c r="Z48" i="16"/>
  <c r="AG48" i="16" s="1"/>
  <c r="Z49" i="16"/>
  <c r="AG49" i="16" s="1"/>
  <c r="Z42" i="16"/>
  <c r="AG42" i="16" s="1"/>
  <c r="Z43" i="16"/>
  <c r="AG43" i="16" s="1"/>
  <c r="Z47" i="16"/>
  <c r="AG47" i="16" s="1"/>
  <c r="Z44" i="16"/>
  <c r="AG44" i="16" s="1"/>
  <c r="Z45" i="16"/>
  <c r="AG45" i="16" s="1"/>
  <c r="Z46" i="16"/>
  <c r="AG46" i="16" s="1"/>
  <c r="AA38" i="16"/>
  <c r="Z38" i="16" s="1"/>
  <c r="Z33" i="16"/>
  <c r="AG33" i="16" s="1"/>
  <c r="Z34" i="16"/>
  <c r="AG34" i="16" s="1"/>
  <c r="Z31" i="16"/>
  <c r="AG31" i="16" s="1"/>
  <c r="Z32" i="16"/>
  <c r="AG32" i="16" s="1"/>
  <c r="Z29" i="16"/>
  <c r="AG29" i="16" s="1"/>
  <c r="Z30" i="16"/>
  <c r="AG30" i="16" s="1"/>
  <c r="Z27" i="16"/>
  <c r="AG27" i="16" s="1"/>
  <c r="Z28" i="16"/>
  <c r="AG28" i="16" s="1"/>
  <c r="Z25" i="16"/>
  <c r="AG25" i="16" s="1"/>
  <c r="Z26" i="16"/>
  <c r="AG26" i="16" s="1"/>
  <c r="Z23" i="16"/>
  <c r="AG23" i="16" s="1"/>
  <c r="Z24" i="16"/>
  <c r="AG24" i="16" s="1"/>
  <c r="Z21" i="16"/>
  <c r="AG21" i="16" s="1"/>
  <c r="Z22" i="16"/>
  <c r="AG22" i="16" s="1"/>
  <c r="AA20" i="16"/>
  <c r="Z20" i="16" s="1"/>
  <c r="AA2" i="16"/>
  <c r="Z12" i="16" s="1"/>
  <c r="AG12" i="16" s="1"/>
  <c r="Z17" i="16"/>
  <c r="AG17" i="16" s="1"/>
  <c r="Z15" i="16"/>
  <c r="AG15" i="16" s="1"/>
  <c r="Z5" i="16"/>
  <c r="AG5" i="16" s="1"/>
  <c r="Z6" i="16"/>
  <c r="AG6" i="16" s="1"/>
  <c r="Z13" i="16"/>
  <c r="AG13" i="16" s="1"/>
  <c r="Z16" i="16"/>
  <c r="AG16" i="16" s="1"/>
  <c r="Z3" i="16"/>
  <c r="AG3" i="16" s="1"/>
  <c r="Z10" i="16"/>
  <c r="AG10" i="16" s="1"/>
  <c r="Z8" i="16"/>
  <c r="AG8" i="16" s="1"/>
  <c r="Z4" i="16"/>
  <c r="AG4" i="16" s="1"/>
  <c r="Z7" i="16"/>
  <c r="AG7" i="16" s="1"/>
  <c r="Z14" i="16"/>
  <c r="AG14" i="16" s="1"/>
  <c r="Z9" i="16"/>
  <c r="AG9" i="16" s="1"/>
  <c r="Z200" i="15"/>
  <c r="AG200" i="15" s="1"/>
  <c r="Z221" i="14"/>
  <c r="AG221" i="14" s="1"/>
  <c r="Z222" i="14"/>
  <c r="AG222" i="14" s="1"/>
  <c r="Z198" i="15"/>
  <c r="AG198" i="15" s="1"/>
  <c r="Z199" i="15"/>
  <c r="AG199" i="15" s="1"/>
  <c r="Z219" i="14"/>
  <c r="AG219" i="14" s="1"/>
  <c r="Z220" i="14"/>
  <c r="AG220" i="14" s="1"/>
  <c r="Z196" i="15"/>
  <c r="AG196" i="15" s="1"/>
  <c r="Z197" i="15"/>
  <c r="AG197" i="15" s="1"/>
  <c r="Z217" i="14"/>
  <c r="AG217" i="14" s="1"/>
  <c r="Z218" i="14"/>
  <c r="AG218" i="14" s="1"/>
  <c r="Z194" i="15"/>
  <c r="AG194" i="15" s="1"/>
  <c r="Z195" i="15"/>
  <c r="AG195" i="15" s="1"/>
  <c r="Z215" i="14"/>
  <c r="AG215" i="14" s="1"/>
  <c r="Z216" i="14"/>
  <c r="AG216" i="14" s="1"/>
  <c r="Z192" i="15"/>
  <c r="AG192" i="15" s="1"/>
  <c r="Z193" i="15"/>
  <c r="AG193" i="15" s="1"/>
  <c r="Z213" i="14"/>
  <c r="AG213" i="14" s="1"/>
  <c r="Z214" i="14"/>
  <c r="AG214" i="14" s="1"/>
  <c r="Z190" i="15"/>
  <c r="AG190" i="15" s="1"/>
  <c r="Z191" i="15"/>
  <c r="AG191" i="15" s="1"/>
  <c r="AA211" i="14"/>
  <c r="Z211" i="14" s="1"/>
  <c r="Z188" i="15"/>
  <c r="AG188" i="15" s="1"/>
  <c r="Z189" i="15"/>
  <c r="AG189" i="15" s="1"/>
  <c r="Z186" i="15"/>
  <c r="AG186" i="15" s="1"/>
  <c r="Z187" i="15"/>
  <c r="AG187" i="15" s="1"/>
  <c r="Z207" i="14"/>
  <c r="AG207" i="14" s="1"/>
  <c r="Z204" i="14"/>
  <c r="AG204" i="14" s="1"/>
  <c r="Z205" i="14"/>
  <c r="AG205" i="14" s="1"/>
  <c r="Z184" i="15"/>
  <c r="AG184" i="15" s="1"/>
  <c r="Z185" i="15"/>
  <c r="AG185" i="15" s="1"/>
  <c r="Z202" i="14"/>
  <c r="AG202" i="14" s="1"/>
  <c r="Z203" i="14"/>
  <c r="AG203" i="14" s="1"/>
  <c r="Z182" i="15"/>
  <c r="AG182" i="15" s="1"/>
  <c r="Z183" i="15"/>
  <c r="AG183" i="15" s="1"/>
  <c r="Z200" i="14"/>
  <c r="AG200" i="14" s="1"/>
  <c r="Z181" i="15"/>
  <c r="AG181" i="15" s="1"/>
  <c r="AA193" i="14"/>
  <c r="Z193" i="14" s="1"/>
  <c r="Z197" i="14"/>
  <c r="AG197" i="14" s="1"/>
  <c r="Z195" i="14"/>
  <c r="AG195" i="14" s="1"/>
  <c r="Z198" i="14"/>
  <c r="AG198" i="14" s="1"/>
  <c r="Z199" i="14"/>
  <c r="AG199" i="14" s="1"/>
  <c r="Z196" i="14"/>
  <c r="AG196" i="14" s="1"/>
  <c r="Z194" i="14"/>
  <c r="AG194" i="14" s="1"/>
  <c r="AA2" i="15"/>
  <c r="Z26" i="15" s="1"/>
  <c r="AG26" i="15" s="1"/>
  <c r="Z12" i="15"/>
  <c r="AG12" i="15" s="1"/>
  <c r="Z24" i="15"/>
  <c r="AG24" i="15" s="1"/>
  <c r="Z36" i="15"/>
  <c r="AG36" i="15" s="1"/>
  <c r="Z48" i="15"/>
  <c r="AG48" i="15" s="1"/>
  <c r="Z60" i="15"/>
  <c r="AG60" i="15" s="1"/>
  <c r="Z72" i="15"/>
  <c r="AG72" i="15" s="1"/>
  <c r="Z84" i="15"/>
  <c r="AG84" i="15" s="1"/>
  <c r="Z96" i="15"/>
  <c r="AG96" i="15" s="1"/>
  <c r="Z108" i="15"/>
  <c r="AG108" i="15" s="1"/>
  <c r="Z120" i="15"/>
  <c r="AG120" i="15" s="1"/>
  <c r="Z132" i="15"/>
  <c r="AG132" i="15" s="1"/>
  <c r="Z144" i="15"/>
  <c r="AG144" i="15" s="1"/>
  <c r="Z156" i="15"/>
  <c r="AG156" i="15" s="1"/>
  <c r="Z168" i="15"/>
  <c r="AG168" i="15" s="1"/>
  <c r="Z3" i="15"/>
  <c r="AG3" i="15" s="1"/>
  <c r="Z15" i="15"/>
  <c r="AG15" i="15" s="1"/>
  <c r="Z27" i="15"/>
  <c r="AG27" i="15" s="1"/>
  <c r="Z39" i="15"/>
  <c r="AG39" i="15" s="1"/>
  <c r="Z51" i="15"/>
  <c r="AG51" i="15" s="1"/>
  <c r="Z63" i="15"/>
  <c r="AG63" i="15" s="1"/>
  <c r="Z75" i="15"/>
  <c r="AG75" i="15" s="1"/>
  <c r="Z87" i="15"/>
  <c r="AG87" i="15" s="1"/>
  <c r="Z99" i="15"/>
  <c r="AG99" i="15" s="1"/>
  <c r="Z111" i="15"/>
  <c r="AG111" i="15" s="1"/>
  <c r="Z123" i="15"/>
  <c r="AG123" i="15" s="1"/>
  <c r="Z135" i="15"/>
  <c r="AG135" i="15" s="1"/>
  <c r="Z147" i="15"/>
  <c r="AG147" i="15" s="1"/>
  <c r="Z159" i="15"/>
  <c r="AG159" i="15" s="1"/>
  <c r="Z171" i="15"/>
  <c r="AG171" i="15" s="1"/>
  <c r="Z4" i="15"/>
  <c r="AG4" i="15" s="1"/>
  <c r="Z16" i="15"/>
  <c r="AG16" i="15" s="1"/>
  <c r="Z28" i="15"/>
  <c r="AG28" i="15" s="1"/>
  <c r="Z40" i="15"/>
  <c r="AG40" i="15" s="1"/>
  <c r="Z52" i="15"/>
  <c r="AG52" i="15" s="1"/>
  <c r="Z64" i="15"/>
  <c r="AG64" i="15" s="1"/>
  <c r="Z76" i="15"/>
  <c r="AG76" i="15" s="1"/>
  <c r="Z100" i="15"/>
  <c r="AG100" i="15" s="1"/>
  <c r="Z112" i="15"/>
  <c r="AG112" i="15" s="1"/>
  <c r="Z124" i="15"/>
  <c r="AG124" i="15" s="1"/>
  <c r="Z136" i="15"/>
  <c r="AG136" i="15" s="1"/>
  <c r="Z148" i="15"/>
  <c r="AG148" i="15" s="1"/>
  <c r="Z160" i="15"/>
  <c r="AG160" i="15" s="1"/>
  <c r="Z172" i="15"/>
  <c r="AG172" i="15" s="1"/>
  <c r="Z5" i="15"/>
  <c r="AG5" i="15" s="1"/>
  <c r="Z17" i="15"/>
  <c r="AG17" i="15" s="1"/>
  <c r="Z29" i="15"/>
  <c r="AG29" i="15" s="1"/>
  <c r="Z41" i="15"/>
  <c r="AG41" i="15" s="1"/>
  <c r="Z53" i="15"/>
  <c r="AG53" i="15" s="1"/>
  <c r="Z65" i="15"/>
  <c r="AG65" i="15" s="1"/>
  <c r="Z77" i="15"/>
  <c r="AG77" i="15" s="1"/>
  <c r="Z89" i="15"/>
  <c r="AG89" i="15" s="1"/>
  <c r="Z101" i="15"/>
  <c r="AG101" i="15" s="1"/>
  <c r="Z113" i="15"/>
  <c r="AG113" i="15" s="1"/>
  <c r="Z125" i="15"/>
  <c r="AG125" i="15" s="1"/>
  <c r="Z137" i="15"/>
  <c r="AG137" i="15" s="1"/>
  <c r="Z149" i="15"/>
  <c r="AG149" i="15" s="1"/>
  <c r="Z161" i="15"/>
  <c r="AG161" i="15" s="1"/>
  <c r="Z173" i="15"/>
  <c r="AG173" i="15" s="1"/>
  <c r="Z7" i="15"/>
  <c r="AG7" i="15" s="1"/>
  <c r="Z19" i="15"/>
  <c r="AG19" i="15" s="1"/>
  <c r="Z31" i="15"/>
  <c r="AG31" i="15" s="1"/>
  <c r="Z43" i="15"/>
  <c r="AG43" i="15" s="1"/>
  <c r="Z55" i="15"/>
  <c r="AG55" i="15" s="1"/>
  <c r="Z67" i="15"/>
  <c r="AG67" i="15" s="1"/>
  <c r="Z79" i="15"/>
  <c r="AG79" i="15" s="1"/>
  <c r="Z91" i="15"/>
  <c r="AG91" i="15" s="1"/>
  <c r="Z103" i="15"/>
  <c r="AG103" i="15" s="1"/>
  <c r="Z115" i="15"/>
  <c r="AG115" i="15" s="1"/>
  <c r="Z127" i="15"/>
  <c r="AG127" i="15" s="1"/>
  <c r="Z139" i="15"/>
  <c r="AG139" i="15" s="1"/>
  <c r="Z151" i="15"/>
  <c r="AG151" i="15" s="1"/>
  <c r="Z163" i="15"/>
  <c r="AG163" i="15" s="1"/>
  <c r="Z175" i="15"/>
  <c r="AG175" i="15" s="1"/>
  <c r="Z9" i="15"/>
  <c r="AG9" i="15" s="1"/>
  <c r="Z21" i="15"/>
  <c r="AG21" i="15" s="1"/>
  <c r="Z33" i="15"/>
  <c r="AG33" i="15" s="1"/>
  <c r="Z45" i="15"/>
  <c r="AG45" i="15" s="1"/>
  <c r="Z57" i="15"/>
  <c r="AG57" i="15" s="1"/>
  <c r="Z69" i="15"/>
  <c r="AG69" i="15" s="1"/>
  <c r="Z81" i="15"/>
  <c r="AG81" i="15" s="1"/>
  <c r="Z93" i="15"/>
  <c r="AG93" i="15" s="1"/>
  <c r="Z105" i="15"/>
  <c r="AG105" i="15" s="1"/>
  <c r="Z117" i="15"/>
  <c r="AG117" i="15" s="1"/>
  <c r="Z129" i="15"/>
  <c r="AG129" i="15" s="1"/>
  <c r="Z141" i="15"/>
  <c r="AG141" i="15" s="1"/>
  <c r="Z153" i="15"/>
  <c r="AG153" i="15" s="1"/>
  <c r="Z165" i="15"/>
  <c r="AG165" i="15" s="1"/>
  <c r="Z177" i="15"/>
  <c r="AG177" i="15" s="1"/>
  <c r="Z18" i="15"/>
  <c r="AG18" i="15" s="1"/>
  <c r="Z42" i="15"/>
  <c r="AG42" i="15" s="1"/>
  <c r="Z66" i="15"/>
  <c r="AG66" i="15" s="1"/>
  <c r="Z90" i="15"/>
  <c r="AG90" i="15" s="1"/>
  <c r="Z114" i="15"/>
  <c r="AG114" i="15" s="1"/>
  <c r="Z138" i="15"/>
  <c r="AG138" i="15" s="1"/>
  <c r="Z162" i="15"/>
  <c r="AG162" i="15" s="1"/>
  <c r="Z142" i="15"/>
  <c r="AG142" i="15" s="1"/>
  <c r="Z13" i="15"/>
  <c r="AG13" i="15" s="1"/>
  <c r="Z61" i="15"/>
  <c r="AG61" i="15" s="1"/>
  <c r="Z133" i="15"/>
  <c r="AG133" i="15" s="1"/>
  <c r="Z157" i="15"/>
  <c r="AG157" i="15" s="1"/>
  <c r="Z20" i="15"/>
  <c r="AG20" i="15" s="1"/>
  <c r="Z44" i="15"/>
  <c r="AG44" i="15" s="1"/>
  <c r="Z68" i="15"/>
  <c r="AG68" i="15" s="1"/>
  <c r="Z92" i="15"/>
  <c r="AG92" i="15" s="1"/>
  <c r="Z116" i="15"/>
  <c r="AG116" i="15" s="1"/>
  <c r="Z140" i="15"/>
  <c r="AG140" i="15" s="1"/>
  <c r="Z164" i="15"/>
  <c r="AG164" i="15" s="1"/>
  <c r="Z118" i="15"/>
  <c r="AG118" i="15" s="1"/>
  <c r="Z22" i="15"/>
  <c r="AG22" i="15" s="1"/>
  <c r="Z70" i="15"/>
  <c r="AG70" i="15" s="1"/>
  <c r="Z94" i="15"/>
  <c r="AG94" i="15" s="1"/>
  <c r="Z166" i="15"/>
  <c r="AG166" i="15" s="1"/>
  <c r="Z37" i="15"/>
  <c r="AG37" i="15" s="1"/>
  <c r="Z85" i="15"/>
  <c r="AG85" i="15" s="1"/>
  <c r="Z23" i="15"/>
  <c r="AG23" i="15" s="1"/>
  <c r="Z47" i="15"/>
  <c r="AG47" i="15" s="1"/>
  <c r="Z71" i="15"/>
  <c r="AG71" i="15" s="1"/>
  <c r="Z95" i="15"/>
  <c r="AG95" i="15" s="1"/>
  <c r="Z119" i="15"/>
  <c r="AG119" i="15" s="1"/>
  <c r="Z143" i="15"/>
  <c r="AG143" i="15" s="1"/>
  <c r="Z167" i="15"/>
  <c r="AG167" i="15" s="1"/>
  <c r="Z25" i="15"/>
  <c r="AG25" i="15" s="1"/>
  <c r="Z49" i="15"/>
  <c r="AG49" i="15" s="1"/>
  <c r="Z73" i="15"/>
  <c r="AG73" i="15" s="1"/>
  <c r="Z97" i="15"/>
  <c r="AG97" i="15" s="1"/>
  <c r="Z121" i="15"/>
  <c r="AG121" i="15" s="1"/>
  <c r="Z145" i="15"/>
  <c r="AG145" i="15" s="1"/>
  <c r="Z169" i="15"/>
  <c r="AG169" i="15" s="1"/>
  <c r="Z50" i="15"/>
  <c r="AG50" i="15" s="1"/>
  <c r="Z74" i="15"/>
  <c r="AG74" i="15" s="1"/>
  <c r="Z98" i="15"/>
  <c r="AG98" i="15" s="1"/>
  <c r="Z122" i="15"/>
  <c r="AG122" i="15" s="1"/>
  <c r="Z146" i="15"/>
  <c r="AG146" i="15" s="1"/>
  <c r="Z170" i="15"/>
  <c r="AG170" i="15" s="1"/>
  <c r="Z86" i="15"/>
  <c r="AG86" i="15" s="1"/>
  <c r="Z6" i="15"/>
  <c r="AG6" i="15" s="1"/>
  <c r="Z30" i="15"/>
  <c r="AG30" i="15" s="1"/>
  <c r="Z54" i="15"/>
  <c r="AG54" i="15" s="1"/>
  <c r="Z78" i="15"/>
  <c r="AG78" i="15" s="1"/>
  <c r="Z102" i="15"/>
  <c r="AG102" i="15" s="1"/>
  <c r="Z126" i="15"/>
  <c r="AG126" i="15" s="1"/>
  <c r="Z150" i="15"/>
  <c r="AG150" i="15" s="1"/>
  <c r="Z174" i="15"/>
  <c r="AG174" i="15" s="1"/>
  <c r="Z62" i="15"/>
  <c r="AG62" i="15" s="1"/>
  <c r="Z32" i="15"/>
  <c r="AG32" i="15" s="1"/>
  <c r="Z56" i="15"/>
  <c r="AG56" i="15" s="1"/>
  <c r="Z80" i="15"/>
  <c r="AG80" i="15" s="1"/>
  <c r="Z104" i="15"/>
  <c r="AG104" i="15" s="1"/>
  <c r="Z128" i="15"/>
  <c r="AG128" i="15" s="1"/>
  <c r="Z152" i="15"/>
  <c r="AG152" i="15" s="1"/>
  <c r="Z176" i="15"/>
  <c r="AG176" i="15" s="1"/>
  <c r="Z35" i="15"/>
  <c r="AG35" i="15" s="1"/>
  <c r="Z155" i="15"/>
  <c r="AG155" i="15" s="1"/>
  <c r="Z109" i="15"/>
  <c r="AG109" i="15" s="1"/>
  <c r="Z38" i="15"/>
  <c r="AG38" i="15" s="1"/>
  <c r="Z10" i="15"/>
  <c r="AG10" i="15" s="1"/>
  <c r="Z34" i="15"/>
  <c r="AG34" i="15" s="1"/>
  <c r="Z58" i="15"/>
  <c r="AG58" i="15" s="1"/>
  <c r="Z82" i="15"/>
  <c r="AG82" i="15" s="1"/>
  <c r="Z106" i="15"/>
  <c r="AG106" i="15" s="1"/>
  <c r="Z130" i="15"/>
  <c r="AG130" i="15" s="1"/>
  <c r="Z154" i="15"/>
  <c r="AG154" i="15" s="1"/>
  <c r="Z178" i="15"/>
  <c r="AG178" i="15" s="1"/>
  <c r="Z107" i="15"/>
  <c r="AG107" i="15" s="1"/>
  <c r="Z11" i="15"/>
  <c r="AG11" i="15" s="1"/>
  <c r="Z59" i="15"/>
  <c r="AG59" i="15" s="1"/>
  <c r="Z83" i="15"/>
  <c r="AG83" i="15" s="1"/>
  <c r="Z131" i="15"/>
  <c r="AG131" i="15" s="1"/>
  <c r="Z179" i="15"/>
  <c r="AG179" i="15" s="1"/>
  <c r="Z14" i="15"/>
  <c r="AG14" i="15" s="1"/>
  <c r="Z110" i="15"/>
  <c r="AG110" i="15" s="1"/>
  <c r="Z134" i="15"/>
  <c r="AG134" i="15" s="1"/>
  <c r="Z158" i="15"/>
  <c r="AG158" i="15" s="1"/>
  <c r="Z189" i="14"/>
  <c r="AG189" i="14" s="1"/>
  <c r="Z190" i="14"/>
  <c r="AG190" i="14" s="1"/>
  <c r="Z187" i="14"/>
  <c r="AG187" i="14" s="1"/>
  <c r="Z188" i="14"/>
  <c r="AG188" i="14" s="1"/>
  <c r="AA173" i="14"/>
  <c r="Z173" i="14" s="1"/>
  <c r="Z183" i="14"/>
  <c r="AG183" i="14" s="1"/>
  <c r="Z182" i="14"/>
  <c r="AG182" i="14" s="1"/>
  <c r="Z181" i="14"/>
  <c r="AG181" i="14" s="1"/>
  <c r="Z180" i="14"/>
  <c r="AG180" i="14" s="1"/>
  <c r="Z179" i="14"/>
  <c r="AG179" i="14" s="1"/>
  <c r="Z178" i="14"/>
  <c r="AG178" i="14" s="1"/>
  <c r="Z177" i="14"/>
  <c r="AG177" i="14" s="1"/>
  <c r="Z176" i="14"/>
  <c r="AG176" i="14" s="1"/>
  <c r="Z175" i="14"/>
  <c r="AG175" i="14" s="1"/>
  <c r="Z186" i="14"/>
  <c r="AG186" i="14" s="1"/>
  <c r="Z174" i="14"/>
  <c r="AG174" i="14" s="1"/>
  <c r="Z185" i="14"/>
  <c r="AG185" i="14" s="1"/>
  <c r="Z184" i="14"/>
  <c r="AG184" i="14" s="1"/>
  <c r="F3" i="3"/>
  <c r="F5" i="3"/>
  <c r="F7" i="3"/>
  <c r="Z164" i="14"/>
  <c r="AG164" i="14" s="1"/>
  <c r="Z158" i="14"/>
  <c r="AG158" i="14" s="1"/>
  <c r="Z155" i="14"/>
  <c r="AG155" i="14" s="1"/>
  <c r="Z157" i="14"/>
  <c r="AG157" i="14" s="1"/>
  <c r="Z159" i="14"/>
  <c r="AG159" i="14" s="1"/>
  <c r="Z161" i="14"/>
  <c r="AG161" i="14" s="1"/>
  <c r="Z162" i="14"/>
  <c r="AG162" i="14" s="1"/>
  <c r="Z169" i="14"/>
  <c r="AG169" i="14" s="1"/>
  <c r="Z167" i="14"/>
  <c r="AG167" i="14" s="1"/>
  <c r="Z154" i="14"/>
  <c r="Z156" i="14"/>
  <c r="AG156" i="14" s="1"/>
  <c r="Z168" i="14"/>
  <c r="AG168" i="14" s="1"/>
  <c r="Z160" i="14"/>
  <c r="AG160" i="14" s="1"/>
  <c r="Z165" i="14"/>
  <c r="AG165" i="14" s="1"/>
  <c r="Z166" i="14"/>
  <c r="AG166" i="14" s="1"/>
  <c r="Z163" i="14"/>
  <c r="AG163" i="14" s="1"/>
  <c r="Z170" i="14"/>
  <c r="AG170" i="14" s="1"/>
  <c r="Z29" i="14"/>
  <c r="AG29" i="14" s="1"/>
  <c r="Z26" i="14"/>
  <c r="AG26" i="14" s="1"/>
  <c r="Z27" i="14"/>
  <c r="AG27" i="14" s="1"/>
  <c r="Z31" i="14"/>
  <c r="AG31" i="14" s="1"/>
  <c r="Z30" i="14"/>
  <c r="AG30" i="14" s="1"/>
  <c r="Z21" i="14"/>
  <c r="AG21" i="14" s="1"/>
  <c r="Z33" i="14"/>
  <c r="AG33" i="14" s="1"/>
  <c r="Z20" i="14"/>
  <c r="Z32" i="14"/>
  <c r="AG32" i="14" s="1"/>
  <c r="Z22" i="14"/>
  <c r="AG22" i="14" s="1"/>
  <c r="Z35" i="14"/>
  <c r="AG35" i="14" s="1"/>
  <c r="Z25" i="14"/>
  <c r="AG25" i="14" s="1"/>
  <c r="Z34" i="14"/>
  <c r="AG34" i="14" s="1"/>
  <c r="Z24" i="14"/>
  <c r="AG24" i="14" s="1"/>
  <c r="Z23" i="14"/>
  <c r="AG23" i="14" s="1"/>
  <c r="Z28" i="14"/>
  <c r="AG28" i="14" s="1"/>
  <c r="Z3" i="8"/>
  <c r="AG3" i="8" s="1"/>
  <c r="Z10" i="8"/>
  <c r="AG10" i="8" s="1"/>
  <c r="AA2" i="8"/>
  <c r="Z8" i="8"/>
  <c r="AG8" i="8" s="1"/>
  <c r="Z9" i="8"/>
  <c r="AG9" i="8" s="1"/>
  <c r="Z11" i="8"/>
  <c r="AG11" i="8" s="1"/>
  <c r="Z5" i="8"/>
  <c r="AG5" i="8" s="1"/>
  <c r="Z7" i="8"/>
  <c r="AG7" i="8" s="1"/>
  <c r="Z6" i="8"/>
  <c r="AG6" i="8" s="1"/>
  <c r="Z4" i="8"/>
  <c r="AG4" i="8" s="1"/>
  <c r="Z2" i="8"/>
  <c r="Z105" i="8"/>
  <c r="AG105" i="8" s="1"/>
  <c r="Z108" i="8"/>
  <c r="AG108" i="8" s="1"/>
  <c r="Z109" i="8"/>
  <c r="AG109" i="8" s="1"/>
  <c r="Z97" i="8"/>
  <c r="AG97" i="8" s="1"/>
  <c r="Z102" i="8"/>
  <c r="AG102" i="8" s="1"/>
  <c r="Z100" i="8"/>
  <c r="AG100" i="8" s="1"/>
  <c r="Z104" i="8"/>
  <c r="AG104" i="8" s="1"/>
  <c r="AA94" i="8"/>
  <c r="Z94" i="8" s="1"/>
  <c r="Z96" i="8"/>
  <c r="AG96" i="8" s="1"/>
  <c r="Z99" i="8"/>
  <c r="AG99" i="8" s="1"/>
  <c r="Z95" i="8"/>
  <c r="AG95" i="8" s="1"/>
  <c r="Z101" i="8"/>
  <c r="AG101" i="8" s="1"/>
  <c r="Z107" i="8"/>
  <c r="AG107" i="8" s="1"/>
  <c r="Z82" i="14"/>
  <c r="AG82" i="14" s="1"/>
  <c r="Z89" i="14"/>
  <c r="AG89" i="14" s="1"/>
  <c r="Z80" i="14"/>
  <c r="AG80" i="14" s="1"/>
  <c r="Z79" i="14"/>
  <c r="AG79" i="14" s="1"/>
  <c r="Z93" i="14"/>
  <c r="AG93" i="14" s="1"/>
  <c r="Z91" i="14"/>
  <c r="AG91" i="14" s="1"/>
  <c r="Z87" i="14"/>
  <c r="AG87" i="14" s="1"/>
  <c r="Z86" i="14"/>
  <c r="AG86" i="14" s="1"/>
  <c r="Z83" i="14"/>
  <c r="AG83" i="14" s="1"/>
  <c r="Z90" i="14"/>
  <c r="AG90" i="14" s="1"/>
  <c r="Z85" i="14"/>
  <c r="AG85" i="14" s="1"/>
  <c r="Z92" i="14"/>
  <c r="AG92" i="14" s="1"/>
  <c r="Z78" i="14"/>
  <c r="AG78" i="14" s="1"/>
  <c r="Z81" i="14"/>
  <c r="AG81" i="14" s="1"/>
  <c r="AA77" i="14"/>
  <c r="Z77" i="14" s="1"/>
  <c r="Z67" i="14"/>
  <c r="AG67" i="14" s="1"/>
  <c r="Z58" i="14"/>
  <c r="AG58" i="14" s="1"/>
  <c r="Z66" i="14"/>
  <c r="AG66" i="14" s="1"/>
  <c r="Z74" i="14"/>
  <c r="AG74" i="14" s="1"/>
  <c r="Z69" i="14"/>
  <c r="AG69" i="14" s="1"/>
  <c r="Z62" i="14"/>
  <c r="AG62" i="14" s="1"/>
  <c r="Z71" i="14"/>
  <c r="AG71" i="14" s="1"/>
  <c r="Z68" i="14"/>
  <c r="AG68" i="14" s="1"/>
  <c r="Z59" i="14"/>
  <c r="AG59" i="14" s="1"/>
  <c r="Z61" i="14"/>
  <c r="AG61" i="14" s="1"/>
  <c r="Z63" i="14"/>
  <c r="AG63" i="14" s="1"/>
  <c r="Z70" i="14"/>
  <c r="AG70" i="14" s="1"/>
  <c r="Z64" i="14"/>
  <c r="AG64" i="14" s="1"/>
  <c r="Z73" i="14"/>
  <c r="AG73" i="14" s="1"/>
  <c r="Z72" i="14"/>
  <c r="AG72" i="14" s="1"/>
  <c r="Z65" i="14"/>
  <c r="AG65" i="14" s="1"/>
  <c r="Z60" i="14"/>
  <c r="AG60" i="14" s="1"/>
  <c r="AA57" i="14"/>
  <c r="Z57" i="14" s="1"/>
  <c r="Z47" i="8"/>
  <c r="AG47" i="8" s="1"/>
  <c r="Z40" i="8"/>
  <c r="AG40" i="8" s="1"/>
  <c r="Z42" i="8"/>
  <c r="AG42" i="8" s="1"/>
  <c r="Z37" i="8"/>
  <c r="AG37" i="8" s="1"/>
  <c r="Z38" i="8"/>
  <c r="AG38" i="8" s="1"/>
  <c r="Z51" i="8"/>
  <c r="AG51" i="8" s="1"/>
  <c r="Z49" i="8"/>
  <c r="AG49" i="8" s="1"/>
  <c r="Z43" i="8"/>
  <c r="AG43" i="8" s="1"/>
  <c r="Z41" i="8"/>
  <c r="AG41" i="8" s="1"/>
  <c r="Z44" i="8"/>
  <c r="AG44" i="8" s="1"/>
  <c r="Z48" i="8"/>
  <c r="AG48" i="8" s="1"/>
  <c r="Z36" i="8"/>
  <c r="AG36" i="8" s="1"/>
  <c r="Z45" i="8"/>
  <c r="AG45" i="8" s="1"/>
  <c r="Z46" i="8"/>
  <c r="AG46" i="8" s="1"/>
  <c r="Z50" i="8"/>
  <c r="AG50" i="8" s="1"/>
  <c r="AA35" i="8"/>
  <c r="Z35" i="8" s="1"/>
  <c r="Z66" i="8"/>
  <c r="AG66" i="8" s="1"/>
  <c r="Z62" i="8"/>
  <c r="AG62" i="8" s="1"/>
  <c r="Z61" i="8"/>
  <c r="AG61" i="8" s="1"/>
  <c r="Z65" i="8"/>
  <c r="AG65" i="8" s="1"/>
  <c r="Z56" i="8"/>
  <c r="AG56" i="8" s="1"/>
  <c r="Z60" i="8"/>
  <c r="AG60" i="8" s="1"/>
  <c r="Z58" i="8"/>
  <c r="AG58" i="8" s="1"/>
  <c r="Z57" i="8"/>
  <c r="AG57" i="8" s="1"/>
  <c r="Z70" i="8"/>
  <c r="AG70" i="8" s="1"/>
  <c r="Z55" i="8"/>
  <c r="AG55" i="8" s="1"/>
  <c r="Z69" i="8"/>
  <c r="AG69" i="8" s="1"/>
  <c r="Z59" i="8"/>
  <c r="AG59" i="8" s="1"/>
  <c r="AA54" i="8"/>
  <c r="Z54" i="8" s="1"/>
  <c r="Z67" i="8"/>
  <c r="AG67" i="8" s="1"/>
  <c r="Z68" i="8"/>
  <c r="AG68" i="8" s="1"/>
  <c r="Z64" i="8"/>
  <c r="AG64" i="8" s="1"/>
  <c r="Z132" i="14"/>
  <c r="AG132" i="14" s="1"/>
  <c r="Z121" i="14"/>
  <c r="AG121" i="14" s="1"/>
  <c r="Z124" i="14"/>
  <c r="AG124" i="14" s="1"/>
  <c r="Z123" i="14"/>
  <c r="AG123" i="14" s="1"/>
  <c r="Z127" i="14"/>
  <c r="AG127" i="14" s="1"/>
  <c r="Z129" i="14"/>
  <c r="AG129" i="14" s="1"/>
  <c r="Z122" i="14"/>
  <c r="AG122" i="14" s="1"/>
  <c r="Z131" i="14"/>
  <c r="AG131" i="14" s="1"/>
  <c r="Z128" i="14"/>
  <c r="AG128" i="14" s="1"/>
  <c r="Z119" i="14"/>
  <c r="AG119" i="14" s="1"/>
  <c r="Z120" i="14"/>
  <c r="AG120" i="14" s="1"/>
  <c r="Z125" i="14"/>
  <c r="AG125" i="14" s="1"/>
  <c r="Z133" i="14"/>
  <c r="AG133" i="14" s="1"/>
  <c r="AA115" i="14"/>
  <c r="Z115" i="14" s="1"/>
  <c r="Z118" i="14"/>
  <c r="AG118" i="14" s="1"/>
  <c r="Z130" i="14"/>
  <c r="AG130" i="14" s="1"/>
  <c r="Z117" i="14"/>
  <c r="AG117" i="14" s="1"/>
  <c r="Z126" i="14"/>
  <c r="AG126" i="14" s="1"/>
  <c r="Z116" i="14"/>
  <c r="AG116" i="14" s="1"/>
  <c r="Z103" i="14"/>
  <c r="AG103" i="14" s="1"/>
  <c r="Z101" i="14"/>
  <c r="AG101" i="14" s="1"/>
  <c r="Z112" i="14"/>
  <c r="AG112" i="14" s="1"/>
  <c r="Z100" i="14"/>
  <c r="AG100" i="14" s="1"/>
  <c r="Z97" i="14"/>
  <c r="AG97" i="14" s="1"/>
  <c r="Z105" i="14"/>
  <c r="AG105" i="14" s="1"/>
  <c r="Z99" i="14"/>
  <c r="AG99" i="14" s="1"/>
  <c r="Z110" i="14"/>
  <c r="AG110" i="14" s="1"/>
  <c r="Z107" i="14"/>
  <c r="AG107" i="14" s="1"/>
  <c r="Z106" i="14"/>
  <c r="AG106" i="14" s="1"/>
  <c r="Z111" i="14"/>
  <c r="AG111" i="14" s="1"/>
  <c r="Z108" i="14"/>
  <c r="AG108" i="14" s="1"/>
  <c r="AA96" i="14"/>
  <c r="Z96" i="14" s="1"/>
  <c r="Z102" i="14"/>
  <c r="AG102" i="14" s="1"/>
  <c r="Z109" i="14"/>
  <c r="AG109" i="14" s="1"/>
  <c r="Z104" i="14"/>
  <c r="AG104" i="14" s="1"/>
  <c r="Z14" i="14"/>
  <c r="AG14" i="14" s="1"/>
  <c r="Z12" i="14"/>
  <c r="AG12" i="14" s="1"/>
  <c r="Z6" i="14"/>
  <c r="AG6" i="14" s="1"/>
  <c r="Z10" i="14"/>
  <c r="AG10" i="14" s="1"/>
  <c r="Z15" i="14"/>
  <c r="AG15" i="14" s="1"/>
  <c r="Z11" i="14"/>
  <c r="AG11" i="14" s="1"/>
  <c r="Z16" i="14"/>
  <c r="AG16" i="14" s="1"/>
  <c r="Z13" i="14"/>
  <c r="AG13" i="14" s="1"/>
  <c r="AA2" i="14"/>
  <c r="Z2" i="14" s="1"/>
  <c r="Z5" i="14"/>
  <c r="AG5" i="14" s="1"/>
  <c r="Z9" i="14"/>
  <c r="AG9" i="14" s="1"/>
  <c r="Z7" i="14"/>
  <c r="AG7" i="14" s="1"/>
  <c r="Z3" i="14"/>
  <c r="AG3" i="14" s="1"/>
  <c r="Z4" i="14"/>
  <c r="AG4" i="14" s="1"/>
  <c r="Z32" i="8"/>
  <c r="AG32" i="8" s="1"/>
  <c r="Z16" i="8"/>
  <c r="AG16" i="8" s="1"/>
  <c r="Z20" i="8"/>
  <c r="AG20" i="8" s="1"/>
  <c r="Z31" i="8"/>
  <c r="AG31" i="8" s="1"/>
  <c r="Z26" i="8"/>
  <c r="AG26" i="8" s="1"/>
  <c r="Z14" i="8"/>
  <c r="Z29" i="8"/>
  <c r="AG29" i="8" s="1"/>
  <c r="Z22" i="8"/>
  <c r="AG22" i="8" s="1"/>
  <c r="Z27" i="8"/>
  <c r="AG27" i="8" s="1"/>
  <c r="Z18" i="8"/>
  <c r="AG18" i="8" s="1"/>
  <c r="Z23" i="8"/>
  <c r="AG23" i="8" s="1"/>
  <c r="Z28" i="8"/>
  <c r="AG28" i="8" s="1"/>
  <c r="AA14" i="8"/>
  <c r="Z24" i="8"/>
  <c r="AG24" i="8" s="1"/>
  <c r="Z17" i="8"/>
  <c r="AG17" i="8" s="1"/>
  <c r="Z21" i="8"/>
  <c r="AG21" i="8" s="1"/>
  <c r="Z19" i="8"/>
  <c r="AG19" i="8" s="1"/>
  <c r="Z30" i="8"/>
  <c r="AG30" i="8" s="1"/>
  <c r="Z25" i="8"/>
  <c r="AG25" i="8" s="1"/>
  <c r="Z15" i="8"/>
  <c r="AG15" i="8" s="1"/>
  <c r="Z29" i="9"/>
  <c r="AG29" i="9" s="1"/>
  <c r="Z16" i="9"/>
  <c r="AG16" i="9" s="1"/>
  <c r="Z93" i="9"/>
  <c r="AG93" i="9" s="1"/>
  <c r="Z59" i="9"/>
  <c r="AG59" i="9" s="1"/>
  <c r="Z34" i="9"/>
  <c r="AG34" i="9" s="1"/>
  <c r="Z108" i="9"/>
  <c r="AG108" i="9" s="1"/>
  <c r="Z64" i="9"/>
  <c r="AG64" i="9" s="1"/>
  <c r="Z67" i="9"/>
  <c r="AG67" i="9" s="1"/>
  <c r="Z38" i="9"/>
  <c r="AG38" i="9" s="1"/>
  <c r="Z69" i="9"/>
  <c r="AG69" i="9" s="1"/>
  <c r="Z97" i="9"/>
  <c r="AG97" i="9" s="1"/>
  <c r="Z15" i="9"/>
  <c r="AG15" i="9" s="1"/>
  <c r="Z110" i="9"/>
  <c r="AG110" i="9" s="1"/>
  <c r="Z45" i="9"/>
  <c r="AG45" i="9" s="1"/>
  <c r="Z84" i="9"/>
  <c r="AG84" i="9" s="1"/>
  <c r="Z5" i="9"/>
  <c r="AG5" i="9" s="1"/>
  <c r="Z63" i="9"/>
  <c r="AG63" i="9" s="1"/>
  <c r="Z54" i="9"/>
  <c r="AG54" i="9" s="1"/>
  <c r="Z33" i="9"/>
  <c r="AG33" i="9" s="1"/>
  <c r="Z65" i="9"/>
  <c r="AG65" i="9" s="1"/>
  <c r="Z107" i="9"/>
  <c r="AG107" i="9" s="1"/>
  <c r="Z50" i="9"/>
  <c r="AG50" i="9" s="1"/>
  <c r="Z79" i="9"/>
  <c r="AG79" i="9" s="1"/>
  <c r="Z101" i="9"/>
  <c r="AG101" i="9" s="1"/>
  <c r="Z6" i="9"/>
  <c r="AG6" i="9" s="1"/>
  <c r="Z73" i="9"/>
  <c r="AG73" i="9" s="1"/>
  <c r="Z96" i="9"/>
  <c r="AG96" i="9" s="1"/>
  <c r="Z43" i="9"/>
  <c r="AG43" i="9" s="1"/>
  <c r="Z51" i="9"/>
  <c r="AG51" i="9" s="1"/>
  <c r="Z52" i="9"/>
  <c r="AG52" i="9" s="1"/>
  <c r="Z14" i="9"/>
  <c r="AG14" i="9" s="1"/>
  <c r="Z55" i="9"/>
  <c r="AG55" i="9" s="1"/>
  <c r="Z26" i="9"/>
  <c r="AG26" i="9" s="1"/>
  <c r="Z102" i="9"/>
  <c r="AG102" i="9" s="1"/>
  <c r="Z7" i="9"/>
  <c r="AG7" i="9" s="1"/>
  <c r="Z92" i="9"/>
  <c r="AG92" i="9" s="1"/>
  <c r="Z28" i="9"/>
  <c r="AG28" i="9" s="1"/>
  <c r="Z90" i="9"/>
  <c r="AG90" i="9" s="1"/>
  <c r="Z37" i="9"/>
  <c r="AG37" i="9" s="1"/>
  <c r="Z94" i="9"/>
  <c r="AG94" i="9" s="1"/>
  <c r="Z104" i="9"/>
  <c r="AG104" i="9" s="1"/>
  <c r="Z22" i="9"/>
  <c r="AG22" i="9" s="1"/>
  <c r="Z87" i="9"/>
  <c r="AG87" i="9" s="1"/>
  <c r="Z106" i="9"/>
  <c r="AG106" i="9" s="1"/>
  <c r="Z91" i="9"/>
  <c r="AG91" i="9" s="1"/>
  <c r="Z62" i="9"/>
  <c r="AG62" i="9" s="1"/>
  <c r="Z78" i="9"/>
  <c r="AG78" i="9" s="1"/>
  <c r="Z20" i="9"/>
  <c r="AG20" i="9" s="1"/>
  <c r="Z61" i="9"/>
  <c r="AG61" i="9" s="1"/>
  <c r="Z31" i="9"/>
  <c r="AG31" i="9" s="1"/>
  <c r="AA2" i="9"/>
  <c r="Z2" i="9" s="1"/>
  <c r="Z44" i="9"/>
  <c r="AG44" i="9" s="1"/>
  <c r="Z9" i="9"/>
  <c r="AG9" i="9" s="1"/>
  <c r="Z21" i="9"/>
  <c r="AG21" i="9" s="1"/>
  <c r="Z24" i="9"/>
  <c r="AG24" i="9" s="1"/>
  <c r="Z100" i="9"/>
  <c r="AG100" i="9" s="1"/>
  <c r="Z77" i="9"/>
  <c r="AG77" i="9" s="1"/>
  <c r="Z35" i="9"/>
  <c r="AG35" i="9" s="1"/>
  <c r="Z42" i="9"/>
  <c r="AG42" i="9" s="1"/>
  <c r="Z85" i="9"/>
  <c r="AG85" i="9" s="1"/>
  <c r="Z32" i="9"/>
  <c r="AG32" i="9" s="1"/>
  <c r="Z17" i="9"/>
  <c r="AG17" i="9" s="1"/>
  <c r="Z53" i="9"/>
  <c r="AG53" i="9" s="1"/>
  <c r="Z60" i="9"/>
  <c r="AG60" i="9" s="1"/>
  <c r="Z18" i="9"/>
  <c r="AG18" i="9" s="1"/>
  <c r="Z89" i="9"/>
  <c r="AG89" i="9" s="1"/>
  <c r="Z109" i="9"/>
  <c r="AG109" i="9" s="1"/>
  <c r="Z19" i="9"/>
  <c r="AG19" i="9" s="1"/>
  <c r="Z82" i="9"/>
  <c r="AG82" i="9" s="1"/>
  <c r="Z74" i="9"/>
  <c r="AG74" i="9" s="1"/>
  <c r="Z41" i="9"/>
  <c r="AG41" i="9" s="1"/>
  <c r="Z71" i="9"/>
  <c r="AG71" i="9" s="1"/>
  <c r="Z47" i="9"/>
  <c r="AG47" i="9" s="1"/>
  <c r="Z39" i="9"/>
  <c r="AG39" i="9" s="1"/>
  <c r="Z36" i="9"/>
  <c r="AG36" i="9" s="1"/>
  <c r="Z88" i="9"/>
  <c r="AG88" i="9" s="1"/>
  <c r="Z111" i="9"/>
  <c r="AG111" i="9" s="1"/>
  <c r="Z83" i="9"/>
  <c r="AG83" i="9" s="1"/>
  <c r="Z11" i="9"/>
  <c r="AG11" i="9" s="1"/>
  <c r="Z27" i="9"/>
  <c r="AG27" i="9" s="1"/>
  <c r="Z103" i="9"/>
  <c r="AG103" i="9" s="1"/>
  <c r="Z30" i="9"/>
  <c r="AG30" i="9" s="1"/>
  <c r="Z10" i="9"/>
  <c r="AG10" i="9" s="1"/>
  <c r="Z25" i="9"/>
  <c r="AG25" i="9" s="1"/>
  <c r="Z8" i="9"/>
  <c r="AG8" i="9" s="1"/>
  <c r="Z72" i="9"/>
  <c r="AG72" i="9" s="1"/>
  <c r="Z13" i="9"/>
  <c r="AG13" i="9" s="1"/>
  <c r="Z99" i="9"/>
  <c r="AG99" i="9" s="1"/>
  <c r="Z80" i="9"/>
  <c r="AG80" i="9" s="1"/>
  <c r="Z49" i="9"/>
  <c r="AG49" i="9" s="1"/>
  <c r="Z4" i="9"/>
  <c r="AG4" i="9" s="1"/>
  <c r="Z46" i="9"/>
  <c r="AG46" i="9" s="1"/>
  <c r="Z98" i="9"/>
  <c r="AG98" i="9" s="1"/>
  <c r="Z81" i="9"/>
  <c r="AG81" i="9" s="1"/>
  <c r="Z105" i="9"/>
  <c r="AG105" i="9" s="1"/>
  <c r="Z48" i="9"/>
  <c r="AG48" i="9" s="1"/>
  <c r="Z12" i="9"/>
  <c r="AG12" i="9" s="1"/>
  <c r="Z66" i="9"/>
  <c r="AG66" i="9" s="1"/>
  <c r="Z86" i="9"/>
  <c r="AG86" i="9" s="1"/>
  <c r="Z45" i="14"/>
  <c r="AG45" i="14" s="1"/>
  <c r="Z51" i="14"/>
  <c r="AG51" i="14" s="1"/>
  <c r="Z40" i="14"/>
  <c r="AG40" i="14" s="1"/>
  <c r="Z50" i="14"/>
  <c r="AG50" i="14" s="1"/>
  <c r="Z49" i="14"/>
  <c r="AG49" i="14" s="1"/>
  <c r="Z42" i="14"/>
  <c r="AG42" i="14" s="1"/>
  <c r="Z43" i="14"/>
  <c r="AG43" i="14" s="1"/>
  <c r="Z47" i="14"/>
  <c r="AG47" i="14" s="1"/>
  <c r="Z44" i="14"/>
  <c r="AG44" i="14" s="1"/>
  <c r="Z39" i="14"/>
  <c r="AG39" i="14" s="1"/>
  <c r="Z54" i="14"/>
  <c r="AG54" i="14" s="1"/>
  <c r="Z46" i="14"/>
  <c r="AG46" i="14" s="1"/>
  <c r="AA38" i="14"/>
  <c r="Z38" i="14" s="1"/>
  <c r="Z53" i="14"/>
  <c r="AG53" i="14" s="1"/>
  <c r="Z52" i="14"/>
  <c r="AG52" i="14" s="1"/>
  <c r="Z41" i="14"/>
  <c r="AG41" i="14" s="1"/>
  <c r="Z86" i="8"/>
  <c r="AG86" i="8" s="1"/>
  <c r="Z76" i="8"/>
  <c r="AG76" i="8" s="1"/>
  <c r="Z89" i="8"/>
  <c r="AG89" i="8" s="1"/>
  <c r="Z87" i="8"/>
  <c r="AG87" i="8" s="1"/>
  <c r="Z77" i="8"/>
  <c r="AG77" i="8" s="1"/>
  <c r="Z75" i="8"/>
  <c r="AG75" i="8" s="1"/>
  <c r="Z78" i="8"/>
  <c r="AG78" i="8" s="1"/>
  <c r="Z83" i="8"/>
  <c r="AG83" i="8" s="1"/>
  <c r="AA73" i="8"/>
  <c r="Z73" i="8" s="1"/>
  <c r="Z80" i="8"/>
  <c r="AG80" i="8" s="1"/>
  <c r="Z79" i="8"/>
  <c r="AG79" i="8" s="1"/>
  <c r="Z90" i="8"/>
  <c r="AG90" i="8" s="1"/>
  <c r="Z74" i="8"/>
  <c r="AG74" i="8" s="1"/>
  <c r="Z85" i="8"/>
  <c r="AG85" i="8" s="1"/>
  <c r="Z82" i="8"/>
  <c r="AG82" i="8" s="1"/>
  <c r="Z84" i="8"/>
  <c r="AG84" i="8" s="1"/>
  <c r="Z91" i="8"/>
  <c r="AG91" i="8" s="1"/>
  <c r="Z88" i="8"/>
  <c r="AG88" i="8" s="1"/>
  <c r="Z81" i="8"/>
  <c r="AG81" i="8" s="1"/>
  <c r="Z138" i="14"/>
  <c r="AG138" i="14" s="1"/>
  <c r="Z139" i="14"/>
  <c r="AG139" i="14" s="1"/>
  <c r="Z143" i="14"/>
  <c r="AG143" i="14" s="1"/>
  <c r="Z142" i="14"/>
  <c r="AG142" i="14" s="1"/>
  <c r="Z144" i="14"/>
  <c r="AG144" i="14" s="1"/>
  <c r="Z147" i="14"/>
  <c r="AG147" i="14" s="1"/>
  <c r="Z140" i="14"/>
  <c r="AG140" i="14" s="1"/>
  <c r="Z141" i="14"/>
  <c r="AG141" i="14" s="1"/>
  <c r="Z149" i="14"/>
  <c r="AG149" i="14" s="1"/>
  <c r="Z150" i="14"/>
  <c r="AG150" i="14" s="1"/>
  <c r="AA136" i="14"/>
  <c r="Z136" i="14" s="1"/>
  <c r="Z137" i="14"/>
  <c r="AG137" i="14" s="1"/>
  <c r="Z145" i="14"/>
  <c r="AG145" i="14" s="1"/>
  <c r="Z146" i="14"/>
  <c r="AG146" i="14" s="1"/>
  <c r="Z151" i="14"/>
  <c r="AG151" i="14" s="1"/>
  <c r="Z148" i="14"/>
  <c r="AG148" i="14" s="1"/>
  <c r="Z113" i="8"/>
  <c r="AG113" i="8" s="1"/>
  <c r="Z123" i="8"/>
  <c r="AG123" i="8" s="1"/>
  <c r="Z119" i="8"/>
  <c r="AG119" i="8" s="1"/>
  <c r="AA112" i="8"/>
  <c r="Z112" i="8" s="1"/>
  <c r="Z116" i="8"/>
  <c r="AG116" i="8" s="1"/>
  <c r="Z122" i="8"/>
  <c r="AG122" i="8" s="1"/>
  <c r="Z118" i="8"/>
  <c r="AG118" i="8" s="1"/>
  <c r="Z115" i="8"/>
  <c r="AG115" i="8" s="1"/>
  <c r="Z114" i="8"/>
  <c r="AG114" i="8" s="1"/>
  <c r="Z117" i="8"/>
  <c r="AG117" i="8" s="1"/>
  <c r="Z121" i="8"/>
  <c r="AG121" i="8" s="1"/>
  <c r="F4" i="3"/>
  <c r="F6" i="3"/>
  <c r="J28" i="3" a="1"/>
  <c r="Z142" i="16" l="1"/>
  <c r="AG142" i="16" s="1"/>
  <c r="Z143" i="16"/>
  <c r="AG143" i="16" s="1"/>
  <c r="Z138" i="16"/>
  <c r="AG138" i="16" s="1"/>
  <c r="Z137" i="16"/>
  <c r="AG137" i="16" s="1"/>
  <c r="Z136" i="16"/>
  <c r="Z117" i="16"/>
  <c r="AG117" i="16" s="1"/>
  <c r="AG116" i="16"/>
  <c r="J28" i="3"/>
  <c r="Z104" i="16"/>
  <c r="AG104" i="16" s="1"/>
  <c r="AG96" i="16"/>
  <c r="Z80" i="16"/>
  <c r="AG80" i="16" s="1"/>
  <c r="Z79" i="16"/>
  <c r="AG79" i="16" s="1"/>
  <c r="AG78" i="16"/>
  <c r="AG58" i="16"/>
  <c r="A57" i="16"/>
  <c r="Z53" i="16"/>
  <c r="AG53" i="16" s="1"/>
  <c r="Z41" i="16"/>
  <c r="AG41" i="16" s="1"/>
  <c r="Z40" i="16"/>
  <c r="AG40" i="16" s="1"/>
  <c r="Z39" i="16"/>
  <c r="AG39" i="16" s="1"/>
  <c r="AG38" i="16"/>
  <c r="A19" i="16"/>
  <c r="AG20" i="16"/>
  <c r="Z11" i="16"/>
  <c r="AG11" i="16" s="1"/>
  <c r="Z2" i="16"/>
  <c r="Z206" i="14"/>
  <c r="AG206" i="14" s="1"/>
  <c r="Z212" i="14"/>
  <c r="AG212" i="14" s="1"/>
  <c r="AG211" i="14"/>
  <c r="Z46" i="15"/>
  <c r="AG46" i="15" s="1"/>
  <c r="Z201" i="14"/>
  <c r="AG201" i="14" s="1"/>
  <c r="Z180" i="15"/>
  <c r="AG180" i="15" s="1"/>
  <c r="Z88" i="15"/>
  <c r="AG88" i="15" s="1"/>
  <c r="Z2" i="15"/>
  <c r="AG2" i="15" s="1"/>
  <c r="Z8" i="15"/>
  <c r="AG8" i="15" s="1"/>
  <c r="AG193" i="14"/>
  <c r="AG173" i="14"/>
  <c r="A172" i="14"/>
  <c r="Z75" i="9"/>
  <c r="AG75" i="9" s="1"/>
  <c r="Z40" i="9"/>
  <c r="AG40" i="9" s="1"/>
  <c r="Z95" i="9"/>
  <c r="AG95" i="9" s="1"/>
  <c r="Z56" i="9"/>
  <c r="AG56" i="9" s="1"/>
  <c r="Z3" i="9"/>
  <c r="AG3" i="9" s="1"/>
  <c r="Z68" i="9"/>
  <c r="AG68" i="9" s="1"/>
  <c r="Z103" i="8"/>
  <c r="AG103" i="8" s="1"/>
  <c r="Z58" i="9"/>
  <c r="AG58" i="9" s="1"/>
  <c r="Z8" i="14"/>
  <c r="AG8" i="14" s="1"/>
  <c r="Z120" i="8"/>
  <c r="AG120" i="8" s="1"/>
  <c r="Z70" i="9"/>
  <c r="AG70" i="9" s="1"/>
  <c r="Z76" i="9"/>
  <c r="AG76" i="9" s="1"/>
  <c r="Z84" i="14"/>
  <c r="AG84" i="14" s="1"/>
  <c r="Z57" i="9"/>
  <c r="AG57" i="9" s="1"/>
  <c r="Z23" i="9"/>
  <c r="AG23" i="9" s="1"/>
  <c r="Z98" i="14"/>
  <c r="AG98" i="14" s="1"/>
  <c r="Z39" i="8"/>
  <c r="AG39" i="8" s="1"/>
  <c r="Z63" i="8"/>
  <c r="AG63" i="8" s="1"/>
  <c r="Z98" i="8"/>
  <c r="AG98" i="8" s="1"/>
  <c r="Z17" i="14"/>
  <c r="AG17" i="14" s="1"/>
  <c r="Z106" i="8"/>
  <c r="AG106" i="8" s="1"/>
  <c r="Z48" i="14"/>
  <c r="AG48" i="14" s="1"/>
  <c r="Z88" i="14"/>
  <c r="AG88" i="14" s="1"/>
  <c r="AG112" i="8"/>
  <c r="AG2" i="9"/>
  <c r="AG2" i="14"/>
  <c r="AG115" i="14"/>
  <c r="A114" i="14"/>
  <c r="AG57" i="14"/>
  <c r="A56" i="14"/>
  <c r="AG54" i="8"/>
  <c r="AG35" i="8"/>
  <c r="AG77" i="14"/>
  <c r="AG2" i="8"/>
  <c r="A1" i="8"/>
  <c r="AG14" i="8"/>
  <c r="A13" i="8"/>
  <c r="AG154" i="14"/>
  <c r="A153" i="14"/>
  <c r="AG20" i="14"/>
  <c r="A19" i="14"/>
  <c r="AG94" i="8"/>
  <c r="AG38" i="14"/>
  <c r="AG96" i="14"/>
  <c r="AG136" i="14"/>
  <c r="A135" i="14"/>
  <c r="AG73" i="8"/>
  <c r="A72" i="8"/>
  <c r="U13" i="3"/>
  <c r="E27" i="3" a="1"/>
  <c r="Q12" i="3"/>
  <c r="R30" i="3"/>
  <c r="K27" i="3" a="1"/>
  <c r="R23" i="3"/>
  <c r="J11" i="3" a="1"/>
  <c r="U15" i="3"/>
  <c r="T28" i="3"/>
  <c r="S28" i="3"/>
  <c r="Y15" i="3"/>
  <c r="T29" i="3"/>
  <c r="D19" i="3" a="1"/>
  <c r="U28" i="3"/>
  <c r="Q13" i="3"/>
  <c r="F19" i="3" a="1"/>
  <c r="AG136" i="16" l="1"/>
  <c r="A135" i="16"/>
  <c r="E27" i="3"/>
  <c r="K27" i="3"/>
  <c r="D19" i="3"/>
  <c r="A115" i="16"/>
  <c r="B115" i="16" s="1"/>
  <c r="A95" i="16"/>
  <c r="A77" i="16"/>
  <c r="B77" i="16" s="1"/>
  <c r="B57" i="16"/>
  <c r="C57" i="16"/>
  <c r="A37" i="16"/>
  <c r="F19" i="3"/>
  <c r="J11" i="3"/>
  <c r="B19" i="16"/>
  <c r="C19" i="16"/>
  <c r="A1" i="16"/>
  <c r="AG2" i="16"/>
  <c r="A210" i="14"/>
  <c r="A192" i="14"/>
  <c r="A1" i="15"/>
  <c r="C172" i="14"/>
  <c r="B172" i="14"/>
  <c r="A111" i="8"/>
  <c r="C111" i="8" s="1"/>
  <c r="A95" i="14"/>
  <c r="B95" i="14" s="1"/>
  <c r="A53" i="8"/>
  <c r="C53" i="8" s="1"/>
  <c r="A1" i="14"/>
  <c r="C1" i="14" s="1"/>
  <c r="A1" i="9"/>
  <c r="C1" i="9" s="1"/>
  <c r="A37" i="14"/>
  <c r="B37" i="14" s="1"/>
  <c r="A76" i="14"/>
  <c r="C76" i="14" s="1"/>
  <c r="A93" i="8"/>
  <c r="C93" i="8" s="1"/>
  <c r="A34" i="8"/>
  <c r="B34" i="8" s="1"/>
  <c r="C19" i="14"/>
  <c r="B19" i="14"/>
  <c r="B153" i="14"/>
  <c r="C153" i="14"/>
  <c r="C135" i="14"/>
  <c r="B135" i="14"/>
  <c r="B56" i="14"/>
  <c r="C56" i="14"/>
  <c r="C72" i="8"/>
  <c r="B72" i="8"/>
  <c r="C114" i="14"/>
  <c r="B114" i="14"/>
  <c r="C13" i="8"/>
  <c r="B13" i="8"/>
  <c r="C1" i="8"/>
  <c r="B1" i="8"/>
  <c r="N27" i="3" a="1"/>
  <c r="Q21" i="3"/>
  <c r="R11" i="3"/>
  <c r="L19" i="3" a="1"/>
  <c r="R31" i="3"/>
  <c r="U23" i="3"/>
  <c r="Q31" i="3"/>
  <c r="K19" i="3" a="1"/>
  <c r="K31" i="3" a="1"/>
  <c r="R12" i="3"/>
  <c r="AB13" i="3"/>
  <c r="T20" i="3"/>
  <c r="E11" i="3" a="1"/>
  <c r="Q29" i="3"/>
  <c r="S23" i="3"/>
  <c r="S20" i="3"/>
  <c r="U30" i="3"/>
  <c r="Q28" i="3"/>
  <c r="M19" i="3" a="1"/>
  <c r="AC20" i="3"/>
  <c r="AB21" i="3"/>
  <c r="AB22" i="3"/>
  <c r="AA20" i="3"/>
  <c r="G27" i="3" a="1"/>
  <c r="T14" i="3"/>
  <c r="C11" i="3" a="1"/>
  <c r="Q23" i="3"/>
  <c r="J19" i="3" a="1"/>
  <c r="T23" i="3"/>
  <c r="R21" i="3"/>
  <c r="Q15" i="3"/>
  <c r="R22" i="3"/>
  <c r="D27" i="3" a="1"/>
  <c r="S30" i="3"/>
  <c r="Z23" i="3"/>
  <c r="E31" i="3" a="1"/>
  <c r="K11" i="3" a="1"/>
  <c r="G19" i="3" a="1"/>
  <c r="AC13" i="3"/>
  <c r="U20" i="3"/>
  <c r="U22" i="3"/>
  <c r="Z22" i="3"/>
  <c r="AC22" i="3"/>
  <c r="J22" i="3" a="1"/>
  <c r="D21" i="3" a="1"/>
  <c r="Y14" i="3"/>
  <c r="T12" i="3"/>
  <c r="Z14" i="3"/>
  <c r="AC12" i="3"/>
  <c r="E22" i="3" a="1"/>
  <c r="Q11" i="3"/>
  <c r="T31" i="3"/>
  <c r="Q22" i="3"/>
  <c r="C27" i="3" a="1"/>
  <c r="AC14" i="3"/>
  <c r="E19" i="3" a="1"/>
  <c r="C19" i="3" a="1"/>
  <c r="Z15" i="3"/>
  <c r="R20" i="3"/>
  <c r="L21" i="3" a="1"/>
  <c r="L27" i="3" a="1"/>
  <c r="AA15" i="3"/>
  <c r="S14" i="3"/>
  <c r="AC21" i="3"/>
  <c r="AA22" i="3"/>
  <c r="T21" i="3"/>
  <c r="N22" i="3" a="1"/>
  <c r="D11" i="3" a="1"/>
  <c r="Z21" i="3"/>
  <c r="N19" i="3" a="1"/>
  <c r="C23" i="3" a="1"/>
  <c r="T22" i="3"/>
  <c r="N15" i="3" a="1"/>
  <c r="L15" i="3" a="1"/>
  <c r="M11" i="3" a="1"/>
  <c r="S31" i="3"/>
  <c r="F27" i="3" a="1"/>
  <c r="J27" i="3" a="1"/>
  <c r="U12" i="3"/>
  <c r="Y13" i="3"/>
  <c r="AA23" i="3"/>
  <c r="S13" i="3"/>
  <c r="AA14" i="3"/>
  <c r="Y12" i="3"/>
  <c r="AC23" i="3"/>
  <c r="F11" i="3" a="1"/>
  <c r="C14" i="3" a="1"/>
  <c r="K21" i="3" a="1"/>
  <c r="AA21" i="3"/>
  <c r="AA13" i="3"/>
  <c r="S15" i="3"/>
  <c r="N11" i="3" a="1"/>
  <c r="S22" i="3"/>
  <c r="R13" i="3"/>
  <c r="AB14" i="3"/>
  <c r="G11" i="3" a="1"/>
  <c r="Z13" i="3"/>
  <c r="T13" i="3"/>
  <c r="R29" i="3"/>
  <c r="Q27" i="3"/>
  <c r="S21" i="3"/>
  <c r="L11" i="3" a="1"/>
  <c r="P152" i="16" l="1"/>
  <c r="C135" i="16"/>
  <c r="B135" i="16"/>
  <c r="AJ152" i="16"/>
  <c r="AK152" i="16" s="1"/>
  <c r="AL152" i="16" s="1"/>
  <c r="P151" i="16"/>
  <c r="AJ146" i="16"/>
  <c r="AK146" i="16" s="1"/>
  <c r="AL146" i="16" s="1"/>
  <c r="P147" i="16"/>
  <c r="AJ144" i="16"/>
  <c r="AK144" i="16" s="1"/>
  <c r="AL144" i="16" s="1"/>
  <c r="AJ148" i="16"/>
  <c r="AK148" i="16" s="1"/>
  <c r="AL148" i="16" s="1"/>
  <c r="AJ150" i="16"/>
  <c r="AK150" i="16" s="1"/>
  <c r="AL150" i="16" s="1"/>
  <c r="P145" i="16"/>
  <c r="P149" i="16"/>
  <c r="P143" i="16"/>
  <c r="P140" i="16"/>
  <c r="AJ141" i="16"/>
  <c r="AK141" i="16" s="1"/>
  <c r="AL141" i="16" s="1"/>
  <c r="AJ138" i="16"/>
  <c r="AK138" i="16" s="1"/>
  <c r="AL138" i="16" s="1"/>
  <c r="P139" i="16"/>
  <c r="AJ137" i="16"/>
  <c r="AK137" i="16" s="1"/>
  <c r="AL137" i="16" s="1"/>
  <c r="N22" i="3"/>
  <c r="K11" i="3"/>
  <c r="N11" i="3"/>
  <c r="V20" i="3"/>
  <c r="N19" i="3"/>
  <c r="AD13" i="3"/>
  <c r="D11" i="3"/>
  <c r="V11" i="3"/>
  <c r="V27" i="3"/>
  <c r="J19" i="3"/>
  <c r="AD22" i="3"/>
  <c r="AD20" i="3"/>
  <c r="V22" i="3"/>
  <c r="AD23" i="3"/>
  <c r="K31" i="3"/>
  <c r="L21" i="3"/>
  <c r="J27" i="3"/>
  <c r="V29" i="3"/>
  <c r="V15" i="3"/>
  <c r="V12" i="3"/>
  <c r="AD12" i="3"/>
  <c r="V21" i="3"/>
  <c r="C14" i="3"/>
  <c r="G11" i="3"/>
  <c r="M11" i="3"/>
  <c r="E22" i="3"/>
  <c r="J22" i="3"/>
  <c r="C23" i="3"/>
  <c r="L19" i="3"/>
  <c r="N15" i="3"/>
  <c r="AD21" i="3"/>
  <c r="F11" i="3"/>
  <c r="V30" i="3"/>
  <c r="AD15" i="3"/>
  <c r="C19" i="3"/>
  <c r="D27" i="3"/>
  <c r="L27" i="3"/>
  <c r="G19" i="3"/>
  <c r="V28" i="3"/>
  <c r="V14" i="3"/>
  <c r="E11" i="3"/>
  <c r="E31" i="3"/>
  <c r="D21" i="3"/>
  <c r="L11" i="3"/>
  <c r="L15" i="3"/>
  <c r="K21" i="3"/>
  <c r="V31" i="3"/>
  <c r="AD14" i="3"/>
  <c r="V13" i="3"/>
  <c r="P117" i="16"/>
  <c r="AJ116" i="16" s="1"/>
  <c r="AK116" i="16" s="1"/>
  <c r="AL116" i="16" s="1"/>
  <c r="P119" i="16"/>
  <c r="P121" i="16"/>
  <c r="P120" i="16"/>
  <c r="P131" i="16"/>
  <c r="P127" i="16"/>
  <c r="P124" i="16"/>
  <c r="AJ118" i="16"/>
  <c r="AK118" i="16" s="1"/>
  <c r="AL118" i="16" s="1"/>
  <c r="P128" i="16"/>
  <c r="P133" i="16"/>
  <c r="P123" i="16"/>
  <c r="P129" i="16"/>
  <c r="P126" i="16"/>
  <c r="P122" i="16"/>
  <c r="P130" i="16"/>
  <c r="C115" i="16"/>
  <c r="G124" i="16" s="1"/>
  <c r="N124" i="16" s="1"/>
  <c r="AJ97" i="16"/>
  <c r="AK97" i="16" s="1"/>
  <c r="AL97" i="16" s="1"/>
  <c r="P97" i="16"/>
  <c r="AJ96" i="16" s="1"/>
  <c r="AK96" i="16" s="1"/>
  <c r="AL96" i="16" s="1"/>
  <c r="AJ101" i="16"/>
  <c r="AK101" i="16" s="1"/>
  <c r="AL101" i="16" s="1"/>
  <c r="AJ99" i="16"/>
  <c r="AK99" i="16" s="1"/>
  <c r="AL99" i="16" s="1"/>
  <c r="P98" i="16"/>
  <c r="B95" i="16"/>
  <c r="P101" i="16"/>
  <c r="AJ98" i="16" s="1"/>
  <c r="AK98" i="16" s="1"/>
  <c r="AL98" i="16" s="1"/>
  <c r="P103" i="16"/>
  <c r="P102" i="16"/>
  <c r="P110" i="16"/>
  <c r="C95" i="16"/>
  <c r="C77" i="16"/>
  <c r="G89" i="16" s="1"/>
  <c r="N89" i="16" s="1"/>
  <c r="AJ89" i="16" s="1"/>
  <c r="AK89" i="16" s="1"/>
  <c r="AL89" i="16" s="1"/>
  <c r="H73" i="16"/>
  <c r="H74" i="16"/>
  <c r="R74" i="16" s="1"/>
  <c r="P74" i="16" s="1"/>
  <c r="H69" i="16"/>
  <c r="G71" i="16"/>
  <c r="N71" i="16" s="1"/>
  <c r="H67" i="16"/>
  <c r="R67" i="16" s="1"/>
  <c r="H66" i="16"/>
  <c r="R66" i="16" s="1"/>
  <c r="P66" i="16" s="1"/>
  <c r="G60" i="16"/>
  <c r="H72" i="16"/>
  <c r="H70" i="16"/>
  <c r="R70" i="16" s="1"/>
  <c r="AJ70" i="16" s="1"/>
  <c r="AK70" i="16" s="1"/>
  <c r="AL70" i="16" s="1"/>
  <c r="G72" i="16"/>
  <c r="N72" i="16" s="1"/>
  <c r="H60" i="16"/>
  <c r="H68" i="16"/>
  <c r="R68" i="16" s="1"/>
  <c r="G75" i="16"/>
  <c r="N75" i="16" s="1"/>
  <c r="H61" i="16"/>
  <c r="H64" i="16"/>
  <c r="G74" i="16"/>
  <c r="N74" i="16" s="1"/>
  <c r="AJ74" i="16" s="1"/>
  <c r="AK74" i="16" s="1"/>
  <c r="AL74" i="16" s="1"/>
  <c r="G69" i="16"/>
  <c r="N69" i="16" s="1"/>
  <c r="AJ69" i="16" s="1"/>
  <c r="AK69" i="16" s="1"/>
  <c r="AL69" i="16" s="1"/>
  <c r="H63" i="16"/>
  <c r="H62" i="16"/>
  <c r="G59" i="16"/>
  <c r="H75" i="16"/>
  <c r="R75" i="16" s="1"/>
  <c r="G67" i="16"/>
  <c r="N67" i="16" s="1"/>
  <c r="H59" i="16"/>
  <c r="H71" i="16"/>
  <c r="R71" i="16" s="1"/>
  <c r="G73" i="16"/>
  <c r="N73" i="16" s="1"/>
  <c r="G68" i="16"/>
  <c r="N68" i="16" s="1"/>
  <c r="G63" i="16"/>
  <c r="G61" i="16"/>
  <c r="H65" i="16"/>
  <c r="G66" i="16"/>
  <c r="N66" i="16" s="1"/>
  <c r="AJ66" i="16" s="1"/>
  <c r="AK66" i="16" s="1"/>
  <c r="AL66" i="16" s="1"/>
  <c r="G62" i="16"/>
  <c r="G64" i="16"/>
  <c r="G70" i="16"/>
  <c r="N70" i="16" s="1"/>
  <c r="P70" i="16" s="1"/>
  <c r="G65" i="16"/>
  <c r="C37" i="16"/>
  <c r="B37" i="16"/>
  <c r="E19" i="3"/>
  <c r="C11" i="3"/>
  <c r="F27" i="3"/>
  <c r="V23" i="3"/>
  <c r="C27" i="3"/>
  <c r="N27" i="3"/>
  <c r="M19" i="3"/>
  <c r="K19" i="3"/>
  <c r="G27" i="3"/>
  <c r="H29" i="16"/>
  <c r="R29" i="16" s="1"/>
  <c r="G34" i="16"/>
  <c r="N34" i="16" s="1"/>
  <c r="G33" i="16"/>
  <c r="N33" i="16" s="1"/>
  <c r="H26" i="16"/>
  <c r="H34" i="16"/>
  <c r="R34" i="16" s="1"/>
  <c r="G29" i="16"/>
  <c r="N29" i="16" s="1"/>
  <c r="G26" i="16"/>
  <c r="H24" i="16"/>
  <c r="H28" i="16"/>
  <c r="R28" i="16" s="1"/>
  <c r="P28" i="16" s="1"/>
  <c r="G24" i="16"/>
  <c r="H22" i="16"/>
  <c r="H33" i="16"/>
  <c r="R33" i="16" s="1"/>
  <c r="G28" i="16"/>
  <c r="N28" i="16" s="1"/>
  <c r="AJ28" i="16" s="1"/>
  <c r="AK28" i="16" s="1"/>
  <c r="AL28" i="16" s="1"/>
  <c r="G22" i="16"/>
  <c r="H32" i="16"/>
  <c r="R32" i="16" s="1"/>
  <c r="G32" i="16"/>
  <c r="N32" i="16" s="1"/>
  <c r="H31" i="16"/>
  <c r="R31" i="16" s="1"/>
  <c r="AJ31" i="16" s="1"/>
  <c r="AK31" i="16" s="1"/>
  <c r="AL31" i="16" s="1"/>
  <c r="H27" i="16"/>
  <c r="G25" i="16"/>
  <c r="H23" i="16"/>
  <c r="G31" i="16"/>
  <c r="N31" i="16" s="1"/>
  <c r="P31" i="16" s="1"/>
  <c r="G27" i="16"/>
  <c r="G23" i="16"/>
  <c r="H35" i="16"/>
  <c r="R35" i="16" s="1"/>
  <c r="G30" i="16"/>
  <c r="N30" i="16" s="1"/>
  <c r="P30" i="16" s="1"/>
  <c r="G21" i="16"/>
  <c r="H25" i="16"/>
  <c r="G35" i="16"/>
  <c r="N35" i="16" s="1"/>
  <c r="H30" i="16"/>
  <c r="R30" i="16" s="1"/>
  <c r="AJ30" i="16" s="1"/>
  <c r="AK30" i="16" s="1"/>
  <c r="AL30" i="16" s="1"/>
  <c r="H21" i="16"/>
  <c r="C1" i="16"/>
  <c r="G14" i="16" s="1"/>
  <c r="N14" i="16" s="1"/>
  <c r="B1" i="16"/>
  <c r="C210" i="14"/>
  <c r="B210" i="14"/>
  <c r="C192" i="14"/>
  <c r="H205" i="14" s="1"/>
  <c r="R205" i="14" s="1"/>
  <c r="AJ205" i="14" s="1"/>
  <c r="AK205" i="14" s="1"/>
  <c r="AL205" i="14" s="1"/>
  <c r="B192" i="14"/>
  <c r="B1" i="15"/>
  <c r="C1" i="15"/>
  <c r="G135" i="15" s="1"/>
  <c r="N135" i="15" s="1"/>
  <c r="P135" i="15" s="1"/>
  <c r="H180" i="14"/>
  <c r="H183" i="14"/>
  <c r="R183" i="14" s="1"/>
  <c r="P183" i="14" s="1"/>
  <c r="H184" i="14"/>
  <c r="R184" i="14" s="1"/>
  <c r="AJ184" i="14" s="1"/>
  <c r="H177" i="14"/>
  <c r="H187" i="14"/>
  <c r="H190" i="14"/>
  <c r="R190" i="14" s="1"/>
  <c r="P190" i="14" s="1"/>
  <c r="H186" i="14"/>
  <c r="R186" i="14" s="1"/>
  <c r="AJ186" i="14" s="1"/>
  <c r="G174" i="14"/>
  <c r="H174" i="14"/>
  <c r="G177" i="14"/>
  <c r="G188" i="14"/>
  <c r="N188" i="14" s="1"/>
  <c r="P188" i="14" s="1"/>
  <c r="G180" i="14"/>
  <c r="G175" i="14"/>
  <c r="G183" i="14"/>
  <c r="N183" i="14" s="1"/>
  <c r="AJ183" i="14" s="1"/>
  <c r="H189" i="14"/>
  <c r="R189" i="14" s="1"/>
  <c r="AJ189" i="14" s="1"/>
  <c r="G182" i="14"/>
  <c r="N182" i="14" s="1"/>
  <c r="P182" i="14" s="1"/>
  <c r="G189" i="14"/>
  <c r="N189" i="14" s="1"/>
  <c r="P189" i="14" s="1"/>
  <c r="G184" i="14"/>
  <c r="N184" i="14" s="1"/>
  <c r="P184" i="14" s="1"/>
  <c r="H175" i="14"/>
  <c r="H178" i="14"/>
  <c r="G186" i="14"/>
  <c r="N186" i="14" s="1"/>
  <c r="P186" i="14" s="1"/>
  <c r="H182" i="14"/>
  <c r="R182" i="14" s="1"/>
  <c r="AJ182" i="14" s="1"/>
  <c r="G176" i="14"/>
  <c r="H179" i="14"/>
  <c r="H176" i="14"/>
  <c r="G178" i="14"/>
  <c r="G187" i="14"/>
  <c r="N187" i="14" s="1"/>
  <c r="P187" i="14" s="1"/>
  <c r="G179" i="14"/>
  <c r="G190" i="14"/>
  <c r="N190" i="14" s="1"/>
  <c r="AJ190" i="14" s="1"/>
  <c r="H181" i="14"/>
  <c r="R181" i="14" s="1"/>
  <c r="AJ181" i="14" s="1"/>
  <c r="H188" i="14"/>
  <c r="G181" i="14"/>
  <c r="N181" i="14" s="1"/>
  <c r="P181" i="14" s="1"/>
  <c r="H185" i="14"/>
  <c r="R185" i="14" s="1"/>
  <c r="AJ185" i="14" s="1"/>
  <c r="G185" i="14"/>
  <c r="N185" i="14" s="1"/>
  <c r="P185" i="14" s="1"/>
  <c r="B111" i="8"/>
  <c r="H118" i="8" s="1"/>
  <c r="C95" i="14"/>
  <c r="H106" i="14" s="1"/>
  <c r="R106" i="14" s="1"/>
  <c r="P106" i="14" s="1"/>
  <c r="C37" i="14"/>
  <c r="G42" i="14" s="1"/>
  <c r="B1" i="9"/>
  <c r="H52" i="9" s="1"/>
  <c r="B76" i="14"/>
  <c r="G78" i="14" s="1"/>
  <c r="C34" i="8"/>
  <c r="G39" i="8" s="1"/>
  <c r="H6" i="8"/>
  <c r="R6" i="8" s="1"/>
  <c r="P6" i="8" s="1"/>
  <c r="B93" i="8"/>
  <c r="G100" i="8" s="1"/>
  <c r="B1" i="14"/>
  <c r="G5" i="14" s="1"/>
  <c r="B53" i="8"/>
  <c r="G59" i="8" s="1"/>
  <c r="G28" i="8"/>
  <c r="N28" i="8" s="1"/>
  <c r="P28" i="8" s="1"/>
  <c r="G21" i="14"/>
  <c r="H80" i="8"/>
  <c r="H130" i="14"/>
  <c r="H143" i="14"/>
  <c r="G167" i="14"/>
  <c r="N167" i="14" s="1"/>
  <c r="P167" i="14" s="1"/>
  <c r="H158" i="14"/>
  <c r="H157" i="14"/>
  <c r="G164" i="14"/>
  <c r="N164" i="14" s="1"/>
  <c r="P164" i="14" s="1"/>
  <c r="H164" i="14"/>
  <c r="R164" i="14" s="1"/>
  <c r="AJ164" i="14" s="1"/>
  <c r="AK164" i="14" s="1"/>
  <c r="AL164" i="14" s="1"/>
  <c r="H159" i="14"/>
  <c r="H169" i="14"/>
  <c r="G157" i="14"/>
  <c r="G156" i="14"/>
  <c r="H163" i="14"/>
  <c r="R163" i="14" s="1"/>
  <c r="AJ163" i="14" s="1"/>
  <c r="AK163" i="14" s="1"/>
  <c r="AL163" i="14" s="1"/>
  <c r="G163" i="14"/>
  <c r="N163" i="14" s="1"/>
  <c r="P163" i="14" s="1"/>
  <c r="G168" i="14"/>
  <c r="N168" i="14" s="1"/>
  <c r="P168" i="14" s="1"/>
  <c r="H165" i="14"/>
  <c r="R165" i="14" s="1"/>
  <c r="AJ165" i="14" s="1"/>
  <c r="AK165" i="14" s="1"/>
  <c r="AL165" i="14" s="1"/>
  <c r="H168" i="14"/>
  <c r="R168" i="14" s="1"/>
  <c r="AJ168" i="14" s="1"/>
  <c r="AK168" i="14" s="1"/>
  <c r="AL168" i="14" s="1"/>
  <c r="H170" i="14"/>
  <c r="R170" i="14" s="1"/>
  <c r="P170" i="14" s="1"/>
  <c r="G170" i="14"/>
  <c r="N170" i="14" s="1"/>
  <c r="AJ170" i="14" s="1"/>
  <c r="AK170" i="14" s="1"/>
  <c r="AL170" i="14" s="1"/>
  <c r="G162" i="14"/>
  <c r="N162" i="14" s="1"/>
  <c r="P162" i="14" s="1"/>
  <c r="G158" i="14"/>
  <c r="H161" i="14"/>
  <c r="G159" i="14"/>
  <c r="H156" i="14"/>
  <c r="G165" i="14"/>
  <c r="N165" i="14" s="1"/>
  <c r="P165" i="14" s="1"/>
  <c r="G155" i="14"/>
  <c r="H155" i="14"/>
  <c r="G161" i="14"/>
  <c r="H160" i="14"/>
  <c r="H162" i="14"/>
  <c r="R162" i="14" s="1"/>
  <c r="AJ162" i="14" s="1"/>
  <c r="AK162" i="14" s="1"/>
  <c r="AL162" i="14" s="1"/>
  <c r="G160" i="14"/>
  <c r="H167" i="14"/>
  <c r="R167" i="14" s="1"/>
  <c r="AJ167" i="14" s="1"/>
  <c r="AK167" i="14" s="1"/>
  <c r="AL167" i="14" s="1"/>
  <c r="H166" i="14"/>
  <c r="R166" i="14" s="1"/>
  <c r="AJ166" i="14" s="1"/>
  <c r="AK166" i="14" s="1"/>
  <c r="AL166" i="14" s="1"/>
  <c r="G169" i="14"/>
  <c r="N169" i="14" s="1"/>
  <c r="P169" i="14" s="1"/>
  <c r="G166" i="14"/>
  <c r="N166" i="14" s="1"/>
  <c r="P166" i="14" s="1"/>
  <c r="G90" i="8"/>
  <c r="N90" i="8" s="1"/>
  <c r="AJ90" i="8" s="1"/>
  <c r="AK90" i="8" s="1"/>
  <c r="AL90" i="8" s="1"/>
  <c r="G91" i="8"/>
  <c r="N91" i="8" s="1"/>
  <c r="P91" i="8" s="1"/>
  <c r="H90" i="8"/>
  <c r="R90" i="8" s="1"/>
  <c r="P90" i="8" s="1"/>
  <c r="G89" i="8"/>
  <c r="N89" i="8" s="1"/>
  <c r="AJ89" i="8" s="1"/>
  <c r="AK89" i="8" s="1"/>
  <c r="AL89" i="8" s="1"/>
  <c r="H89" i="8"/>
  <c r="R89" i="8" s="1"/>
  <c r="P89" i="8" s="1"/>
  <c r="H91" i="8"/>
  <c r="R91" i="8" s="1"/>
  <c r="AJ91" i="8" s="1"/>
  <c r="AK91" i="8" s="1"/>
  <c r="AL91" i="8" s="1"/>
  <c r="G82" i="8"/>
  <c r="N82" i="8" s="1"/>
  <c r="AJ82" i="8" s="1"/>
  <c r="AK82" i="8" s="1"/>
  <c r="AL82" i="8" s="1"/>
  <c r="H84" i="8"/>
  <c r="R84" i="8" s="1"/>
  <c r="AJ84" i="8" s="1"/>
  <c r="AK84" i="8" s="1"/>
  <c r="AL84" i="8" s="1"/>
  <c r="H77" i="8"/>
  <c r="G86" i="8"/>
  <c r="N86" i="8" s="1"/>
  <c r="H82" i="8"/>
  <c r="R82" i="8" s="1"/>
  <c r="P82" i="8" s="1"/>
  <c r="G79" i="8"/>
  <c r="H88" i="8"/>
  <c r="H87" i="8"/>
  <c r="G85" i="8"/>
  <c r="N85" i="8" s="1"/>
  <c r="H83" i="8"/>
  <c r="R83" i="8" s="1"/>
  <c r="P83" i="8" s="1"/>
  <c r="G76" i="8"/>
  <c r="H86" i="8"/>
  <c r="G83" i="8"/>
  <c r="N83" i="8" s="1"/>
  <c r="H81" i="8"/>
  <c r="R81" i="8" s="1"/>
  <c r="P81" i="8" s="1"/>
  <c r="G74" i="8"/>
  <c r="G78" i="8"/>
  <c r="G81" i="8"/>
  <c r="N81" i="8" s="1"/>
  <c r="AJ81" i="8" s="1"/>
  <c r="AK81" i="8" s="1"/>
  <c r="AL81" i="8" s="1"/>
  <c r="H79" i="8"/>
  <c r="H75" i="8"/>
  <c r="H74" i="8"/>
  <c r="H76" i="8"/>
  <c r="G80" i="8"/>
  <c r="G87" i="8"/>
  <c r="N87" i="8" s="1"/>
  <c r="H85" i="8"/>
  <c r="R85" i="8" s="1"/>
  <c r="AJ85" i="8" s="1"/>
  <c r="AK85" i="8" s="1"/>
  <c r="AL85" i="8" s="1"/>
  <c r="G84" i="8"/>
  <c r="N84" i="8" s="1"/>
  <c r="G77" i="8"/>
  <c r="G88" i="8"/>
  <c r="N88" i="8" s="1"/>
  <c r="H78" i="8"/>
  <c r="G75" i="8"/>
  <c r="G70" i="8"/>
  <c r="N70" i="8" s="1"/>
  <c r="AJ70" i="8" s="1"/>
  <c r="AK70" i="8" s="1"/>
  <c r="AL70" i="8" s="1"/>
  <c r="H70" i="8"/>
  <c r="R70" i="8" s="1"/>
  <c r="P70" i="8" s="1"/>
  <c r="G106" i="8"/>
  <c r="N106" i="8" s="1"/>
  <c r="AJ106" i="8" s="1"/>
  <c r="AK106" i="8" s="1"/>
  <c r="AL106" i="8" s="1"/>
  <c r="H104" i="8"/>
  <c r="R104" i="8" s="1"/>
  <c r="AJ104" i="8" s="1"/>
  <c r="AK104" i="8" s="1"/>
  <c r="AL104" i="8" s="1"/>
  <c r="G105" i="8"/>
  <c r="N105" i="8" s="1"/>
  <c r="H109" i="8"/>
  <c r="R109" i="8" s="1"/>
  <c r="AJ109" i="8" s="1"/>
  <c r="AK109" i="8" s="1"/>
  <c r="AL109" i="8" s="1"/>
  <c r="G103" i="8"/>
  <c r="N103" i="8" s="1"/>
  <c r="AJ103" i="8" s="1"/>
  <c r="AK103" i="8" s="1"/>
  <c r="AL103" i="8" s="1"/>
  <c r="G107" i="8"/>
  <c r="N107" i="8" s="1"/>
  <c r="H106" i="8"/>
  <c r="R106" i="8" s="1"/>
  <c r="P106" i="8" s="1"/>
  <c r="H108" i="8"/>
  <c r="R108" i="8" s="1"/>
  <c r="AJ108" i="8" s="1"/>
  <c r="AK108" i="8" s="1"/>
  <c r="AL108" i="8" s="1"/>
  <c r="H107" i="8"/>
  <c r="R107" i="8" s="1"/>
  <c r="AJ107" i="8" s="1"/>
  <c r="AK107" i="8" s="1"/>
  <c r="AL107" i="8" s="1"/>
  <c r="G102" i="8"/>
  <c r="N102" i="8" s="1"/>
  <c r="P102" i="8" s="1"/>
  <c r="G108" i="8"/>
  <c r="N108" i="8" s="1"/>
  <c r="H102" i="8"/>
  <c r="R102" i="8" s="1"/>
  <c r="AJ102" i="8" s="1"/>
  <c r="AK102" i="8" s="1"/>
  <c r="AL102" i="8" s="1"/>
  <c r="G104" i="8"/>
  <c r="N104" i="8" s="1"/>
  <c r="H105" i="8"/>
  <c r="R105" i="8" s="1"/>
  <c r="AJ105" i="8" s="1"/>
  <c r="AK105" i="8" s="1"/>
  <c r="AL105" i="8" s="1"/>
  <c r="H103" i="8"/>
  <c r="R103" i="8" s="1"/>
  <c r="P103" i="8" s="1"/>
  <c r="G109" i="8"/>
  <c r="N109" i="8" s="1"/>
  <c r="P109" i="8" s="1"/>
  <c r="H123" i="8"/>
  <c r="R123" i="8" s="1"/>
  <c r="AJ123" i="8" s="1"/>
  <c r="AK123" i="8" s="1"/>
  <c r="AL123" i="8" s="1"/>
  <c r="H122" i="8"/>
  <c r="R122" i="8" s="1"/>
  <c r="P122" i="8" s="1"/>
  <c r="G121" i="8"/>
  <c r="N121" i="8" s="1"/>
  <c r="AJ121" i="8" s="1"/>
  <c r="AK121" i="8" s="1"/>
  <c r="AL121" i="8" s="1"/>
  <c r="G123" i="8"/>
  <c r="N123" i="8" s="1"/>
  <c r="P123" i="8" s="1"/>
  <c r="H121" i="8"/>
  <c r="R121" i="8" s="1"/>
  <c r="P121" i="8" s="1"/>
  <c r="G122" i="8"/>
  <c r="N122" i="8" s="1"/>
  <c r="AJ122" i="8" s="1"/>
  <c r="AK122" i="8" s="1"/>
  <c r="AL122" i="8" s="1"/>
  <c r="H120" i="8"/>
  <c r="R120" i="8" s="1"/>
  <c r="AJ120" i="8" s="1"/>
  <c r="AK120" i="8" s="1"/>
  <c r="AL120" i="8" s="1"/>
  <c r="G120" i="8"/>
  <c r="N120" i="8" s="1"/>
  <c r="P120" i="8" s="1"/>
  <c r="G131" i="14"/>
  <c r="N131" i="14" s="1"/>
  <c r="AJ131" i="14" s="1"/>
  <c r="AK131" i="14" s="1"/>
  <c r="AL131" i="14" s="1"/>
  <c r="G133" i="14"/>
  <c r="N133" i="14" s="1"/>
  <c r="AJ133" i="14" s="1"/>
  <c r="AK133" i="14" s="1"/>
  <c r="AL133" i="14" s="1"/>
  <c r="H132" i="14"/>
  <c r="R132" i="14" s="1"/>
  <c r="AJ132" i="14" s="1"/>
  <c r="AK132" i="14" s="1"/>
  <c r="AL132" i="14" s="1"/>
  <c r="H133" i="14"/>
  <c r="R133" i="14" s="1"/>
  <c r="P133" i="14" s="1"/>
  <c r="G132" i="14"/>
  <c r="N132" i="14" s="1"/>
  <c r="P132" i="14" s="1"/>
  <c r="H131" i="14"/>
  <c r="R131" i="14" s="1"/>
  <c r="P131" i="14" s="1"/>
  <c r="H127" i="14"/>
  <c r="R127" i="14" s="1"/>
  <c r="AJ127" i="14" s="1"/>
  <c r="AK127" i="14" s="1"/>
  <c r="AL127" i="14" s="1"/>
  <c r="G116" i="14"/>
  <c r="G120" i="14"/>
  <c r="H128" i="14"/>
  <c r="H119" i="14"/>
  <c r="G125" i="14"/>
  <c r="N125" i="14" s="1"/>
  <c r="G119" i="14"/>
  <c r="H126" i="14"/>
  <c r="R126" i="14" s="1"/>
  <c r="AJ126" i="14" s="1"/>
  <c r="AK126" i="14" s="1"/>
  <c r="AL126" i="14" s="1"/>
  <c r="G123" i="14"/>
  <c r="N123" i="14" s="1"/>
  <c r="G118" i="14"/>
  <c r="H124" i="14"/>
  <c r="R124" i="14" s="1"/>
  <c r="P124" i="14" s="1"/>
  <c r="G127" i="14"/>
  <c r="N127" i="14" s="1"/>
  <c r="P127" i="14" s="1"/>
  <c r="G129" i="14"/>
  <c r="N129" i="14" s="1"/>
  <c r="H125" i="14"/>
  <c r="R125" i="14" s="1"/>
  <c r="AJ125" i="14" s="1"/>
  <c r="AK125" i="14" s="1"/>
  <c r="AL125" i="14" s="1"/>
  <c r="G122" i="14"/>
  <c r="H123" i="14"/>
  <c r="R123" i="14" s="1"/>
  <c r="AJ123" i="14" s="1"/>
  <c r="AK123" i="14" s="1"/>
  <c r="AL123" i="14" s="1"/>
  <c r="G124" i="14"/>
  <c r="N124" i="14" s="1"/>
  <c r="AJ124" i="14" s="1"/>
  <c r="AK124" i="14" s="1"/>
  <c r="AL124" i="14" s="1"/>
  <c r="G130" i="14"/>
  <c r="N130" i="14" s="1"/>
  <c r="H121" i="14"/>
  <c r="G121" i="14"/>
  <c r="G126" i="14"/>
  <c r="N126" i="14" s="1"/>
  <c r="H118" i="14"/>
  <c r="G128" i="14"/>
  <c r="N128" i="14" s="1"/>
  <c r="G117" i="14"/>
  <c r="H122" i="14"/>
  <c r="H117" i="14"/>
  <c r="H120" i="14"/>
  <c r="H129" i="14"/>
  <c r="H116" i="14"/>
  <c r="G31" i="8"/>
  <c r="N31" i="8" s="1"/>
  <c r="P31" i="8" s="1"/>
  <c r="G30" i="8"/>
  <c r="N30" i="8" s="1"/>
  <c r="P30" i="8" s="1"/>
  <c r="H32" i="8"/>
  <c r="R32" i="8" s="1"/>
  <c r="AJ32" i="8" s="1"/>
  <c r="AK32" i="8" s="1"/>
  <c r="AL32" i="8" s="1"/>
  <c r="G32" i="8"/>
  <c r="N32" i="8" s="1"/>
  <c r="P32" i="8" s="1"/>
  <c r="H31" i="8"/>
  <c r="R31" i="8" s="1"/>
  <c r="AJ31" i="8" s="1"/>
  <c r="AK31" i="8" s="1"/>
  <c r="AL31" i="8" s="1"/>
  <c r="H30" i="8"/>
  <c r="R30" i="8" s="1"/>
  <c r="AJ30" i="8" s="1"/>
  <c r="AK30" i="8" s="1"/>
  <c r="AL30" i="8" s="1"/>
  <c r="H17" i="8"/>
  <c r="G19" i="8"/>
  <c r="G26" i="8"/>
  <c r="N26" i="8" s="1"/>
  <c r="G24" i="8"/>
  <c r="N24" i="8" s="1"/>
  <c r="H29" i="8"/>
  <c r="H15" i="8"/>
  <c r="H23" i="8"/>
  <c r="R23" i="8" s="1"/>
  <c r="AJ23" i="8" s="1"/>
  <c r="AK23" i="8" s="1"/>
  <c r="AL23" i="8" s="1"/>
  <c r="H26" i="8"/>
  <c r="R26" i="8" s="1"/>
  <c r="AJ26" i="8" s="1"/>
  <c r="AK26" i="8" s="1"/>
  <c r="AL26" i="8" s="1"/>
  <c r="H28" i="8"/>
  <c r="H18" i="8"/>
  <c r="G18" i="8"/>
  <c r="H25" i="8"/>
  <c r="R25" i="8" s="1"/>
  <c r="P25" i="8" s="1"/>
  <c r="H27" i="8"/>
  <c r="G20" i="8"/>
  <c r="H24" i="8"/>
  <c r="R24" i="8" s="1"/>
  <c r="P24" i="8" s="1"/>
  <c r="H19" i="8"/>
  <c r="G27" i="8"/>
  <c r="N27" i="8" s="1"/>
  <c r="H21" i="8"/>
  <c r="G17" i="8"/>
  <c r="G22" i="8"/>
  <c r="N22" i="8" s="1"/>
  <c r="G23" i="8"/>
  <c r="N23" i="8" s="1"/>
  <c r="G25" i="8"/>
  <c r="N25" i="8" s="1"/>
  <c r="H20" i="8"/>
  <c r="G16" i="8"/>
  <c r="G15" i="8"/>
  <c r="G29" i="8"/>
  <c r="N29" i="8" s="1"/>
  <c r="H22" i="8"/>
  <c r="R22" i="8" s="1"/>
  <c r="AJ22" i="8" s="1"/>
  <c r="AK22" i="8" s="1"/>
  <c r="AL22" i="8" s="1"/>
  <c r="G21" i="8"/>
  <c r="H16" i="8"/>
  <c r="H149" i="14"/>
  <c r="R149" i="14" s="1"/>
  <c r="AJ149" i="14" s="1"/>
  <c r="AK149" i="14" s="1"/>
  <c r="AL149" i="14" s="1"/>
  <c r="G147" i="14"/>
  <c r="N147" i="14" s="1"/>
  <c r="P147" i="14" s="1"/>
  <c r="G145" i="14"/>
  <c r="N145" i="14" s="1"/>
  <c r="P145" i="14" s="1"/>
  <c r="H150" i="14"/>
  <c r="R150" i="14" s="1"/>
  <c r="P150" i="14" s="1"/>
  <c r="H148" i="14"/>
  <c r="R148" i="14" s="1"/>
  <c r="P148" i="14" s="1"/>
  <c r="H144" i="14"/>
  <c r="R144" i="14" s="1"/>
  <c r="P144" i="14" s="1"/>
  <c r="G149" i="14"/>
  <c r="N149" i="14" s="1"/>
  <c r="P149" i="14" s="1"/>
  <c r="H147" i="14"/>
  <c r="R147" i="14" s="1"/>
  <c r="AJ147" i="14" s="1"/>
  <c r="AK147" i="14" s="1"/>
  <c r="AL147" i="14" s="1"/>
  <c r="G150" i="14"/>
  <c r="N150" i="14" s="1"/>
  <c r="AJ150" i="14" s="1"/>
  <c r="AK150" i="14" s="1"/>
  <c r="AL150" i="14" s="1"/>
  <c r="H145" i="14"/>
  <c r="R145" i="14" s="1"/>
  <c r="AJ145" i="14" s="1"/>
  <c r="AK145" i="14" s="1"/>
  <c r="AL145" i="14" s="1"/>
  <c r="G146" i="14"/>
  <c r="N146" i="14" s="1"/>
  <c r="AJ146" i="14" s="1"/>
  <c r="AK146" i="14" s="1"/>
  <c r="AL146" i="14" s="1"/>
  <c r="H146" i="14"/>
  <c r="R146" i="14" s="1"/>
  <c r="P146" i="14" s="1"/>
  <c r="H151" i="14"/>
  <c r="R151" i="14" s="1"/>
  <c r="AJ151" i="14" s="1"/>
  <c r="AK151" i="14" s="1"/>
  <c r="AL151" i="14" s="1"/>
  <c r="G148" i="14"/>
  <c r="N148" i="14" s="1"/>
  <c r="AJ148" i="14" s="1"/>
  <c r="AK148" i="14" s="1"/>
  <c r="AL148" i="14" s="1"/>
  <c r="G144" i="14"/>
  <c r="N144" i="14" s="1"/>
  <c r="AJ144" i="14" s="1"/>
  <c r="AK144" i="14" s="1"/>
  <c r="AL144" i="14" s="1"/>
  <c r="G151" i="14"/>
  <c r="N151" i="14" s="1"/>
  <c r="P151" i="14" s="1"/>
  <c r="G138" i="14"/>
  <c r="G140" i="14"/>
  <c r="H138" i="14"/>
  <c r="H140" i="14"/>
  <c r="H137" i="14"/>
  <c r="H141" i="14"/>
  <c r="G139" i="14"/>
  <c r="G141" i="14"/>
  <c r="G142" i="14"/>
  <c r="G137" i="14"/>
  <c r="H142" i="14"/>
  <c r="H139" i="14"/>
  <c r="G143" i="14"/>
  <c r="H62" i="14"/>
  <c r="H70" i="14"/>
  <c r="R70" i="14" s="1"/>
  <c r="AJ70" i="14" s="1"/>
  <c r="AK70" i="14" s="1"/>
  <c r="AL70" i="14" s="1"/>
  <c r="H67" i="14"/>
  <c r="R67" i="14" s="1"/>
  <c r="AJ67" i="14" s="1"/>
  <c r="AK67" i="14" s="1"/>
  <c r="AL67" i="14" s="1"/>
  <c r="H64" i="14"/>
  <c r="H59" i="14"/>
  <c r="H73" i="14"/>
  <c r="R73" i="14" s="1"/>
  <c r="P73" i="14" s="1"/>
  <c r="H60" i="14"/>
  <c r="H69" i="14"/>
  <c r="R69" i="14" s="1"/>
  <c r="AJ69" i="14" s="1"/>
  <c r="AK69" i="14" s="1"/>
  <c r="AL69" i="14" s="1"/>
  <c r="G72" i="14"/>
  <c r="N72" i="14" s="1"/>
  <c r="G59" i="14"/>
  <c r="H66" i="14"/>
  <c r="R66" i="14" s="1"/>
  <c r="P66" i="14" s="1"/>
  <c r="G66" i="14"/>
  <c r="N66" i="14" s="1"/>
  <c r="AJ66" i="14" s="1"/>
  <c r="AK66" i="14" s="1"/>
  <c r="AL66" i="14" s="1"/>
  <c r="H74" i="14"/>
  <c r="R74" i="14" s="1"/>
  <c r="P74" i="14" s="1"/>
  <c r="G69" i="14"/>
  <c r="N69" i="14" s="1"/>
  <c r="P69" i="14" s="1"/>
  <c r="H61" i="14"/>
  <c r="H68" i="14"/>
  <c r="R68" i="14" s="1"/>
  <c r="P68" i="14" s="1"/>
  <c r="H65" i="14"/>
  <c r="R65" i="14" s="1"/>
  <c r="P65" i="14" s="1"/>
  <c r="G64" i="14"/>
  <c r="G65" i="14"/>
  <c r="N65" i="14" s="1"/>
  <c r="G70" i="14"/>
  <c r="N70" i="14" s="1"/>
  <c r="G74" i="14"/>
  <c r="N74" i="14" s="1"/>
  <c r="G68" i="14"/>
  <c r="N68" i="14" s="1"/>
  <c r="G62" i="14"/>
  <c r="H72" i="14"/>
  <c r="H71" i="14"/>
  <c r="H63" i="14"/>
  <c r="G71" i="14"/>
  <c r="N71" i="14" s="1"/>
  <c r="G60" i="14"/>
  <c r="H58" i="14"/>
  <c r="G61" i="14"/>
  <c r="G58" i="14"/>
  <c r="G67" i="14"/>
  <c r="N67" i="14" s="1"/>
  <c r="G63" i="14"/>
  <c r="G73" i="14"/>
  <c r="N73" i="14" s="1"/>
  <c r="H14" i="14"/>
  <c r="R14" i="14" s="1"/>
  <c r="P14" i="14" s="1"/>
  <c r="H15" i="14"/>
  <c r="R15" i="14" s="1"/>
  <c r="AJ15" i="14" s="1"/>
  <c r="AK15" i="14" s="1"/>
  <c r="AL15" i="14" s="1"/>
  <c r="H12" i="14"/>
  <c r="R12" i="14" s="1"/>
  <c r="P12" i="14" s="1"/>
  <c r="H17" i="14"/>
  <c r="R17" i="14" s="1"/>
  <c r="AJ17" i="14" s="1"/>
  <c r="AK17" i="14" s="1"/>
  <c r="AL17" i="14" s="1"/>
  <c r="G13" i="14"/>
  <c r="N13" i="14" s="1"/>
  <c r="P13" i="14" s="1"/>
  <c r="H11" i="14"/>
  <c r="R11" i="14" s="1"/>
  <c r="AJ11" i="14" s="1"/>
  <c r="AK11" i="14" s="1"/>
  <c r="AL11" i="14" s="1"/>
  <c r="G12" i="14"/>
  <c r="N12" i="14" s="1"/>
  <c r="AJ12" i="14" s="1"/>
  <c r="AK12" i="14" s="1"/>
  <c r="AL12" i="14" s="1"/>
  <c r="H13" i="14"/>
  <c r="R13" i="14" s="1"/>
  <c r="AJ13" i="14" s="1"/>
  <c r="AK13" i="14" s="1"/>
  <c r="AL13" i="14" s="1"/>
  <c r="H10" i="14"/>
  <c r="R10" i="14" s="1"/>
  <c r="AJ10" i="14" s="1"/>
  <c r="AK10" i="14" s="1"/>
  <c r="AL10" i="14" s="1"/>
  <c r="G14" i="14"/>
  <c r="N14" i="14" s="1"/>
  <c r="H16" i="14"/>
  <c r="R16" i="14" s="1"/>
  <c r="P16" i="14" s="1"/>
  <c r="G11" i="14"/>
  <c r="N11" i="14" s="1"/>
  <c r="G15" i="14"/>
  <c r="N15" i="14" s="1"/>
  <c r="G10" i="14"/>
  <c r="N10" i="14" s="1"/>
  <c r="G17" i="14"/>
  <c r="N17" i="14" s="1"/>
  <c r="P17" i="14" s="1"/>
  <c r="G16" i="14"/>
  <c r="N16" i="14" s="1"/>
  <c r="H93" i="14"/>
  <c r="R93" i="14" s="1"/>
  <c r="P93" i="14" s="1"/>
  <c r="G93" i="14"/>
  <c r="N93" i="14" s="1"/>
  <c r="AJ93" i="14" s="1"/>
  <c r="AK93" i="14" s="1"/>
  <c r="AL93" i="14" s="1"/>
  <c r="G100" i="9"/>
  <c r="N100" i="9" s="1"/>
  <c r="AJ100" i="9" s="1"/>
  <c r="AK100" i="9" s="1"/>
  <c r="AL100" i="9" s="1"/>
  <c r="G105" i="9"/>
  <c r="N105" i="9" s="1"/>
  <c r="AJ105" i="9" s="1"/>
  <c r="AK105" i="9" s="1"/>
  <c r="AL105" i="9" s="1"/>
  <c r="H99" i="9"/>
  <c r="R99" i="9" s="1"/>
  <c r="AJ99" i="9" s="1"/>
  <c r="AK99" i="9" s="1"/>
  <c r="AL99" i="9" s="1"/>
  <c r="G81" i="9"/>
  <c r="N81" i="9" s="1"/>
  <c r="G95" i="9"/>
  <c r="N95" i="9" s="1"/>
  <c r="P95" i="9" s="1"/>
  <c r="H95" i="9"/>
  <c r="R95" i="9" s="1"/>
  <c r="AJ95" i="9" s="1"/>
  <c r="AK95" i="9" s="1"/>
  <c r="AL95" i="9" s="1"/>
  <c r="G79" i="9"/>
  <c r="N79" i="9" s="1"/>
  <c r="H105" i="9"/>
  <c r="R105" i="9" s="1"/>
  <c r="P105" i="9" s="1"/>
  <c r="G72" i="9"/>
  <c r="N72" i="9" s="1"/>
  <c r="H72" i="9"/>
  <c r="R72" i="9" s="1"/>
  <c r="P72" i="9" s="1"/>
  <c r="H81" i="9"/>
  <c r="R81" i="9" s="1"/>
  <c r="P81" i="9" s="1"/>
  <c r="H69" i="9"/>
  <c r="R69" i="9" s="1"/>
  <c r="AJ69" i="9" s="1"/>
  <c r="AK69" i="9" s="1"/>
  <c r="AL69" i="9" s="1"/>
  <c r="H82" i="9"/>
  <c r="R82" i="9" s="1"/>
  <c r="AJ82" i="9" s="1"/>
  <c r="AK82" i="9" s="1"/>
  <c r="AL82" i="9" s="1"/>
  <c r="G73" i="9"/>
  <c r="N73" i="9" s="1"/>
  <c r="AJ73" i="9" s="1"/>
  <c r="AK73" i="9" s="1"/>
  <c r="AL73" i="9" s="1"/>
  <c r="H87" i="9"/>
  <c r="R87" i="9" s="1"/>
  <c r="AJ87" i="9" s="1"/>
  <c r="AK87" i="9" s="1"/>
  <c r="AL87" i="9" s="1"/>
  <c r="H73" i="9"/>
  <c r="R73" i="9" s="1"/>
  <c r="P73" i="9" s="1"/>
  <c r="H96" i="9"/>
  <c r="R96" i="9" s="1"/>
  <c r="P96" i="9" s="1"/>
  <c r="G88" i="9"/>
  <c r="N88" i="9" s="1"/>
  <c r="G85" i="9"/>
  <c r="N85" i="9" s="1"/>
  <c r="P85" i="9" s="1"/>
  <c r="H93" i="9"/>
  <c r="R93" i="9" s="1"/>
  <c r="AJ93" i="9" s="1"/>
  <c r="AK93" i="9" s="1"/>
  <c r="AL93" i="9" s="1"/>
  <c r="G90" i="9"/>
  <c r="N90" i="9" s="1"/>
  <c r="AJ90" i="9" s="1"/>
  <c r="AK90" i="9" s="1"/>
  <c r="AL90" i="9" s="1"/>
  <c r="H80" i="9"/>
  <c r="R80" i="9" s="1"/>
  <c r="P80" i="9" s="1"/>
  <c r="H103" i="9"/>
  <c r="R103" i="9" s="1"/>
  <c r="AJ103" i="9" s="1"/>
  <c r="AK103" i="9" s="1"/>
  <c r="AL103" i="9" s="1"/>
  <c r="G103" i="9"/>
  <c r="N103" i="9" s="1"/>
  <c r="G67" i="9"/>
  <c r="N67" i="9" s="1"/>
  <c r="AJ67" i="9" s="1"/>
  <c r="AK67" i="9" s="1"/>
  <c r="AL67" i="9" s="1"/>
  <c r="G89" i="9"/>
  <c r="N89" i="9" s="1"/>
  <c r="G94" i="9"/>
  <c r="N94" i="9" s="1"/>
  <c r="P94" i="9" s="1"/>
  <c r="G106" i="9"/>
  <c r="N106" i="9" s="1"/>
  <c r="H109" i="9"/>
  <c r="R109" i="9" s="1"/>
  <c r="AJ109" i="9" s="1"/>
  <c r="AK109" i="9" s="1"/>
  <c r="AL109" i="9" s="1"/>
  <c r="G107" i="9"/>
  <c r="N107" i="9" s="1"/>
  <c r="G109" i="9"/>
  <c r="N109" i="9" s="1"/>
  <c r="H111" i="9"/>
  <c r="R111" i="9" s="1"/>
  <c r="AJ111" i="9" s="1"/>
  <c r="AK111" i="9" s="1"/>
  <c r="AL111" i="9" s="1"/>
  <c r="G83" i="9"/>
  <c r="N83" i="9" s="1"/>
  <c r="G78" i="9"/>
  <c r="N78" i="9" s="1"/>
  <c r="H106" i="9"/>
  <c r="R106" i="9" s="1"/>
  <c r="AJ106" i="9" s="1"/>
  <c r="AK106" i="9" s="1"/>
  <c r="AL106" i="9" s="1"/>
  <c r="H100" i="9"/>
  <c r="R100" i="9" s="1"/>
  <c r="P100" i="9" s="1"/>
  <c r="H108" i="9"/>
  <c r="R108" i="9" s="1"/>
  <c r="P108" i="9" s="1"/>
  <c r="H101" i="9"/>
  <c r="R101" i="9" s="1"/>
  <c r="AJ101" i="9" s="1"/>
  <c r="AK101" i="9" s="1"/>
  <c r="AL101" i="9" s="1"/>
  <c r="G68" i="9"/>
  <c r="N68" i="9" s="1"/>
  <c r="H67" i="9"/>
  <c r="R67" i="9" s="1"/>
  <c r="P67" i="9" s="1"/>
  <c r="G77" i="9"/>
  <c r="N77" i="9" s="1"/>
  <c r="H74" i="9"/>
  <c r="R74" i="9" s="1"/>
  <c r="AJ74" i="9" s="1"/>
  <c r="AK74" i="9" s="1"/>
  <c r="AL74" i="9" s="1"/>
  <c r="H76" i="9"/>
  <c r="R76" i="9" s="1"/>
  <c r="AJ76" i="9" s="1"/>
  <c r="AK76" i="9" s="1"/>
  <c r="AL76" i="9" s="1"/>
  <c r="G82" i="9"/>
  <c r="N82" i="9" s="1"/>
  <c r="H88" i="9"/>
  <c r="R88" i="9" s="1"/>
  <c r="AJ88" i="9" s="1"/>
  <c r="AK88" i="9" s="1"/>
  <c r="AL88" i="9" s="1"/>
  <c r="H89" i="9"/>
  <c r="R89" i="9" s="1"/>
  <c r="P89" i="9" s="1"/>
  <c r="H77" i="9"/>
  <c r="R77" i="9" s="1"/>
  <c r="P77" i="9" s="1"/>
  <c r="G97" i="9"/>
  <c r="N97" i="9" s="1"/>
  <c r="H70" i="9"/>
  <c r="R70" i="9" s="1"/>
  <c r="P70" i="9" s="1"/>
  <c r="G104" i="9"/>
  <c r="N104" i="9" s="1"/>
  <c r="P104" i="9" s="1"/>
  <c r="G92" i="9"/>
  <c r="N92" i="9" s="1"/>
  <c r="G66" i="9"/>
  <c r="N66" i="9" s="1"/>
  <c r="AJ66" i="9" s="1"/>
  <c r="AK66" i="9" s="1"/>
  <c r="AL66" i="9" s="1"/>
  <c r="G70" i="9"/>
  <c r="N70" i="9" s="1"/>
  <c r="H66" i="9"/>
  <c r="R66" i="9" s="1"/>
  <c r="P66" i="9" s="1"/>
  <c r="G91" i="9"/>
  <c r="N91" i="9" s="1"/>
  <c r="AJ91" i="9" s="1"/>
  <c r="AK91" i="9" s="1"/>
  <c r="AL91" i="9" s="1"/>
  <c r="H98" i="9"/>
  <c r="R98" i="9" s="1"/>
  <c r="AJ98" i="9" s="1"/>
  <c r="AK98" i="9" s="1"/>
  <c r="AL98" i="9" s="1"/>
  <c r="G101" i="9"/>
  <c r="N101" i="9" s="1"/>
  <c r="P101" i="9" s="1"/>
  <c r="H83" i="9"/>
  <c r="R83" i="9" s="1"/>
  <c r="AJ83" i="9" s="1"/>
  <c r="AK83" i="9" s="1"/>
  <c r="AL83" i="9" s="1"/>
  <c r="H104" i="9"/>
  <c r="R104" i="9" s="1"/>
  <c r="AJ104" i="9" s="1"/>
  <c r="AK104" i="9" s="1"/>
  <c r="AL104" i="9" s="1"/>
  <c r="G69" i="9"/>
  <c r="N69" i="9" s="1"/>
  <c r="G110" i="9"/>
  <c r="N110" i="9" s="1"/>
  <c r="P110" i="9" s="1"/>
  <c r="H85" i="9"/>
  <c r="R85" i="9" s="1"/>
  <c r="AJ85" i="9" s="1"/>
  <c r="AK85" i="9" s="1"/>
  <c r="AL85" i="9" s="1"/>
  <c r="H84" i="9"/>
  <c r="R84" i="9" s="1"/>
  <c r="AJ84" i="9" s="1"/>
  <c r="AK84" i="9" s="1"/>
  <c r="AL84" i="9" s="1"/>
  <c r="G74" i="9"/>
  <c r="N74" i="9" s="1"/>
  <c r="G111" i="9"/>
  <c r="N111" i="9" s="1"/>
  <c r="P111" i="9" s="1"/>
  <c r="H110" i="9"/>
  <c r="R110" i="9" s="1"/>
  <c r="AJ110" i="9" s="1"/>
  <c r="AK110" i="9" s="1"/>
  <c r="AL110" i="9" s="1"/>
  <c r="H75" i="9"/>
  <c r="R75" i="9" s="1"/>
  <c r="P75" i="9" s="1"/>
  <c r="H79" i="9"/>
  <c r="R79" i="9" s="1"/>
  <c r="AJ79" i="9" s="1"/>
  <c r="AK79" i="9" s="1"/>
  <c r="AL79" i="9" s="1"/>
  <c r="H97" i="9"/>
  <c r="R97" i="9" s="1"/>
  <c r="AJ97" i="9" s="1"/>
  <c r="AK97" i="9" s="1"/>
  <c r="AL97" i="9" s="1"/>
  <c r="G84" i="9"/>
  <c r="N84" i="9" s="1"/>
  <c r="H102" i="9"/>
  <c r="R102" i="9" s="1"/>
  <c r="AJ102" i="9" s="1"/>
  <c r="AK102" i="9" s="1"/>
  <c r="AL102" i="9" s="1"/>
  <c r="G108" i="9"/>
  <c r="N108" i="9" s="1"/>
  <c r="H107" i="9"/>
  <c r="R107" i="9" s="1"/>
  <c r="AJ107" i="9" s="1"/>
  <c r="AK107" i="9" s="1"/>
  <c r="AL107" i="9" s="1"/>
  <c r="G96" i="9"/>
  <c r="N96" i="9" s="1"/>
  <c r="H92" i="9"/>
  <c r="R92" i="9" s="1"/>
  <c r="P92" i="9" s="1"/>
  <c r="H90" i="9"/>
  <c r="R90" i="9" s="1"/>
  <c r="P90" i="9" s="1"/>
  <c r="G87" i="9"/>
  <c r="N87" i="9" s="1"/>
  <c r="G75" i="9"/>
  <c r="N75" i="9" s="1"/>
  <c r="G86" i="9"/>
  <c r="N86" i="9" s="1"/>
  <c r="G98" i="9"/>
  <c r="N98" i="9" s="1"/>
  <c r="G71" i="9"/>
  <c r="N71" i="9" s="1"/>
  <c r="AJ71" i="9" s="1"/>
  <c r="AK71" i="9" s="1"/>
  <c r="AL71" i="9" s="1"/>
  <c r="G93" i="9"/>
  <c r="N93" i="9" s="1"/>
  <c r="H71" i="9"/>
  <c r="R71" i="9" s="1"/>
  <c r="P71" i="9" s="1"/>
  <c r="H86" i="9"/>
  <c r="R86" i="9" s="1"/>
  <c r="AJ86" i="9" s="1"/>
  <c r="AK86" i="9" s="1"/>
  <c r="AL86" i="9" s="1"/>
  <c r="G76" i="9"/>
  <c r="N76" i="9" s="1"/>
  <c r="G80" i="9"/>
  <c r="N80" i="9" s="1"/>
  <c r="H91" i="9"/>
  <c r="R91" i="9" s="1"/>
  <c r="P91" i="9" s="1"/>
  <c r="H94" i="9"/>
  <c r="R94" i="9" s="1"/>
  <c r="AJ94" i="9" s="1"/>
  <c r="AK94" i="9" s="1"/>
  <c r="AL94" i="9" s="1"/>
  <c r="G99" i="9"/>
  <c r="N99" i="9" s="1"/>
  <c r="P99" i="9" s="1"/>
  <c r="H68" i="9"/>
  <c r="R68" i="9" s="1"/>
  <c r="P68" i="9" s="1"/>
  <c r="H78" i="9"/>
  <c r="R78" i="9" s="1"/>
  <c r="P78" i="9" s="1"/>
  <c r="G102" i="9"/>
  <c r="N102" i="9" s="1"/>
  <c r="P102" i="9" s="1"/>
  <c r="G3" i="9"/>
  <c r="H11" i="8"/>
  <c r="R11" i="8" s="1"/>
  <c r="P11" i="8" s="1"/>
  <c r="G10" i="8"/>
  <c r="N10" i="8" s="1"/>
  <c r="P10" i="8" s="1"/>
  <c r="G11" i="8"/>
  <c r="N11" i="8" s="1"/>
  <c r="AJ11" i="8" s="1"/>
  <c r="AK11" i="8" s="1"/>
  <c r="AL11" i="8" s="1"/>
  <c r="H10" i="8"/>
  <c r="R10" i="8" s="1"/>
  <c r="AJ10" i="8" s="1"/>
  <c r="AK10" i="8" s="1"/>
  <c r="AL10" i="8" s="1"/>
  <c r="G9" i="8"/>
  <c r="N9" i="8" s="1"/>
  <c r="H8" i="8"/>
  <c r="H9" i="8"/>
  <c r="G8" i="8"/>
  <c r="N8" i="8" s="1"/>
  <c r="G5" i="8"/>
  <c r="G6" i="8"/>
  <c r="N6" i="8" s="1"/>
  <c r="H7" i="8"/>
  <c r="R7" i="8" s="1"/>
  <c r="AJ7" i="8" s="1"/>
  <c r="AK7" i="8" s="1"/>
  <c r="AL7" i="8" s="1"/>
  <c r="G7" i="8"/>
  <c r="N7" i="8" s="1"/>
  <c r="P7" i="8" s="1"/>
  <c r="G4" i="8"/>
  <c r="H5" i="8"/>
  <c r="H4" i="8"/>
  <c r="H3" i="8"/>
  <c r="G3" i="8"/>
  <c r="G33" i="14"/>
  <c r="N33" i="14" s="1"/>
  <c r="P33" i="14" s="1"/>
  <c r="G28" i="14"/>
  <c r="N28" i="14" s="1"/>
  <c r="AJ28" i="14" s="1"/>
  <c r="AK28" i="14" s="1"/>
  <c r="AL28" i="14" s="1"/>
  <c r="G34" i="14"/>
  <c r="N34" i="14" s="1"/>
  <c r="AJ34" i="14" s="1"/>
  <c r="AK34" i="14" s="1"/>
  <c r="AL34" i="14" s="1"/>
  <c r="G32" i="14"/>
  <c r="N32" i="14" s="1"/>
  <c r="P32" i="14" s="1"/>
  <c r="G35" i="14"/>
  <c r="N35" i="14" s="1"/>
  <c r="AJ35" i="14" s="1"/>
  <c r="AK35" i="14" s="1"/>
  <c r="AL35" i="14" s="1"/>
  <c r="G31" i="14"/>
  <c r="N31" i="14" s="1"/>
  <c r="P31" i="14" s="1"/>
  <c r="H29" i="14"/>
  <c r="R29" i="14" s="1"/>
  <c r="AJ29" i="14" s="1"/>
  <c r="AK29" i="14" s="1"/>
  <c r="AL29" i="14" s="1"/>
  <c r="H35" i="14"/>
  <c r="R35" i="14" s="1"/>
  <c r="P35" i="14" s="1"/>
  <c r="H33" i="14"/>
  <c r="R33" i="14" s="1"/>
  <c r="AJ33" i="14" s="1"/>
  <c r="AK33" i="14" s="1"/>
  <c r="AL33" i="14" s="1"/>
  <c r="H34" i="14"/>
  <c r="R34" i="14" s="1"/>
  <c r="P34" i="14" s="1"/>
  <c r="H32" i="14"/>
  <c r="R32" i="14" s="1"/>
  <c r="AJ32" i="14" s="1"/>
  <c r="AK32" i="14" s="1"/>
  <c r="AL32" i="14" s="1"/>
  <c r="G30" i="14"/>
  <c r="N30" i="14" s="1"/>
  <c r="P30" i="14" s="1"/>
  <c r="H30" i="14"/>
  <c r="R30" i="14" s="1"/>
  <c r="AJ30" i="14" s="1"/>
  <c r="AK30" i="14" s="1"/>
  <c r="AL30" i="14" s="1"/>
  <c r="H31" i="14"/>
  <c r="R31" i="14" s="1"/>
  <c r="AJ31" i="14" s="1"/>
  <c r="AK31" i="14" s="1"/>
  <c r="AL31" i="14" s="1"/>
  <c r="H28" i="14"/>
  <c r="R28" i="14" s="1"/>
  <c r="P28" i="14" s="1"/>
  <c r="G29" i="14"/>
  <c r="N29" i="14" s="1"/>
  <c r="P29" i="14" s="1"/>
  <c r="H26" i="14"/>
  <c r="G24" i="14"/>
  <c r="G23" i="14"/>
  <c r="H23" i="14"/>
  <c r="G26" i="14"/>
  <c r="G22" i="14"/>
  <c r="H24" i="14"/>
  <c r="H25" i="14"/>
  <c r="G25" i="14"/>
  <c r="G27" i="14"/>
  <c r="H27" i="14"/>
  <c r="H21" i="14"/>
  <c r="H22" i="14"/>
  <c r="P142" i="16" l="1"/>
  <c r="H142" i="16"/>
  <c r="R142" i="16" s="1"/>
  <c r="H146" i="16"/>
  <c r="R146" i="16" s="1"/>
  <c r="P146" i="16" s="1"/>
  <c r="G148" i="16"/>
  <c r="N148" i="16" s="1"/>
  <c r="H140" i="16"/>
  <c r="R140" i="16" s="1"/>
  <c r="AJ140" i="16" s="1"/>
  <c r="AK140" i="16" s="1"/>
  <c r="AL140" i="16" s="1"/>
  <c r="H137" i="16"/>
  <c r="G137" i="16"/>
  <c r="N137" i="16" s="1"/>
  <c r="H141" i="16"/>
  <c r="H150" i="16"/>
  <c r="R150" i="16" s="1"/>
  <c r="P150" i="16" s="1"/>
  <c r="G149" i="16"/>
  <c r="N149" i="16" s="1"/>
  <c r="G142" i="16"/>
  <c r="H148" i="16"/>
  <c r="R148" i="16" s="1"/>
  <c r="P148" i="16" s="1"/>
  <c r="H151" i="16"/>
  <c r="R151" i="16" s="1"/>
  <c r="AJ151" i="16" s="1"/>
  <c r="AK151" i="16" s="1"/>
  <c r="AL151" i="16" s="1"/>
  <c r="G140" i="16"/>
  <c r="H138" i="16"/>
  <c r="H149" i="16"/>
  <c r="R149" i="16" s="1"/>
  <c r="AJ149" i="16" s="1"/>
  <c r="AK149" i="16" s="1"/>
  <c r="AL149" i="16" s="1"/>
  <c r="G145" i="16"/>
  <c r="N145" i="16" s="1"/>
  <c r="G150" i="16"/>
  <c r="N150" i="16" s="1"/>
  <c r="H147" i="16"/>
  <c r="R147" i="16" s="1"/>
  <c r="AJ147" i="16" s="1"/>
  <c r="AK147" i="16" s="1"/>
  <c r="AL147" i="16" s="1"/>
  <c r="G139" i="16"/>
  <c r="N139" i="16" s="1"/>
  <c r="G146" i="16"/>
  <c r="N146" i="16" s="1"/>
  <c r="G138" i="16"/>
  <c r="H145" i="16"/>
  <c r="R145" i="16" s="1"/>
  <c r="AJ145" i="16" s="1"/>
  <c r="AK145" i="16" s="1"/>
  <c r="AL145" i="16" s="1"/>
  <c r="H144" i="16"/>
  <c r="R144" i="16" s="1"/>
  <c r="P144" i="16" s="1"/>
  <c r="H143" i="16"/>
  <c r="G143" i="16"/>
  <c r="N143" i="16" s="1"/>
  <c r="G152" i="16"/>
  <c r="N152" i="16" s="1"/>
  <c r="H152" i="16"/>
  <c r="R152" i="16" s="1"/>
  <c r="G151" i="16"/>
  <c r="N151" i="16" s="1"/>
  <c r="H139" i="16"/>
  <c r="R139" i="16" s="1"/>
  <c r="AJ139" i="16" s="1"/>
  <c r="AK139" i="16" s="1"/>
  <c r="AL139" i="16" s="1"/>
  <c r="G147" i="16"/>
  <c r="N147" i="16" s="1"/>
  <c r="G141" i="16"/>
  <c r="N141" i="16" s="1"/>
  <c r="G144" i="16"/>
  <c r="N144" i="16" s="1"/>
  <c r="H131" i="16"/>
  <c r="G121" i="16"/>
  <c r="N121" i="16" s="1"/>
  <c r="G123" i="16"/>
  <c r="N123" i="16" s="1"/>
  <c r="H121" i="16"/>
  <c r="R121" i="16" s="1"/>
  <c r="AJ121" i="16" s="1"/>
  <c r="AK121" i="16" s="1"/>
  <c r="AL121" i="16" s="1"/>
  <c r="G130" i="16"/>
  <c r="N130" i="16" s="1"/>
  <c r="H124" i="16"/>
  <c r="R124" i="16" s="1"/>
  <c r="AJ124" i="16" s="1"/>
  <c r="AK124" i="16" s="1"/>
  <c r="AL124" i="16" s="1"/>
  <c r="H130" i="16"/>
  <c r="R130" i="16" s="1"/>
  <c r="AJ130" i="16" s="1"/>
  <c r="AK130" i="16" s="1"/>
  <c r="AL130" i="16" s="1"/>
  <c r="G133" i="16"/>
  <c r="N133" i="16" s="1"/>
  <c r="G125" i="16"/>
  <c r="N125" i="16" s="1"/>
  <c r="AJ125" i="16" s="1"/>
  <c r="AK125" i="16" s="1"/>
  <c r="AL125" i="16" s="1"/>
  <c r="H118" i="16"/>
  <c r="R118" i="16" s="1"/>
  <c r="P118" i="16" s="1"/>
  <c r="G126" i="16"/>
  <c r="N126" i="16" s="1"/>
  <c r="H126" i="16"/>
  <c r="R126" i="16" s="1"/>
  <c r="AJ126" i="16" s="1"/>
  <c r="AK126" i="16" s="1"/>
  <c r="AL126" i="16" s="1"/>
  <c r="G131" i="16"/>
  <c r="N131" i="16" s="1"/>
  <c r="G117" i="16"/>
  <c r="N117" i="16" s="1"/>
  <c r="G120" i="16"/>
  <c r="N120" i="16" s="1"/>
  <c r="H119" i="16"/>
  <c r="R119" i="16" s="1"/>
  <c r="AJ119" i="16" s="1"/>
  <c r="AK119" i="16" s="1"/>
  <c r="AL119" i="16" s="1"/>
  <c r="H127" i="16"/>
  <c r="R127" i="16" s="1"/>
  <c r="AJ127" i="16" s="1"/>
  <c r="AK127" i="16" s="1"/>
  <c r="AL127" i="16" s="1"/>
  <c r="H129" i="16"/>
  <c r="R129" i="16" s="1"/>
  <c r="AJ129" i="16" s="1"/>
  <c r="AK129" i="16" s="1"/>
  <c r="AL129" i="16" s="1"/>
  <c r="H132" i="16"/>
  <c r="R132" i="16" s="1"/>
  <c r="P132" i="16" s="1"/>
  <c r="H120" i="16"/>
  <c r="R120" i="16" s="1"/>
  <c r="AJ120" i="16" s="1"/>
  <c r="AK120" i="16" s="1"/>
  <c r="AL120" i="16" s="1"/>
  <c r="H122" i="16"/>
  <c r="G132" i="16"/>
  <c r="N132" i="16" s="1"/>
  <c r="AJ132" i="16" s="1"/>
  <c r="AK132" i="16" s="1"/>
  <c r="AL132" i="16" s="1"/>
  <c r="G118" i="16"/>
  <c r="N118" i="16" s="1"/>
  <c r="G122" i="16"/>
  <c r="N122" i="16" s="1"/>
  <c r="H128" i="16"/>
  <c r="R128" i="16" s="1"/>
  <c r="AJ128" i="16" s="1"/>
  <c r="AK128" i="16" s="1"/>
  <c r="AL128" i="16" s="1"/>
  <c r="G128" i="16"/>
  <c r="N128" i="16" s="1"/>
  <c r="H123" i="16"/>
  <c r="R123" i="16" s="1"/>
  <c r="AJ123" i="16" s="1"/>
  <c r="AK123" i="16" s="1"/>
  <c r="AL123" i="16" s="1"/>
  <c r="G119" i="16"/>
  <c r="N119" i="16" s="1"/>
  <c r="G129" i="16"/>
  <c r="N129" i="16" s="1"/>
  <c r="H117" i="16"/>
  <c r="H125" i="16"/>
  <c r="R125" i="16" s="1"/>
  <c r="P125" i="16" s="1"/>
  <c r="H133" i="16"/>
  <c r="R133" i="16" s="1"/>
  <c r="AJ133" i="16" s="1"/>
  <c r="AK133" i="16" s="1"/>
  <c r="AL133" i="16" s="1"/>
  <c r="G127" i="16"/>
  <c r="N127" i="16" s="1"/>
  <c r="G109" i="16"/>
  <c r="N109" i="16" s="1"/>
  <c r="AJ109" i="16" s="1"/>
  <c r="AK109" i="16" s="1"/>
  <c r="AL109" i="16" s="1"/>
  <c r="H99" i="16"/>
  <c r="H113" i="16"/>
  <c r="R113" i="16" s="1"/>
  <c r="P113" i="16" s="1"/>
  <c r="G112" i="16"/>
  <c r="N112" i="16" s="1"/>
  <c r="H111" i="16"/>
  <c r="H105" i="16"/>
  <c r="R105" i="16" s="1"/>
  <c r="AJ105" i="16" s="1"/>
  <c r="AK105" i="16" s="1"/>
  <c r="AL105" i="16" s="1"/>
  <c r="H102" i="16"/>
  <c r="H101" i="16"/>
  <c r="H103" i="16"/>
  <c r="H107" i="16"/>
  <c r="H108" i="16"/>
  <c r="H97" i="16"/>
  <c r="R97" i="16" s="1"/>
  <c r="G101" i="16"/>
  <c r="H110" i="16"/>
  <c r="G110" i="16"/>
  <c r="N110" i="16" s="1"/>
  <c r="H112" i="16"/>
  <c r="G98" i="16"/>
  <c r="N98" i="16" s="1"/>
  <c r="G111" i="16"/>
  <c r="N111" i="16" s="1"/>
  <c r="P111" i="16" s="1"/>
  <c r="H106" i="16"/>
  <c r="R106" i="16" s="1"/>
  <c r="AJ106" i="16" s="1"/>
  <c r="AK106" i="16" s="1"/>
  <c r="AL106" i="16" s="1"/>
  <c r="G100" i="16"/>
  <c r="G99" i="16"/>
  <c r="N99" i="16" s="1"/>
  <c r="G102" i="16"/>
  <c r="N102" i="16" s="1"/>
  <c r="G113" i="16"/>
  <c r="N113" i="16" s="1"/>
  <c r="AJ113" i="16" s="1"/>
  <c r="AK113" i="16" s="1"/>
  <c r="AL113" i="16" s="1"/>
  <c r="G107" i="16"/>
  <c r="N107" i="16" s="1"/>
  <c r="P107" i="16" s="1"/>
  <c r="G108" i="16"/>
  <c r="N108" i="16" s="1"/>
  <c r="AJ108" i="16" s="1"/>
  <c r="AK108" i="16" s="1"/>
  <c r="AL108" i="16" s="1"/>
  <c r="H104" i="16"/>
  <c r="R104" i="16" s="1"/>
  <c r="AJ104" i="16" s="1"/>
  <c r="AK104" i="16" s="1"/>
  <c r="AL104" i="16" s="1"/>
  <c r="G104" i="16"/>
  <c r="N104" i="16" s="1"/>
  <c r="P104" i="16" s="1"/>
  <c r="AJ103" i="16" s="1"/>
  <c r="AK103" i="16" s="1"/>
  <c r="AL103" i="16" s="1"/>
  <c r="G103" i="16"/>
  <c r="H100" i="16"/>
  <c r="G97" i="16"/>
  <c r="G106" i="16"/>
  <c r="N106" i="16" s="1"/>
  <c r="P106" i="16" s="1"/>
  <c r="H98" i="16"/>
  <c r="R98" i="16" s="1"/>
  <c r="H109" i="16"/>
  <c r="G105" i="16"/>
  <c r="N105" i="16" s="1"/>
  <c r="P105" i="16" s="1"/>
  <c r="AJ102" i="16" s="1"/>
  <c r="AK102" i="16" s="1"/>
  <c r="AL102" i="16" s="1"/>
  <c r="N62" i="16"/>
  <c r="P75" i="16"/>
  <c r="R72" i="16" s="1"/>
  <c r="AJ75" i="16"/>
  <c r="AK75" i="16" s="1"/>
  <c r="AL75" i="16" s="1"/>
  <c r="P67" i="16"/>
  <c r="R64" i="16" s="1"/>
  <c r="AJ64" i="16" s="1"/>
  <c r="AK64" i="16" s="1"/>
  <c r="AL64" i="16" s="1"/>
  <c r="AJ67" i="16"/>
  <c r="AK67" i="16" s="1"/>
  <c r="AL67" i="16" s="1"/>
  <c r="AJ71" i="16"/>
  <c r="AK71" i="16" s="1"/>
  <c r="AL71" i="16" s="1"/>
  <c r="P71" i="16"/>
  <c r="N63" i="16" s="1"/>
  <c r="P63" i="16" s="1"/>
  <c r="R60" i="16" s="1"/>
  <c r="AJ60" i="16" s="1"/>
  <c r="AK60" i="16" s="1"/>
  <c r="AL60" i="16" s="1"/>
  <c r="AJ68" i="16"/>
  <c r="AK68" i="16" s="1"/>
  <c r="AL68" i="16" s="1"/>
  <c r="P68" i="16"/>
  <c r="R63" i="16" s="1"/>
  <c r="H82" i="16"/>
  <c r="G84" i="16"/>
  <c r="H88" i="16"/>
  <c r="R88" i="16" s="1"/>
  <c r="G88" i="16"/>
  <c r="N88" i="16" s="1"/>
  <c r="G92" i="16"/>
  <c r="N92" i="16" s="1"/>
  <c r="P92" i="16" s="1"/>
  <c r="H83" i="16"/>
  <c r="G80" i="16"/>
  <c r="G91" i="16"/>
  <c r="N91" i="16" s="1"/>
  <c r="P91" i="16" s="1"/>
  <c r="G87" i="16"/>
  <c r="N87" i="16" s="1"/>
  <c r="P87" i="16" s="1"/>
  <c r="H89" i="16"/>
  <c r="R89" i="16" s="1"/>
  <c r="P89" i="16" s="1"/>
  <c r="H92" i="16"/>
  <c r="R92" i="16" s="1"/>
  <c r="AJ92" i="16" s="1"/>
  <c r="AK92" i="16" s="1"/>
  <c r="AL92" i="16" s="1"/>
  <c r="H90" i="16"/>
  <c r="R90" i="16" s="1"/>
  <c r="G86" i="16"/>
  <c r="N86" i="16" s="1"/>
  <c r="P86" i="16" s="1"/>
  <c r="G93" i="16"/>
  <c r="N93" i="16" s="1"/>
  <c r="P93" i="16" s="1"/>
  <c r="G90" i="16"/>
  <c r="N90" i="16" s="1"/>
  <c r="H87" i="16"/>
  <c r="R87" i="16" s="1"/>
  <c r="AJ87" i="16" s="1"/>
  <c r="AK87" i="16" s="1"/>
  <c r="AL87" i="16" s="1"/>
  <c r="H79" i="16"/>
  <c r="H80" i="16"/>
  <c r="H93" i="16"/>
  <c r="R93" i="16" s="1"/>
  <c r="AJ93" i="16" s="1"/>
  <c r="AK93" i="16" s="1"/>
  <c r="AL93" i="16" s="1"/>
  <c r="G82" i="16"/>
  <c r="H81" i="16"/>
  <c r="G83" i="16"/>
  <c r="H84" i="16"/>
  <c r="H85" i="16"/>
  <c r="G81" i="16"/>
  <c r="H86" i="16"/>
  <c r="G85" i="16"/>
  <c r="H91" i="16"/>
  <c r="R91" i="16" s="1"/>
  <c r="AJ91" i="16" s="1"/>
  <c r="AK91" i="16" s="1"/>
  <c r="AL91" i="16" s="1"/>
  <c r="G79" i="16"/>
  <c r="R73" i="16"/>
  <c r="R69" i="16"/>
  <c r="X69" i="16" s="1"/>
  <c r="R65" i="16"/>
  <c r="AJ65" i="16" s="1"/>
  <c r="AK65" i="16" s="1"/>
  <c r="AL65" i="16" s="1"/>
  <c r="X70" i="16"/>
  <c r="X66" i="16"/>
  <c r="X74" i="16"/>
  <c r="X71" i="16"/>
  <c r="X67" i="16"/>
  <c r="X68" i="16"/>
  <c r="X75" i="16"/>
  <c r="R25" i="16"/>
  <c r="AJ29" i="16"/>
  <c r="AK29" i="16" s="1"/>
  <c r="AL29" i="16" s="1"/>
  <c r="P29" i="16"/>
  <c r="R26" i="16" s="1"/>
  <c r="P26" i="16" s="1"/>
  <c r="N22" i="16" s="1"/>
  <c r="R24" i="16"/>
  <c r="P34" i="16"/>
  <c r="N26" i="16" s="1"/>
  <c r="AJ26" i="16" s="1"/>
  <c r="AK26" i="16" s="1"/>
  <c r="AL26" i="16" s="1"/>
  <c r="AJ34" i="16"/>
  <c r="AK34" i="16" s="1"/>
  <c r="AL34" i="16" s="1"/>
  <c r="AJ33" i="16"/>
  <c r="AK33" i="16" s="1"/>
  <c r="AL33" i="16" s="1"/>
  <c r="P33" i="16"/>
  <c r="N25" i="16" s="1"/>
  <c r="AJ32" i="16"/>
  <c r="AK32" i="16" s="1"/>
  <c r="AL32" i="16" s="1"/>
  <c r="P32" i="16"/>
  <c r="N24" i="16" s="1"/>
  <c r="P35" i="16"/>
  <c r="N27" i="16" s="1"/>
  <c r="AJ35" i="16"/>
  <c r="AK35" i="16" s="1"/>
  <c r="AL35" i="16" s="1"/>
  <c r="H39" i="16"/>
  <c r="G39" i="16"/>
  <c r="G53" i="16"/>
  <c r="N53" i="16" s="1"/>
  <c r="P53" i="16" s="1"/>
  <c r="H40" i="16"/>
  <c r="H55" i="16"/>
  <c r="R55" i="16" s="1"/>
  <c r="AJ55" i="16" s="1"/>
  <c r="G52" i="16"/>
  <c r="N52" i="16" s="1"/>
  <c r="AJ52" i="16" s="1"/>
  <c r="G40" i="16"/>
  <c r="H49" i="16"/>
  <c r="G43" i="16"/>
  <c r="G41" i="16"/>
  <c r="H43" i="16"/>
  <c r="G45" i="16"/>
  <c r="G48" i="16"/>
  <c r="N48" i="16" s="1"/>
  <c r="AJ48" i="16" s="1"/>
  <c r="G42" i="16"/>
  <c r="G51" i="16"/>
  <c r="N51" i="16" s="1"/>
  <c r="H42" i="16"/>
  <c r="H44" i="16"/>
  <c r="H54" i="16"/>
  <c r="G50" i="16"/>
  <c r="N50" i="16" s="1"/>
  <c r="G55" i="16"/>
  <c r="N55" i="16" s="1"/>
  <c r="P55" i="16" s="1"/>
  <c r="H51" i="16"/>
  <c r="H47" i="16"/>
  <c r="H53" i="16"/>
  <c r="H41" i="16"/>
  <c r="H52" i="16"/>
  <c r="G47" i="16"/>
  <c r="N47" i="16" s="1"/>
  <c r="P47" i="16" s="1"/>
  <c r="G49" i="16"/>
  <c r="N49" i="16" s="1"/>
  <c r="G54" i="16"/>
  <c r="N54" i="16" s="1"/>
  <c r="H46" i="16"/>
  <c r="H50" i="16"/>
  <c r="H48" i="16"/>
  <c r="G44" i="16"/>
  <c r="H45" i="16"/>
  <c r="G46" i="16"/>
  <c r="N46" i="16" s="1"/>
  <c r="R27" i="16"/>
  <c r="G12" i="16"/>
  <c r="N12" i="16" s="1"/>
  <c r="AJ12" i="16" s="1"/>
  <c r="AK12" i="16" s="1"/>
  <c r="AL12" i="16" s="1"/>
  <c r="H13" i="16"/>
  <c r="R13" i="16" s="1"/>
  <c r="AJ13" i="16" s="1"/>
  <c r="AK13" i="16" s="1"/>
  <c r="AL13" i="16" s="1"/>
  <c r="G11" i="16"/>
  <c r="N11" i="16" s="1"/>
  <c r="X31" i="16"/>
  <c r="G7" i="16"/>
  <c r="X29" i="16"/>
  <c r="X35" i="16"/>
  <c r="X32" i="16"/>
  <c r="X28" i="16"/>
  <c r="X30" i="16"/>
  <c r="X33" i="16"/>
  <c r="X34" i="16"/>
  <c r="H5" i="16"/>
  <c r="G16" i="16"/>
  <c r="N16" i="16" s="1"/>
  <c r="AJ16" i="16" s="1"/>
  <c r="AK16" i="16" s="1"/>
  <c r="AL16" i="16" s="1"/>
  <c r="H6" i="16"/>
  <c r="H16" i="16"/>
  <c r="R16" i="16" s="1"/>
  <c r="P16" i="16" s="1"/>
  <c r="H14" i="16"/>
  <c r="R14" i="16" s="1"/>
  <c r="G13" i="16"/>
  <c r="N13" i="16" s="1"/>
  <c r="P13" i="16" s="1"/>
  <c r="H11" i="16"/>
  <c r="R11" i="16" s="1"/>
  <c r="H10" i="16"/>
  <c r="R10" i="16" s="1"/>
  <c r="G15" i="16"/>
  <c r="N15" i="16" s="1"/>
  <c r="G17" i="16"/>
  <c r="N17" i="16" s="1"/>
  <c r="P17" i="16" s="1"/>
  <c r="G10" i="16"/>
  <c r="N10" i="16" s="1"/>
  <c r="H17" i="16"/>
  <c r="R17" i="16" s="1"/>
  <c r="AJ17" i="16" s="1"/>
  <c r="AK17" i="16" s="1"/>
  <c r="AL17" i="16" s="1"/>
  <c r="H15" i="16"/>
  <c r="R15" i="16" s="1"/>
  <c r="H12" i="16"/>
  <c r="R12" i="16" s="1"/>
  <c r="H9" i="16"/>
  <c r="G4" i="16"/>
  <c r="G8" i="16"/>
  <c r="H4" i="16"/>
  <c r="G6" i="16"/>
  <c r="G3" i="16"/>
  <c r="H8" i="16"/>
  <c r="H3" i="16"/>
  <c r="G9" i="16"/>
  <c r="H7" i="16"/>
  <c r="G5" i="16"/>
  <c r="G208" i="14"/>
  <c r="N208" i="14" s="1"/>
  <c r="AJ208" i="14" s="1"/>
  <c r="AK208" i="14" s="1"/>
  <c r="AL208" i="14" s="1"/>
  <c r="H222" i="14"/>
  <c r="R222" i="14" s="1"/>
  <c r="P222" i="14" s="1"/>
  <c r="H212" i="14"/>
  <c r="G212" i="14"/>
  <c r="G221" i="14"/>
  <c r="N221" i="14" s="1"/>
  <c r="AJ221" i="14" s="1"/>
  <c r="AK221" i="14" s="1"/>
  <c r="AL221" i="14" s="1"/>
  <c r="G214" i="14"/>
  <c r="H220" i="14"/>
  <c r="R220" i="14" s="1"/>
  <c r="P220" i="14" s="1"/>
  <c r="H219" i="14"/>
  <c r="R219" i="14" s="1"/>
  <c r="AJ219" i="14" s="1"/>
  <c r="AK219" i="14" s="1"/>
  <c r="AL219" i="14" s="1"/>
  <c r="H215" i="14"/>
  <c r="G213" i="14"/>
  <c r="G216" i="14"/>
  <c r="N216" i="14" s="1"/>
  <c r="AJ216" i="14" s="1"/>
  <c r="AK216" i="14" s="1"/>
  <c r="AL216" i="14" s="1"/>
  <c r="H216" i="14"/>
  <c r="H218" i="14"/>
  <c r="G218" i="14"/>
  <c r="N218" i="14" s="1"/>
  <c r="P218" i="14" s="1"/>
  <c r="G219" i="14"/>
  <c r="N219" i="14" s="1"/>
  <c r="P219" i="14" s="1"/>
  <c r="G215" i="14"/>
  <c r="N215" i="14" s="1"/>
  <c r="P215" i="14" s="1"/>
  <c r="H214" i="14"/>
  <c r="H217" i="14"/>
  <c r="H213" i="14"/>
  <c r="G217" i="14"/>
  <c r="N217" i="14" s="1"/>
  <c r="AJ217" i="14" s="1"/>
  <c r="AK217" i="14" s="1"/>
  <c r="AL217" i="14" s="1"/>
  <c r="G222" i="14"/>
  <c r="N222" i="14" s="1"/>
  <c r="AJ222" i="14" s="1"/>
  <c r="AK222" i="14" s="1"/>
  <c r="AL222" i="14" s="1"/>
  <c r="H221" i="14"/>
  <c r="R221" i="14" s="1"/>
  <c r="P221" i="14" s="1"/>
  <c r="G220" i="14"/>
  <c r="N220" i="14" s="1"/>
  <c r="AJ220" i="14" s="1"/>
  <c r="AK220" i="14" s="1"/>
  <c r="AL220" i="14" s="1"/>
  <c r="H201" i="14"/>
  <c r="R201" i="14" s="1"/>
  <c r="P201" i="14" s="1"/>
  <c r="H203" i="14"/>
  <c r="R203" i="14" s="1"/>
  <c r="P203" i="14" s="1"/>
  <c r="H204" i="14"/>
  <c r="R204" i="14" s="1"/>
  <c r="P204" i="14" s="1"/>
  <c r="H207" i="14"/>
  <c r="R207" i="14" s="1"/>
  <c r="P207" i="14" s="1"/>
  <c r="AK186" i="14"/>
  <c r="AL186" i="14" s="1"/>
  <c r="AK181" i="14"/>
  <c r="AL181" i="14" s="1"/>
  <c r="AK190" i="14"/>
  <c r="AL190" i="14" s="1"/>
  <c r="AK183" i="14"/>
  <c r="AL183" i="14" s="1"/>
  <c r="AK189" i="14"/>
  <c r="AL189" i="14" s="1"/>
  <c r="AK184" i="14"/>
  <c r="AL184" i="14" s="1"/>
  <c r="AK182" i="14"/>
  <c r="AL182" i="14" s="1"/>
  <c r="AK185" i="14"/>
  <c r="AL185" i="14" s="1"/>
  <c r="G205" i="14"/>
  <c r="N205" i="14" s="1"/>
  <c r="G202" i="14"/>
  <c r="N202" i="14" s="1"/>
  <c r="P202" i="14" s="1"/>
  <c r="G204" i="14"/>
  <c r="N204" i="14" s="1"/>
  <c r="AJ204" i="14" s="1"/>
  <c r="AK204" i="14" s="1"/>
  <c r="AL204" i="14" s="1"/>
  <c r="G201" i="14"/>
  <c r="N201" i="14" s="1"/>
  <c r="AJ201" i="14" s="1"/>
  <c r="AK201" i="14" s="1"/>
  <c r="AL201" i="14" s="1"/>
  <c r="H202" i="14"/>
  <c r="R202" i="14" s="1"/>
  <c r="AJ202" i="14" s="1"/>
  <c r="AK202" i="14" s="1"/>
  <c r="AL202" i="14" s="1"/>
  <c r="H206" i="14"/>
  <c r="R206" i="14" s="1"/>
  <c r="P206" i="14" s="1"/>
  <c r="H208" i="14"/>
  <c r="R208" i="14" s="1"/>
  <c r="P208" i="14" s="1"/>
  <c r="G207" i="14"/>
  <c r="N207" i="14" s="1"/>
  <c r="AJ207" i="14" s="1"/>
  <c r="AK207" i="14" s="1"/>
  <c r="AL207" i="14" s="1"/>
  <c r="G203" i="14"/>
  <c r="N203" i="14" s="1"/>
  <c r="AJ203" i="14" s="1"/>
  <c r="AK203" i="14" s="1"/>
  <c r="AL203" i="14" s="1"/>
  <c r="G196" i="14"/>
  <c r="G195" i="14"/>
  <c r="H198" i="14"/>
  <c r="H195" i="14"/>
  <c r="H194" i="14"/>
  <c r="G197" i="14"/>
  <c r="G194" i="14"/>
  <c r="H200" i="14"/>
  <c r="H197" i="14"/>
  <c r="H199" i="14"/>
  <c r="G198" i="14"/>
  <c r="G200" i="14"/>
  <c r="H196" i="14"/>
  <c r="G206" i="14"/>
  <c r="N206" i="14" s="1"/>
  <c r="AJ206" i="14" s="1"/>
  <c r="AK206" i="14" s="1"/>
  <c r="AL206" i="14" s="1"/>
  <c r="G199" i="14"/>
  <c r="N179" i="14"/>
  <c r="P179" i="14" s="1"/>
  <c r="N175" i="14" s="1"/>
  <c r="P175" i="14" s="1"/>
  <c r="R174" i="14" s="1"/>
  <c r="P174" i="14" s="1"/>
  <c r="AJ173" i="14" s="1"/>
  <c r="AK173" i="14" s="1"/>
  <c r="AL173" i="14" s="1"/>
  <c r="R177" i="14"/>
  <c r="AJ177" i="14" s="1"/>
  <c r="N180" i="14"/>
  <c r="R178" i="14"/>
  <c r="P178" i="14" s="1"/>
  <c r="R175" i="14" s="1"/>
  <c r="AJ175" i="14" s="1"/>
  <c r="R180" i="14"/>
  <c r="N177" i="14"/>
  <c r="P177" i="14" s="1"/>
  <c r="R176" i="14" s="1"/>
  <c r="P176" i="14" s="1"/>
  <c r="N174" i="14" s="1"/>
  <c r="AJ174" i="14" s="1"/>
  <c r="AK174" i="14" s="1"/>
  <c r="AL174" i="14" s="1"/>
  <c r="R187" i="14"/>
  <c r="R188" i="14"/>
  <c r="N178" i="14"/>
  <c r="AJ178" i="14" s="1"/>
  <c r="R179" i="14"/>
  <c r="AJ179" i="14" s="1"/>
  <c r="H60" i="15"/>
  <c r="G109" i="15"/>
  <c r="N109" i="15" s="1"/>
  <c r="P109" i="15" s="1"/>
  <c r="G116" i="15"/>
  <c r="N116" i="15" s="1"/>
  <c r="P116" i="15" s="1"/>
  <c r="H124" i="15"/>
  <c r="R124" i="15" s="1"/>
  <c r="P124" i="15" s="1"/>
  <c r="G55" i="15"/>
  <c r="G59" i="15"/>
  <c r="H46" i="15"/>
  <c r="G61" i="15"/>
  <c r="G163" i="15"/>
  <c r="N163" i="15" s="1"/>
  <c r="AJ163" i="15" s="1"/>
  <c r="AK163" i="15" s="1"/>
  <c r="AL163" i="15" s="1"/>
  <c r="G181" i="15"/>
  <c r="N181" i="15" s="1"/>
  <c r="AJ181" i="15" s="1"/>
  <c r="AK181" i="15" s="1"/>
  <c r="AL181" i="15" s="1"/>
  <c r="H97" i="15"/>
  <c r="H103" i="15"/>
  <c r="G82" i="15"/>
  <c r="N82" i="15" s="1"/>
  <c r="H171" i="15"/>
  <c r="R171" i="15" s="1"/>
  <c r="AJ171" i="15" s="1"/>
  <c r="AK171" i="15" s="1"/>
  <c r="AL171" i="15" s="1"/>
  <c r="H143" i="15"/>
  <c r="R143" i="15" s="1"/>
  <c r="P143" i="15" s="1"/>
  <c r="H36" i="15"/>
  <c r="G69" i="15"/>
  <c r="H56" i="15"/>
  <c r="G5" i="15"/>
  <c r="G168" i="15"/>
  <c r="N168" i="15" s="1"/>
  <c r="P168" i="15" s="1"/>
  <c r="H184" i="15"/>
  <c r="G50" i="15"/>
  <c r="H23" i="15"/>
  <c r="H164" i="15"/>
  <c r="R164" i="15" s="1"/>
  <c r="P164" i="15" s="1"/>
  <c r="H108" i="15"/>
  <c r="G189" i="15"/>
  <c r="N189" i="15" s="1"/>
  <c r="AJ189" i="15" s="1"/>
  <c r="AK189" i="15" s="1"/>
  <c r="AL189" i="15" s="1"/>
  <c r="H134" i="15"/>
  <c r="R134" i="15" s="1"/>
  <c r="AJ134" i="15" s="1"/>
  <c r="AK134" i="15" s="1"/>
  <c r="AL134" i="15" s="1"/>
  <c r="G65" i="15"/>
  <c r="G104" i="15"/>
  <c r="N104" i="15" s="1"/>
  <c r="P104" i="15" s="1"/>
  <c r="H98" i="15"/>
  <c r="H87" i="15"/>
  <c r="H182" i="15"/>
  <c r="R182" i="15" s="1"/>
  <c r="AJ182" i="15" s="1"/>
  <c r="AK182" i="15" s="1"/>
  <c r="AL182" i="15" s="1"/>
  <c r="H195" i="15"/>
  <c r="R195" i="15" s="1"/>
  <c r="AJ195" i="15" s="1"/>
  <c r="AK195" i="15" s="1"/>
  <c r="AL195" i="15" s="1"/>
  <c r="H59" i="15"/>
  <c r="H152" i="15"/>
  <c r="R152" i="15" s="1"/>
  <c r="AJ152" i="15" s="1"/>
  <c r="AK152" i="15" s="1"/>
  <c r="AL152" i="15" s="1"/>
  <c r="G60" i="15"/>
  <c r="H151" i="15"/>
  <c r="R151" i="15" s="1"/>
  <c r="AJ151" i="15" s="1"/>
  <c r="AK151" i="15" s="1"/>
  <c r="AL151" i="15" s="1"/>
  <c r="H161" i="15"/>
  <c r="R161" i="15" s="1"/>
  <c r="AJ161" i="15" s="1"/>
  <c r="AK161" i="15" s="1"/>
  <c r="AL161" i="15" s="1"/>
  <c r="G166" i="15"/>
  <c r="N166" i="15" s="1"/>
  <c r="P166" i="15" s="1"/>
  <c r="H188" i="15"/>
  <c r="R188" i="15" s="1"/>
  <c r="P188" i="15" s="1"/>
  <c r="H52" i="15"/>
  <c r="H177" i="15"/>
  <c r="R177" i="15" s="1"/>
  <c r="P177" i="15" s="1"/>
  <c r="H27" i="15"/>
  <c r="G137" i="15"/>
  <c r="N137" i="15" s="1"/>
  <c r="AJ137" i="15" s="1"/>
  <c r="AK137" i="15" s="1"/>
  <c r="AL137" i="15" s="1"/>
  <c r="G191" i="15"/>
  <c r="N191" i="15" s="1"/>
  <c r="AJ191" i="15" s="1"/>
  <c r="AK191" i="15" s="1"/>
  <c r="AL191" i="15" s="1"/>
  <c r="H45" i="15"/>
  <c r="G103" i="15"/>
  <c r="N103" i="15" s="1"/>
  <c r="H33" i="15"/>
  <c r="G84" i="15"/>
  <c r="N84" i="15" s="1"/>
  <c r="H135" i="15"/>
  <c r="R135" i="15" s="1"/>
  <c r="G132" i="15"/>
  <c r="N132" i="15" s="1"/>
  <c r="AJ132" i="15" s="1"/>
  <c r="AK132" i="15" s="1"/>
  <c r="AL132" i="15" s="1"/>
  <c r="H72" i="15"/>
  <c r="G20" i="15"/>
  <c r="H65" i="15"/>
  <c r="H199" i="15"/>
  <c r="R199" i="15" s="1"/>
  <c r="AJ199" i="15" s="1"/>
  <c r="AK199" i="15" s="1"/>
  <c r="AL199" i="15" s="1"/>
  <c r="H166" i="15"/>
  <c r="R166" i="15" s="1"/>
  <c r="AJ166" i="15" s="1"/>
  <c r="AK166" i="15" s="1"/>
  <c r="AL166" i="15" s="1"/>
  <c r="G143" i="15"/>
  <c r="N143" i="15" s="1"/>
  <c r="AJ143" i="15" s="1"/>
  <c r="AK143" i="15" s="1"/>
  <c r="AL143" i="15" s="1"/>
  <c r="H105" i="15"/>
  <c r="H38" i="15"/>
  <c r="H107" i="15"/>
  <c r="G175" i="15"/>
  <c r="N175" i="15" s="1"/>
  <c r="P175" i="15" s="1"/>
  <c r="H178" i="15"/>
  <c r="R178" i="15" s="1"/>
  <c r="AJ178" i="15" s="1"/>
  <c r="AK178" i="15" s="1"/>
  <c r="AL178" i="15" s="1"/>
  <c r="G112" i="15"/>
  <c r="N112" i="15" s="1"/>
  <c r="AJ112" i="15" s="1"/>
  <c r="AK112" i="15" s="1"/>
  <c r="AL112" i="15" s="1"/>
  <c r="H42" i="15"/>
  <c r="H57" i="15"/>
  <c r="H67" i="15"/>
  <c r="H120" i="15"/>
  <c r="H118" i="15"/>
  <c r="G32" i="15"/>
  <c r="H189" i="15"/>
  <c r="R189" i="15" s="1"/>
  <c r="P189" i="15" s="1"/>
  <c r="H43" i="15"/>
  <c r="G43" i="15"/>
  <c r="H71" i="15"/>
  <c r="G19" i="15"/>
  <c r="G111" i="15"/>
  <c r="N111" i="15" s="1"/>
  <c r="H94" i="15"/>
  <c r="G3" i="15"/>
  <c r="H76" i="15"/>
  <c r="H35" i="15"/>
  <c r="H63" i="15"/>
  <c r="G24" i="15"/>
  <c r="H20" i="15"/>
  <c r="G76" i="15"/>
  <c r="N76" i="15" s="1"/>
  <c r="AJ76" i="15" s="1"/>
  <c r="H34" i="15"/>
  <c r="G68" i="15"/>
  <c r="H10" i="15"/>
  <c r="H128" i="15"/>
  <c r="G48" i="15"/>
  <c r="G152" i="15"/>
  <c r="N152" i="15" s="1"/>
  <c r="P152" i="15" s="1"/>
  <c r="G187" i="15"/>
  <c r="N187" i="15" s="1"/>
  <c r="P187" i="15" s="1"/>
  <c r="G126" i="15"/>
  <c r="N126" i="15" s="1"/>
  <c r="P126" i="15" s="1"/>
  <c r="G162" i="15"/>
  <c r="N162" i="15" s="1"/>
  <c r="AJ162" i="15" s="1"/>
  <c r="AK162" i="15" s="1"/>
  <c r="AL162" i="15" s="1"/>
  <c r="G199" i="15"/>
  <c r="N199" i="15" s="1"/>
  <c r="P199" i="15" s="1"/>
  <c r="H190" i="15"/>
  <c r="H122" i="15"/>
  <c r="H123" i="15"/>
  <c r="G154" i="15"/>
  <c r="N154" i="15" s="1"/>
  <c r="P154" i="15" s="1"/>
  <c r="H156" i="15"/>
  <c r="R156" i="15" s="1"/>
  <c r="AJ156" i="15" s="1"/>
  <c r="AK156" i="15" s="1"/>
  <c r="AL156" i="15" s="1"/>
  <c r="H169" i="15"/>
  <c r="R169" i="15" s="1"/>
  <c r="P169" i="15" s="1"/>
  <c r="G193" i="15"/>
  <c r="G184" i="15"/>
  <c r="N184" i="15" s="1"/>
  <c r="AJ184" i="15" s="1"/>
  <c r="AK184" i="15" s="1"/>
  <c r="AL184" i="15" s="1"/>
  <c r="G34" i="15"/>
  <c r="H15" i="15"/>
  <c r="G96" i="15"/>
  <c r="N96" i="15" s="1"/>
  <c r="AJ96" i="15" s="1"/>
  <c r="AK96" i="15" s="1"/>
  <c r="AL96" i="15" s="1"/>
  <c r="G7" i="15"/>
  <c r="H90" i="15"/>
  <c r="G4" i="15"/>
  <c r="H115" i="15"/>
  <c r="H58" i="15"/>
  <c r="G31" i="15"/>
  <c r="G90" i="15"/>
  <c r="N90" i="15" s="1"/>
  <c r="AJ90" i="15" s="1"/>
  <c r="AK90" i="15" s="1"/>
  <c r="AL90" i="15" s="1"/>
  <c r="H55" i="15"/>
  <c r="H127" i="15"/>
  <c r="G93" i="15"/>
  <c r="N93" i="15" s="1"/>
  <c r="G53" i="15"/>
  <c r="G95" i="15"/>
  <c r="N95" i="15" s="1"/>
  <c r="G11" i="15"/>
  <c r="G75" i="15"/>
  <c r="N75" i="15" s="1"/>
  <c r="AJ75" i="15" s="1"/>
  <c r="AK75" i="15" s="1"/>
  <c r="AL75" i="15" s="1"/>
  <c r="G98" i="15"/>
  <c r="N98" i="15" s="1"/>
  <c r="H114" i="15"/>
  <c r="H31" i="15"/>
  <c r="H113" i="15"/>
  <c r="G186" i="15"/>
  <c r="N186" i="15" s="1"/>
  <c r="P186" i="15" s="1"/>
  <c r="G200" i="15"/>
  <c r="N200" i="15" s="1"/>
  <c r="P200" i="15" s="1"/>
  <c r="G177" i="15"/>
  <c r="N177" i="15" s="1"/>
  <c r="AJ177" i="15" s="1"/>
  <c r="AK177" i="15" s="1"/>
  <c r="AL177" i="15" s="1"/>
  <c r="G139" i="15"/>
  <c r="N139" i="15" s="1"/>
  <c r="AJ139" i="15" s="1"/>
  <c r="AK139" i="15" s="1"/>
  <c r="AL139" i="15" s="1"/>
  <c r="G196" i="15"/>
  <c r="N196" i="15" s="1"/>
  <c r="P196" i="15" s="1"/>
  <c r="G158" i="15"/>
  <c r="N158" i="15" s="1"/>
  <c r="P158" i="15" s="1"/>
  <c r="G113" i="15"/>
  <c r="N113" i="15" s="1"/>
  <c r="P113" i="15" s="1"/>
  <c r="G125" i="15"/>
  <c r="N125" i="15" s="1"/>
  <c r="P125" i="15" s="1"/>
  <c r="G155" i="15"/>
  <c r="N155" i="15" s="1"/>
  <c r="P155" i="15" s="1"/>
  <c r="G142" i="15"/>
  <c r="N142" i="15" s="1"/>
  <c r="P142" i="15" s="1"/>
  <c r="H148" i="15"/>
  <c r="R148" i="15" s="1"/>
  <c r="P148" i="15" s="1"/>
  <c r="G118" i="15"/>
  <c r="N118" i="15" s="1"/>
  <c r="AJ118" i="15" s="1"/>
  <c r="AK118" i="15" s="1"/>
  <c r="AL118" i="15" s="1"/>
  <c r="G38" i="15"/>
  <c r="G42" i="15"/>
  <c r="G66" i="15"/>
  <c r="H14" i="15"/>
  <c r="H104" i="15"/>
  <c r="H50" i="15"/>
  <c r="H12" i="15"/>
  <c r="G52" i="15"/>
  <c r="H3" i="15"/>
  <c r="G51" i="15"/>
  <c r="H91" i="15"/>
  <c r="H44" i="15"/>
  <c r="H69" i="15"/>
  <c r="H26" i="15"/>
  <c r="H61" i="15"/>
  <c r="G30" i="15"/>
  <c r="H165" i="15"/>
  <c r="R165" i="15" s="1"/>
  <c r="AJ165" i="15" s="1"/>
  <c r="AK165" i="15" s="1"/>
  <c r="AL165" i="15" s="1"/>
  <c r="H41" i="15"/>
  <c r="H28" i="15"/>
  <c r="H93" i="15"/>
  <c r="G153" i="15"/>
  <c r="N153" i="15" s="1"/>
  <c r="P153" i="15" s="1"/>
  <c r="G138" i="15"/>
  <c r="N138" i="15" s="1"/>
  <c r="P138" i="15" s="1"/>
  <c r="H159" i="15"/>
  <c r="R159" i="15" s="1"/>
  <c r="AJ159" i="15" s="1"/>
  <c r="AK159" i="15" s="1"/>
  <c r="AL159" i="15" s="1"/>
  <c r="H194" i="15"/>
  <c r="R194" i="15" s="1"/>
  <c r="AJ194" i="15" s="1"/>
  <c r="AK194" i="15" s="1"/>
  <c r="AL194" i="15" s="1"/>
  <c r="H196" i="15"/>
  <c r="R196" i="15" s="1"/>
  <c r="AJ196" i="15" s="1"/>
  <c r="AK196" i="15" s="1"/>
  <c r="AL196" i="15" s="1"/>
  <c r="G136" i="15"/>
  <c r="N136" i="15" s="1"/>
  <c r="P136" i="15" s="1"/>
  <c r="G160" i="15"/>
  <c r="N160" i="15" s="1"/>
  <c r="P160" i="15" s="1"/>
  <c r="H154" i="15"/>
  <c r="R154" i="15" s="1"/>
  <c r="AJ154" i="15" s="1"/>
  <c r="AK154" i="15" s="1"/>
  <c r="AL154" i="15" s="1"/>
  <c r="H133" i="15"/>
  <c r="R133" i="15" s="1"/>
  <c r="P133" i="15" s="1"/>
  <c r="G147" i="15"/>
  <c r="N147" i="15" s="1"/>
  <c r="AJ147" i="15" s="1"/>
  <c r="AK147" i="15" s="1"/>
  <c r="AL147" i="15" s="1"/>
  <c r="G178" i="15"/>
  <c r="N178" i="15" s="1"/>
  <c r="P178" i="15" s="1"/>
  <c r="G146" i="15"/>
  <c r="N146" i="15" s="1"/>
  <c r="P146" i="15" s="1"/>
  <c r="G172" i="15"/>
  <c r="N172" i="15" s="1"/>
  <c r="AJ172" i="15" s="1"/>
  <c r="AK172" i="15" s="1"/>
  <c r="AL172" i="15" s="1"/>
  <c r="G121" i="15"/>
  <c r="N121" i="15" s="1"/>
  <c r="AJ121" i="15" s="1"/>
  <c r="AK121" i="15" s="1"/>
  <c r="AL121" i="15" s="1"/>
  <c r="H89" i="15"/>
  <c r="H18" i="15"/>
  <c r="G85" i="15"/>
  <c r="N85" i="15" s="1"/>
  <c r="H7" i="15"/>
  <c r="H111" i="15"/>
  <c r="G62" i="15"/>
  <c r="G8" i="15"/>
  <c r="G71" i="15"/>
  <c r="G27" i="15"/>
  <c r="G58" i="15"/>
  <c r="H17" i="15"/>
  <c r="G47" i="15"/>
  <c r="H88" i="15"/>
  <c r="G77" i="15"/>
  <c r="N77" i="15" s="1"/>
  <c r="AJ77" i="15" s="1"/>
  <c r="AK77" i="15" s="1"/>
  <c r="AL77" i="15" s="1"/>
  <c r="H68" i="15"/>
  <c r="G91" i="15"/>
  <c r="N91" i="15" s="1"/>
  <c r="AJ91" i="15" s="1"/>
  <c r="AK91" i="15" s="1"/>
  <c r="AL91" i="15" s="1"/>
  <c r="H150" i="15"/>
  <c r="R150" i="15" s="1"/>
  <c r="AJ150" i="15" s="1"/>
  <c r="AK150" i="15" s="1"/>
  <c r="AL150" i="15" s="1"/>
  <c r="G26" i="15"/>
  <c r="G28" i="15"/>
  <c r="G54" i="15"/>
  <c r="H149" i="15"/>
  <c r="R149" i="15" s="1"/>
  <c r="P149" i="15" s="1"/>
  <c r="H174" i="15"/>
  <c r="R174" i="15" s="1"/>
  <c r="P174" i="15" s="1"/>
  <c r="G128" i="15"/>
  <c r="N128" i="15" s="1"/>
  <c r="AJ128" i="15" s="1"/>
  <c r="AK128" i="15" s="1"/>
  <c r="AL128" i="15" s="1"/>
  <c r="H183" i="15"/>
  <c r="R183" i="15" s="1"/>
  <c r="AJ183" i="15" s="1"/>
  <c r="AK183" i="15" s="1"/>
  <c r="AL183" i="15" s="1"/>
  <c r="H179" i="15"/>
  <c r="R179" i="15" s="1"/>
  <c r="P179" i="15" s="1"/>
  <c r="H160" i="15"/>
  <c r="R160" i="15" s="1"/>
  <c r="AJ160" i="15" s="1"/>
  <c r="AK160" i="15" s="1"/>
  <c r="AL160" i="15" s="1"/>
  <c r="H142" i="15"/>
  <c r="R142" i="15" s="1"/>
  <c r="AJ142" i="15" s="1"/>
  <c r="AK142" i="15" s="1"/>
  <c r="AL142" i="15" s="1"/>
  <c r="G179" i="15"/>
  <c r="N179" i="15" s="1"/>
  <c r="AJ179" i="15" s="1"/>
  <c r="AK179" i="15" s="1"/>
  <c r="AL179" i="15" s="1"/>
  <c r="G130" i="15"/>
  <c r="N130" i="15" s="1"/>
  <c r="P130" i="15" s="1"/>
  <c r="G123" i="15"/>
  <c r="N123" i="15" s="1"/>
  <c r="AJ123" i="15" s="1"/>
  <c r="AK123" i="15" s="1"/>
  <c r="AL123" i="15" s="1"/>
  <c r="H146" i="15"/>
  <c r="R146" i="15" s="1"/>
  <c r="AJ146" i="15" s="1"/>
  <c r="AK146" i="15" s="1"/>
  <c r="AL146" i="15" s="1"/>
  <c r="G148" i="15"/>
  <c r="N148" i="15" s="1"/>
  <c r="AJ148" i="15" s="1"/>
  <c r="AK148" i="15" s="1"/>
  <c r="AL148" i="15" s="1"/>
  <c r="G45" i="15"/>
  <c r="G100" i="15"/>
  <c r="N100" i="15" s="1"/>
  <c r="AJ100" i="15" s="1"/>
  <c r="AK100" i="15" s="1"/>
  <c r="AL100" i="15" s="1"/>
  <c r="G49" i="15"/>
  <c r="G92" i="15"/>
  <c r="N92" i="15" s="1"/>
  <c r="H4" i="15"/>
  <c r="H186" i="15"/>
  <c r="R186" i="15" s="1"/>
  <c r="AJ186" i="15" s="1"/>
  <c r="AK186" i="15" s="1"/>
  <c r="AL186" i="15" s="1"/>
  <c r="G86" i="15"/>
  <c r="N86" i="15" s="1"/>
  <c r="H106" i="15"/>
  <c r="H83" i="15"/>
  <c r="G23" i="15"/>
  <c r="H162" i="15"/>
  <c r="R162" i="15" s="1"/>
  <c r="P162" i="15" s="1"/>
  <c r="H86" i="15"/>
  <c r="H32" i="15"/>
  <c r="G102" i="15"/>
  <c r="N102" i="15" s="1"/>
  <c r="P102" i="15" s="1"/>
  <c r="G41" i="15"/>
  <c r="H75" i="15"/>
  <c r="G101" i="15"/>
  <c r="N101" i="15" s="1"/>
  <c r="P101" i="15" s="1"/>
  <c r="H116" i="15"/>
  <c r="H77" i="15"/>
  <c r="G13" i="15"/>
  <c r="G73" i="15"/>
  <c r="N73" i="15" s="1"/>
  <c r="AJ73" i="15" s="1"/>
  <c r="AK73" i="15" s="1"/>
  <c r="AL73" i="15" s="1"/>
  <c r="G198" i="15"/>
  <c r="N198" i="15" s="1"/>
  <c r="AJ198" i="15" s="1"/>
  <c r="AK198" i="15" s="1"/>
  <c r="AL198" i="15" s="1"/>
  <c r="H137" i="15"/>
  <c r="R137" i="15" s="1"/>
  <c r="P137" i="15" s="1"/>
  <c r="H138" i="15"/>
  <c r="R138" i="15" s="1"/>
  <c r="AJ138" i="15" s="1"/>
  <c r="AK138" i="15" s="1"/>
  <c r="AL138" i="15" s="1"/>
  <c r="H197" i="15"/>
  <c r="R197" i="15" s="1"/>
  <c r="P197" i="15" s="1"/>
  <c r="G150" i="15"/>
  <c r="N150" i="15" s="1"/>
  <c r="P150" i="15" s="1"/>
  <c r="H170" i="15"/>
  <c r="R170" i="15" s="1"/>
  <c r="AJ170" i="15" s="1"/>
  <c r="AK170" i="15" s="1"/>
  <c r="AL170" i="15" s="1"/>
  <c r="H132" i="15"/>
  <c r="R132" i="15" s="1"/>
  <c r="P132" i="15" s="1"/>
  <c r="G180" i="15"/>
  <c r="H144" i="15"/>
  <c r="R144" i="15" s="1"/>
  <c r="AJ144" i="15" s="1"/>
  <c r="AK144" i="15" s="1"/>
  <c r="AL144" i="15" s="1"/>
  <c r="G131" i="15"/>
  <c r="N131" i="15" s="1"/>
  <c r="P131" i="15" s="1"/>
  <c r="G122" i="15"/>
  <c r="N122" i="15" s="1"/>
  <c r="AJ122" i="15" s="1"/>
  <c r="AK122" i="15" s="1"/>
  <c r="AL122" i="15" s="1"/>
  <c r="H145" i="15"/>
  <c r="R145" i="15" s="1"/>
  <c r="AJ145" i="15" s="1"/>
  <c r="AK145" i="15" s="1"/>
  <c r="AL145" i="15" s="1"/>
  <c r="G124" i="15"/>
  <c r="N124" i="15" s="1"/>
  <c r="AJ124" i="15" s="1"/>
  <c r="AK124" i="15" s="1"/>
  <c r="AL124" i="15" s="1"/>
  <c r="H11" i="15"/>
  <c r="G99" i="15"/>
  <c r="N99" i="15" s="1"/>
  <c r="G44" i="15"/>
  <c r="H126" i="15"/>
  <c r="H96" i="15"/>
  <c r="G21" i="15"/>
  <c r="H102" i="15"/>
  <c r="H82" i="15"/>
  <c r="H187" i="15"/>
  <c r="R187" i="15" s="1"/>
  <c r="AJ187" i="15" s="1"/>
  <c r="AK187" i="15" s="1"/>
  <c r="AL187" i="15" s="1"/>
  <c r="H53" i="15"/>
  <c r="G25" i="15"/>
  <c r="G56" i="15"/>
  <c r="G10" i="15"/>
  <c r="H140" i="15"/>
  <c r="R140" i="15" s="1"/>
  <c r="P140" i="15" s="1"/>
  <c r="G36" i="15"/>
  <c r="G29" i="15"/>
  <c r="G88" i="15"/>
  <c r="N88" i="15" s="1"/>
  <c r="P88" i="15" s="1"/>
  <c r="G40" i="15"/>
  <c r="G80" i="15"/>
  <c r="N80" i="15" s="1"/>
  <c r="AJ80" i="15" s="1"/>
  <c r="AK80" i="15" s="1"/>
  <c r="AL80" i="15" s="1"/>
  <c r="G165" i="15"/>
  <c r="N165" i="15" s="1"/>
  <c r="P165" i="15" s="1"/>
  <c r="G115" i="15"/>
  <c r="N115" i="15" s="1"/>
  <c r="P115" i="15" s="1"/>
  <c r="G151" i="15"/>
  <c r="N151" i="15" s="1"/>
  <c r="P151" i="15" s="1"/>
  <c r="G141" i="15"/>
  <c r="N141" i="15" s="1"/>
  <c r="AJ141" i="15" s="1"/>
  <c r="AK141" i="15" s="1"/>
  <c r="AL141" i="15" s="1"/>
  <c r="G114" i="15"/>
  <c r="N114" i="15" s="1"/>
  <c r="P114" i="15" s="1"/>
  <c r="H157" i="15"/>
  <c r="R157" i="15" s="1"/>
  <c r="P157" i="15" s="1"/>
  <c r="G183" i="15"/>
  <c r="N183" i="15" s="1"/>
  <c r="P183" i="15" s="1"/>
  <c r="H147" i="15"/>
  <c r="R147" i="15" s="1"/>
  <c r="P147" i="15" s="1"/>
  <c r="G169" i="15"/>
  <c r="N169" i="15" s="1"/>
  <c r="AJ169" i="15" s="1"/>
  <c r="AK169" i="15" s="1"/>
  <c r="AL169" i="15" s="1"/>
  <c r="G119" i="15"/>
  <c r="N119" i="15" s="1"/>
  <c r="P119" i="15" s="1"/>
  <c r="G176" i="15"/>
  <c r="N176" i="15" s="1"/>
  <c r="AJ176" i="15" s="1"/>
  <c r="AK176" i="15" s="1"/>
  <c r="AL176" i="15" s="1"/>
  <c r="H180" i="15"/>
  <c r="R180" i="15" s="1"/>
  <c r="AJ180" i="15" s="1"/>
  <c r="AK180" i="15" s="1"/>
  <c r="AL180" i="15" s="1"/>
  <c r="G67" i="15"/>
  <c r="H78" i="15"/>
  <c r="H47" i="15"/>
  <c r="G106" i="15"/>
  <c r="N106" i="15" s="1"/>
  <c r="P106" i="15" s="1"/>
  <c r="G46" i="15"/>
  <c r="H6" i="15"/>
  <c r="G108" i="15"/>
  <c r="N108" i="15" s="1"/>
  <c r="AJ108" i="15" s="1"/>
  <c r="AK108" i="15" s="1"/>
  <c r="AL108" i="15" s="1"/>
  <c r="G81" i="15"/>
  <c r="N81" i="15" s="1"/>
  <c r="AJ81" i="15" s="1"/>
  <c r="AK81" i="15" s="1"/>
  <c r="AL81" i="15" s="1"/>
  <c r="H109" i="15"/>
  <c r="H70" i="15"/>
  <c r="G37" i="15"/>
  <c r="G64" i="15"/>
  <c r="G33" i="15"/>
  <c r="G63" i="15"/>
  <c r="H84" i="15"/>
  <c r="H163" i="15"/>
  <c r="R163" i="15" s="1"/>
  <c r="P163" i="15" s="1"/>
  <c r="H19" i="15"/>
  <c r="G17" i="15"/>
  <c r="G107" i="15"/>
  <c r="N107" i="15" s="1"/>
  <c r="G22" i="15"/>
  <c r="G87" i="15"/>
  <c r="N87" i="15" s="1"/>
  <c r="H168" i="15"/>
  <c r="R168" i="15" s="1"/>
  <c r="AJ168" i="15" s="1"/>
  <c r="AK168" i="15" s="1"/>
  <c r="AL168" i="15" s="1"/>
  <c r="G129" i="15"/>
  <c r="N129" i="15" s="1"/>
  <c r="P129" i="15" s="1"/>
  <c r="H167" i="15"/>
  <c r="R167" i="15" s="1"/>
  <c r="AJ167" i="15" s="1"/>
  <c r="AK167" i="15" s="1"/>
  <c r="AL167" i="15" s="1"/>
  <c r="H181" i="15"/>
  <c r="G174" i="15"/>
  <c r="N174" i="15" s="1"/>
  <c r="AJ174" i="15" s="1"/>
  <c r="AK174" i="15" s="1"/>
  <c r="AL174" i="15" s="1"/>
  <c r="G149" i="15"/>
  <c r="N149" i="15" s="1"/>
  <c r="AJ149" i="15" s="1"/>
  <c r="AK149" i="15" s="1"/>
  <c r="AL149" i="15" s="1"/>
  <c r="H130" i="15"/>
  <c r="R130" i="15" s="1"/>
  <c r="AJ130" i="15" s="1"/>
  <c r="AK130" i="15" s="1"/>
  <c r="AL130" i="15" s="1"/>
  <c r="G173" i="15"/>
  <c r="N173" i="15" s="1"/>
  <c r="AJ173" i="15" s="1"/>
  <c r="AK173" i="15" s="1"/>
  <c r="AL173" i="15" s="1"/>
  <c r="G195" i="15"/>
  <c r="N195" i="15" s="1"/>
  <c r="P195" i="15" s="1"/>
  <c r="G133" i="15"/>
  <c r="N133" i="15" s="1"/>
  <c r="AJ133" i="15" s="1"/>
  <c r="AK133" i="15" s="1"/>
  <c r="AL133" i="15" s="1"/>
  <c r="G190" i="15"/>
  <c r="N190" i="15" s="1"/>
  <c r="AJ190" i="15" s="1"/>
  <c r="AK190" i="15" s="1"/>
  <c r="AL190" i="15" s="1"/>
  <c r="H193" i="15"/>
  <c r="R193" i="15" s="1"/>
  <c r="AJ193" i="15" s="1"/>
  <c r="AK193" i="15" s="1"/>
  <c r="AL193" i="15" s="1"/>
  <c r="H48" i="15"/>
  <c r="H85" i="15"/>
  <c r="H5" i="15"/>
  <c r="H141" i="15"/>
  <c r="R141" i="15" s="1"/>
  <c r="P141" i="15" s="1"/>
  <c r="G79" i="15"/>
  <c r="N79" i="15" s="1"/>
  <c r="AJ79" i="15" s="1"/>
  <c r="H54" i="15"/>
  <c r="H64" i="15"/>
  <c r="H22" i="15"/>
  <c r="H51" i="15"/>
  <c r="G12" i="15"/>
  <c r="H8" i="15"/>
  <c r="G83" i="15"/>
  <c r="N83" i="15" s="1"/>
  <c r="H40" i="15"/>
  <c r="G70" i="15"/>
  <c r="G105" i="15"/>
  <c r="N105" i="15" s="1"/>
  <c r="AJ105" i="15" s="1"/>
  <c r="AK105" i="15" s="1"/>
  <c r="AL105" i="15" s="1"/>
  <c r="H153" i="15"/>
  <c r="R153" i="15" s="1"/>
  <c r="AJ153" i="15" s="1"/>
  <c r="AK153" i="15" s="1"/>
  <c r="AL153" i="15" s="1"/>
  <c r="G72" i="15"/>
  <c r="H24" i="15"/>
  <c r="H66" i="15"/>
  <c r="H21" i="15"/>
  <c r="G94" i="15"/>
  <c r="N94" i="15" s="1"/>
  <c r="P94" i="15" s="1"/>
  <c r="H173" i="15"/>
  <c r="R173" i="15" s="1"/>
  <c r="P173" i="15" s="1"/>
  <c r="H158" i="15"/>
  <c r="R158" i="15" s="1"/>
  <c r="AJ158" i="15" s="1"/>
  <c r="AK158" i="15" s="1"/>
  <c r="AL158" i="15" s="1"/>
  <c r="G194" i="15"/>
  <c r="G117" i="15"/>
  <c r="N117" i="15" s="1"/>
  <c r="P117" i="15" s="1"/>
  <c r="H125" i="15"/>
  <c r="H131" i="15"/>
  <c r="R131" i="15" s="1"/>
  <c r="AJ131" i="15" s="1"/>
  <c r="AK131" i="15" s="1"/>
  <c r="AL131" i="15" s="1"/>
  <c r="H112" i="15"/>
  <c r="G161" i="15"/>
  <c r="N161" i="15" s="1"/>
  <c r="P161" i="15" s="1"/>
  <c r="G170" i="15"/>
  <c r="N170" i="15" s="1"/>
  <c r="P170" i="15" s="1"/>
  <c r="G134" i="15"/>
  <c r="N134" i="15" s="1"/>
  <c r="P134" i="15" s="1"/>
  <c r="G167" i="15"/>
  <c r="N167" i="15" s="1"/>
  <c r="P167" i="15" s="1"/>
  <c r="H176" i="15"/>
  <c r="R176" i="15" s="1"/>
  <c r="P176" i="15" s="1"/>
  <c r="G9" i="15"/>
  <c r="H92" i="15"/>
  <c r="H37" i="15"/>
  <c r="G89" i="15"/>
  <c r="N89" i="15" s="1"/>
  <c r="AJ89" i="15" s="1"/>
  <c r="AK89" i="15" s="1"/>
  <c r="AL89" i="15" s="1"/>
  <c r="H74" i="15"/>
  <c r="G78" i="15"/>
  <c r="N78" i="15" s="1"/>
  <c r="AJ78" i="15" s="1"/>
  <c r="AK78" i="15" s="1"/>
  <c r="AL78" i="15" s="1"/>
  <c r="H9" i="15"/>
  <c r="H129" i="15"/>
  <c r="H79" i="15"/>
  <c r="G18" i="15"/>
  <c r="H95" i="15"/>
  <c r="H62" i="15"/>
  <c r="H175" i="15"/>
  <c r="R175" i="15" s="1"/>
  <c r="AJ175" i="15" s="1"/>
  <c r="AK175" i="15" s="1"/>
  <c r="AL175" i="15" s="1"/>
  <c r="H29" i="15"/>
  <c r="G57" i="15"/>
  <c r="H81" i="15"/>
  <c r="G35" i="15"/>
  <c r="H73" i="15"/>
  <c r="G39" i="15"/>
  <c r="H139" i="15"/>
  <c r="R139" i="15" s="1"/>
  <c r="P139" i="15" s="1"/>
  <c r="G188" i="15"/>
  <c r="N188" i="15" s="1"/>
  <c r="AJ188" i="15" s="1"/>
  <c r="AK188" i="15" s="1"/>
  <c r="AL188" i="15" s="1"/>
  <c r="H185" i="15"/>
  <c r="R185" i="15" s="1"/>
  <c r="AJ185" i="15" s="1"/>
  <c r="AK185" i="15" s="1"/>
  <c r="AL185" i="15" s="1"/>
  <c r="H136" i="15"/>
  <c r="R136" i="15" s="1"/>
  <c r="AJ136" i="15" s="1"/>
  <c r="AK136" i="15" s="1"/>
  <c r="AL136" i="15" s="1"/>
  <c r="G171" i="15"/>
  <c r="N171" i="15" s="1"/>
  <c r="P171" i="15" s="1"/>
  <c r="G197" i="15"/>
  <c r="N197" i="15" s="1"/>
  <c r="AJ197" i="15" s="1"/>
  <c r="AK197" i="15" s="1"/>
  <c r="AL197" i="15" s="1"/>
  <c r="H121" i="15"/>
  <c r="H119" i="15"/>
  <c r="H155" i="15"/>
  <c r="R155" i="15" s="1"/>
  <c r="AJ155" i="15" s="1"/>
  <c r="AK155" i="15" s="1"/>
  <c r="AL155" i="15" s="1"/>
  <c r="H172" i="15"/>
  <c r="R172" i="15" s="1"/>
  <c r="P172" i="15" s="1"/>
  <c r="G157" i="15"/>
  <c r="N157" i="15" s="1"/>
  <c r="AJ157" i="15" s="1"/>
  <c r="AK157" i="15" s="1"/>
  <c r="AL157" i="15" s="1"/>
  <c r="G192" i="15"/>
  <c r="N192" i="15" s="1"/>
  <c r="AJ192" i="15" s="1"/>
  <c r="AK192" i="15" s="1"/>
  <c r="AL192" i="15" s="1"/>
  <c r="G144" i="15"/>
  <c r="N144" i="15" s="1"/>
  <c r="P144" i="15" s="1"/>
  <c r="H30" i="15"/>
  <c r="H99" i="15"/>
  <c r="H39" i="15"/>
  <c r="G15" i="15"/>
  <c r="H101" i="15"/>
  <c r="G16" i="15"/>
  <c r="G97" i="15"/>
  <c r="N97" i="15" s="1"/>
  <c r="G74" i="15"/>
  <c r="N74" i="15" s="1"/>
  <c r="P74" i="15" s="1"/>
  <c r="H198" i="15"/>
  <c r="R198" i="15" s="1"/>
  <c r="P198" i="15" s="1"/>
  <c r="G110" i="15"/>
  <c r="N110" i="15" s="1"/>
  <c r="P110" i="15" s="1"/>
  <c r="H13" i="15"/>
  <c r="H49" i="15"/>
  <c r="H110" i="15"/>
  <c r="H200" i="15"/>
  <c r="R200" i="15" s="1"/>
  <c r="AJ200" i="15" s="1"/>
  <c r="AK200" i="15" s="1"/>
  <c r="AL200" i="15" s="1"/>
  <c r="G14" i="15"/>
  <c r="G6" i="15"/>
  <c r="H100" i="15"/>
  <c r="H16" i="15"/>
  <c r="H80" i="15"/>
  <c r="H25" i="15"/>
  <c r="H117" i="15"/>
  <c r="G127" i="15"/>
  <c r="N127" i="15" s="1"/>
  <c r="P127" i="15" s="1"/>
  <c r="G120" i="15"/>
  <c r="N120" i="15" s="1"/>
  <c r="P120" i="15" s="1"/>
  <c r="G140" i="15"/>
  <c r="N140" i="15" s="1"/>
  <c r="AJ140" i="15" s="1"/>
  <c r="AK140" i="15" s="1"/>
  <c r="AL140" i="15" s="1"/>
  <c r="G164" i="15"/>
  <c r="N164" i="15" s="1"/>
  <c r="AJ164" i="15" s="1"/>
  <c r="AK164" i="15" s="1"/>
  <c r="AL164" i="15" s="1"/>
  <c r="G185" i="15"/>
  <c r="N185" i="15" s="1"/>
  <c r="P185" i="15" s="1"/>
  <c r="G182" i="15"/>
  <c r="N182" i="15" s="1"/>
  <c r="P182" i="15" s="1"/>
  <c r="H192" i="15"/>
  <c r="H191" i="15"/>
  <c r="G145" i="15"/>
  <c r="N145" i="15" s="1"/>
  <c r="P145" i="15" s="1"/>
  <c r="G159" i="15"/>
  <c r="N159" i="15" s="1"/>
  <c r="P159" i="15" s="1"/>
  <c r="G156" i="15"/>
  <c r="N156" i="15" s="1"/>
  <c r="P156" i="15" s="1"/>
  <c r="X183" i="14"/>
  <c r="X184" i="14"/>
  <c r="X189" i="14"/>
  <c r="X186" i="14"/>
  <c r="X185" i="14"/>
  <c r="X181" i="14"/>
  <c r="X190" i="14"/>
  <c r="X182" i="14"/>
  <c r="G36" i="9"/>
  <c r="N36" i="9" s="1"/>
  <c r="G118" i="8"/>
  <c r="N118" i="8" s="1"/>
  <c r="AJ118" i="8" s="1"/>
  <c r="AK118" i="8" s="1"/>
  <c r="AL118" i="8" s="1"/>
  <c r="G20" i="9"/>
  <c r="H58" i="9"/>
  <c r="R58" i="9" s="1"/>
  <c r="AJ58" i="9" s="1"/>
  <c r="AK58" i="9" s="1"/>
  <c r="AL58" i="9" s="1"/>
  <c r="G27" i="9"/>
  <c r="G43" i="9"/>
  <c r="H45" i="9"/>
  <c r="G13" i="9"/>
  <c r="G46" i="9"/>
  <c r="N46" i="9" s="1"/>
  <c r="P46" i="9" s="1"/>
  <c r="G24" i="9"/>
  <c r="G31" i="9"/>
  <c r="H32" i="9"/>
  <c r="G16" i="9"/>
  <c r="H24" i="9"/>
  <c r="H26" i="9"/>
  <c r="G55" i="9"/>
  <c r="N55" i="9" s="1"/>
  <c r="P55" i="9" s="1"/>
  <c r="H63" i="9"/>
  <c r="R63" i="9" s="1"/>
  <c r="P63" i="9" s="1"/>
  <c r="H53" i="9"/>
  <c r="R53" i="9" s="1"/>
  <c r="P53" i="9" s="1"/>
  <c r="G65" i="9"/>
  <c r="N65" i="9" s="1"/>
  <c r="AJ65" i="9" s="1"/>
  <c r="AK65" i="9" s="1"/>
  <c r="AL65" i="9" s="1"/>
  <c r="G19" i="9"/>
  <c r="G12" i="9"/>
  <c r="H64" i="9"/>
  <c r="R64" i="9" s="1"/>
  <c r="P64" i="9" s="1"/>
  <c r="G41" i="9"/>
  <c r="N41" i="9" s="1"/>
  <c r="H40" i="9"/>
  <c r="R40" i="9" s="1"/>
  <c r="P40" i="9" s="1"/>
  <c r="H29" i="9"/>
  <c r="H4" i="9"/>
  <c r="H57" i="9"/>
  <c r="H8" i="9"/>
  <c r="H22" i="9"/>
  <c r="H36" i="9"/>
  <c r="R36" i="9" s="1"/>
  <c r="P36" i="9" s="1"/>
  <c r="G35" i="9"/>
  <c r="N35" i="9" s="1"/>
  <c r="P35" i="9" s="1"/>
  <c r="G5" i="9"/>
  <c r="G63" i="9"/>
  <c r="N63" i="9" s="1"/>
  <c r="AJ63" i="9" s="1"/>
  <c r="AK63" i="9" s="1"/>
  <c r="AL63" i="9" s="1"/>
  <c r="H37" i="9"/>
  <c r="R37" i="9" s="1"/>
  <c r="P37" i="9" s="1"/>
  <c r="H30" i="9"/>
  <c r="H55" i="9"/>
  <c r="H14" i="9"/>
  <c r="H48" i="9"/>
  <c r="H38" i="9"/>
  <c r="H43" i="9"/>
  <c r="G11" i="9"/>
  <c r="H20" i="9"/>
  <c r="G48" i="9"/>
  <c r="N48" i="9" s="1"/>
  <c r="P48" i="9" s="1"/>
  <c r="H51" i="9"/>
  <c r="R51" i="9" s="1"/>
  <c r="AJ51" i="9" s="1"/>
  <c r="AK51" i="9" s="1"/>
  <c r="AL51" i="9" s="1"/>
  <c r="H21" i="9"/>
  <c r="G7" i="9"/>
  <c r="H42" i="9"/>
  <c r="R42" i="9" s="1"/>
  <c r="P42" i="9" s="1"/>
  <c r="G58" i="9"/>
  <c r="N58" i="9" s="1"/>
  <c r="P58" i="9" s="1"/>
  <c r="H17" i="9"/>
  <c r="H31" i="9"/>
  <c r="H61" i="9"/>
  <c r="R61" i="9" s="1"/>
  <c r="P61" i="9" s="1"/>
  <c r="G39" i="9"/>
  <c r="H65" i="9"/>
  <c r="R65" i="9" s="1"/>
  <c r="P65" i="9" s="1"/>
  <c r="G6" i="9"/>
  <c r="H39" i="9"/>
  <c r="R39" i="9" s="1"/>
  <c r="P39" i="9" s="1"/>
  <c r="G30" i="9"/>
  <c r="H12" i="9"/>
  <c r="G37" i="9"/>
  <c r="N37" i="9" s="1"/>
  <c r="AJ37" i="9" s="1"/>
  <c r="AK37" i="9" s="1"/>
  <c r="AL37" i="9" s="1"/>
  <c r="G54" i="9"/>
  <c r="N54" i="9" s="1"/>
  <c r="P54" i="9" s="1"/>
  <c r="H50" i="9"/>
  <c r="R50" i="9" s="1"/>
  <c r="AJ50" i="9" s="1"/>
  <c r="AK50" i="9" s="1"/>
  <c r="AL50" i="9" s="1"/>
  <c r="H25" i="9"/>
  <c r="H46" i="9"/>
  <c r="R46" i="9" s="1"/>
  <c r="AJ46" i="9" s="1"/>
  <c r="AK46" i="9" s="1"/>
  <c r="AL46" i="9" s="1"/>
  <c r="H16" i="9"/>
  <c r="H49" i="9"/>
  <c r="G33" i="9"/>
  <c r="H7" i="9"/>
  <c r="H33" i="9"/>
  <c r="G21" i="9"/>
  <c r="G17" i="9"/>
  <c r="G29" i="9"/>
  <c r="G10" i="9"/>
  <c r="H44" i="9"/>
  <c r="G23" i="9"/>
  <c r="G52" i="9"/>
  <c r="N52" i="9" s="1"/>
  <c r="AJ52" i="9" s="1"/>
  <c r="AK52" i="9" s="1"/>
  <c r="AL52" i="9" s="1"/>
  <c r="H62" i="9"/>
  <c r="H6" i="9"/>
  <c r="G59" i="9"/>
  <c r="N59" i="9" s="1"/>
  <c r="P59" i="9" s="1"/>
  <c r="H60" i="9"/>
  <c r="R60" i="9" s="1"/>
  <c r="AJ60" i="9" s="1"/>
  <c r="AK60" i="9" s="1"/>
  <c r="AL60" i="9" s="1"/>
  <c r="H54" i="9"/>
  <c r="R54" i="9" s="1"/>
  <c r="AJ54" i="9" s="1"/>
  <c r="AK54" i="9" s="1"/>
  <c r="AL54" i="9" s="1"/>
  <c r="G44" i="9"/>
  <c r="N44" i="9" s="1"/>
  <c r="AJ44" i="9" s="1"/>
  <c r="AK44" i="9" s="1"/>
  <c r="AL44" i="9" s="1"/>
  <c r="H15" i="9"/>
  <c r="H41" i="9"/>
  <c r="R41" i="9" s="1"/>
  <c r="P41" i="9" s="1"/>
  <c r="H9" i="9"/>
  <c r="G57" i="9"/>
  <c r="N57" i="9" s="1"/>
  <c r="P57" i="9" s="1"/>
  <c r="H81" i="14"/>
  <c r="H85" i="14"/>
  <c r="R85" i="14" s="1"/>
  <c r="AJ85" i="14" s="1"/>
  <c r="AK85" i="14" s="1"/>
  <c r="AL85" i="14" s="1"/>
  <c r="G89" i="14"/>
  <c r="N89" i="14" s="1"/>
  <c r="P89" i="14" s="1"/>
  <c r="H91" i="14"/>
  <c r="R91" i="14" s="1"/>
  <c r="AJ91" i="14" s="1"/>
  <c r="AK91" i="14" s="1"/>
  <c r="AL91" i="14" s="1"/>
  <c r="G80" i="14"/>
  <c r="H80" i="14"/>
  <c r="H78" i="14"/>
  <c r="G79" i="14"/>
  <c r="N161" i="14"/>
  <c r="P161" i="14" s="1"/>
  <c r="N157" i="14" s="1"/>
  <c r="AJ157" i="14" s="1"/>
  <c r="AK157" i="14" s="1"/>
  <c r="AL157" i="14" s="1"/>
  <c r="H88" i="14"/>
  <c r="R88" i="14" s="1"/>
  <c r="P88" i="14" s="1"/>
  <c r="H87" i="14"/>
  <c r="R87" i="14" s="1"/>
  <c r="AJ87" i="14" s="1"/>
  <c r="AK87" i="14" s="1"/>
  <c r="AL87" i="14" s="1"/>
  <c r="G44" i="14"/>
  <c r="H44" i="14"/>
  <c r="H117" i="8"/>
  <c r="R117" i="8" s="1"/>
  <c r="AJ117" i="8" s="1"/>
  <c r="AK117" i="8" s="1"/>
  <c r="AL117" i="8" s="1"/>
  <c r="H52" i="14"/>
  <c r="R52" i="14" s="1"/>
  <c r="P52" i="14" s="1"/>
  <c r="H40" i="14"/>
  <c r="H50" i="14"/>
  <c r="R50" i="14" s="1"/>
  <c r="P50" i="14" s="1"/>
  <c r="N42" i="14" s="1"/>
  <c r="AJ42" i="14" s="1"/>
  <c r="AK42" i="14" s="1"/>
  <c r="AL42" i="14" s="1"/>
  <c r="G45" i="14"/>
  <c r="H42" i="14"/>
  <c r="G40" i="14"/>
  <c r="H84" i="14"/>
  <c r="H113" i="8"/>
  <c r="H82" i="14"/>
  <c r="G48" i="14"/>
  <c r="N48" i="14" s="1"/>
  <c r="AJ48" i="14" s="1"/>
  <c r="AK48" i="14" s="1"/>
  <c r="AL48" i="14" s="1"/>
  <c r="G54" i="14"/>
  <c r="N54" i="14" s="1"/>
  <c r="P54" i="14" s="1"/>
  <c r="H83" i="14"/>
  <c r="G46" i="14"/>
  <c r="N46" i="14" s="1"/>
  <c r="P46" i="14" s="1"/>
  <c r="G83" i="14"/>
  <c r="H92" i="14"/>
  <c r="R92" i="14" s="1"/>
  <c r="AJ92" i="14" s="1"/>
  <c r="AK92" i="14" s="1"/>
  <c r="AL92" i="14" s="1"/>
  <c r="G53" i="14"/>
  <c r="N53" i="14" s="1"/>
  <c r="AJ53" i="14" s="1"/>
  <c r="AK53" i="14" s="1"/>
  <c r="AL53" i="14" s="1"/>
  <c r="G81" i="14"/>
  <c r="G86" i="14"/>
  <c r="N86" i="14" s="1"/>
  <c r="P86" i="14" s="1"/>
  <c r="G39" i="14"/>
  <c r="G88" i="14"/>
  <c r="N88" i="14" s="1"/>
  <c r="AJ88" i="14" s="1"/>
  <c r="AK88" i="14" s="1"/>
  <c r="AL88" i="14" s="1"/>
  <c r="G41" i="14"/>
  <c r="H43" i="14"/>
  <c r="H90" i="14"/>
  <c r="R90" i="14" s="1"/>
  <c r="AJ90" i="14" s="1"/>
  <c r="AK90" i="14" s="1"/>
  <c r="AL90" i="14" s="1"/>
  <c r="G47" i="14"/>
  <c r="N47" i="14" s="1"/>
  <c r="P47" i="14" s="1"/>
  <c r="H47" i="14"/>
  <c r="R47" i="14" s="1"/>
  <c r="AJ47" i="14" s="1"/>
  <c r="AK47" i="14" s="1"/>
  <c r="AL47" i="14" s="1"/>
  <c r="H39" i="14"/>
  <c r="G51" i="14"/>
  <c r="N51" i="14" s="1"/>
  <c r="P51" i="14" s="1"/>
  <c r="H53" i="14"/>
  <c r="H45" i="14"/>
  <c r="G43" i="14"/>
  <c r="G49" i="14"/>
  <c r="N49" i="14" s="1"/>
  <c r="AJ49" i="14" s="1"/>
  <c r="AK49" i="14" s="1"/>
  <c r="AL49" i="14" s="1"/>
  <c r="G50" i="14"/>
  <c r="N50" i="14" s="1"/>
  <c r="AJ50" i="14" s="1"/>
  <c r="AK50" i="14" s="1"/>
  <c r="AL50" i="14" s="1"/>
  <c r="H51" i="14"/>
  <c r="R51" i="14" s="1"/>
  <c r="AJ51" i="14" s="1"/>
  <c r="AK51" i="14" s="1"/>
  <c r="AL51" i="14" s="1"/>
  <c r="G52" i="14"/>
  <c r="N52" i="14" s="1"/>
  <c r="AJ52" i="14" s="1"/>
  <c r="AK52" i="14" s="1"/>
  <c r="AL52" i="14" s="1"/>
  <c r="H48" i="14"/>
  <c r="R48" i="14" s="1"/>
  <c r="P48" i="14" s="1"/>
  <c r="H49" i="14"/>
  <c r="R49" i="14" s="1"/>
  <c r="P49" i="14" s="1"/>
  <c r="H114" i="8"/>
  <c r="G119" i="8"/>
  <c r="N119" i="8" s="1"/>
  <c r="P119" i="8" s="1"/>
  <c r="H115" i="8"/>
  <c r="G116" i="8"/>
  <c r="N116" i="8" s="1"/>
  <c r="AJ116" i="8" s="1"/>
  <c r="AK116" i="8" s="1"/>
  <c r="AL116" i="8" s="1"/>
  <c r="R161" i="14"/>
  <c r="AJ161" i="14" s="1"/>
  <c r="AK161" i="14" s="1"/>
  <c r="AL161" i="14" s="1"/>
  <c r="N158" i="14"/>
  <c r="P158" i="14" s="1"/>
  <c r="R157" i="14" s="1"/>
  <c r="P157" i="14" s="1"/>
  <c r="N155" i="14" s="1"/>
  <c r="P155" i="14" s="1"/>
  <c r="AJ154" i="14" s="1"/>
  <c r="AK154" i="14" s="1"/>
  <c r="AL154" i="14" s="1"/>
  <c r="R169" i="14"/>
  <c r="H97" i="14"/>
  <c r="G18" i="9"/>
  <c r="G14" i="9"/>
  <c r="H35" i="9"/>
  <c r="R35" i="9" s="1"/>
  <c r="AJ35" i="9" s="1"/>
  <c r="AK35" i="9" s="1"/>
  <c r="AL35" i="9" s="1"/>
  <c r="G51" i="9"/>
  <c r="N51" i="9" s="1"/>
  <c r="P51" i="9" s="1"/>
  <c r="G4" i="9"/>
  <c r="G47" i="9"/>
  <c r="N47" i="9" s="1"/>
  <c r="AJ47" i="9" s="1"/>
  <c r="AK47" i="9" s="1"/>
  <c r="AL47" i="9" s="1"/>
  <c r="G61" i="9"/>
  <c r="N61" i="9" s="1"/>
  <c r="AJ61" i="9" s="1"/>
  <c r="AK61" i="9" s="1"/>
  <c r="AL61" i="9" s="1"/>
  <c r="H5" i="9"/>
  <c r="H27" i="9"/>
  <c r="G40" i="9"/>
  <c r="N40" i="9" s="1"/>
  <c r="AJ40" i="9" s="1"/>
  <c r="AK40" i="9" s="1"/>
  <c r="AL40" i="9" s="1"/>
  <c r="G92" i="14"/>
  <c r="N92" i="14" s="1"/>
  <c r="P92" i="14" s="1"/>
  <c r="G85" i="14"/>
  <c r="N85" i="14" s="1"/>
  <c r="G26" i="9"/>
  <c r="G60" i="9"/>
  <c r="N60" i="9" s="1"/>
  <c r="P60" i="9" s="1"/>
  <c r="H34" i="9"/>
  <c r="G9" i="9"/>
  <c r="G25" i="9"/>
  <c r="G49" i="9"/>
  <c r="N49" i="9" s="1"/>
  <c r="P49" i="9" s="1"/>
  <c r="G42" i="9"/>
  <c r="G64" i="9"/>
  <c r="N64" i="9" s="1"/>
  <c r="AJ64" i="9" s="1"/>
  <c r="AK64" i="9" s="1"/>
  <c r="AL64" i="9" s="1"/>
  <c r="H19" i="9"/>
  <c r="H47" i="9"/>
  <c r="G91" i="14"/>
  <c r="N91" i="14" s="1"/>
  <c r="P91" i="14" s="1"/>
  <c r="G84" i="14"/>
  <c r="G90" i="14"/>
  <c r="N90" i="14" s="1"/>
  <c r="H79" i="14"/>
  <c r="H23" i="9"/>
  <c r="G22" i="9"/>
  <c r="H11" i="9"/>
  <c r="H56" i="9"/>
  <c r="R56" i="9" s="1"/>
  <c r="AJ56" i="9" s="1"/>
  <c r="AK56" i="9" s="1"/>
  <c r="AL56" i="9" s="1"/>
  <c r="G53" i="9"/>
  <c r="N53" i="9" s="1"/>
  <c r="AJ53" i="9" s="1"/>
  <c r="AK53" i="9" s="1"/>
  <c r="AL53" i="9" s="1"/>
  <c r="H13" i="9"/>
  <c r="G62" i="9"/>
  <c r="N62" i="9" s="1"/>
  <c r="AJ62" i="9" s="1"/>
  <c r="AK62" i="9" s="1"/>
  <c r="AL62" i="9" s="1"/>
  <c r="G15" i="9"/>
  <c r="G50" i="9"/>
  <c r="N50" i="9" s="1"/>
  <c r="P50" i="9" s="1"/>
  <c r="H3" i="9"/>
  <c r="H86" i="14"/>
  <c r="R86" i="14" s="1"/>
  <c r="AJ86" i="14" s="1"/>
  <c r="AK86" i="14" s="1"/>
  <c r="AL86" i="14" s="1"/>
  <c r="G82" i="14"/>
  <c r="G45" i="9"/>
  <c r="H28" i="9"/>
  <c r="G28" i="9"/>
  <c r="H59" i="9"/>
  <c r="R59" i="9" s="1"/>
  <c r="AJ59" i="9" s="1"/>
  <c r="AK59" i="9" s="1"/>
  <c r="AL59" i="9" s="1"/>
  <c r="G8" i="9"/>
  <c r="G32" i="9"/>
  <c r="G56" i="9"/>
  <c r="N56" i="9" s="1"/>
  <c r="P56" i="9" s="1"/>
  <c r="G34" i="9"/>
  <c r="H18" i="9"/>
  <c r="G38" i="9"/>
  <c r="N38" i="9" s="1"/>
  <c r="P38" i="9" s="1"/>
  <c r="H10" i="9"/>
  <c r="H89" i="14"/>
  <c r="R89" i="14" s="1"/>
  <c r="AJ89" i="14" s="1"/>
  <c r="AK89" i="14" s="1"/>
  <c r="AL89" i="14" s="1"/>
  <c r="G87" i="14"/>
  <c r="N87" i="14" s="1"/>
  <c r="P87" i="14" s="1"/>
  <c r="G6" i="14"/>
  <c r="N6" i="14" s="1"/>
  <c r="G104" i="14"/>
  <c r="N104" i="14" s="1"/>
  <c r="P104" i="14" s="1"/>
  <c r="N159" i="14"/>
  <c r="AJ159" i="14" s="1"/>
  <c r="AK159" i="14" s="1"/>
  <c r="AL159" i="14" s="1"/>
  <c r="G106" i="14"/>
  <c r="N106" i="14" s="1"/>
  <c r="AJ106" i="14" s="1"/>
  <c r="AK106" i="14" s="1"/>
  <c r="AL106" i="14" s="1"/>
  <c r="H101" i="14"/>
  <c r="R101" i="14" s="1"/>
  <c r="AJ101" i="14" s="1"/>
  <c r="AK101" i="14" s="1"/>
  <c r="AL101" i="14" s="1"/>
  <c r="G107" i="14"/>
  <c r="N107" i="14" s="1"/>
  <c r="P107" i="14" s="1"/>
  <c r="H112" i="14"/>
  <c r="R112" i="14" s="1"/>
  <c r="AJ112" i="14" s="1"/>
  <c r="AK112" i="14" s="1"/>
  <c r="AL112" i="14" s="1"/>
  <c r="H110" i="14"/>
  <c r="R110" i="14" s="1"/>
  <c r="AJ110" i="14" s="1"/>
  <c r="AK110" i="14" s="1"/>
  <c r="AL110" i="14" s="1"/>
  <c r="H108" i="14"/>
  <c r="R108" i="14" s="1"/>
  <c r="P108" i="14" s="1"/>
  <c r="R160" i="14"/>
  <c r="AJ160" i="14" s="1"/>
  <c r="AK160" i="14" s="1"/>
  <c r="AL160" i="14" s="1"/>
  <c r="G103" i="14"/>
  <c r="G108" i="14"/>
  <c r="N108" i="14" s="1"/>
  <c r="AJ108" i="14" s="1"/>
  <c r="AK108" i="14" s="1"/>
  <c r="AL108" i="14" s="1"/>
  <c r="H111" i="14"/>
  <c r="N160" i="14"/>
  <c r="P160" i="14" s="1"/>
  <c r="N156" i="14" s="1"/>
  <c r="AJ156" i="14" s="1"/>
  <c r="AK156" i="14" s="1"/>
  <c r="AL156" i="14" s="1"/>
  <c r="R158" i="14"/>
  <c r="G117" i="8"/>
  <c r="N117" i="8" s="1"/>
  <c r="P117" i="8" s="1"/>
  <c r="H119" i="8"/>
  <c r="R119" i="8" s="1"/>
  <c r="AJ119" i="8" s="1"/>
  <c r="AK119" i="8" s="1"/>
  <c r="AL119" i="8" s="1"/>
  <c r="G115" i="8"/>
  <c r="G114" i="8"/>
  <c r="H116" i="8"/>
  <c r="R116" i="8" s="1"/>
  <c r="P116" i="8" s="1"/>
  <c r="G113" i="8"/>
  <c r="H41" i="14"/>
  <c r="H46" i="14"/>
  <c r="R46" i="14" s="1"/>
  <c r="AJ46" i="14" s="1"/>
  <c r="AK46" i="14" s="1"/>
  <c r="AL46" i="14" s="1"/>
  <c r="H54" i="14"/>
  <c r="R54" i="14" s="1"/>
  <c r="AJ54" i="14" s="1"/>
  <c r="AK54" i="14" s="1"/>
  <c r="AL54" i="14" s="1"/>
  <c r="G97" i="14"/>
  <c r="H107" i="14"/>
  <c r="R107" i="14" s="1"/>
  <c r="AJ107" i="14" s="1"/>
  <c r="AK107" i="14" s="1"/>
  <c r="AL107" i="14" s="1"/>
  <c r="H99" i="14"/>
  <c r="H104" i="14"/>
  <c r="R104" i="14" s="1"/>
  <c r="AJ104" i="14" s="1"/>
  <c r="AK104" i="14" s="1"/>
  <c r="AL104" i="14" s="1"/>
  <c r="G102" i="14"/>
  <c r="G101" i="14"/>
  <c r="G111" i="14"/>
  <c r="N111" i="14" s="1"/>
  <c r="P111" i="14" s="1"/>
  <c r="G99" i="14"/>
  <c r="H105" i="14"/>
  <c r="R105" i="14" s="1"/>
  <c r="AJ105" i="14" s="1"/>
  <c r="AK105" i="14" s="1"/>
  <c r="AL105" i="14" s="1"/>
  <c r="G110" i="14"/>
  <c r="N110" i="14" s="1"/>
  <c r="P110" i="14" s="1"/>
  <c r="H98" i="14"/>
  <c r="G109" i="14"/>
  <c r="N109" i="14" s="1"/>
  <c r="AJ109" i="14" s="1"/>
  <c r="AK109" i="14" s="1"/>
  <c r="AL109" i="14" s="1"/>
  <c r="H109" i="14"/>
  <c r="R109" i="14" s="1"/>
  <c r="P109" i="14" s="1"/>
  <c r="H100" i="14"/>
  <c r="G105" i="14"/>
  <c r="N105" i="14" s="1"/>
  <c r="P105" i="14" s="1"/>
  <c r="G98" i="14"/>
  <c r="H102" i="14"/>
  <c r="G112" i="14"/>
  <c r="N112" i="14" s="1"/>
  <c r="P112" i="14" s="1"/>
  <c r="H103" i="14"/>
  <c r="G100" i="14"/>
  <c r="H100" i="8"/>
  <c r="R100" i="8" s="1"/>
  <c r="P100" i="8" s="1"/>
  <c r="G61" i="8"/>
  <c r="H49" i="8"/>
  <c r="R49" i="8" s="1"/>
  <c r="AJ49" i="8" s="1"/>
  <c r="AK49" i="8" s="1"/>
  <c r="AL49" i="8" s="1"/>
  <c r="G37" i="8"/>
  <c r="R5" i="8"/>
  <c r="AJ5" i="8" s="1"/>
  <c r="AK5" i="8" s="1"/>
  <c r="AL5" i="8" s="1"/>
  <c r="H43" i="8"/>
  <c r="R43" i="8" s="1"/>
  <c r="P43" i="8" s="1"/>
  <c r="G101" i="8"/>
  <c r="N101" i="8" s="1"/>
  <c r="P101" i="8" s="1"/>
  <c r="H97" i="8"/>
  <c r="H99" i="8"/>
  <c r="H42" i="8"/>
  <c r="H40" i="8"/>
  <c r="H68" i="8"/>
  <c r="R68" i="8" s="1"/>
  <c r="P68" i="8" s="1"/>
  <c r="H44" i="8"/>
  <c r="R44" i="8" s="1"/>
  <c r="P44" i="8" s="1"/>
  <c r="H98" i="8"/>
  <c r="G62" i="8"/>
  <c r="N62" i="8" s="1"/>
  <c r="P62" i="8" s="1"/>
  <c r="G98" i="8"/>
  <c r="N98" i="8" s="1"/>
  <c r="P98" i="8" s="1"/>
  <c r="H65" i="8"/>
  <c r="R65" i="8" s="1"/>
  <c r="P65" i="8" s="1"/>
  <c r="G95" i="8"/>
  <c r="H95" i="8"/>
  <c r="G66" i="8"/>
  <c r="N66" i="8" s="1"/>
  <c r="AJ66" i="8" s="1"/>
  <c r="AK66" i="8" s="1"/>
  <c r="AL66" i="8" s="1"/>
  <c r="G65" i="8"/>
  <c r="N65" i="8" s="1"/>
  <c r="AJ65" i="8" s="1"/>
  <c r="AK65" i="8" s="1"/>
  <c r="AL65" i="8" s="1"/>
  <c r="G56" i="8"/>
  <c r="G47" i="8"/>
  <c r="N47" i="8" s="1"/>
  <c r="AJ47" i="8" s="1"/>
  <c r="AK47" i="8" s="1"/>
  <c r="AL47" i="8" s="1"/>
  <c r="G41" i="8"/>
  <c r="H61" i="8"/>
  <c r="G38" i="8"/>
  <c r="G68" i="8"/>
  <c r="N68" i="8" s="1"/>
  <c r="AJ68" i="8" s="1"/>
  <c r="AK68" i="8" s="1"/>
  <c r="AL68" i="8" s="1"/>
  <c r="H63" i="8"/>
  <c r="R63" i="8" s="1"/>
  <c r="AJ63" i="8" s="1"/>
  <c r="AK63" i="8" s="1"/>
  <c r="AL63" i="8" s="1"/>
  <c r="G45" i="8"/>
  <c r="N45" i="8" s="1"/>
  <c r="AJ45" i="8" s="1"/>
  <c r="AK45" i="8" s="1"/>
  <c r="AL45" i="8" s="1"/>
  <c r="H50" i="8"/>
  <c r="G96" i="8"/>
  <c r="H96" i="8"/>
  <c r="H56" i="8"/>
  <c r="H69" i="8"/>
  <c r="R69" i="8" s="1"/>
  <c r="AJ69" i="8" s="1"/>
  <c r="AK69" i="8" s="1"/>
  <c r="AL69" i="8" s="1"/>
  <c r="G60" i="8"/>
  <c r="G9" i="14"/>
  <c r="N9" i="14" s="1"/>
  <c r="P9" i="14" s="1"/>
  <c r="N5" i="14" s="1"/>
  <c r="P5" i="14" s="1"/>
  <c r="G97" i="8"/>
  <c r="G64" i="8"/>
  <c r="N64" i="8" s="1"/>
  <c r="P64" i="8" s="1"/>
  <c r="H57" i="8"/>
  <c r="G67" i="8"/>
  <c r="N67" i="8" s="1"/>
  <c r="P67" i="8" s="1"/>
  <c r="N59" i="8" s="1"/>
  <c r="P59" i="8" s="1"/>
  <c r="H62" i="8"/>
  <c r="R62" i="8" s="1"/>
  <c r="AJ62" i="8" s="1"/>
  <c r="AK62" i="8" s="1"/>
  <c r="AL62" i="8" s="1"/>
  <c r="G3" i="14"/>
  <c r="G99" i="8"/>
  <c r="H58" i="8"/>
  <c r="H67" i="8"/>
  <c r="R67" i="8" s="1"/>
  <c r="AJ67" i="8" s="1"/>
  <c r="AK67" i="8" s="1"/>
  <c r="AL67" i="8" s="1"/>
  <c r="G55" i="8"/>
  <c r="G4" i="14"/>
  <c r="H101" i="8"/>
  <c r="R101" i="8" s="1"/>
  <c r="AJ101" i="8" s="1"/>
  <c r="AK101" i="8" s="1"/>
  <c r="AL101" i="8" s="1"/>
  <c r="H60" i="8"/>
  <c r="H59" i="8"/>
  <c r="H64" i="8"/>
  <c r="R64" i="8" s="1"/>
  <c r="AJ64" i="8" s="1"/>
  <c r="AK64" i="8" s="1"/>
  <c r="AL64" i="8" s="1"/>
  <c r="H55" i="8"/>
  <c r="H39" i="8"/>
  <c r="R159" i="14"/>
  <c r="P159" i="14" s="1"/>
  <c r="R156" i="14" s="1"/>
  <c r="P156" i="14" s="1"/>
  <c r="R155" i="14" s="1"/>
  <c r="AJ155" i="14" s="1"/>
  <c r="AK155" i="14" s="1"/>
  <c r="AL155" i="14" s="1"/>
  <c r="H4" i="14"/>
  <c r="H3" i="14"/>
  <c r="H9" i="14"/>
  <c r="H5" i="14"/>
  <c r="G8" i="14"/>
  <c r="N8" i="14" s="1"/>
  <c r="AJ8" i="14" s="1"/>
  <c r="AK8" i="14" s="1"/>
  <c r="AL8" i="14" s="1"/>
  <c r="H6" i="14"/>
  <c r="R6" i="14" s="1"/>
  <c r="AJ6" i="14" s="1"/>
  <c r="AK6" i="14" s="1"/>
  <c r="AL6" i="14" s="1"/>
  <c r="H8" i="14"/>
  <c r="G7" i="14"/>
  <c r="H7" i="14"/>
  <c r="R7" i="14" s="1"/>
  <c r="P7" i="14" s="1"/>
  <c r="G63" i="8"/>
  <c r="N63" i="8" s="1"/>
  <c r="P63" i="8" s="1"/>
  <c r="G58" i="8"/>
  <c r="G69" i="8"/>
  <c r="N69" i="8" s="1"/>
  <c r="P69" i="8" s="1"/>
  <c r="H66" i="8"/>
  <c r="R66" i="8" s="1"/>
  <c r="P66" i="8" s="1"/>
  <c r="G57" i="8"/>
  <c r="G46" i="8"/>
  <c r="N46" i="8" s="1"/>
  <c r="P46" i="8" s="1"/>
  <c r="G40" i="8"/>
  <c r="G50" i="8"/>
  <c r="N50" i="8" s="1"/>
  <c r="P50" i="8" s="1"/>
  <c r="H37" i="8"/>
  <c r="G48" i="8"/>
  <c r="N48" i="8" s="1"/>
  <c r="P48" i="8" s="1"/>
  <c r="H36" i="8"/>
  <c r="H41" i="8"/>
  <c r="G49" i="8"/>
  <c r="N49" i="8" s="1"/>
  <c r="H51" i="8"/>
  <c r="R51" i="8" s="1"/>
  <c r="AJ51" i="8" s="1"/>
  <c r="AK51" i="8" s="1"/>
  <c r="AL51" i="8" s="1"/>
  <c r="H38" i="8"/>
  <c r="G44" i="8"/>
  <c r="N44" i="8" s="1"/>
  <c r="G51" i="8"/>
  <c r="N51" i="8" s="1"/>
  <c r="P51" i="8" s="1"/>
  <c r="H47" i="8"/>
  <c r="R47" i="8" s="1"/>
  <c r="P47" i="8" s="1"/>
  <c r="N39" i="8" s="1"/>
  <c r="P39" i="8" s="1"/>
  <c r="G43" i="8"/>
  <c r="N43" i="8" s="1"/>
  <c r="AJ43" i="8" s="1"/>
  <c r="AK43" i="8" s="1"/>
  <c r="AL43" i="8" s="1"/>
  <c r="H48" i="8"/>
  <c r="R48" i="8" s="1"/>
  <c r="AJ48" i="8" s="1"/>
  <c r="AK48" i="8" s="1"/>
  <c r="AL48" i="8" s="1"/>
  <c r="H45" i="8"/>
  <c r="R45" i="8" s="1"/>
  <c r="P45" i="8" s="1"/>
  <c r="H46" i="8"/>
  <c r="R46" i="8" s="1"/>
  <c r="AJ46" i="8" s="1"/>
  <c r="AK46" i="8" s="1"/>
  <c r="AL46" i="8" s="1"/>
  <c r="G42" i="8"/>
  <c r="G36" i="8"/>
  <c r="R78" i="8"/>
  <c r="P78" i="8" s="1"/>
  <c r="R75" i="8" s="1"/>
  <c r="AJ75" i="8" s="1"/>
  <c r="AK75" i="8" s="1"/>
  <c r="AL75" i="8" s="1"/>
  <c r="R80" i="8"/>
  <c r="AJ80" i="8" s="1"/>
  <c r="AK80" i="8" s="1"/>
  <c r="AL80" i="8" s="1"/>
  <c r="R63" i="14"/>
  <c r="AJ63" i="14" s="1"/>
  <c r="AK63" i="14" s="1"/>
  <c r="AL63" i="14" s="1"/>
  <c r="R27" i="8"/>
  <c r="AJ27" i="8" s="1"/>
  <c r="AK27" i="8" s="1"/>
  <c r="AL27" i="8" s="1"/>
  <c r="R72" i="14"/>
  <c r="P72" i="14" s="1"/>
  <c r="N64" i="14" s="1"/>
  <c r="P64" i="14" s="1"/>
  <c r="N60" i="14" s="1"/>
  <c r="P60" i="14" s="1"/>
  <c r="N58" i="14" s="1"/>
  <c r="P58" i="14" s="1"/>
  <c r="AJ57" i="14" s="1"/>
  <c r="AK57" i="14" s="1"/>
  <c r="AL57" i="14" s="1"/>
  <c r="R19" i="8"/>
  <c r="AJ19" i="8" s="1"/>
  <c r="AK19" i="8" s="1"/>
  <c r="AL19" i="8" s="1"/>
  <c r="R87" i="8"/>
  <c r="AJ87" i="8" s="1"/>
  <c r="AK87" i="8" s="1"/>
  <c r="AL87" i="8" s="1"/>
  <c r="R86" i="8"/>
  <c r="P86" i="8" s="1"/>
  <c r="N78" i="8" s="1"/>
  <c r="AJ78" i="8" s="1"/>
  <c r="AK78" i="8" s="1"/>
  <c r="AL78" i="8" s="1"/>
  <c r="R61" i="14"/>
  <c r="AJ61" i="14" s="1"/>
  <c r="AK61" i="14" s="1"/>
  <c r="AL61" i="14" s="1"/>
  <c r="N61" i="14"/>
  <c r="P61" i="14" s="1"/>
  <c r="R60" i="14" s="1"/>
  <c r="AJ60" i="14" s="1"/>
  <c r="AK60" i="14" s="1"/>
  <c r="AL60" i="14" s="1"/>
  <c r="R71" i="14"/>
  <c r="AJ71" i="14" s="1"/>
  <c r="AK71" i="14" s="1"/>
  <c r="AL71" i="14" s="1"/>
  <c r="R18" i="8"/>
  <c r="P18" i="8" s="1"/>
  <c r="R17" i="8" s="1"/>
  <c r="P17" i="8" s="1"/>
  <c r="N15" i="8" s="1"/>
  <c r="P15" i="8" s="1"/>
  <c r="AJ14" i="8" s="1"/>
  <c r="AK14" i="8" s="1"/>
  <c r="AL14" i="8" s="1"/>
  <c r="R79" i="8"/>
  <c r="AJ79" i="8" s="1"/>
  <c r="AK79" i="8" s="1"/>
  <c r="AL79" i="8" s="1"/>
  <c r="R29" i="8"/>
  <c r="AJ29" i="8" s="1"/>
  <c r="AK29" i="8" s="1"/>
  <c r="AL29" i="8" s="1"/>
  <c r="R28" i="8"/>
  <c r="AJ28" i="8" s="1"/>
  <c r="AK28" i="8" s="1"/>
  <c r="AL28" i="8" s="1"/>
  <c r="N20" i="8"/>
  <c r="P20" i="8" s="1"/>
  <c r="N16" i="8" s="1"/>
  <c r="AJ16" i="8" s="1"/>
  <c r="AK16" i="8" s="1"/>
  <c r="AL16" i="8" s="1"/>
  <c r="R64" i="14"/>
  <c r="AJ64" i="14" s="1"/>
  <c r="AK64" i="14" s="1"/>
  <c r="AL64" i="14" s="1"/>
  <c r="N25" i="14"/>
  <c r="AJ25" i="14" s="1"/>
  <c r="AK25" i="14" s="1"/>
  <c r="AL25" i="14" s="1"/>
  <c r="R141" i="14"/>
  <c r="P141" i="14" s="1"/>
  <c r="R138" i="14" s="1"/>
  <c r="P138" i="14" s="1"/>
  <c r="R137" i="14" s="1"/>
  <c r="P137" i="14" s="1"/>
  <c r="AJ136" i="14" s="1"/>
  <c r="AK136" i="14" s="1"/>
  <c r="AL136" i="14" s="1"/>
  <c r="R88" i="8"/>
  <c r="P88" i="8" s="1"/>
  <c r="N80" i="8" s="1"/>
  <c r="P80" i="8" s="1"/>
  <c r="N76" i="8" s="1"/>
  <c r="P76" i="8" s="1"/>
  <c r="N74" i="8" s="1"/>
  <c r="AJ74" i="8" s="1"/>
  <c r="AK74" i="8" s="1"/>
  <c r="AL74" i="8" s="1"/>
  <c r="X170" i="14"/>
  <c r="R9" i="8"/>
  <c r="AJ9" i="8" s="1"/>
  <c r="AK9" i="8" s="1"/>
  <c r="AL9" i="8" s="1"/>
  <c r="X66" i="14"/>
  <c r="R4" i="8"/>
  <c r="P4" i="8" s="1"/>
  <c r="R3" i="8" s="1"/>
  <c r="AJ3" i="8" s="1"/>
  <c r="AK3" i="8" s="1"/>
  <c r="AL3" i="8" s="1"/>
  <c r="N119" i="14"/>
  <c r="P119" i="14" s="1"/>
  <c r="R118" i="14" s="1"/>
  <c r="AJ118" i="14" s="1"/>
  <c r="AK118" i="14" s="1"/>
  <c r="AL118" i="14" s="1"/>
  <c r="R26" i="14"/>
  <c r="P26" i="14" s="1"/>
  <c r="N22" i="14" s="1"/>
  <c r="P22" i="14" s="1"/>
  <c r="R21" i="14" s="1"/>
  <c r="AJ21" i="14" s="1"/>
  <c r="AK21" i="14" s="1"/>
  <c r="AL21" i="14" s="1"/>
  <c r="R128" i="14"/>
  <c r="AJ128" i="14" s="1"/>
  <c r="AK128" i="14" s="1"/>
  <c r="AL128" i="14" s="1"/>
  <c r="N140" i="14"/>
  <c r="P140" i="14" s="1"/>
  <c r="R139" i="14" s="1"/>
  <c r="AJ139" i="14" s="1"/>
  <c r="AK139" i="14" s="1"/>
  <c r="AL139" i="14" s="1"/>
  <c r="R27" i="14"/>
  <c r="P27" i="14" s="1"/>
  <c r="N23" i="14" s="1"/>
  <c r="R25" i="14"/>
  <c r="P25" i="14" s="1"/>
  <c r="R22" i="14" s="1"/>
  <c r="AJ22" i="14" s="1"/>
  <c r="AK22" i="14" s="1"/>
  <c r="AL22" i="14" s="1"/>
  <c r="N26" i="14"/>
  <c r="R8" i="8"/>
  <c r="AJ8" i="8" s="1"/>
  <c r="AK8" i="8" s="1"/>
  <c r="AL8" i="8" s="1"/>
  <c r="N143" i="14"/>
  <c r="P143" i="14" s="1"/>
  <c r="N139" i="14" s="1"/>
  <c r="R142" i="14"/>
  <c r="AJ142" i="14" s="1"/>
  <c r="AK142" i="14" s="1"/>
  <c r="AL142" i="14" s="1"/>
  <c r="R24" i="14"/>
  <c r="P24" i="14" s="1"/>
  <c r="R23" i="14" s="1"/>
  <c r="AJ23" i="14" s="1"/>
  <c r="AK23" i="14" s="1"/>
  <c r="AL23" i="14" s="1"/>
  <c r="N142" i="14"/>
  <c r="P142" i="14" s="1"/>
  <c r="N138" i="14" s="1"/>
  <c r="N141" i="14"/>
  <c r="AJ141" i="14" s="1"/>
  <c r="AK141" i="14" s="1"/>
  <c r="AL141" i="14" s="1"/>
  <c r="X82" i="9"/>
  <c r="P82" i="9"/>
  <c r="N24" i="14"/>
  <c r="R140" i="14"/>
  <c r="AJ140" i="14" s="1"/>
  <c r="AK140" i="14" s="1"/>
  <c r="AL140" i="14" s="1"/>
  <c r="R121" i="14"/>
  <c r="AJ121" i="14" s="1"/>
  <c r="AK121" i="14" s="1"/>
  <c r="AL121" i="14" s="1"/>
  <c r="N27" i="14"/>
  <c r="AJ27" i="14" s="1"/>
  <c r="AK27" i="14" s="1"/>
  <c r="AL27" i="14" s="1"/>
  <c r="X69" i="9"/>
  <c r="P69" i="9"/>
  <c r="R129" i="14"/>
  <c r="AJ129" i="14" s="1"/>
  <c r="AK129" i="14" s="1"/>
  <c r="AL129" i="14" s="1"/>
  <c r="R118" i="8"/>
  <c r="P118" i="8" s="1"/>
  <c r="R143" i="14"/>
  <c r="R130" i="14"/>
  <c r="AJ130" i="14" s="1"/>
  <c r="AK130" i="14" s="1"/>
  <c r="AL130" i="14" s="1"/>
  <c r="X132" i="14"/>
  <c r="X122" i="8"/>
  <c r="X11" i="8"/>
  <c r="X111" i="9"/>
  <c r="X93" i="14"/>
  <c r="X12" i="14"/>
  <c r="X32" i="8"/>
  <c r="X163" i="14"/>
  <c r="X99" i="9"/>
  <c r="X162" i="14"/>
  <c r="X29" i="14"/>
  <c r="X166" i="14"/>
  <c r="X110" i="9"/>
  <c r="X148" i="14"/>
  <c r="X167" i="14"/>
  <c r="X13" i="14"/>
  <c r="X73" i="9"/>
  <c r="X102" i="9"/>
  <c r="X146" i="14"/>
  <c r="X90" i="8"/>
  <c r="X90" i="9"/>
  <c r="X109" i="8"/>
  <c r="X104" i="9"/>
  <c r="X105" i="9"/>
  <c r="X147" i="14"/>
  <c r="X127" i="14"/>
  <c r="X17" i="14"/>
  <c r="X102" i="8"/>
  <c r="X165" i="14"/>
  <c r="X7" i="8"/>
  <c r="X81" i="8"/>
  <c r="P87" i="9"/>
  <c r="X87" i="9"/>
  <c r="AJ72" i="14"/>
  <c r="AK72" i="14" s="1"/>
  <c r="AL72" i="14" s="1"/>
  <c r="P106" i="9"/>
  <c r="X106" i="9"/>
  <c r="AJ16" i="14"/>
  <c r="AK16" i="14" s="1"/>
  <c r="AL16" i="14" s="1"/>
  <c r="X16" i="14"/>
  <c r="P84" i="8"/>
  <c r="R77" i="8" s="1"/>
  <c r="AJ77" i="8" s="1"/>
  <c r="AK77" i="8" s="1"/>
  <c r="AL77" i="8" s="1"/>
  <c r="X84" i="8"/>
  <c r="P85" i="8"/>
  <c r="N77" i="8" s="1"/>
  <c r="X85" i="8"/>
  <c r="X94" i="9"/>
  <c r="X145" i="14"/>
  <c r="P129" i="14"/>
  <c r="N121" i="14" s="1"/>
  <c r="X123" i="8"/>
  <c r="P104" i="8"/>
  <c r="X104" i="8"/>
  <c r="AJ96" i="9"/>
  <c r="AK96" i="9" s="1"/>
  <c r="AL96" i="9" s="1"/>
  <c r="X96" i="9"/>
  <c r="AJ89" i="9"/>
  <c r="AK89" i="9" s="1"/>
  <c r="AL89" i="9" s="1"/>
  <c r="X89" i="9"/>
  <c r="P10" i="14"/>
  <c r="X10" i="14"/>
  <c r="AJ68" i="14"/>
  <c r="AK68" i="14" s="1"/>
  <c r="AL68" i="14" s="1"/>
  <c r="X68" i="14"/>
  <c r="AJ25" i="8"/>
  <c r="AK25" i="8" s="1"/>
  <c r="AL25" i="8" s="1"/>
  <c r="X25" i="8"/>
  <c r="X133" i="14"/>
  <c r="X121" i="8"/>
  <c r="P87" i="8"/>
  <c r="N79" i="8" s="1"/>
  <c r="X30" i="14"/>
  <c r="AJ6" i="8"/>
  <c r="AK6" i="8" s="1"/>
  <c r="AL6" i="8" s="1"/>
  <c r="X6" i="8"/>
  <c r="X101" i="9"/>
  <c r="AJ77" i="9"/>
  <c r="AK77" i="9" s="1"/>
  <c r="AL77" i="9" s="1"/>
  <c r="X77" i="9"/>
  <c r="X67" i="9"/>
  <c r="AJ72" i="9"/>
  <c r="AK72" i="9" s="1"/>
  <c r="AL72" i="9" s="1"/>
  <c r="X72" i="9"/>
  <c r="P15" i="14"/>
  <c r="X15" i="14"/>
  <c r="AJ74" i="14"/>
  <c r="AK74" i="14" s="1"/>
  <c r="AL74" i="14" s="1"/>
  <c r="X74" i="14"/>
  <c r="P23" i="8"/>
  <c r="R20" i="8" s="1"/>
  <c r="X23" i="8"/>
  <c r="X131" i="14"/>
  <c r="P108" i="8"/>
  <c r="N100" i="8" s="1"/>
  <c r="AJ100" i="8" s="1"/>
  <c r="AK100" i="8" s="1"/>
  <c r="AL100" i="8" s="1"/>
  <c r="X108" i="8"/>
  <c r="X168" i="14"/>
  <c r="AJ75" i="9"/>
  <c r="AK75" i="9" s="1"/>
  <c r="AL75" i="9" s="1"/>
  <c r="X75" i="9"/>
  <c r="P8" i="8"/>
  <c r="N4" i="8" s="1"/>
  <c r="AJ108" i="9"/>
  <c r="AK108" i="9" s="1"/>
  <c r="AL108" i="9" s="1"/>
  <c r="X108" i="9"/>
  <c r="P103" i="9"/>
  <c r="X103" i="9"/>
  <c r="P11" i="14"/>
  <c r="X11" i="14"/>
  <c r="P70" i="14"/>
  <c r="N62" i="14" s="1"/>
  <c r="P62" i="14" s="1"/>
  <c r="R59" i="14" s="1"/>
  <c r="P59" i="14" s="1"/>
  <c r="R58" i="14" s="1"/>
  <c r="AJ58" i="14" s="1"/>
  <c r="AK58" i="14" s="1"/>
  <c r="AL58" i="14" s="1"/>
  <c r="X70" i="14"/>
  <c r="X151" i="14"/>
  <c r="P22" i="8"/>
  <c r="R21" i="8" s="1"/>
  <c r="P21" i="8" s="1"/>
  <c r="N17" i="8" s="1"/>
  <c r="X22" i="8"/>
  <c r="AJ24" i="8"/>
  <c r="AK24" i="8" s="1"/>
  <c r="AL24" i="8" s="1"/>
  <c r="X24" i="8"/>
  <c r="P29" i="8"/>
  <c r="N21" i="8" s="1"/>
  <c r="X91" i="9"/>
  <c r="AJ68" i="9"/>
  <c r="AK68" i="9" s="1"/>
  <c r="AL68" i="9" s="1"/>
  <c r="X68" i="9"/>
  <c r="P79" i="9"/>
  <c r="R52" i="9" s="1"/>
  <c r="X79" i="9"/>
  <c r="AJ65" i="14"/>
  <c r="AK65" i="14" s="1"/>
  <c r="AL65" i="14" s="1"/>
  <c r="X65" i="14"/>
  <c r="X144" i="14"/>
  <c r="P26" i="8"/>
  <c r="N18" i="8" s="1"/>
  <c r="X26" i="8"/>
  <c r="P123" i="14"/>
  <c r="R122" i="14" s="1"/>
  <c r="AJ122" i="14" s="1"/>
  <c r="AK122" i="14" s="1"/>
  <c r="AL122" i="14" s="1"/>
  <c r="X123" i="14"/>
  <c r="X70" i="8"/>
  <c r="AJ86" i="8"/>
  <c r="AK86" i="8" s="1"/>
  <c r="AL86" i="8" s="1"/>
  <c r="AJ14" i="14"/>
  <c r="AK14" i="14" s="1"/>
  <c r="AL14" i="14" s="1"/>
  <c r="X14" i="14"/>
  <c r="AJ73" i="14"/>
  <c r="AK73" i="14" s="1"/>
  <c r="AL73" i="14" s="1"/>
  <c r="X73" i="14"/>
  <c r="X95" i="9"/>
  <c r="P27" i="8"/>
  <c r="N19" i="8" s="1"/>
  <c r="P128" i="14"/>
  <c r="N120" i="14" s="1"/>
  <c r="P107" i="9"/>
  <c r="X107" i="9"/>
  <c r="P9" i="8"/>
  <c r="N5" i="8" s="1"/>
  <c r="P5" i="8" s="1"/>
  <c r="N3" i="8" s="1"/>
  <c r="X66" i="9"/>
  <c r="AJ81" i="9"/>
  <c r="AK81" i="9" s="1"/>
  <c r="AL81" i="9" s="1"/>
  <c r="X81" i="9"/>
  <c r="P67" i="14"/>
  <c r="R62" i="14" s="1"/>
  <c r="X67" i="14"/>
  <c r="P125" i="14"/>
  <c r="R120" i="14" s="1"/>
  <c r="AJ120" i="14" s="1"/>
  <c r="AK120" i="14" s="1"/>
  <c r="AL120" i="14" s="1"/>
  <c r="X125" i="14"/>
  <c r="P107" i="8"/>
  <c r="X107" i="8"/>
  <c r="X82" i="8"/>
  <c r="AJ88" i="8"/>
  <c r="AK88" i="8" s="1"/>
  <c r="AL88" i="8" s="1"/>
  <c r="AJ80" i="9"/>
  <c r="AK80" i="9" s="1"/>
  <c r="AL80" i="9" s="1"/>
  <c r="X80" i="9"/>
  <c r="X35" i="14"/>
  <c r="AJ92" i="9"/>
  <c r="AK92" i="9" s="1"/>
  <c r="AL92" i="9" s="1"/>
  <c r="X92" i="9"/>
  <c r="X85" i="9"/>
  <c r="P126" i="14"/>
  <c r="R119" i="14" s="1"/>
  <c r="X126" i="14"/>
  <c r="X103" i="8"/>
  <c r="P76" i="9"/>
  <c r="X76" i="9"/>
  <c r="AJ78" i="9"/>
  <c r="AK78" i="9" s="1"/>
  <c r="AL78" i="9" s="1"/>
  <c r="X78" i="9"/>
  <c r="P88" i="9"/>
  <c r="X88" i="9"/>
  <c r="X69" i="14"/>
  <c r="X10" i="8"/>
  <c r="X71" i="9"/>
  <c r="P83" i="9"/>
  <c r="X83" i="9"/>
  <c r="X100" i="9"/>
  <c r="X150" i="14"/>
  <c r="P105" i="8"/>
  <c r="X105" i="8"/>
  <c r="X89" i="8"/>
  <c r="X164" i="14"/>
  <c r="AJ70" i="9"/>
  <c r="AK70" i="9" s="1"/>
  <c r="AL70" i="9" s="1"/>
  <c r="X70" i="9"/>
  <c r="X28" i="14"/>
  <c r="P98" i="9"/>
  <c r="X98" i="9"/>
  <c r="P74" i="9"/>
  <c r="X74" i="9"/>
  <c r="P97" i="9"/>
  <c r="X97" i="9"/>
  <c r="X30" i="8"/>
  <c r="P130" i="14"/>
  <c r="N122" i="14" s="1"/>
  <c r="AJ83" i="8"/>
  <c r="AK83" i="8" s="1"/>
  <c r="AL83" i="8" s="1"/>
  <c r="X83" i="8"/>
  <c r="P84" i="9"/>
  <c r="X84" i="9"/>
  <c r="X31" i="14"/>
  <c r="X32" i="14"/>
  <c r="P93" i="9"/>
  <c r="X93" i="9"/>
  <c r="X34" i="14"/>
  <c r="X33" i="14"/>
  <c r="P86" i="9"/>
  <c r="X86" i="9"/>
  <c r="P109" i="9"/>
  <c r="X109" i="9"/>
  <c r="P71" i="14"/>
  <c r="N63" i="14" s="1"/>
  <c r="X149" i="14"/>
  <c r="X31" i="8"/>
  <c r="X124" i="14"/>
  <c r="X120" i="8"/>
  <c r="X106" i="8"/>
  <c r="X91" i="8"/>
  <c r="R103" i="16" l="1"/>
  <c r="X152" i="16"/>
  <c r="X119" i="16"/>
  <c r="N142" i="16"/>
  <c r="X142" i="16" s="1"/>
  <c r="N140" i="16"/>
  <c r="X140" i="16" s="1"/>
  <c r="R141" i="16"/>
  <c r="P141" i="16" s="1"/>
  <c r="R138" i="16" s="1"/>
  <c r="P138" i="16" s="1"/>
  <c r="R137" i="16" s="1"/>
  <c r="P137" i="16" s="1"/>
  <c r="AJ136" i="16" s="1"/>
  <c r="AK136" i="16" s="1"/>
  <c r="AL136" i="16" s="1"/>
  <c r="R143" i="16"/>
  <c r="AJ143" i="16" s="1"/>
  <c r="AK143" i="16" s="1"/>
  <c r="AL143" i="16" s="1"/>
  <c r="AJ142" i="16"/>
  <c r="AK142" i="16" s="1"/>
  <c r="AL142" i="16" s="1"/>
  <c r="X147" i="16"/>
  <c r="X145" i="16"/>
  <c r="X148" i="16"/>
  <c r="X150" i="16"/>
  <c r="X139" i="16"/>
  <c r="N138" i="16"/>
  <c r="X144" i="16"/>
  <c r="X146" i="16"/>
  <c r="X151" i="16"/>
  <c r="R131" i="16"/>
  <c r="AJ131" i="16" s="1"/>
  <c r="AK131" i="16" s="1"/>
  <c r="AL131" i="16" s="1"/>
  <c r="X149" i="16"/>
  <c r="X130" i="16"/>
  <c r="X129" i="16"/>
  <c r="N103" i="16"/>
  <c r="X118" i="16"/>
  <c r="X133" i="16"/>
  <c r="R117" i="16"/>
  <c r="AJ117" i="16" s="1"/>
  <c r="AK117" i="16" s="1"/>
  <c r="AL117" i="16" s="1"/>
  <c r="R122" i="16"/>
  <c r="AJ122" i="16" s="1"/>
  <c r="AK122" i="16" s="1"/>
  <c r="AL122" i="16" s="1"/>
  <c r="X121" i="16"/>
  <c r="X126" i="16"/>
  <c r="X128" i="16"/>
  <c r="X127" i="16"/>
  <c r="X132" i="16"/>
  <c r="X124" i="16"/>
  <c r="X120" i="16"/>
  <c r="X123" i="16"/>
  <c r="X125" i="16"/>
  <c r="R100" i="16"/>
  <c r="AJ100" i="16" s="1"/>
  <c r="AK100" i="16" s="1"/>
  <c r="AL100" i="16" s="1"/>
  <c r="R102" i="16"/>
  <c r="X102" i="16" s="1"/>
  <c r="X113" i="16"/>
  <c r="AJ112" i="16"/>
  <c r="AK112" i="16" s="1"/>
  <c r="AL112" i="16" s="1"/>
  <c r="R112" i="16"/>
  <c r="AJ110" i="16"/>
  <c r="AK110" i="16" s="1"/>
  <c r="AL110" i="16" s="1"/>
  <c r="R110" i="16"/>
  <c r="X110" i="16" s="1"/>
  <c r="R85" i="16"/>
  <c r="P85" i="16" s="1"/>
  <c r="N81" i="16" s="1"/>
  <c r="R109" i="16"/>
  <c r="X109" i="16" s="1"/>
  <c r="AK52" i="16"/>
  <c r="AL52" i="16" s="1"/>
  <c r="AK55" i="16"/>
  <c r="AL55" i="16" s="1"/>
  <c r="AK48" i="16"/>
  <c r="AL48" i="16" s="1"/>
  <c r="R108" i="16"/>
  <c r="X108" i="16" s="1"/>
  <c r="R107" i="16"/>
  <c r="X107" i="16" s="1"/>
  <c r="R101" i="16"/>
  <c r="X104" i="16"/>
  <c r="X106" i="16"/>
  <c r="X98" i="16"/>
  <c r="X105" i="16"/>
  <c r="N83" i="16"/>
  <c r="AJ88" i="16"/>
  <c r="AK88" i="16" s="1"/>
  <c r="AL88" i="16" s="1"/>
  <c r="P88" i="16"/>
  <c r="R83" i="16" s="1"/>
  <c r="AJ83" i="16" s="1"/>
  <c r="AK83" i="16" s="1"/>
  <c r="AL83" i="16" s="1"/>
  <c r="AJ90" i="16"/>
  <c r="AK90" i="16" s="1"/>
  <c r="AL90" i="16" s="1"/>
  <c r="P90" i="16"/>
  <c r="N82" i="16" s="1"/>
  <c r="N84" i="16"/>
  <c r="R84" i="16"/>
  <c r="N85" i="16"/>
  <c r="AJ85" i="16" s="1"/>
  <c r="AK85" i="16" s="1"/>
  <c r="AL85" i="16" s="1"/>
  <c r="P73" i="16"/>
  <c r="N65" i="16" s="1"/>
  <c r="AJ73" i="16"/>
  <c r="AK73" i="16" s="1"/>
  <c r="AL73" i="16" s="1"/>
  <c r="AJ72" i="16"/>
  <c r="AK72" i="16" s="1"/>
  <c r="AL72" i="16" s="1"/>
  <c r="P72" i="16"/>
  <c r="N64" i="16" s="1"/>
  <c r="X93" i="16"/>
  <c r="R82" i="16"/>
  <c r="AJ63" i="16"/>
  <c r="AK63" i="16" s="1"/>
  <c r="AL63" i="16" s="1"/>
  <c r="X63" i="16"/>
  <c r="P69" i="16"/>
  <c r="R62" i="16" s="1"/>
  <c r="R86" i="16"/>
  <c r="X86" i="16" s="1"/>
  <c r="X88" i="16"/>
  <c r="X90" i="16"/>
  <c r="X87" i="16"/>
  <c r="X91" i="16"/>
  <c r="X92" i="16"/>
  <c r="X89" i="16"/>
  <c r="X72" i="16"/>
  <c r="X73" i="16"/>
  <c r="N45" i="16"/>
  <c r="P45" i="16" s="1"/>
  <c r="N41" i="16" s="1"/>
  <c r="AJ41" i="16" s="1"/>
  <c r="R44" i="16"/>
  <c r="P44" i="16" s="1"/>
  <c r="N40" i="16" s="1"/>
  <c r="X55" i="16"/>
  <c r="AJ54" i="16"/>
  <c r="R54" i="16"/>
  <c r="P25" i="16"/>
  <c r="AJ25" i="16"/>
  <c r="AK25" i="16" s="1"/>
  <c r="AL25" i="16" s="1"/>
  <c r="R52" i="16"/>
  <c r="X52" i="16" s="1"/>
  <c r="AJ51" i="16"/>
  <c r="R51" i="16"/>
  <c r="R57" i="15"/>
  <c r="AJ57" i="15" s="1"/>
  <c r="AK57" i="15" s="1"/>
  <c r="AL57" i="15" s="1"/>
  <c r="AJ82" i="15"/>
  <c r="AK82" i="15" s="1"/>
  <c r="AL82" i="15" s="1"/>
  <c r="AJ83" i="15"/>
  <c r="AK83" i="15" s="1"/>
  <c r="AL83" i="15" s="1"/>
  <c r="AJ87" i="15"/>
  <c r="AK87" i="15" s="1"/>
  <c r="AL87" i="15" s="1"/>
  <c r="AJ86" i="15"/>
  <c r="AK86" i="15" s="1"/>
  <c r="AL86" i="15" s="1"/>
  <c r="R43" i="15"/>
  <c r="P43" i="15" s="1"/>
  <c r="R24" i="15" s="1"/>
  <c r="P24" i="15" s="1"/>
  <c r="R11" i="15" s="1"/>
  <c r="P11" i="15" s="1"/>
  <c r="R8" i="15" s="1"/>
  <c r="AJ8" i="15" s="1"/>
  <c r="AK8" i="15" s="1"/>
  <c r="AL8" i="15" s="1"/>
  <c r="AJ93" i="15"/>
  <c r="AK93" i="15" s="1"/>
  <c r="AL93" i="15" s="1"/>
  <c r="AJ97" i="15"/>
  <c r="AK97" i="15" s="1"/>
  <c r="AL97" i="15" s="1"/>
  <c r="N42" i="15"/>
  <c r="P42" i="15" s="1"/>
  <c r="R25" i="15" s="1"/>
  <c r="AJ25" i="15" s="1"/>
  <c r="AK25" i="15" s="1"/>
  <c r="AL25" i="15" s="1"/>
  <c r="X25" i="16"/>
  <c r="P92" i="15"/>
  <c r="R39" i="15" s="1"/>
  <c r="P39" i="15" s="1"/>
  <c r="R28" i="15" s="1"/>
  <c r="P28" i="15" s="1"/>
  <c r="N12" i="15" s="1"/>
  <c r="P12" i="15" s="1"/>
  <c r="R7" i="15" s="1"/>
  <c r="P7" i="15" s="1"/>
  <c r="R4" i="15" s="1"/>
  <c r="AJ4" i="15" s="1"/>
  <c r="AK4" i="15" s="1"/>
  <c r="AL4" i="15" s="1"/>
  <c r="P24" i="16"/>
  <c r="R23" i="16" s="1"/>
  <c r="AJ23" i="16" s="1"/>
  <c r="AK23" i="16" s="1"/>
  <c r="AL23" i="16" s="1"/>
  <c r="AJ24" i="16"/>
  <c r="AK24" i="16" s="1"/>
  <c r="AL24" i="16" s="1"/>
  <c r="AJ95" i="15"/>
  <c r="AK95" i="15" s="1"/>
  <c r="AL95" i="15" s="1"/>
  <c r="N38" i="15"/>
  <c r="P38" i="15" s="1"/>
  <c r="R29" i="15" s="1"/>
  <c r="AJ29" i="15" s="1"/>
  <c r="AK29" i="15" s="1"/>
  <c r="AL29" i="15" s="1"/>
  <c r="AJ99" i="15"/>
  <c r="AK99" i="15" s="1"/>
  <c r="AL99" i="15" s="1"/>
  <c r="P27" i="16"/>
  <c r="N23" i="16" s="1"/>
  <c r="P23" i="16" s="1"/>
  <c r="N21" i="16" s="1"/>
  <c r="AJ27" i="16"/>
  <c r="AK27" i="16" s="1"/>
  <c r="AL27" i="16" s="1"/>
  <c r="P50" i="16"/>
  <c r="N42" i="16" s="1"/>
  <c r="P42" i="16" s="1"/>
  <c r="R50" i="16"/>
  <c r="P49" i="16"/>
  <c r="R42" i="16" s="1"/>
  <c r="AJ42" i="16" s="1"/>
  <c r="R49" i="16"/>
  <c r="X26" i="16"/>
  <c r="X24" i="16"/>
  <c r="R48" i="16"/>
  <c r="X48" i="16" s="1"/>
  <c r="AJ46" i="16"/>
  <c r="R46" i="16"/>
  <c r="R47" i="16"/>
  <c r="X47" i="16" s="1"/>
  <c r="AJ10" i="16"/>
  <c r="AK10" i="16" s="1"/>
  <c r="AL10" i="16" s="1"/>
  <c r="P10" i="16"/>
  <c r="R9" i="16" s="1"/>
  <c r="AJ15" i="16"/>
  <c r="AK15" i="16" s="1"/>
  <c r="AL15" i="16" s="1"/>
  <c r="P15" i="16"/>
  <c r="N7" i="16" s="1"/>
  <c r="AJ84" i="15"/>
  <c r="AK84" i="15" s="1"/>
  <c r="AL84" i="15" s="1"/>
  <c r="R37" i="15"/>
  <c r="AJ37" i="15" s="1"/>
  <c r="AK37" i="15" s="1"/>
  <c r="AL37" i="15" s="1"/>
  <c r="AJ98" i="15"/>
  <c r="AK98" i="15" s="1"/>
  <c r="AL98" i="15" s="1"/>
  <c r="N37" i="15"/>
  <c r="P37" i="15" s="1"/>
  <c r="R30" i="15" s="1"/>
  <c r="P30" i="15" s="1"/>
  <c r="N14" i="15" s="1"/>
  <c r="AJ14" i="15" s="1"/>
  <c r="AK14" i="15" s="1"/>
  <c r="AL14" i="15" s="1"/>
  <c r="AJ103" i="15"/>
  <c r="AK103" i="15" s="1"/>
  <c r="AL103" i="15" s="1"/>
  <c r="AJ107" i="15"/>
  <c r="AK107" i="15" s="1"/>
  <c r="AL107" i="15" s="1"/>
  <c r="AJ111" i="15"/>
  <c r="AK111" i="15" s="1"/>
  <c r="AL111" i="15" s="1"/>
  <c r="N49" i="15"/>
  <c r="P49" i="15" s="1"/>
  <c r="R18" i="15" s="1"/>
  <c r="P18" i="15" s="1"/>
  <c r="R17" i="15" s="1"/>
  <c r="P17" i="15" s="1"/>
  <c r="N9" i="15" s="1"/>
  <c r="P9" i="15" s="1"/>
  <c r="N5" i="15" s="1"/>
  <c r="AJ5" i="15" s="1"/>
  <c r="AK5" i="15" s="1"/>
  <c r="AL5" i="15" s="1"/>
  <c r="N50" i="15"/>
  <c r="AJ50" i="15" s="1"/>
  <c r="AK50" i="15" s="1"/>
  <c r="AL50" i="15" s="1"/>
  <c r="N63" i="15"/>
  <c r="AJ63" i="15" s="1"/>
  <c r="AK63" i="15" s="1"/>
  <c r="AL63" i="15" s="1"/>
  <c r="N45" i="15"/>
  <c r="P45" i="15" s="1"/>
  <c r="R22" i="15" s="1"/>
  <c r="P22" i="15" s="1"/>
  <c r="R13" i="15" s="1"/>
  <c r="AJ13" i="15" s="1"/>
  <c r="AK13" i="15" s="1"/>
  <c r="AL13" i="15" s="1"/>
  <c r="N46" i="15"/>
  <c r="AJ46" i="15" s="1"/>
  <c r="AK46" i="15" s="1"/>
  <c r="AL46" i="15" s="1"/>
  <c r="N52" i="15"/>
  <c r="AJ52" i="15" s="1"/>
  <c r="AK52" i="15" s="1"/>
  <c r="AL52" i="15" s="1"/>
  <c r="N55" i="15"/>
  <c r="AJ55" i="15" s="1"/>
  <c r="AK55" i="15" s="1"/>
  <c r="AL55" i="15" s="1"/>
  <c r="N40" i="15"/>
  <c r="AJ40" i="15" s="1"/>
  <c r="AK40" i="15" s="1"/>
  <c r="AL40" i="15" s="1"/>
  <c r="N51" i="15"/>
  <c r="P51" i="15" s="1"/>
  <c r="N19" i="15" s="1"/>
  <c r="P19" i="15" s="1"/>
  <c r="R16" i="15" s="1"/>
  <c r="P16" i="15" s="1"/>
  <c r="N8" i="15" s="1"/>
  <c r="P8" i="15" s="1"/>
  <c r="N4" i="15" s="1"/>
  <c r="P4" i="15" s="1"/>
  <c r="R3" i="15" s="1"/>
  <c r="P3" i="15" s="1"/>
  <c r="AJ2" i="15" s="1"/>
  <c r="AK2" i="15" s="1"/>
  <c r="AL2" i="15" s="1"/>
  <c r="N61" i="15"/>
  <c r="P61" i="15" s="1"/>
  <c r="N29" i="15" s="1"/>
  <c r="P29" i="15" s="1"/>
  <c r="N13" i="15" s="1"/>
  <c r="P13" i="15" s="1"/>
  <c r="R6" i="15" s="1"/>
  <c r="AJ6" i="15" s="1"/>
  <c r="AK6" i="15" s="1"/>
  <c r="AL6" i="15" s="1"/>
  <c r="N65" i="15"/>
  <c r="P65" i="15" s="1"/>
  <c r="N33" i="15" s="1"/>
  <c r="P33" i="15" s="1"/>
  <c r="N17" i="15" s="1"/>
  <c r="AJ17" i="15" s="1"/>
  <c r="AK17" i="15" s="1"/>
  <c r="AL17" i="15" s="1"/>
  <c r="R6" i="16"/>
  <c r="X27" i="16"/>
  <c r="N56" i="15"/>
  <c r="AJ56" i="15" s="1"/>
  <c r="AK56" i="15" s="1"/>
  <c r="AL56" i="15" s="1"/>
  <c r="N9" i="16"/>
  <c r="P9" i="16" s="1"/>
  <c r="N5" i="16" s="1"/>
  <c r="P14" i="16"/>
  <c r="N6" i="16" s="1"/>
  <c r="AJ14" i="16"/>
  <c r="AK14" i="16" s="1"/>
  <c r="AL14" i="16" s="1"/>
  <c r="AJ11" i="16"/>
  <c r="AK11" i="16" s="1"/>
  <c r="AL11" i="16" s="1"/>
  <c r="P11" i="16"/>
  <c r="R8" i="16" s="1"/>
  <c r="P8" i="16" s="1"/>
  <c r="N4" i="16" s="1"/>
  <c r="P4" i="16" s="1"/>
  <c r="R3" i="16" s="1"/>
  <c r="P3" i="16" s="1"/>
  <c r="AJ2" i="16" s="1"/>
  <c r="AK2" i="16" s="1"/>
  <c r="AL2" i="16" s="1"/>
  <c r="R112" i="15"/>
  <c r="R129" i="15"/>
  <c r="R127" i="15"/>
  <c r="R122" i="15"/>
  <c r="R120" i="15"/>
  <c r="R77" i="15"/>
  <c r="R73" i="15"/>
  <c r="R72" i="15"/>
  <c r="P72" i="15" s="1"/>
  <c r="R59" i="15" s="1"/>
  <c r="AJ59" i="15" s="1"/>
  <c r="AK59" i="15" s="1"/>
  <c r="AL59" i="15" s="1"/>
  <c r="N60" i="15"/>
  <c r="P60" i="15" s="1"/>
  <c r="N28" i="15" s="1"/>
  <c r="AJ28" i="15" s="1"/>
  <c r="AK28" i="15" s="1"/>
  <c r="AL28" i="15" s="1"/>
  <c r="N53" i="15"/>
  <c r="P53" i="15" s="1"/>
  <c r="N21" i="15" s="1"/>
  <c r="P21" i="15" s="1"/>
  <c r="R14" i="15" s="1"/>
  <c r="P14" i="15" s="1"/>
  <c r="N6" i="15" s="1"/>
  <c r="P6" i="15" s="1"/>
  <c r="R5" i="15" s="1"/>
  <c r="P5" i="15" s="1"/>
  <c r="N3" i="15" s="1"/>
  <c r="AJ3" i="15" s="1"/>
  <c r="AK3" i="15" s="1"/>
  <c r="AL3" i="15" s="1"/>
  <c r="AJ85" i="15"/>
  <c r="AK85" i="15" s="1"/>
  <c r="AL85" i="15" s="1"/>
  <c r="N62" i="15"/>
  <c r="AJ62" i="15" s="1"/>
  <c r="AK62" i="15" s="1"/>
  <c r="AL62" i="15" s="1"/>
  <c r="R70" i="15"/>
  <c r="P70" i="15" s="1"/>
  <c r="R61" i="15" s="1"/>
  <c r="AJ61" i="15" s="1"/>
  <c r="AK61" i="15" s="1"/>
  <c r="AL61" i="15" s="1"/>
  <c r="X13" i="16"/>
  <c r="R125" i="15"/>
  <c r="X10" i="16"/>
  <c r="R121" i="15"/>
  <c r="R74" i="15"/>
  <c r="R115" i="15"/>
  <c r="R119" i="15"/>
  <c r="R118" i="15"/>
  <c r="R76" i="15"/>
  <c r="R128" i="15"/>
  <c r="X11" i="16"/>
  <c r="X14" i="16"/>
  <c r="X16" i="16"/>
  <c r="N8" i="16"/>
  <c r="AJ8" i="16" s="1"/>
  <c r="AK8" i="16" s="1"/>
  <c r="AL8" i="16" s="1"/>
  <c r="P12" i="16"/>
  <c r="R7" i="16" s="1"/>
  <c r="X12" i="16"/>
  <c r="X17" i="16"/>
  <c r="X15" i="16"/>
  <c r="R117" i="15"/>
  <c r="R126" i="15"/>
  <c r="X135" i="15"/>
  <c r="AJ135" i="15"/>
  <c r="AK135" i="15" s="1"/>
  <c r="AL135" i="15" s="1"/>
  <c r="R123" i="15"/>
  <c r="R116" i="15"/>
  <c r="R113" i="15"/>
  <c r="R114" i="15"/>
  <c r="R71" i="15"/>
  <c r="AJ71" i="15" s="1"/>
  <c r="AK71" i="15" s="1"/>
  <c r="AL71" i="15" s="1"/>
  <c r="N71" i="15"/>
  <c r="P71" i="15" s="1"/>
  <c r="R60" i="15" s="1"/>
  <c r="AJ60" i="15" s="1"/>
  <c r="AK60" i="15" s="1"/>
  <c r="AL60" i="15" s="1"/>
  <c r="N70" i="15"/>
  <c r="AJ70" i="15" s="1"/>
  <c r="AK70" i="15" s="1"/>
  <c r="AL70" i="15" s="1"/>
  <c r="N67" i="15"/>
  <c r="P67" i="15" s="1"/>
  <c r="R64" i="15" s="1"/>
  <c r="AJ64" i="15" s="1"/>
  <c r="AK64" i="15" s="1"/>
  <c r="AL64" i="15" s="1"/>
  <c r="N69" i="15"/>
  <c r="AJ69" i="15" s="1"/>
  <c r="AK69" i="15" s="1"/>
  <c r="AL69" i="15" s="1"/>
  <c r="N68" i="15"/>
  <c r="P68" i="15" s="1"/>
  <c r="R63" i="15" s="1"/>
  <c r="P63" i="15" s="1"/>
  <c r="N31" i="15" s="1"/>
  <c r="AJ31" i="15" s="1"/>
  <c r="AK31" i="15" s="1"/>
  <c r="AL31" i="15" s="1"/>
  <c r="N72" i="15"/>
  <c r="AJ72" i="15" s="1"/>
  <c r="AK72" i="15" s="1"/>
  <c r="AL72" i="15" s="1"/>
  <c r="R214" i="14"/>
  <c r="AJ214" i="14" s="1"/>
  <c r="AK214" i="14" s="1"/>
  <c r="AL214" i="14" s="1"/>
  <c r="N214" i="14"/>
  <c r="P214" i="14" s="1"/>
  <c r="N212" i="14" s="1"/>
  <c r="P212" i="14" s="1"/>
  <c r="AJ211" i="14" s="1"/>
  <c r="AK211" i="14" s="1"/>
  <c r="AL211" i="14" s="1"/>
  <c r="R218" i="14"/>
  <c r="AJ218" i="14" s="1"/>
  <c r="AK218" i="14" s="1"/>
  <c r="AL218" i="14" s="1"/>
  <c r="X197" i="15"/>
  <c r="R216" i="14"/>
  <c r="R215" i="14"/>
  <c r="R217" i="14"/>
  <c r="X222" i="14"/>
  <c r="X200" i="15"/>
  <c r="R198" i="14"/>
  <c r="AJ198" i="14" s="1"/>
  <c r="AK198" i="14" s="1"/>
  <c r="AL198" i="14" s="1"/>
  <c r="R199" i="14"/>
  <c r="AJ199" i="14" s="1"/>
  <c r="AK199" i="14" s="1"/>
  <c r="AL199" i="14" s="1"/>
  <c r="N198" i="14"/>
  <c r="P198" i="14" s="1"/>
  <c r="R195" i="14" s="1"/>
  <c r="AJ195" i="14" s="1"/>
  <c r="AK195" i="14" s="1"/>
  <c r="AL195" i="14" s="1"/>
  <c r="N200" i="14"/>
  <c r="AJ200" i="14" s="1"/>
  <c r="AK200" i="14" s="1"/>
  <c r="AL200" i="14" s="1"/>
  <c r="R200" i="14"/>
  <c r="P200" i="14" s="1"/>
  <c r="N196" i="14" s="1"/>
  <c r="AJ196" i="14" s="1"/>
  <c r="AK196" i="14" s="1"/>
  <c r="AL196" i="14" s="1"/>
  <c r="X205" i="14"/>
  <c r="P205" i="14"/>
  <c r="N197" i="14" s="1"/>
  <c r="P197" i="14" s="1"/>
  <c r="R196" i="14" s="1"/>
  <c r="P196" i="14" s="1"/>
  <c r="N194" i="14" s="1"/>
  <c r="P194" i="14" s="1"/>
  <c r="AJ193" i="14" s="1"/>
  <c r="AK193" i="14" s="1"/>
  <c r="AL193" i="14" s="1"/>
  <c r="X221" i="14"/>
  <c r="X199" i="15"/>
  <c r="X195" i="15"/>
  <c r="X220" i="14"/>
  <c r="R197" i="14"/>
  <c r="AJ197" i="14" s="1"/>
  <c r="AK197" i="14" s="1"/>
  <c r="AL197" i="14" s="1"/>
  <c r="N199" i="14"/>
  <c r="P199" i="14" s="1"/>
  <c r="N195" i="14" s="1"/>
  <c r="P195" i="14" s="1"/>
  <c r="R194" i="14" s="1"/>
  <c r="AJ194" i="14" s="1"/>
  <c r="AK194" i="14" s="1"/>
  <c r="AL194" i="14" s="1"/>
  <c r="X219" i="14"/>
  <c r="X198" i="15"/>
  <c r="X196" i="15"/>
  <c r="N27" i="9"/>
  <c r="P27" i="9" s="1"/>
  <c r="N11" i="9" s="1"/>
  <c r="N194" i="15"/>
  <c r="N193" i="15"/>
  <c r="X208" i="14"/>
  <c r="X204" i="14"/>
  <c r="X201" i="14"/>
  <c r="R192" i="15"/>
  <c r="R191" i="15"/>
  <c r="X203" i="14"/>
  <c r="X207" i="14"/>
  <c r="R190" i="15"/>
  <c r="AK175" i="14"/>
  <c r="AL175" i="14" s="1"/>
  <c r="AK177" i="14"/>
  <c r="AL177" i="14" s="1"/>
  <c r="AK179" i="14"/>
  <c r="AL179" i="14" s="1"/>
  <c r="AK178" i="14"/>
  <c r="AL178" i="14" s="1"/>
  <c r="X188" i="15"/>
  <c r="X174" i="14"/>
  <c r="X189" i="15"/>
  <c r="X187" i="15"/>
  <c r="X206" i="14"/>
  <c r="X202" i="14"/>
  <c r="X186" i="15"/>
  <c r="X185" i="15"/>
  <c r="X162" i="15"/>
  <c r="R184" i="15"/>
  <c r="P180" i="14"/>
  <c r="N176" i="14" s="1"/>
  <c r="X175" i="14"/>
  <c r="AJ180" i="14"/>
  <c r="X179" i="14"/>
  <c r="X182" i="15"/>
  <c r="X183" i="15"/>
  <c r="X187" i="14"/>
  <c r="AJ187" i="14"/>
  <c r="X177" i="14"/>
  <c r="X180" i="14"/>
  <c r="X188" i="14"/>
  <c r="AJ188" i="14"/>
  <c r="X178" i="14"/>
  <c r="R181" i="15"/>
  <c r="R103" i="15"/>
  <c r="N180" i="15"/>
  <c r="R105" i="15"/>
  <c r="X105" i="15" s="1"/>
  <c r="R111" i="15"/>
  <c r="R84" i="15"/>
  <c r="R106" i="15"/>
  <c r="X106" i="15" s="1"/>
  <c r="R87" i="15"/>
  <c r="X164" i="15"/>
  <c r="R96" i="15"/>
  <c r="X96" i="15" s="1"/>
  <c r="R108" i="15"/>
  <c r="X108" i="15" s="1"/>
  <c r="R88" i="15"/>
  <c r="X88" i="15" s="1"/>
  <c r="X124" i="15"/>
  <c r="R82" i="15"/>
  <c r="R90" i="15"/>
  <c r="X90" i="15" s="1"/>
  <c r="R93" i="15"/>
  <c r="R89" i="15"/>
  <c r="X89" i="15" s="1"/>
  <c r="R110" i="15"/>
  <c r="X110" i="15" s="1"/>
  <c r="R101" i="15"/>
  <c r="X101" i="15" s="1"/>
  <c r="R80" i="15"/>
  <c r="X80" i="15" s="1"/>
  <c r="R97" i="15"/>
  <c r="X174" i="15"/>
  <c r="R104" i="15"/>
  <c r="X104" i="15" s="1"/>
  <c r="R100" i="15"/>
  <c r="X100" i="15" s="1"/>
  <c r="R92" i="15"/>
  <c r="R91" i="15"/>
  <c r="X91" i="15" s="1"/>
  <c r="R107" i="15"/>
  <c r="X149" i="15"/>
  <c r="X152" i="15"/>
  <c r="R83" i="15"/>
  <c r="R94" i="15"/>
  <c r="X94" i="15" s="1"/>
  <c r="R98" i="15"/>
  <c r="X134" i="15"/>
  <c r="X156" i="15"/>
  <c r="X132" i="15"/>
  <c r="X143" i="15"/>
  <c r="X170" i="15"/>
  <c r="X155" i="15"/>
  <c r="X166" i="15"/>
  <c r="X137" i="15"/>
  <c r="X151" i="15"/>
  <c r="X177" i="15"/>
  <c r="X131" i="15"/>
  <c r="X175" i="15"/>
  <c r="X148" i="15"/>
  <c r="X154" i="15"/>
  <c r="X139" i="15"/>
  <c r="X160" i="15"/>
  <c r="X133" i="15"/>
  <c r="X140" i="15"/>
  <c r="X163" i="15"/>
  <c r="X150" i="15"/>
  <c r="X142" i="15"/>
  <c r="X172" i="15"/>
  <c r="X158" i="15"/>
  <c r="R102" i="15"/>
  <c r="X102" i="15" s="1"/>
  <c r="X176" i="15"/>
  <c r="X179" i="15"/>
  <c r="X145" i="15"/>
  <c r="X171" i="15"/>
  <c r="X178" i="15"/>
  <c r="X159" i="15"/>
  <c r="X168" i="15"/>
  <c r="X138" i="15"/>
  <c r="R86" i="15"/>
  <c r="X147" i="15"/>
  <c r="X157" i="15"/>
  <c r="X165" i="15"/>
  <c r="X144" i="15"/>
  <c r="R99" i="15"/>
  <c r="R95" i="15"/>
  <c r="R81" i="15"/>
  <c r="X81" i="15" s="1"/>
  <c r="X169" i="15"/>
  <c r="X153" i="15"/>
  <c r="X146" i="15"/>
  <c r="X173" i="15"/>
  <c r="R109" i="15"/>
  <c r="X109" i="15" s="1"/>
  <c r="X141" i="15"/>
  <c r="R85" i="15"/>
  <c r="X161" i="15"/>
  <c r="X136" i="15"/>
  <c r="X130" i="15"/>
  <c r="X167" i="15"/>
  <c r="AK76" i="15"/>
  <c r="AL76" i="15" s="1"/>
  <c r="AK79" i="15"/>
  <c r="AL79" i="15" s="1"/>
  <c r="N43" i="9"/>
  <c r="AJ43" i="9" s="1"/>
  <c r="AK43" i="9" s="1"/>
  <c r="AL43" i="9" s="1"/>
  <c r="X155" i="14"/>
  <c r="R45" i="9"/>
  <c r="P45" i="9" s="1"/>
  <c r="R22" i="9" s="1"/>
  <c r="AJ22" i="9" s="1"/>
  <c r="AK22" i="9" s="1"/>
  <c r="AL22" i="9" s="1"/>
  <c r="X157" i="14"/>
  <c r="N19" i="9"/>
  <c r="AJ19" i="9" s="1"/>
  <c r="AK19" i="9" s="1"/>
  <c r="AL19" i="9" s="1"/>
  <c r="N31" i="9"/>
  <c r="P31" i="9" s="1"/>
  <c r="N15" i="9" s="1"/>
  <c r="N24" i="9"/>
  <c r="P24" i="9" s="1"/>
  <c r="R11" i="9" s="1"/>
  <c r="AJ11" i="9" s="1"/>
  <c r="AK11" i="9" s="1"/>
  <c r="AL11" i="9" s="1"/>
  <c r="R32" i="9"/>
  <c r="P32" i="9" s="1"/>
  <c r="N16" i="9" s="1"/>
  <c r="AJ16" i="9" s="1"/>
  <c r="AK16" i="9" s="1"/>
  <c r="AL16" i="9" s="1"/>
  <c r="R57" i="9"/>
  <c r="AJ57" i="9" s="1"/>
  <c r="AK57" i="9" s="1"/>
  <c r="AL57" i="9" s="1"/>
  <c r="R29" i="9"/>
  <c r="AJ29" i="9" s="1"/>
  <c r="AK29" i="9" s="1"/>
  <c r="AL29" i="9" s="1"/>
  <c r="R26" i="9"/>
  <c r="P26" i="9" s="1"/>
  <c r="N10" i="9" s="1"/>
  <c r="P10" i="9" s="1"/>
  <c r="R9" i="9" s="1"/>
  <c r="AJ9" i="9" s="1"/>
  <c r="AK9" i="9" s="1"/>
  <c r="AL9" i="9" s="1"/>
  <c r="R44" i="9"/>
  <c r="P44" i="9" s="1"/>
  <c r="R23" i="9" s="1"/>
  <c r="AJ23" i="9" s="1"/>
  <c r="AK23" i="9" s="1"/>
  <c r="AL23" i="9" s="1"/>
  <c r="R55" i="9"/>
  <c r="AJ55" i="9" s="1"/>
  <c r="AK55" i="9" s="1"/>
  <c r="AL55" i="9" s="1"/>
  <c r="R30" i="9"/>
  <c r="AJ30" i="9" s="1"/>
  <c r="AK30" i="9" s="1"/>
  <c r="AL30" i="9" s="1"/>
  <c r="N23" i="9"/>
  <c r="P23" i="9" s="1"/>
  <c r="R12" i="9" s="1"/>
  <c r="P12" i="9" s="1"/>
  <c r="R7" i="9" s="1"/>
  <c r="P7" i="9" s="1"/>
  <c r="R4" i="9" s="1"/>
  <c r="P4" i="9" s="1"/>
  <c r="R3" i="9" s="1"/>
  <c r="AJ3" i="9" s="1"/>
  <c r="AK3" i="9" s="1"/>
  <c r="AL3" i="9" s="1"/>
  <c r="R21" i="9"/>
  <c r="AJ21" i="9" s="1"/>
  <c r="AK21" i="9" s="1"/>
  <c r="AL21" i="9" s="1"/>
  <c r="R62" i="9"/>
  <c r="P62" i="9" s="1"/>
  <c r="N30" i="9" s="1"/>
  <c r="R38" i="9"/>
  <c r="AJ38" i="9" s="1"/>
  <c r="AK38" i="9" s="1"/>
  <c r="AL38" i="9" s="1"/>
  <c r="R48" i="9"/>
  <c r="AJ48" i="9" s="1"/>
  <c r="AK48" i="9" s="1"/>
  <c r="AL48" i="9" s="1"/>
  <c r="R31" i="9"/>
  <c r="AJ31" i="9" s="1"/>
  <c r="AK31" i="9" s="1"/>
  <c r="AL31" i="9" s="1"/>
  <c r="N21" i="9"/>
  <c r="P21" i="9" s="1"/>
  <c r="R14" i="9" s="1"/>
  <c r="AJ14" i="9" s="1"/>
  <c r="AK14" i="9" s="1"/>
  <c r="AL14" i="9" s="1"/>
  <c r="N29" i="9"/>
  <c r="P29" i="9" s="1"/>
  <c r="N13" i="9" s="1"/>
  <c r="P13" i="9" s="1"/>
  <c r="R6" i="9" s="1"/>
  <c r="P6" i="9" s="1"/>
  <c r="R5" i="9" s="1"/>
  <c r="P5" i="9" s="1"/>
  <c r="N3" i="9" s="1"/>
  <c r="N33" i="9"/>
  <c r="AJ33" i="9" s="1"/>
  <c r="AK33" i="9" s="1"/>
  <c r="AL33" i="9" s="1"/>
  <c r="R25" i="9"/>
  <c r="P25" i="9" s="1"/>
  <c r="R10" i="9" s="1"/>
  <c r="AJ10" i="9" s="1"/>
  <c r="AK10" i="9" s="1"/>
  <c r="AL10" i="9" s="1"/>
  <c r="R43" i="9"/>
  <c r="P43" i="9" s="1"/>
  <c r="R24" i="9" s="1"/>
  <c r="AJ24" i="9" s="1"/>
  <c r="AK24" i="9" s="1"/>
  <c r="AL24" i="9" s="1"/>
  <c r="R49" i="9"/>
  <c r="AJ49" i="9" s="1"/>
  <c r="AK49" i="9" s="1"/>
  <c r="AL49" i="9" s="1"/>
  <c r="N39" i="9"/>
  <c r="X39" i="9" s="1"/>
  <c r="X85" i="14"/>
  <c r="N81" i="14"/>
  <c r="R81" i="14"/>
  <c r="AJ81" i="14" s="1"/>
  <c r="AK81" i="14" s="1"/>
  <c r="AL81" i="14" s="1"/>
  <c r="X87" i="14"/>
  <c r="R44" i="14"/>
  <c r="AJ44" i="14" s="1"/>
  <c r="AK44" i="14" s="1"/>
  <c r="AL44" i="14" s="1"/>
  <c r="R83" i="14"/>
  <c r="P83" i="14" s="1"/>
  <c r="N79" i="14" s="1"/>
  <c r="AJ79" i="14" s="1"/>
  <c r="AK79" i="14" s="1"/>
  <c r="AL79" i="14" s="1"/>
  <c r="X52" i="14"/>
  <c r="X161" i="14"/>
  <c r="N45" i="9"/>
  <c r="AJ45" i="9" s="1"/>
  <c r="AK45" i="9" s="1"/>
  <c r="AL45" i="9" s="1"/>
  <c r="R45" i="14"/>
  <c r="AJ45" i="14" s="1"/>
  <c r="AK45" i="14" s="1"/>
  <c r="AL45" i="14" s="1"/>
  <c r="N43" i="14"/>
  <c r="AJ43" i="14" s="1"/>
  <c r="AK43" i="14" s="1"/>
  <c r="AL43" i="14" s="1"/>
  <c r="X169" i="14"/>
  <c r="AJ169" i="14"/>
  <c r="AK169" i="14" s="1"/>
  <c r="AL169" i="14" s="1"/>
  <c r="X48" i="14"/>
  <c r="X90" i="14"/>
  <c r="X51" i="14"/>
  <c r="R34" i="9"/>
  <c r="AJ34" i="9" s="1"/>
  <c r="AK34" i="9" s="1"/>
  <c r="AL34" i="9" s="1"/>
  <c r="N26" i="9"/>
  <c r="R82" i="14"/>
  <c r="P82" i="14" s="1"/>
  <c r="R79" i="14" s="1"/>
  <c r="P90" i="14"/>
  <c r="N82" i="14" s="1"/>
  <c r="AJ82" i="14" s="1"/>
  <c r="AK82" i="14" s="1"/>
  <c r="AL82" i="14" s="1"/>
  <c r="N44" i="14"/>
  <c r="P44" i="14" s="1"/>
  <c r="N40" i="14" s="1"/>
  <c r="P40" i="14" s="1"/>
  <c r="R39" i="14" s="1"/>
  <c r="P39" i="14" s="1"/>
  <c r="AJ38" i="14" s="1"/>
  <c r="AK38" i="14" s="1"/>
  <c r="AL38" i="14" s="1"/>
  <c r="X86" i="14"/>
  <c r="N25" i="9"/>
  <c r="N83" i="14"/>
  <c r="AJ83" i="14" s="1"/>
  <c r="AK83" i="14" s="1"/>
  <c r="AL83" i="14" s="1"/>
  <c r="X88" i="14"/>
  <c r="X50" i="14"/>
  <c r="X47" i="14"/>
  <c r="R53" i="14"/>
  <c r="P53" i="14" s="1"/>
  <c r="N45" i="14" s="1"/>
  <c r="P45" i="14" s="1"/>
  <c r="N41" i="14" s="1"/>
  <c r="R42" i="14"/>
  <c r="P42" i="14" s="1"/>
  <c r="R41" i="14" s="1"/>
  <c r="P41" i="14" s="1"/>
  <c r="N39" i="14" s="1"/>
  <c r="AJ39" i="14" s="1"/>
  <c r="AK39" i="14" s="1"/>
  <c r="AL39" i="14" s="1"/>
  <c r="R43" i="14"/>
  <c r="P43" i="14" s="1"/>
  <c r="R40" i="14" s="1"/>
  <c r="AJ40" i="14" s="1"/>
  <c r="AK40" i="14" s="1"/>
  <c r="AL40" i="14" s="1"/>
  <c r="R114" i="8"/>
  <c r="AJ114" i="8" s="1"/>
  <c r="AK114" i="8" s="1"/>
  <c r="AL114" i="8" s="1"/>
  <c r="R28" i="9"/>
  <c r="AJ28" i="9" s="1"/>
  <c r="AK28" i="9" s="1"/>
  <c r="AL28" i="9" s="1"/>
  <c r="X49" i="14"/>
  <c r="N115" i="8"/>
  <c r="P115" i="8" s="1"/>
  <c r="N113" i="8" s="1"/>
  <c r="AJ113" i="8" s="1"/>
  <c r="AK113" i="8" s="1"/>
  <c r="AL113" i="8" s="1"/>
  <c r="X89" i="14"/>
  <c r="R115" i="8"/>
  <c r="AJ115" i="8" s="1"/>
  <c r="AK115" i="8" s="1"/>
  <c r="AL115" i="8" s="1"/>
  <c r="N18" i="9"/>
  <c r="AJ18" i="9" s="1"/>
  <c r="AK18" i="9" s="1"/>
  <c r="AL18" i="9" s="1"/>
  <c r="N22" i="9"/>
  <c r="X158" i="14"/>
  <c r="AJ158" i="14"/>
  <c r="AK158" i="14" s="1"/>
  <c r="AL158" i="14" s="1"/>
  <c r="X156" i="14"/>
  <c r="N32" i="9"/>
  <c r="AJ32" i="9" s="1"/>
  <c r="AK32" i="9" s="1"/>
  <c r="AL32" i="9" s="1"/>
  <c r="X159" i="14"/>
  <c r="N84" i="14"/>
  <c r="AJ84" i="14" s="1"/>
  <c r="AK84" i="14" s="1"/>
  <c r="AL84" i="14" s="1"/>
  <c r="R27" i="9"/>
  <c r="AJ27" i="9" s="1"/>
  <c r="AK27" i="9" s="1"/>
  <c r="AL27" i="9" s="1"/>
  <c r="N34" i="9"/>
  <c r="P34" i="9" s="1"/>
  <c r="R33" i="9" s="1"/>
  <c r="R19" i="9"/>
  <c r="P19" i="9" s="1"/>
  <c r="R16" i="9" s="1"/>
  <c r="R47" i="9"/>
  <c r="P47" i="9" s="1"/>
  <c r="R20" i="9" s="1"/>
  <c r="AJ20" i="9" s="1"/>
  <c r="AK20" i="9" s="1"/>
  <c r="AL20" i="9" s="1"/>
  <c r="R18" i="9"/>
  <c r="P18" i="9" s="1"/>
  <c r="R17" i="9" s="1"/>
  <c r="AJ17" i="9" s="1"/>
  <c r="AK17" i="9" s="1"/>
  <c r="AL17" i="9" s="1"/>
  <c r="R99" i="8"/>
  <c r="P99" i="8" s="1"/>
  <c r="R96" i="8" s="1"/>
  <c r="AJ96" i="8" s="1"/>
  <c r="AK96" i="8" s="1"/>
  <c r="AL96" i="8" s="1"/>
  <c r="N28" i="9"/>
  <c r="P28" i="9" s="1"/>
  <c r="N12" i="9" s="1"/>
  <c r="P85" i="14"/>
  <c r="R84" i="14" s="1"/>
  <c r="P84" i="14" s="1"/>
  <c r="N80" i="14" s="1"/>
  <c r="P80" i="14" s="1"/>
  <c r="N78" i="14" s="1"/>
  <c r="N42" i="9"/>
  <c r="X42" i="9" s="1"/>
  <c r="X91" i="14"/>
  <c r="R100" i="14"/>
  <c r="P100" i="14" s="1"/>
  <c r="R99" i="14" s="1"/>
  <c r="P99" i="14" s="1"/>
  <c r="N97" i="14" s="1"/>
  <c r="AJ97" i="14" s="1"/>
  <c r="AK97" i="14" s="1"/>
  <c r="AL97" i="14" s="1"/>
  <c r="X106" i="14"/>
  <c r="N100" i="14"/>
  <c r="AJ100" i="14" s="1"/>
  <c r="AK100" i="14" s="1"/>
  <c r="AL100" i="14" s="1"/>
  <c r="X160" i="14"/>
  <c r="R111" i="14"/>
  <c r="AJ111" i="14" s="1"/>
  <c r="AK111" i="14" s="1"/>
  <c r="AL111" i="14" s="1"/>
  <c r="N103" i="14"/>
  <c r="P103" i="14" s="1"/>
  <c r="N99" i="14" s="1"/>
  <c r="X104" i="14"/>
  <c r="X108" i="14"/>
  <c r="N114" i="8"/>
  <c r="P114" i="8" s="1"/>
  <c r="R113" i="8" s="1"/>
  <c r="P113" i="8" s="1"/>
  <c r="AJ112" i="8" s="1"/>
  <c r="AK112" i="8" s="1"/>
  <c r="AL112" i="8" s="1"/>
  <c r="X107" i="14"/>
  <c r="X110" i="14"/>
  <c r="X54" i="14"/>
  <c r="X46" i="14"/>
  <c r="N101" i="14"/>
  <c r="X101" i="14" s="1"/>
  <c r="R103" i="14"/>
  <c r="AJ103" i="14" s="1"/>
  <c r="AK103" i="14" s="1"/>
  <c r="AL103" i="14" s="1"/>
  <c r="X112" i="14"/>
  <c r="N102" i="14"/>
  <c r="P102" i="14" s="1"/>
  <c r="N98" i="14" s="1"/>
  <c r="R102" i="14"/>
  <c r="AJ102" i="14" s="1"/>
  <c r="AK102" i="14" s="1"/>
  <c r="AL102" i="14" s="1"/>
  <c r="X65" i="8"/>
  <c r="X109" i="14"/>
  <c r="R8" i="14"/>
  <c r="X8" i="14" s="1"/>
  <c r="N61" i="8"/>
  <c r="AJ61" i="8" s="1"/>
  <c r="AK61" i="8" s="1"/>
  <c r="AL61" i="8" s="1"/>
  <c r="X59" i="9"/>
  <c r="X105" i="14"/>
  <c r="R50" i="8"/>
  <c r="AJ50" i="8" s="1"/>
  <c r="AK50" i="8" s="1"/>
  <c r="AL50" i="8" s="1"/>
  <c r="X44" i="8"/>
  <c r="N97" i="8"/>
  <c r="P97" i="8" s="1"/>
  <c r="N95" i="8" s="1"/>
  <c r="P95" i="8" s="1"/>
  <c r="AJ94" i="8" s="1"/>
  <c r="AK94" i="8" s="1"/>
  <c r="AL94" i="8" s="1"/>
  <c r="R61" i="8"/>
  <c r="P61" i="8" s="1"/>
  <c r="N57" i="8" s="1"/>
  <c r="AJ57" i="8" s="1"/>
  <c r="AK57" i="8" s="1"/>
  <c r="AL57" i="8" s="1"/>
  <c r="X47" i="8"/>
  <c r="X68" i="8"/>
  <c r="X49" i="8"/>
  <c r="R41" i="8"/>
  <c r="P41" i="8" s="1"/>
  <c r="N37" i="8" s="1"/>
  <c r="P37" i="8" s="1"/>
  <c r="R36" i="8" s="1"/>
  <c r="AJ36" i="8" s="1"/>
  <c r="AK36" i="8" s="1"/>
  <c r="AL36" i="8" s="1"/>
  <c r="R60" i="8"/>
  <c r="P60" i="8" s="1"/>
  <c r="N56" i="8" s="1"/>
  <c r="AJ56" i="8" s="1"/>
  <c r="AK56" i="8" s="1"/>
  <c r="AL56" i="8" s="1"/>
  <c r="R97" i="8"/>
  <c r="AJ97" i="8" s="1"/>
  <c r="AK97" i="8" s="1"/>
  <c r="AL97" i="8" s="1"/>
  <c r="R98" i="8"/>
  <c r="X98" i="8" s="1"/>
  <c r="R59" i="8"/>
  <c r="AJ59" i="8" s="1"/>
  <c r="AK59" i="8" s="1"/>
  <c r="AL59" i="8" s="1"/>
  <c r="N60" i="8"/>
  <c r="AJ60" i="8" s="1"/>
  <c r="AK60" i="8" s="1"/>
  <c r="AL60" i="8" s="1"/>
  <c r="X62" i="8"/>
  <c r="R42" i="8"/>
  <c r="AJ42" i="8" s="1"/>
  <c r="AK42" i="8" s="1"/>
  <c r="AL42" i="8" s="1"/>
  <c r="R58" i="8"/>
  <c r="P58" i="8" s="1"/>
  <c r="R57" i="8" s="1"/>
  <c r="P57" i="8" s="1"/>
  <c r="N55" i="8" s="1"/>
  <c r="P55" i="8" s="1"/>
  <c r="AJ54" i="8" s="1"/>
  <c r="AK54" i="8" s="1"/>
  <c r="AL54" i="8" s="1"/>
  <c r="R40" i="8"/>
  <c r="AJ40" i="8" s="1"/>
  <c r="AK40" i="8" s="1"/>
  <c r="AL40" i="8" s="1"/>
  <c r="N58" i="8"/>
  <c r="AJ58" i="8" s="1"/>
  <c r="AK58" i="8" s="1"/>
  <c r="AL58" i="8" s="1"/>
  <c r="R9" i="14"/>
  <c r="AJ9" i="14" s="1"/>
  <c r="AK9" i="14" s="1"/>
  <c r="AL9" i="14" s="1"/>
  <c r="X66" i="8"/>
  <c r="R4" i="14"/>
  <c r="AJ4" i="14" s="1"/>
  <c r="AK4" i="14" s="1"/>
  <c r="AL4" i="14" s="1"/>
  <c r="N96" i="8"/>
  <c r="P96" i="8" s="1"/>
  <c r="R95" i="8" s="1"/>
  <c r="AJ95" i="8" s="1"/>
  <c r="AK95" i="8" s="1"/>
  <c r="AL95" i="8" s="1"/>
  <c r="N99" i="8"/>
  <c r="AJ99" i="8" s="1"/>
  <c r="AK99" i="8" s="1"/>
  <c r="AL99" i="8" s="1"/>
  <c r="R56" i="8"/>
  <c r="P56" i="8" s="1"/>
  <c r="R55" i="8" s="1"/>
  <c r="AJ55" i="8" s="1"/>
  <c r="AK55" i="8" s="1"/>
  <c r="AL55" i="8" s="1"/>
  <c r="N40" i="8"/>
  <c r="P40" i="8" s="1"/>
  <c r="R37" i="8" s="1"/>
  <c r="X51" i="9"/>
  <c r="X67" i="8"/>
  <c r="X64" i="8"/>
  <c r="R39" i="8"/>
  <c r="X39" i="8" s="1"/>
  <c r="N3" i="14"/>
  <c r="AJ3" i="14" s="1"/>
  <c r="AK3" i="14" s="1"/>
  <c r="AL3" i="14" s="1"/>
  <c r="X63" i="8"/>
  <c r="N7" i="14"/>
  <c r="AJ7" i="14" s="1"/>
  <c r="AK7" i="14" s="1"/>
  <c r="AL7" i="14" s="1"/>
  <c r="N42" i="8"/>
  <c r="P42" i="8" s="1"/>
  <c r="N38" i="8" s="1"/>
  <c r="X46" i="8"/>
  <c r="X48" i="8"/>
  <c r="AJ44" i="8"/>
  <c r="AK44" i="8" s="1"/>
  <c r="AL44" i="8" s="1"/>
  <c r="P49" i="8"/>
  <c r="N41" i="8" s="1"/>
  <c r="X50" i="9"/>
  <c r="R38" i="8"/>
  <c r="P38" i="8" s="1"/>
  <c r="N36" i="8" s="1"/>
  <c r="P36" i="8" s="1"/>
  <c r="AJ35" i="8" s="1"/>
  <c r="AK35" i="8" s="1"/>
  <c r="AL35" i="8" s="1"/>
  <c r="X43" i="8"/>
  <c r="X51" i="8"/>
  <c r="X45" i="8"/>
  <c r="X29" i="8"/>
  <c r="X27" i="8"/>
  <c r="X88" i="8"/>
  <c r="X86" i="8"/>
  <c r="X72" i="14"/>
  <c r="X87" i="8"/>
  <c r="X25" i="14"/>
  <c r="X78" i="8"/>
  <c r="X64" i="14"/>
  <c r="X71" i="14"/>
  <c r="X26" i="14"/>
  <c r="X116" i="8"/>
  <c r="X63" i="9"/>
  <c r="X9" i="8"/>
  <c r="X60" i="9"/>
  <c r="X119" i="8"/>
  <c r="X65" i="9"/>
  <c r="X61" i="14"/>
  <c r="X60" i="14"/>
  <c r="X28" i="8"/>
  <c r="X36" i="9"/>
  <c r="AJ26" i="14"/>
  <c r="AK26" i="14" s="1"/>
  <c r="AL26" i="14" s="1"/>
  <c r="X37" i="9"/>
  <c r="X80" i="8"/>
  <c r="X118" i="8"/>
  <c r="X92" i="14"/>
  <c r="X53" i="9"/>
  <c r="X61" i="9"/>
  <c r="X101" i="8"/>
  <c r="X56" i="9"/>
  <c r="AJ21" i="8"/>
  <c r="AK21" i="8" s="1"/>
  <c r="AL21" i="8" s="1"/>
  <c r="X21" i="8"/>
  <c r="X17" i="8"/>
  <c r="AJ17" i="8"/>
  <c r="AK17" i="8" s="1"/>
  <c r="AL17" i="8" s="1"/>
  <c r="AJ36" i="9"/>
  <c r="AK36" i="9" s="1"/>
  <c r="AL36" i="9" s="1"/>
  <c r="P79" i="8"/>
  <c r="N75" i="8" s="1"/>
  <c r="X79" i="8"/>
  <c r="X128" i="14"/>
  <c r="AJ20" i="8"/>
  <c r="AK20" i="8" s="1"/>
  <c r="AL20" i="8" s="1"/>
  <c r="X20" i="8"/>
  <c r="AJ18" i="8"/>
  <c r="AK18" i="8" s="1"/>
  <c r="AL18" i="8" s="1"/>
  <c r="X18" i="8"/>
  <c r="X35" i="9"/>
  <c r="P77" i="8"/>
  <c r="R76" i="8" s="1"/>
  <c r="X77" i="8"/>
  <c r="X63" i="14"/>
  <c r="P63" i="14"/>
  <c r="N59" i="14" s="1"/>
  <c r="P19" i="8"/>
  <c r="R16" i="8" s="1"/>
  <c r="X19" i="8"/>
  <c r="X58" i="14"/>
  <c r="X100" i="8"/>
  <c r="X140" i="14"/>
  <c r="X22" i="14"/>
  <c r="X142" i="14"/>
  <c r="X54" i="9"/>
  <c r="X130" i="14"/>
  <c r="X8" i="8"/>
  <c r="X141" i="14"/>
  <c r="X64" i="9"/>
  <c r="X46" i="9"/>
  <c r="X58" i="9"/>
  <c r="X41" i="9"/>
  <c r="P3" i="8"/>
  <c r="AJ2" i="8" s="1"/>
  <c r="AK2" i="8" s="1"/>
  <c r="AL2" i="8" s="1"/>
  <c r="X3" i="8"/>
  <c r="X129" i="14"/>
  <c r="AJ41" i="9"/>
  <c r="AK41" i="9" s="1"/>
  <c r="AL41" i="9" s="1"/>
  <c r="X117" i="8"/>
  <c r="X40" i="9"/>
  <c r="AJ4" i="8"/>
  <c r="AK4" i="8" s="1"/>
  <c r="AL4" i="8" s="1"/>
  <c r="X4" i="8"/>
  <c r="X5" i="8"/>
  <c r="X69" i="8"/>
  <c r="AJ119" i="14"/>
  <c r="AK119" i="14" s="1"/>
  <c r="AL119" i="14" s="1"/>
  <c r="X119" i="14"/>
  <c r="P52" i="9"/>
  <c r="N20" i="9" s="1"/>
  <c r="X52" i="9"/>
  <c r="P121" i="14"/>
  <c r="N117" i="14" s="1"/>
  <c r="X121" i="14"/>
  <c r="P122" i="14"/>
  <c r="N118" i="14" s="1"/>
  <c r="X122" i="14"/>
  <c r="AJ24" i="14"/>
  <c r="AK24" i="14" s="1"/>
  <c r="AL24" i="14" s="1"/>
  <c r="X24" i="14"/>
  <c r="P23" i="14"/>
  <c r="N21" i="14" s="1"/>
  <c r="X23" i="14"/>
  <c r="X27" i="14"/>
  <c r="P120" i="14"/>
  <c r="R117" i="14" s="1"/>
  <c r="P117" i="14" s="1"/>
  <c r="R116" i="14" s="1"/>
  <c r="AJ116" i="14" s="1"/>
  <c r="AK116" i="14" s="1"/>
  <c r="AL116" i="14" s="1"/>
  <c r="X120" i="14"/>
  <c r="X6" i="14"/>
  <c r="P6" i="14"/>
  <c r="R5" i="14" s="1"/>
  <c r="X139" i="14"/>
  <c r="P139" i="14"/>
  <c r="N137" i="14" s="1"/>
  <c r="X138" i="14"/>
  <c r="AJ138" i="14"/>
  <c r="AK138" i="14" s="1"/>
  <c r="AL138" i="14" s="1"/>
  <c r="AJ143" i="14"/>
  <c r="AK143" i="14" s="1"/>
  <c r="AL143" i="14" s="1"/>
  <c r="X143" i="14"/>
  <c r="AJ62" i="14"/>
  <c r="AK62" i="14" s="1"/>
  <c r="AL62" i="14" s="1"/>
  <c r="X62" i="14"/>
  <c r="X103" i="16" l="1"/>
  <c r="P109" i="16"/>
  <c r="N101" i="16" s="1"/>
  <c r="X101" i="16" s="1"/>
  <c r="X141" i="16"/>
  <c r="X143" i="16"/>
  <c r="X138" i="16"/>
  <c r="X137" i="16"/>
  <c r="X131" i="16"/>
  <c r="X117" i="16"/>
  <c r="X122" i="16"/>
  <c r="AJ107" i="16"/>
  <c r="AK107" i="16" s="1"/>
  <c r="AL107" i="16" s="1"/>
  <c r="P108" i="16"/>
  <c r="N100" i="16" s="1"/>
  <c r="X112" i="16"/>
  <c r="P112" i="16"/>
  <c r="AJ82" i="16"/>
  <c r="AK82" i="16" s="1"/>
  <c r="AL82" i="16" s="1"/>
  <c r="P82" i="16"/>
  <c r="R81" i="16" s="1"/>
  <c r="X85" i="16"/>
  <c r="AJ86" i="16"/>
  <c r="AK86" i="16" s="1"/>
  <c r="AL86" i="16" s="1"/>
  <c r="P84" i="16"/>
  <c r="N80" i="16" s="1"/>
  <c r="AJ84" i="16"/>
  <c r="AK84" i="16" s="1"/>
  <c r="AL84" i="16" s="1"/>
  <c r="AK41" i="16"/>
  <c r="AL41" i="16" s="1"/>
  <c r="AK46" i="16"/>
  <c r="AL46" i="16" s="1"/>
  <c r="AK51" i="16"/>
  <c r="AL51" i="16" s="1"/>
  <c r="AK42" i="16"/>
  <c r="AL42" i="16" s="1"/>
  <c r="AK54" i="16"/>
  <c r="AL54" i="16" s="1"/>
  <c r="X84" i="16"/>
  <c r="P83" i="16"/>
  <c r="R80" i="16" s="1"/>
  <c r="X83" i="16"/>
  <c r="X64" i="16"/>
  <c r="P64" i="16"/>
  <c r="N60" i="16" s="1"/>
  <c r="X65" i="16"/>
  <c r="P65" i="16"/>
  <c r="N61" i="16" s="1"/>
  <c r="AJ62" i="16"/>
  <c r="AK62" i="16" s="1"/>
  <c r="AL62" i="16" s="1"/>
  <c r="P62" i="16"/>
  <c r="R61" i="16" s="1"/>
  <c r="P61" i="16" s="1"/>
  <c r="N59" i="16" s="1"/>
  <c r="X82" i="16"/>
  <c r="X62" i="16"/>
  <c r="X3" i="15"/>
  <c r="X4" i="15"/>
  <c r="X8" i="15"/>
  <c r="R41" i="16"/>
  <c r="X41" i="16" s="1"/>
  <c r="P52" i="16"/>
  <c r="N44" i="16" s="1"/>
  <c r="X5" i="15"/>
  <c r="X49" i="16"/>
  <c r="AJ49" i="16"/>
  <c r="X51" i="16"/>
  <c r="P51" i="16"/>
  <c r="N43" i="16" s="1"/>
  <c r="P43" i="16" s="1"/>
  <c r="X6" i="15"/>
  <c r="X14" i="15"/>
  <c r="AJ47" i="16"/>
  <c r="X46" i="16"/>
  <c r="P46" i="16"/>
  <c r="P48" i="16"/>
  <c r="R43" i="16" s="1"/>
  <c r="AJ43" i="16" s="1"/>
  <c r="X50" i="16"/>
  <c r="AJ50" i="16"/>
  <c r="X54" i="16"/>
  <c r="P54" i="16"/>
  <c r="R53" i="16" s="1"/>
  <c r="X17" i="15"/>
  <c r="X13" i="15"/>
  <c r="X29" i="15"/>
  <c r="AJ22" i="16"/>
  <c r="AK22" i="16" s="1"/>
  <c r="AL22" i="16" s="1"/>
  <c r="R22" i="16"/>
  <c r="X28" i="15"/>
  <c r="X74" i="15"/>
  <c r="AJ74" i="15"/>
  <c r="AK74" i="15" s="1"/>
  <c r="AL74" i="15" s="1"/>
  <c r="X77" i="15"/>
  <c r="P77" i="15"/>
  <c r="R54" i="15" s="1"/>
  <c r="P54" i="15" s="1"/>
  <c r="N22" i="15" s="1"/>
  <c r="P81" i="15"/>
  <c r="R50" i="15" s="1"/>
  <c r="X82" i="15"/>
  <c r="P82" i="15"/>
  <c r="R49" i="15" s="1"/>
  <c r="X83" i="15"/>
  <c r="P83" i="15"/>
  <c r="R48" i="15" s="1"/>
  <c r="AJ48" i="15" s="1"/>
  <c r="AK48" i="15" s="1"/>
  <c r="AL48" i="15" s="1"/>
  <c r="X86" i="15"/>
  <c r="P86" i="15"/>
  <c r="R45" i="15" s="1"/>
  <c r="X87" i="15"/>
  <c r="P87" i="15"/>
  <c r="R44" i="15" s="1"/>
  <c r="P44" i="15" s="1"/>
  <c r="R23" i="15" s="1"/>
  <c r="AJ23" i="15" s="1"/>
  <c r="AK23" i="15" s="1"/>
  <c r="AL23" i="15" s="1"/>
  <c r="AJ88" i="15"/>
  <c r="AK88" i="15" s="1"/>
  <c r="AL88" i="15" s="1"/>
  <c r="P91" i="15"/>
  <c r="R40" i="15" s="1"/>
  <c r="X93" i="15"/>
  <c r="P93" i="15"/>
  <c r="R38" i="15" s="1"/>
  <c r="X97" i="15"/>
  <c r="P97" i="15"/>
  <c r="R34" i="15" s="1"/>
  <c r="AJ34" i="15" s="1"/>
  <c r="AK34" i="15" s="1"/>
  <c r="AL34" i="15" s="1"/>
  <c r="P105" i="15"/>
  <c r="N41" i="15" s="1"/>
  <c r="AJ41" i="15" s="1"/>
  <c r="AK41" i="15" s="1"/>
  <c r="AL41" i="15" s="1"/>
  <c r="AJ106" i="15"/>
  <c r="AK106" i="15" s="1"/>
  <c r="AL106" i="15" s="1"/>
  <c r="AJ6" i="16"/>
  <c r="AK6" i="16" s="1"/>
  <c r="AL6" i="16" s="1"/>
  <c r="P6" i="16"/>
  <c r="R5" i="16" s="1"/>
  <c r="P7" i="16"/>
  <c r="R4" i="16" s="1"/>
  <c r="AJ4" i="16" s="1"/>
  <c r="AK4" i="16" s="1"/>
  <c r="AL4" i="16" s="1"/>
  <c r="AJ7" i="16"/>
  <c r="AK7" i="16" s="1"/>
  <c r="AL7" i="16" s="1"/>
  <c r="AJ9" i="16"/>
  <c r="AK9" i="16" s="1"/>
  <c r="AL9" i="16" s="1"/>
  <c r="X23" i="16"/>
  <c r="P80" i="15"/>
  <c r="R51" i="15" s="1"/>
  <c r="X92" i="15"/>
  <c r="AJ92" i="15"/>
  <c r="AK92" i="15" s="1"/>
  <c r="AL92" i="15" s="1"/>
  <c r="X95" i="15"/>
  <c r="P95" i="15"/>
  <c r="R36" i="15" s="1"/>
  <c r="P36" i="15" s="1"/>
  <c r="R31" i="15" s="1"/>
  <c r="AJ102" i="15"/>
  <c r="AK102" i="15" s="1"/>
  <c r="AL102" i="15" s="1"/>
  <c r="X99" i="15"/>
  <c r="P99" i="15"/>
  <c r="N35" i="15" s="1"/>
  <c r="P35" i="15" s="1"/>
  <c r="R32" i="15" s="1"/>
  <c r="P32" i="15" s="1"/>
  <c r="N16" i="15" s="1"/>
  <c r="P100" i="15"/>
  <c r="N36" i="15" s="1"/>
  <c r="AJ36" i="15" s="1"/>
  <c r="AK36" i="15" s="1"/>
  <c r="AL36" i="15" s="1"/>
  <c r="X42" i="16"/>
  <c r="X9" i="16"/>
  <c r="X37" i="15"/>
  <c r="X61" i="15"/>
  <c r="X73" i="15"/>
  <c r="P73" i="15"/>
  <c r="R58" i="15" s="1"/>
  <c r="P58" i="15" s="1"/>
  <c r="N26" i="15" s="1"/>
  <c r="AJ26" i="15" s="1"/>
  <c r="AK26" i="15" s="1"/>
  <c r="AL26" i="15" s="1"/>
  <c r="X76" i="15"/>
  <c r="P76" i="15"/>
  <c r="R55" i="15" s="1"/>
  <c r="X84" i="15"/>
  <c r="P84" i="15"/>
  <c r="R47" i="15" s="1"/>
  <c r="P47" i="15" s="1"/>
  <c r="R20" i="15" s="1"/>
  <c r="P20" i="15" s="1"/>
  <c r="R15" i="15" s="1"/>
  <c r="P15" i="15" s="1"/>
  <c r="N7" i="15" s="1"/>
  <c r="AJ94" i="15"/>
  <c r="AK94" i="15" s="1"/>
  <c r="AL94" i="15" s="1"/>
  <c r="P96" i="15"/>
  <c r="R35" i="15" s="1"/>
  <c r="AJ35" i="15" s="1"/>
  <c r="AK35" i="15" s="1"/>
  <c r="AL35" i="15" s="1"/>
  <c r="X98" i="15"/>
  <c r="P98" i="15"/>
  <c r="N34" i="15" s="1"/>
  <c r="P34" i="15" s="1"/>
  <c r="R33" i="15" s="1"/>
  <c r="AJ101" i="15"/>
  <c r="AK101" i="15" s="1"/>
  <c r="AL101" i="15" s="1"/>
  <c r="X103" i="15"/>
  <c r="P103" i="15"/>
  <c r="N39" i="15" s="1"/>
  <c r="X107" i="15"/>
  <c r="P107" i="15"/>
  <c r="N43" i="15" s="1"/>
  <c r="X63" i="15"/>
  <c r="X111" i="15"/>
  <c r="P111" i="15"/>
  <c r="N47" i="15" s="1"/>
  <c r="AJ47" i="15" s="1"/>
  <c r="AK47" i="15" s="1"/>
  <c r="AL47" i="15" s="1"/>
  <c r="X112" i="15"/>
  <c r="P112" i="15"/>
  <c r="N48" i="15" s="1"/>
  <c r="P48" i="15" s="1"/>
  <c r="R19" i="15" s="1"/>
  <c r="X113" i="15"/>
  <c r="AJ113" i="15"/>
  <c r="AK113" i="15" s="1"/>
  <c r="AL113" i="15" s="1"/>
  <c r="X114" i="15"/>
  <c r="AJ114" i="15"/>
  <c r="AK114" i="15" s="1"/>
  <c r="AL114" i="15" s="1"/>
  <c r="X127" i="15"/>
  <c r="AJ127" i="15"/>
  <c r="AK127" i="15" s="1"/>
  <c r="AL127" i="15" s="1"/>
  <c r="AJ110" i="15"/>
  <c r="AK110" i="15" s="1"/>
  <c r="AL110" i="15" s="1"/>
  <c r="AJ109" i="15"/>
  <c r="AK109" i="15" s="1"/>
  <c r="AL109" i="15" s="1"/>
  <c r="P108" i="15"/>
  <c r="N44" i="15" s="1"/>
  <c r="AJ44" i="15" s="1"/>
  <c r="AK44" i="15" s="1"/>
  <c r="AL44" i="15" s="1"/>
  <c r="X116" i="15"/>
  <c r="AJ116" i="15"/>
  <c r="AK116" i="15" s="1"/>
  <c r="AL116" i="15" s="1"/>
  <c r="X119" i="15"/>
  <c r="AJ119" i="15"/>
  <c r="AK119" i="15" s="1"/>
  <c r="AL119" i="15" s="1"/>
  <c r="X122" i="15"/>
  <c r="P122" i="15"/>
  <c r="N58" i="15" s="1"/>
  <c r="AJ58" i="15" s="1"/>
  <c r="AK58" i="15" s="1"/>
  <c r="AL58" i="15" s="1"/>
  <c r="AJ104" i="15"/>
  <c r="AK104" i="15" s="1"/>
  <c r="AL104" i="15" s="1"/>
  <c r="X115" i="15"/>
  <c r="AJ115" i="15"/>
  <c r="AK115" i="15" s="1"/>
  <c r="AL115" i="15" s="1"/>
  <c r="X118" i="15"/>
  <c r="P118" i="15"/>
  <c r="N54" i="15" s="1"/>
  <c r="AJ54" i="15" s="1"/>
  <c r="AK54" i="15" s="1"/>
  <c r="AL54" i="15" s="1"/>
  <c r="X6" i="16"/>
  <c r="X125" i="15"/>
  <c r="AJ125" i="15"/>
  <c r="AK125" i="15" s="1"/>
  <c r="AL125" i="15" s="1"/>
  <c r="X128" i="15"/>
  <c r="P128" i="15"/>
  <c r="N64" i="15" s="1"/>
  <c r="X129" i="15"/>
  <c r="AJ129" i="15"/>
  <c r="AK129" i="15" s="1"/>
  <c r="AL129" i="15" s="1"/>
  <c r="X120" i="15"/>
  <c r="AJ120" i="15"/>
  <c r="AK120" i="15" s="1"/>
  <c r="AL120" i="15" s="1"/>
  <c r="X121" i="15"/>
  <c r="P121" i="15"/>
  <c r="N57" i="15" s="1"/>
  <c r="X8" i="16"/>
  <c r="X72" i="15"/>
  <c r="X181" i="15"/>
  <c r="P181" i="15"/>
  <c r="R78" i="15" s="1"/>
  <c r="X193" i="15"/>
  <c r="P193" i="15"/>
  <c r="R66" i="15" s="1"/>
  <c r="AJ66" i="15" s="1"/>
  <c r="AK66" i="15" s="1"/>
  <c r="AL66" i="15" s="1"/>
  <c r="X60" i="15"/>
  <c r="P89" i="15"/>
  <c r="R42" i="15" s="1"/>
  <c r="X123" i="15"/>
  <c r="P123" i="15"/>
  <c r="N59" i="15" s="1"/>
  <c r="X117" i="15"/>
  <c r="AJ117" i="15"/>
  <c r="AK117" i="15" s="1"/>
  <c r="AL117" i="15" s="1"/>
  <c r="P90" i="15"/>
  <c r="R41" i="15" s="1"/>
  <c r="P41" i="15" s="1"/>
  <c r="R26" i="15" s="1"/>
  <c r="P26" i="15" s="1"/>
  <c r="N10" i="15" s="1"/>
  <c r="P10" i="15" s="1"/>
  <c r="R9" i="15" s="1"/>
  <c r="X85" i="15"/>
  <c r="P85" i="15"/>
  <c r="R46" i="15" s="1"/>
  <c r="X70" i="15"/>
  <c r="X126" i="15"/>
  <c r="AJ126" i="15"/>
  <c r="AK126" i="15" s="1"/>
  <c r="AL126" i="15" s="1"/>
  <c r="X180" i="15"/>
  <c r="P180" i="15"/>
  <c r="R79" i="15" s="1"/>
  <c r="X192" i="15"/>
  <c r="P192" i="15"/>
  <c r="R67" i="15" s="1"/>
  <c r="X7" i="16"/>
  <c r="X71" i="15"/>
  <c r="X184" i="15"/>
  <c r="P184" i="15"/>
  <c r="R75" i="15" s="1"/>
  <c r="X190" i="15"/>
  <c r="P190" i="15"/>
  <c r="R69" i="15" s="1"/>
  <c r="X218" i="14"/>
  <c r="X214" i="14"/>
  <c r="X191" i="15"/>
  <c r="P191" i="15"/>
  <c r="R68" i="15" s="1"/>
  <c r="X194" i="15"/>
  <c r="P194" i="15"/>
  <c r="N66" i="15" s="1"/>
  <c r="P66" i="15" s="1"/>
  <c r="R65" i="15" s="1"/>
  <c r="X215" i="14"/>
  <c r="AJ215" i="14"/>
  <c r="AK215" i="14" s="1"/>
  <c r="AL215" i="14" s="1"/>
  <c r="X216" i="14"/>
  <c r="P216" i="14"/>
  <c r="R213" i="14" s="1"/>
  <c r="P213" i="14" s="1"/>
  <c r="R212" i="14" s="1"/>
  <c r="X217" i="14"/>
  <c r="P217" i="14"/>
  <c r="N213" i="14" s="1"/>
  <c r="AJ213" i="14" s="1"/>
  <c r="AK213" i="14" s="1"/>
  <c r="AL213" i="14" s="1"/>
  <c r="X194" i="14"/>
  <c r="X196" i="14"/>
  <c r="X195" i="14"/>
  <c r="X198" i="14"/>
  <c r="X199" i="14"/>
  <c r="X200" i="14"/>
  <c r="X197" i="14"/>
  <c r="AK187" i="14"/>
  <c r="AL187" i="14" s="1"/>
  <c r="AK180" i="14"/>
  <c r="AL180" i="14" s="1"/>
  <c r="AK188" i="14"/>
  <c r="AL188" i="14" s="1"/>
  <c r="X176" i="14"/>
  <c r="AJ176" i="14"/>
  <c r="X57" i="9"/>
  <c r="X16" i="9"/>
  <c r="X22" i="9"/>
  <c r="AJ39" i="9"/>
  <c r="AK39" i="9" s="1"/>
  <c r="AL39" i="9" s="1"/>
  <c r="X26" i="9"/>
  <c r="X44" i="9"/>
  <c r="X55" i="9"/>
  <c r="X29" i="9"/>
  <c r="X62" i="9"/>
  <c r="X49" i="9"/>
  <c r="X38" i="9"/>
  <c r="X31" i="9"/>
  <c r="X48" i="9"/>
  <c r="X21" i="9"/>
  <c r="X30" i="9"/>
  <c r="P30" i="9"/>
  <c r="N14" i="9" s="1"/>
  <c r="P14" i="9" s="1"/>
  <c r="N6" i="9" s="1"/>
  <c r="X24" i="9"/>
  <c r="X43" i="9"/>
  <c r="X25" i="9"/>
  <c r="X81" i="14"/>
  <c r="P81" i="14"/>
  <c r="R80" i="14" s="1"/>
  <c r="AJ80" i="14" s="1"/>
  <c r="AK80" i="14" s="1"/>
  <c r="AL80" i="14" s="1"/>
  <c r="X45" i="9"/>
  <c r="AJ26" i="9"/>
  <c r="AK26" i="9" s="1"/>
  <c r="AL26" i="9" s="1"/>
  <c r="AJ25" i="9"/>
  <c r="AK25" i="9" s="1"/>
  <c r="AL25" i="9" s="1"/>
  <c r="X82" i="14"/>
  <c r="X83" i="14"/>
  <c r="X44" i="14"/>
  <c r="P79" i="14"/>
  <c r="R78" i="14" s="1"/>
  <c r="AJ78" i="14" s="1"/>
  <c r="AK78" i="14" s="1"/>
  <c r="AL78" i="14" s="1"/>
  <c r="X79" i="14"/>
  <c r="X45" i="14"/>
  <c r="X40" i="14"/>
  <c r="X43" i="14"/>
  <c r="X53" i="14"/>
  <c r="X27" i="9"/>
  <c r="P101" i="14"/>
  <c r="R98" i="14" s="1"/>
  <c r="AJ98" i="14" s="1"/>
  <c r="AK98" i="14" s="1"/>
  <c r="AL98" i="14" s="1"/>
  <c r="X32" i="9"/>
  <c r="X10" i="9"/>
  <c r="X42" i="14"/>
  <c r="X115" i="8"/>
  <c r="P22" i="9"/>
  <c r="R13" i="9" s="1"/>
  <c r="AJ13" i="9" s="1"/>
  <c r="AK13" i="9" s="1"/>
  <c r="AL13" i="9" s="1"/>
  <c r="P16" i="9"/>
  <c r="N8" i="9" s="1"/>
  <c r="P8" i="9" s="1"/>
  <c r="N4" i="9" s="1"/>
  <c r="X39" i="14"/>
  <c r="X100" i="14"/>
  <c r="X34" i="9"/>
  <c r="X47" i="9"/>
  <c r="X18" i="9"/>
  <c r="X84" i="14"/>
  <c r="X19" i="9"/>
  <c r="X103" i="14"/>
  <c r="X111" i="14"/>
  <c r="X28" i="9"/>
  <c r="AJ42" i="9"/>
  <c r="AK42" i="9" s="1"/>
  <c r="AL42" i="9" s="1"/>
  <c r="X114" i="8"/>
  <c r="X102" i="14"/>
  <c r="P8" i="14"/>
  <c r="N4" i="14" s="1"/>
  <c r="P4" i="14" s="1"/>
  <c r="R3" i="14" s="1"/>
  <c r="X9" i="14"/>
  <c r="X61" i="8"/>
  <c r="AJ98" i="8"/>
  <c r="AK98" i="8" s="1"/>
  <c r="AL98" i="8" s="1"/>
  <c r="X50" i="8"/>
  <c r="X96" i="8"/>
  <c r="X60" i="8"/>
  <c r="X97" i="8"/>
  <c r="X41" i="8"/>
  <c r="X99" i="8"/>
  <c r="X40" i="8"/>
  <c r="AJ41" i="8"/>
  <c r="AK41" i="8" s="1"/>
  <c r="AL41" i="8" s="1"/>
  <c r="X56" i="8"/>
  <c r="X95" i="8"/>
  <c r="X59" i="8"/>
  <c r="X7" i="14"/>
  <c r="AJ39" i="8"/>
  <c r="AK39" i="8" s="1"/>
  <c r="AL39" i="8" s="1"/>
  <c r="X58" i="8"/>
  <c r="X57" i="8"/>
  <c r="X42" i="8"/>
  <c r="X55" i="8"/>
  <c r="X36" i="8"/>
  <c r="P16" i="8"/>
  <c r="R15" i="8" s="1"/>
  <c r="X16" i="8"/>
  <c r="P75" i="8"/>
  <c r="R74" i="8" s="1"/>
  <c r="X75" i="8"/>
  <c r="X59" i="14"/>
  <c r="AJ59" i="14"/>
  <c r="AK59" i="14" s="1"/>
  <c r="AL59" i="14" s="1"/>
  <c r="AJ76" i="8"/>
  <c r="AK76" i="8" s="1"/>
  <c r="AL76" i="8" s="1"/>
  <c r="X76" i="8"/>
  <c r="X38" i="8"/>
  <c r="AJ38" i="8"/>
  <c r="AK38" i="8" s="1"/>
  <c r="AL38" i="8" s="1"/>
  <c r="X113" i="8"/>
  <c r="X23" i="9"/>
  <c r="AJ41" i="14"/>
  <c r="AK41" i="14" s="1"/>
  <c r="AL41" i="14" s="1"/>
  <c r="X41" i="14"/>
  <c r="P21" i="14"/>
  <c r="AJ20" i="14" s="1"/>
  <c r="AK20" i="14" s="1"/>
  <c r="AL20" i="14" s="1"/>
  <c r="X21" i="14"/>
  <c r="AJ99" i="14"/>
  <c r="AK99" i="14" s="1"/>
  <c r="AL99" i="14" s="1"/>
  <c r="X99" i="14"/>
  <c r="P33" i="9"/>
  <c r="N17" i="9" s="1"/>
  <c r="X33" i="9"/>
  <c r="P20" i="9"/>
  <c r="R15" i="9" s="1"/>
  <c r="P15" i="9" s="1"/>
  <c r="N7" i="9" s="1"/>
  <c r="X20" i="9"/>
  <c r="X118" i="14"/>
  <c r="P118" i="14"/>
  <c r="N116" i="14" s="1"/>
  <c r="AJ37" i="8"/>
  <c r="AK37" i="8" s="1"/>
  <c r="AL37" i="8" s="1"/>
  <c r="X37" i="8"/>
  <c r="X3" i="9"/>
  <c r="P3" i="9"/>
  <c r="AJ2" i="9" s="1"/>
  <c r="AK2" i="9" s="1"/>
  <c r="AL2" i="9" s="1"/>
  <c r="P78" i="14"/>
  <c r="AJ77" i="14" s="1"/>
  <c r="AK77" i="14" s="1"/>
  <c r="AL77" i="14" s="1"/>
  <c r="X137" i="14"/>
  <c r="AJ137" i="14"/>
  <c r="AK137" i="14" s="1"/>
  <c r="AL137" i="14" s="1"/>
  <c r="AJ15" i="9"/>
  <c r="AK15" i="9" s="1"/>
  <c r="AL15" i="9" s="1"/>
  <c r="AJ117" i="14"/>
  <c r="AK117" i="14" s="1"/>
  <c r="AL117" i="14" s="1"/>
  <c r="X117" i="14"/>
  <c r="AJ5" i="14"/>
  <c r="AK5" i="14" s="1"/>
  <c r="AL5" i="14" s="1"/>
  <c r="X5" i="14"/>
  <c r="P98" i="14"/>
  <c r="R97" i="14" s="1"/>
  <c r="P11" i="9"/>
  <c r="R8" i="9" s="1"/>
  <c r="AJ8" i="9" s="1"/>
  <c r="AK8" i="9" s="1"/>
  <c r="AL8" i="9" s="1"/>
  <c r="X11" i="9"/>
  <c r="AJ12" i="9"/>
  <c r="AK12" i="9" s="1"/>
  <c r="AL12" i="9" s="1"/>
  <c r="X12" i="9"/>
  <c r="X100" i="16" l="1"/>
  <c r="P100" i="16"/>
  <c r="R111" i="16"/>
  <c r="X111" i="16" s="1"/>
  <c r="AJ81" i="16"/>
  <c r="AK81" i="16" s="1"/>
  <c r="AL81" i="16" s="1"/>
  <c r="P81" i="16"/>
  <c r="N79" i="16" s="1"/>
  <c r="P80" i="16"/>
  <c r="R79" i="16" s="1"/>
  <c r="AJ80" i="16"/>
  <c r="AK80" i="16" s="1"/>
  <c r="AL80" i="16" s="1"/>
  <c r="X81" i="16"/>
  <c r="AK47" i="16"/>
  <c r="AL47" i="16" s="1"/>
  <c r="AK49" i="16"/>
  <c r="AL49" i="16" s="1"/>
  <c r="AK50" i="16"/>
  <c r="AL50" i="16" s="1"/>
  <c r="AK43" i="16"/>
  <c r="AL43" i="16" s="1"/>
  <c r="X60" i="16"/>
  <c r="P60" i="16"/>
  <c r="R59" i="16" s="1"/>
  <c r="P59" i="16" s="1"/>
  <c r="AJ58" i="16" s="1"/>
  <c r="AK58" i="16" s="1"/>
  <c r="AL58" i="16" s="1"/>
  <c r="X80" i="16"/>
  <c r="AJ61" i="16"/>
  <c r="AK61" i="16" s="1"/>
  <c r="AL61" i="16" s="1"/>
  <c r="X61" i="16"/>
  <c r="P41" i="16"/>
  <c r="N39" i="16" s="1"/>
  <c r="P39" i="16" s="1"/>
  <c r="AJ38" i="16" s="1"/>
  <c r="X44" i="16"/>
  <c r="AJ44" i="16"/>
  <c r="X16" i="15"/>
  <c r="AJ16" i="15"/>
  <c r="AK16" i="15" s="1"/>
  <c r="AL16" i="15" s="1"/>
  <c r="AJ40" i="16"/>
  <c r="R40" i="16"/>
  <c r="X9" i="15"/>
  <c r="AJ9" i="15"/>
  <c r="AK9" i="15" s="1"/>
  <c r="AL9" i="15" s="1"/>
  <c r="X43" i="16"/>
  <c r="X53" i="16"/>
  <c r="AJ53" i="16"/>
  <c r="X7" i="15"/>
  <c r="AJ7" i="15"/>
  <c r="AK7" i="15" s="1"/>
  <c r="AL7" i="15" s="1"/>
  <c r="R45" i="16"/>
  <c r="X45" i="16" s="1"/>
  <c r="X19" i="15"/>
  <c r="AJ19" i="15"/>
  <c r="AK19" i="15" s="1"/>
  <c r="AL19" i="15" s="1"/>
  <c r="X31" i="15"/>
  <c r="P31" i="15"/>
  <c r="N15" i="15" s="1"/>
  <c r="X64" i="15"/>
  <c r="P64" i="15"/>
  <c r="N32" i="15" s="1"/>
  <c r="X33" i="15"/>
  <c r="AJ33" i="15"/>
  <c r="AK33" i="15" s="1"/>
  <c r="AL33" i="15" s="1"/>
  <c r="X22" i="15"/>
  <c r="AJ22" i="15"/>
  <c r="AK22" i="15" s="1"/>
  <c r="AL22" i="15" s="1"/>
  <c r="X38" i="15"/>
  <c r="AJ38" i="15"/>
  <c r="AK38" i="15" s="1"/>
  <c r="AL38" i="15" s="1"/>
  <c r="X26" i="15"/>
  <c r="X42" i="15"/>
  <c r="AJ42" i="15"/>
  <c r="AK42" i="15" s="1"/>
  <c r="AL42" i="15" s="1"/>
  <c r="X59" i="15"/>
  <c r="P59" i="15"/>
  <c r="N27" i="15" s="1"/>
  <c r="AJ27" i="15" s="1"/>
  <c r="AK27" i="15" s="1"/>
  <c r="AL27" i="15" s="1"/>
  <c r="X40" i="15"/>
  <c r="P40" i="15"/>
  <c r="R27" i="15" s="1"/>
  <c r="P27" i="15" s="1"/>
  <c r="N11" i="15" s="1"/>
  <c r="X43" i="15"/>
  <c r="AJ43" i="15"/>
  <c r="AK43" i="15" s="1"/>
  <c r="AL43" i="15" s="1"/>
  <c r="X45" i="15"/>
  <c r="AJ45" i="15"/>
  <c r="AK45" i="15" s="1"/>
  <c r="AL45" i="15" s="1"/>
  <c r="X49" i="15"/>
  <c r="AJ49" i="15"/>
  <c r="AK49" i="15" s="1"/>
  <c r="AL49" i="15" s="1"/>
  <c r="X50" i="15"/>
  <c r="P50" i="15"/>
  <c r="N18" i="15" s="1"/>
  <c r="X57" i="15"/>
  <c r="P57" i="15"/>
  <c r="N25" i="15" s="1"/>
  <c r="X22" i="16"/>
  <c r="P22" i="16"/>
  <c r="R21" i="16" s="1"/>
  <c r="P21" i="16" s="1"/>
  <c r="AJ20" i="16" s="1"/>
  <c r="AK20" i="16" s="1"/>
  <c r="AL20" i="16" s="1"/>
  <c r="AJ5" i="16"/>
  <c r="AK5" i="16" s="1"/>
  <c r="AL5" i="16" s="1"/>
  <c r="P5" i="16"/>
  <c r="N3" i="16" s="1"/>
  <c r="X39" i="15"/>
  <c r="AJ39" i="15"/>
  <c r="AK39" i="15" s="1"/>
  <c r="AL39" i="15" s="1"/>
  <c r="X54" i="15"/>
  <c r="X48" i="15"/>
  <c r="X79" i="15"/>
  <c r="P79" i="15"/>
  <c r="R52" i="15" s="1"/>
  <c r="X44" i="15"/>
  <c r="X41" i="15"/>
  <c r="X34" i="15"/>
  <c r="X4" i="16"/>
  <c r="X5" i="16"/>
  <c r="X51" i="15"/>
  <c r="AJ51" i="15"/>
  <c r="AK51" i="15" s="1"/>
  <c r="AL51" i="15" s="1"/>
  <c r="X46" i="15"/>
  <c r="P46" i="15"/>
  <c r="R21" i="15" s="1"/>
  <c r="X55" i="15"/>
  <c r="P55" i="15"/>
  <c r="N23" i="15" s="1"/>
  <c r="X78" i="15"/>
  <c r="P78" i="15"/>
  <c r="R53" i="15" s="1"/>
  <c r="X35" i="15"/>
  <c r="X67" i="15"/>
  <c r="AJ67" i="15"/>
  <c r="AK67" i="15" s="1"/>
  <c r="AL67" i="15" s="1"/>
  <c r="X36" i="15"/>
  <c r="X65" i="15"/>
  <c r="AJ65" i="15"/>
  <c r="AK65" i="15" s="1"/>
  <c r="AL65" i="15" s="1"/>
  <c r="X69" i="15"/>
  <c r="P69" i="15"/>
  <c r="R62" i="15" s="1"/>
  <c r="X58" i="15"/>
  <c r="X75" i="15"/>
  <c r="P75" i="15"/>
  <c r="R56" i="15" s="1"/>
  <c r="X47" i="15"/>
  <c r="X66" i="15"/>
  <c r="X68" i="15"/>
  <c r="AJ68" i="15"/>
  <c r="AK68" i="15" s="1"/>
  <c r="AL68" i="15" s="1"/>
  <c r="X212" i="14"/>
  <c r="AJ212" i="14"/>
  <c r="AK212" i="14" s="1"/>
  <c r="AL212" i="14" s="1"/>
  <c r="X213" i="14"/>
  <c r="AK176" i="14"/>
  <c r="AL176" i="14" s="1"/>
  <c r="X14" i="9"/>
  <c r="X80" i="14"/>
  <c r="X78" i="14"/>
  <c r="X98" i="14"/>
  <c r="X13" i="9"/>
  <c r="X4" i="14"/>
  <c r="P74" i="8"/>
  <c r="AJ73" i="8" s="1"/>
  <c r="AK73" i="8" s="1"/>
  <c r="AL73" i="8" s="1"/>
  <c r="X74" i="8"/>
  <c r="AJ15" i="8"/>
  <c r="AK15" i="8" s="1"/>
  <c r="AL15" i="8" s="1"/>
  <c r="X15" i="8"/>
  <c r="X8" i="9"/>
  <c r="X15" i="9"/>
  <c r="AJ7" i="9"/>
  <c r="AK7" i="9" s="1"/>
  <c r="AL7" i="9" s="1"/>
  <c r="X7" i="9"/>
  <c r="P17" i="9"/>
  <c r="N9" i="9" s="1"/>
  <c r="X17" i="9"/>
  <c r="P3" i="14"/>
  <c r="AJ2" i="14" s="1"/>
  <c r="AK2" i="14" s="1"/>
  <c r="AL2" i="14" s="1"/>
  <c r="X3" i="14"/>
  <c r="X116" i="14"/>
  <c r="P116" i="14"/>
  <c r="AJ115" i="14" s="1"/>
  <c r="AK115" i="14" s="1"/>
  <c r="AL115" i="14" s="1"/>
  <c r="AJ4" i="9"/>
  <c r="AK4" i="9" s="1"/>
  <c r="AL4" i="9" s="1"/>
  <c r="X4" i="9"/>
  <c r="P97" i="14"/>
  <c r="AJ96" i="14" s="1"/>
  <c r="AK96" i="14" s="1"/>
  <c r="AL96" i="14" s="1"/>
  <c r="X97" i="14"/>
  <c r="AJ6" i="9"/>
  <c r="AK6" i="9" s="1"/>
  <c r="AL6" i="9" s="1"/>
  <c r="X6" i="9"/>
  <c r="P99" i="16" l="1"/>
  <c r="N97" i="16" s="1"/>
  <c r="X97" i="16" s="1"/>
  <c r="R99" i="16"/>
  <c r="X99" i="16" s="1"/>
  <c r="AJ111" i="16"/>
  <c r="AK111" i="16" s="1"/>
  <c r="AL111" i="16" s="1"/>
  <c r="AJ79" i="16"/>
  <c r="AK79" i="16" s="1"/>
  <c r="AL79" i="16" s="1"/>
  <c r="P79" i="16"/>
  <c r="AJ78" i="16" s="1"/>
  <c r="AK78" i="16" s="1"/>
  <c r="AL78" i="16" s="1"/>
  <c r="X79" i="16"/>
  <c r="AK40" i="16"/>
  <c r="AL40" i="16" s="1"/>
  <c r="AK44" i="16"/>
  <c r="AL44" i="16" s="1"/>
  <c r="AK38" i="16"/>
  <c r="AL38" i="16" s="1"/>
  <c r="AK53" i="16"/>
  <c r="AL53" i="16" s="1"/>
  <c r="AJ59" i="16"/>
  <c r="AK59" i="16" s="1"/>
  <c r="AL59" i="16" s="1"/>
  <c r="X59" i="16"/>
  <c r="X40" i="16"/>
  <c r="P40" i="16"/>
  <c r="R39" i="16" s="1"/>
  <c r="AJ45" i="16"/>
  <c r="X11" i="15"/>
  <c r="AJ11" i="15"/>
  <c r="AK11" i="15" s="1"/>
  <c r="AL11" i="15" s="1"/>
  <c r="X32" i="15"/>
  <c r="AJ32" i="15"/>
  <c r="AK32" i="15" s="1"/>
  <c r="AL32" i="15" s="1"/>
  <c r="X15" i="15"/>
  <c r="AJ15" i="15"/>
  <c r="AK15" i="15" s="1"/>
  <c r="AL15" i="15" s="1"/>
  <c r="X21" i="15"/>
  <c r="AJ21" i="15"/>
  <c r="AK21" i="15" s="1"/>
  <c r="AL21" i="15" s="1"/>
  <c r="X25" i="15"/>
  <c r="P25" i="15"/>
  <c r="R10" i="15" s="1"/>
  <c r="X18" i="15"/>
  <c r="AJ18" i="15"/>
  <c r="AK18" i="15" s="1"/>
  <c r="AL18" i="15" s="1"/>
  <c r="X52" i="15"/>
  <c r="P52" i="15"/>
  <c r="N20" i="15" s="1"/>
  <c r="X53" i="15"/>
  <c r="AJ53" i="15"/>
  <c r="AK53" i="15" s="1"/>
  <c r="AL53" i="15" s="1"/>
  <c r="X27" i="15"/>
  <c r="X23" i="15"/>
  <c r="P23" i="15"/>
  <c r="R12" i="15" s="1"/>
  <c r="AJ21" i="16"/>
  <c r="AK21" i="16" s="1"/>
  <c r="AL21" i="16" s="1"/>
  <c r="X21" i="16"/>
  <c r="X3" i="16"/>
  <c r="AJ3" i="16"/>
  <c r="AK3" i="16" s="1"/>
  <c r="AL3" i="16" s="1"/>
  <c r="X56" i="15"/>
  <c r="P56" i="15"/>
  <c r="N24" i="15" s="1"/>
  <c r="X62" i="15"/>
  <c r="P62" i="15"/>
  <c r="N30" i="15" s="1"/>
  <c r="X9" i="9"/>
  <c r="P9" i="9"/>
  <c r="N5" i="9" s="1"/>
  <c r="AK45" i="16" l="1"/>
  <c r="AL45" i="16" s="1"/>
  <c r="X39" i="16"/>
  <c r="AJ39" i="16"/>
  <c r="X10" i="15"/>
  <c r="AJ10" i="15"/>
  <c r="AK10" i="15" s="1"/>
  <c r="AL10" i="15" s="1"/>
  <c r="X30" i="15"/>
  <c r="AJ30" i="15"/>
  <c r="AK30" i="15" s="1"/>
  <c r="AL30" i="15" s="1"/>
  <c r="X20" i="15"/>
  <c r="AJ20" i="15"/>
  <c r="AK20" i="15" s="1"/>
  <c r="AL20" i="15" s="1"/>
  <c r="X12" i="15"/>
  <c r="AJ12" i="15"/>
  <c r="AK12" i="15" s="1"/>
  <c r="AL12" i="15" s="1"/>
  <c r="X24" i="15"/>
  <c r="AJ24" i="15"/>
  <c r="AK24" i="15" s="1"/>
  <c r="AL24" i="15" s="1"/>
  <c r="AJ5" i="9"/>
  <c r="AK5" i="9" s="1"/>
  <c r="AL5" i="9" s="1"/>
  <c r="X5" i="9"/>
  <c r="AK39" i="16" l="1"/>
  <c r="AL39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tc={0739B962-4B78-4FB8-87E6-5134EE127A35}</author>
    <author>tc={AEC0FB66-6993-4EAC-9031-E8974D8E26A2}</author>
    <author>tc={ADFD0C43-4176-471F-A8E4-705865D489AF}</author>
    <author>tc={6DBB44CC-C92C-48C6-B976-8427BDFEB6C4}</author>
    <author>tc={AFE2E1B2-1084-4214-86A3-1F4A2932E609}</author>
    <author>tc={9134AAE4-5425-4520-99DF-0EADC14B94D4}</author>
    <author>Alappat, Joe C (US)</author>
    <author>Ramirez, Daniel A (US)</author>
    <author>Worsdell, Logan T (US)</author>
    <author>Battista, Samuel W (US)</author>
    <author>Patel, Heran (US)</author>
  </authors>
  <commentList>
    <comment ref="K596" authorId="0" shapeId="0" xr:uid="{0739B962-4B78-4FB8-87E6-5134EE127A35}">
      <text>
        <t>[Threaded comment]
Your version of Excel allows you to read this threaded comment; however, any edits to it will get removed if the file is opened in a newer version of Excel. Learn more: https://go.microsoft.com/fwlink/?linkid=870924
Comment:
    I would give it a 2 if i could revote after witnessing the cinematic</t>
      </text>
    </comment>
    <comment ref="J787" authorId="1" shapeId="0" xr:uid="{AEC0FB66-6993-4EAC-9031-E8974D8E26A2}">
      <text>
        <t>[Threaded comment]
Your version of Excel allows you to read this threaded comment; however, any edits to it will get removed if the file is opened in a newer version of Excel. Learn more: https://go.microsoft.com/fwlink/?linkid=870924
Comment:
    1</t>
      </text>
    </comment>
    <comment ref="J788" authorId="2" shapeId="0" xr:uid="{ADFD0C43-4176-471F-A8E4-705865D489AF}">
      <text>
        <t>[Threaded comment]
Your version of Excel allows you to read this threaded comment; however, any edits to it will get removed if the file is opened in a newer version of Excel. Learn more: https://go.microsoft.com/fwlink/?linkid=870924
Comment:
    D: 2; H: 3</t>
      </text>
    </comment>
    <comment ref="J789" authorId="3" shapeId="0" xr:uid="{6DBB44CC-C92C-48C6-B976-8427BDFEB6C4}">
      <text>
        <t>[Threaded comment]
Your version of Excel allows you to read this threaded comment; however, any edits to it will get removed if the file is opened in a newer version of Excel. Learn more: https://go.microsoft.com/fwlink/?linkid=870924
Comment:
    D: 5; H: 5</t>
      </text>
    </comment>
    <comment ref="J790" authorId="4" shapeId="0" xr:uid="{AFE2E1B2-1084-4214-86A3-1F4A2932E609}">
      <text>
        <t>[Threaded comment]
Your version of Excel allows you to read this threaded comment; however, any edits to it will get removed if the file is opened in a newer version of Excel. Learn more: https://go.microsoft.com/fwlink/?linkid=870924
Comment:
    D: 3; H: 3</t>
      </text>
    </comment>
    <comment ref="J791" authorId="5" shapeId="0" xr:uid="{9134AAE4-5425-4520-99DF-0EADC14B94D4}">
      <text>
        <t>[Threaded comment]
Your version of Excel allows you to read this threaded comment; however, any edits to it will get removed if the file is opened in a newer version of Excel. Learn more: https://go.microsoft.com/fwlink/?linkid=870924
Comment:
    D: 4; H: 2</t>
      </text>
    </comment>
    <comment ref="H1047" authorId="6" shapeId="0" xr:uid="{2270D2C3-DCDF-4BB7-B5D8-F972A9E02C80}">
      <text>
        <r>
          <rPr>
            <b/>
            <sz val="9"/>
            <color indexed="81"/>
            <rFont val="Tahoma"/>
            <family val="2"/>
          </rPr>
          <t>Alappat, Joe C (US):</t>
        </r>
        <r>
          <rPr>
            <sz val="9"/>
            <color indexed="81"/>
            <rFont val="Tahoma"/>
            <family val="2"/>
          </rPr>
          <t xml:space="preserve">
Car State Inspections</t>
        </r>
      </text>
    </comment>
    <comment ref="H1048" authorId="7" shapeId="0" xr:uid="{9181E420-A1A9-4770-9BB2-155BA7C9546C}">
      <text>
        <r>
          <rPr>
            <sz val="11"/>
            <color theme="1"/>
            <rFont val="Calibri"/>
            <family val="2"/>
            <scheme val="minor"/>
          </rPr>
          <t>Ramirez, Daniel A (US):
Drumline Contest Source Music</t>
        </r>
      </text>
    </comment>
    <comment ref="H1049" authorId="8" shapeId="0" xr:uid="{C1E6E533-E64C-405E-B92F-07A6A3C68340}">
      <text>
        <r>
          <rPr>
            <sz val="11"/>
            <color theme="1"/>
            <rFont val="Calibri"/>
            <family val="2"/>
            <scheme val="minor"/>
          </rPr>
          <t>Worsdell, Logan T (US):
AI Bigfoot &amp; Yeti Vlogs</t>
        </r>
      </text>
    </comment>
    <comment ref="H1050" authorId="9" shapeId="0" xr:uid="{5F49CF2F-8ADB-4418-AD31-E31FF0C25843}">
      <text>
        <r>
          <rPr>
            <sz val="11"/>
            <color theme="1"/>
            <rFont val="Calibri"/>
            <family val="2"/>
            <scheme val="minor"/>
          </rPr>
          <t>Battista, Samuel W (US):
The Muppets</t>
        </r>
      </text>
    </comment>
    <comment ref="H1051" authorId="10" shapeId="0" xr:uid="{A1039F0E-7CFA-4BA0-8892-48AE1D4F5F95}">
      <text>
        <r>
          <rPr>
            <sz val="11"/>
            <color theme="1"/>
            <rFont val="Calibri"/>
            <family val="2"/>
            <scheme val="minor"/>
          </rPr>
          <t>Patel, Heran (US):
Hakari Dance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Alappat, Joe C (US)</author>
  </authors>
  <commentList>
    <comment ref="E38" authorId="0" shapeId="0" xr:uid="{25D3304D-74FB-46A5-A8D3-EF38E19D1ABC}">
      <text>
        <r>
          <rPr>
            <b/>
            <sz val="9"/>
            <color indexed="81"/>
            <rFont val="Tahoma"/>
            <family val="2"/>
          </rPr>
          <t>Alappat, Joe C (US):</t>
        </r>
        <r>
          <rPr>
            <sz val="9"/>
            <color indexed="81"/>
            <rFont val="Tahoma"/>
            <family val="2"/>
          </rPr>
          <t xml:space="preserve">
This is an end of year type theme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6625CD-7DDE-44E9-B420-F81B721DE23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AA84843-3CEC-4C7D-AB0A-705E3BF27F4B}" name="WorksheetConnection_MPE_Moosic_Ranks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MPE_Moosic_Ranks.xlsxData1"/>
        </x15:connection>
      </ext>
    </extLst>
  </connection>
  <connection id="3" xr16:uid="{45FF372B-AEE6-4ABF-AB9F-06B79128B6D1}" name="WorksheetConnection_Rankings!$D:$O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ankingsDO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<sst xmlns="http://schemas.openxmlformats.org/spreadsheetml/2006/main" count="11039" uniqueCount="4512">
  <si>
    <t>The Consitution of MPE Moosic</t>
  </si>
  <si>
    <t>Bill of Rights</t>
  </si>
  <si>
    <t>Rules</t>
  </si>
  <si>
    <t>Right to vote</t>
  </si>
  <si>
    <t>The user shall post a song every work day</t>
  </si>
  <si>
    <t>Right to post any song</t>
  </si>
  <si>
    <t xml:space="preserve">The user shall vote for the previous day before posting </t>
  </si>
  <si>
    <t>The user shall listen to each song until the song ends or for at least 6 minutes, whichever comes first</t>
  </si>
  <si>
    <t>The user shall be truthful with the votes</t>
  </si>
  <si>
    <t>The user shall not repeat a song</t>
  </si>
  <si>
    <t>The user shall announce the theme by Tuesday COB</t>
  </si>
  <si>
    <t>The user shall vote for the theme by noon on Wednesday</t>
  </si>
  <si>
    <t>Non-Proliferation Treaty</t>
  </si>
  <si>
    <t>Amendments</t>
  </si>
  <si>
    <t>Proposed Rules</t>
  </si>
  <si>
    <t>Joe</t>
  </si>
  <si>
    <t>Daniel</t>
  </si>
  <si>
    <t>Heran</t>
  </si>
  <si>
    <t>Sam</t>
  </si>
  <si>
    <t>Logan</t>
  </si>
  <si>
    <t>Right to veto a theme</t>
  </si>
  <si>
    <t>The user shall vote each day by 3pm unless otherwise planned.</t>
  </si>
  <si>
    <t>N</t>
  </si>
  <si>
    <t>Y</t>
  </si>
  <si>
    <t>y</t>
  </si>
  <si>
    <t>If a user doesn't submit a vote within 2 business days, their votes shall be determined by an RNG</t>
  </si>
  <si>
    <t>A user can change their song entry as long as there are less than 3 songs posted for the day.</t>
  </si>
  <si>
    <t>If a user doesn't submit their votes within 3 business days, they have to give themselves a 5 for that day.</t>
  </si>
  <si>
    <t>If rules have been proposed, votes will be cast in this document. If the rule was proposed before noon, a vote will be held and a ruling will be made by the end of the same work day. Otherwise, a vote and ruling will be held the following work day. A unanimous vote is needed to pass.</t>
  </si>
  <si>
    <t>Date</t>
  </si>
  <si>
    <t>Cover Art</t>
  </si>
  <si>
    <t>Winner of the day</t>
  </si>
  <si>
    <t>Poster</t>
  </si>
  <si>
    <t>Average</t>
  </si>
  <si>
    <t>STDEV</t>
  </si>
  <si>
    <t>Song Title</t>
  </si>
  <si>
    <t>Artist</t>
  </si>
  <si>
    <t>alappatjoe</t>
  </si>
  <si>
    <t>danram</t>
  </si>
  <si>
    <t>loganworsdell</t>
  </si>
  <si>
    <t>samuelbattista</t>
  </si>
  <si>
    <t>currydestroyer27</t>
  </si>
  <si>
    <t>Plays</t>
  </si>
  <si>
    <t>Parent Genre</t>
  </si>
  <si>
    <t>Sub-Genre</t>
  </si>
  <si>
    <t>Day Rank</t>
  </si>
  <si>
    <t>W Rank</t>
  </si>
  <si>
    <t>Winner</t>
  </si>
  <si>
    <t>Notes</t>
  </si>
  <si>
    <t>Training Season</t>
  </si>
  <si>
    <t>Dua Lipa</t>
  </si>
  <si>
    <t>Pop</t>
  </si>
  <si>
    <t>Dance Pop</t>
  </si>
  <si>
    <t>Mosquito</t>
  </si>
  <si>
    <t>PinkPantheress</t>
  </si>
  <si>
    <t>UK Garage</t>
  </si>
  <si>
    <t>Earthquake</t>
  </si>
  <si>
    <t>Ferdous</t>
  </si>
  <si>
    <t>Electronic</t>
  </si>
  <si>
    <t>Dance/Electronic</t>
  </si>
  <si>
    <t>No Problems</t>
  </si>
  <si>
    <t>Ginger Root</t>
  </si>
  <si>
    <t>Indie Pop</t>
  </si>
  <si>
    <t>Fly Away</t>
  </si>
  <si>
    <t>TheFatRat, Anjulie</t>
  </si>
  <si>
    <t>EDM</t>
  </si>
  <si>
    <t>Illusion - Extended</t>
  </si>
  <si>
    <t>Took Em Down</t>
  </si>
  <si>
    <t>BredGawd, LAZER DIM 700</t>
  </si>
  <si>
    <t>Rap</t>
  </si>
  <si>
    <t>Top 10 staTues tHat CriEd bloOd</t>
  </si>
  <si>
    <t>Bring Me The Horizon</t>
  </si>
  <si>
    <t>Metal</t>
  </si>
  <si>
    <t>Metalcore</t>
  </si>
  <si>
    <t>RATATATA</t>
  </si>
  <si>
    <t>BABYMETAL, Electric Callboy</t>
  </si>
  <si>
    <t>International</t>
  </si>
  <si>
    <t>J-Metal</t>
  </si>
  <si>
    <t>Blue Skies - Revoke Remix</t>
  </si>
  <si>
    <t>Lenka, REVOKE</t>
  </si>
  <si>
    <t>Alternative Pop</t>
  </si>
  <si>
    <t>Not My Fault</t>
  </si>
  <si>
    <t>Renee Rapp, Megan Thee Stallion</t>
  </si>
  <si>
    <t>BIRDS OF A FEATHER</t>
  </si>
  <si>
    <t>Billie Eilish</t>
  </si>
  <si>
    <t>2000 chevy malibu</t>
  </si>
  <si>
    <t>Channel Tres</t>
  </si>
  <si>
    <t>R&amp;B</t>
  </si>
  <si>
    <t>Indie soul</t>
  </si>
  <si>
    <t>Hollywood Baby</t>
  </si>
  <si>
    <t>100 gecs</t>
  </si>
  <si>
    <t>Hyperpop</t>
  </si>
  <si>
    <t>Bandit</t>
  </si>
  <si>
    <t>Don Toliver</t>
  </si>
  <si>
    <t>Standing Next to You</t>
  </si>
  <si>
    <t>Jung Kook</t>
  </si>
  <si>
    <t>K-Pop</t>
  </si>
  <si>
    <t>Lonely Rolling Star</t>
  </si>
  <si>
    <t>Katamari Soundtrack</t>
  </si>
  <si>
    <t>J-Pop</t>
  </si>
  <si>
    <t>Candle Flame</t>
  </si>
  <si>
    <t>Jungle, Erick the Architect</t>
  </si>
  <si>
    <t>UK Contemporary R&amp;B</t>
  </si>
  <si>
    <t>Fly as Me</t>
  </si>
  <si>
    <t>Silk Sonic</t>
  </si>
  <si>
    <t>Neo Soul</t>
  </si>
  <si>
    <t>Ill Mind of Hopsin 8</t>
  </si>
  <si>
    <t>Hopsin</t>
  </si>
  <si>
    <t>ラブ・ドラマティック (Funky Flag Version)</t>
  </si>
  <si>
    <t>Masayuki Suzuki, Rikka Ihara</t>
  </si>
  <si>
    <t>The Wave</t>
  </si>
  <si>
    <t>SE SO NEON</t>
  </si>
  <si>
    <t>Korean Alternative</t>
  </si>
  <si>
    <t>Intentions</t>
  </si>
  <si>
    <t>Hudson Mohawke</t>
  </si>
  <si>
    <t>Purple Sound</t>
  </si>
  <si>
    <t>Good Luck, Babe!</t>
  </si>
  <si>
    <t>Chappell Roan</t>
  </si>
  <si>
    <t>Holdin Out for a Hero</t>
  </si>
  <si>
    <t>Bonnie Tyler</t>
  </si>
  <si>
    <t>Rock</t>
  </si>
  <si>
    <t>Espresso</t>
  </si>
  <si>
    <t>Sabrina Carpenter</t>
  </si>
  <si>
    <t>Instant Crush</t>
  </si>
  <si>
    <t>Daft Punk, Julian Casablancas</t>
  </si>
  <si>
    <t>Dance-Rock</t>
  </si>
  <si>
    <t>Genghis Khan</t>
  </si>
  <si>
    <t>Miike Snow</t>
  </si>
  <si>
    <t>Indietornica</t>
  </si>
  <si>
    <t>Bangarang</t>
  </si>
  <si>
    <t>Skrillex</t>
  </si>
  <si>
    <t>Spruce</t>
  </si>
  <si>
    <t>Tori Kelly, Kim Chaewon</t>
  </si>
  <si>
    <t>Sher Khul Gaye</t>
  </si>
  <si>
    <t>Benny Dayal, Shilpa Rao, &amp; more</t>
  </si>
  <si>
    <t>Bollywood</t>
  </si>
  <si>
    <t>Virgen</t>
  </si>
  <si>
    <t>Adolescent's Orquesta</t>
  </si>
  <si>
    <t>Salsa</t>
  </si>
  <si>
    <t>Everything Goes On</t>
  </si>
  <si>
    <t>Porter Robinson, League of Legends</t>
  </si>
  <si>
    <t>Complextro</t>
  </si>
  <si>
    <t>High Horse</t>
  </si>
  <si>
    <t>Kacey Musgraves</t>
  </si>
  <si>
    <t>Country</t>
  </si>
  <si>
    <t>Contemporary Country</t>
  </si>
  <si>
    <t>Same Old Love Remix</t>
  </si>
  <si>
    <t>Selena Gomez, Fetty Wap</t>
  </si>
  <si>
    <t>Brand New World</t>
  </si>
  <si>
    <t>D-51</t>
  </si>
  <si>
    <t>Psychopomp</t>
  </si>
  <si>
    <t>Thank You Scientist</t>
  </si>
  <si>
    <t>Progressive Rock</t>
  </si>
  <si>
    <t>Really good cry</t>
  </si>
  <si>
    <t>BETWEEN FRIENDS</t>
  </si>
  <si>
    <t>ABC</t>
  </si>
  <si>
    <t>Polyphia, Sophia Black</t>
  </si>
  <si>
    <t>Progressive Metal</t>
  </si>
  <si>
    <t>Right Now</t>
  </si>
  <si>
    <t>New Jeans</t>
  </si>
  <si>
    <t>LOST IN PARADISE</t>
  </si>
  <si>
    <t>ALI, AKLO</t>
  </si>
  <si>
    <t>J-Rap</t>
  </si>
  <si>
    <t>Mass Critical Error</t>
  </si>
  <si>
    <t>Sybyr</t>
  </si>
  <si>
    <t>KLINK</t>
  </si>
  <si>
    <t>Smino</t>
  </si>
  <si>
    <t>Alertnative R&amp;B</t>
  </si>
  <si>
    <t>Sadie Sorceress</t>
  </si>
  <si>
    <t>King Gizard &amp; The Lizard Wizard</t>
  </si>
  <si>
    <t>Other</t>
  </si>
  <si>
    <t>Neo-Psychedelic</t>
  </si>
  <si>
    <t>Russian Roulette</t>
  </si>
  <si>
    <t>Red Velvet</t>
  </si>
  <si>
    <t>Moanin'</t>
  </si>
  <si>
    <t>Mingus Big Band</t>
  </si>
  <si>
    <t>Jazz</t>
  </si>
  <si>
    <t>Big Band Jazz</t>
  </si>
  <si>
    <t>Theme: Hectic</t>
  </si>
  <si>
    <t>lost</t>
  </si>
  <si>
    <t>hkmori</t>
  </si>
  <si>
    <t>Breakcore</t>
  </si>
  <si>
    <t>Demons Around</t>
  </si>
  <si>
    <t>yatashigang</t>
  </si>
  <si>
    <t>Gym Phonk</t>
  </si>
  <si>
    <t>Doritos &amp; Fritos</t>
  </si>
  <si>
    <t>SMOKE IT OFF!</t>
  </si>
  <si>
    <t>Lumi Athena, jnhygs</t>
  </si>
  <si>
    <t>Spain</t>
  </si>
  <si>
    <t>US Air Force Airmen of Note</t>
  </si>
  <si>
    <t>Ski</t>
  </si>
  <si>
    <t>YSL, Young Thug, Gunna</t>
  </si>
  <si>
    <t>On God</t>
  </si>
  <si>
    <t>N7, Pwap</t>
  </si>
  <si>
    <t>Ignorance</t>
  </si>
  <si>
    <t>Paramore</t>
  </si>
  <si>
    <t>Pop Punk</t>
  </si>
  <si>
    <t>You &amp; Me</t>
  </si>
  <si>
    <t>Jennie</t>
  </si>
  <si>
    <t>Birdland</t>
  </si>
  <si>
    <t>Maynard Ferguson</t>
  </si>
  <si>
    <t>Stop Signs are Merely Suggestions</t>
  </si>
  <si>
    <t>Moving Boxes</t>
  </si>
  <si>
    <t>Post Pop Punk</t>
  </si>
  <si>
    <t>Throw Shade</t>
  </si>
  <si>
    <t>CRUISR</t>
  </si>
  <si>
    <t>Indie Poptimism</t>
  </si>
  <si>
    <t>Interstellar Love</t>
  </si>
  <si>
    <t>Nine Spark Riots</t>
  </si>
  <si>
    <t>Modern Funk</t>
  </si>
  <si>
    <t>Who's Ready for Tomorrow</t>
  </si>
  <si>
    <t>RAT BOY, IBDY</t>
  </si>
  <si>
    <t>specialist</t>
  </si>
  <si>
    <t>アトラスサウンドチーム</t>
  </si>
  <si>
    <t>VGM Jazz</t>
  </si>
  <si>
    <t>CRYING IN THE KITCHEN</t>
  </si>
  <si>
    <t>Dave Blunts</t>
  </si>
  <si>
    <t>Naruto x So What</t>
  </si>
  <si>
    <t>AniLifts, Mqx, ilysmoke</t>
  </si>
  <si>
    <t>Gym Hardstyle</t>
  </si>
  <si>
    <t>Rapp Snitch Knishes</t>
  </si>
  <si>
    <t>MF DOOM</t>
  </si>
  <si>
    <t>Last Surprise</t>
  </si>
  <si>
    <t>Lyn</t>
  </si>
  <si>
    <t>Funk Rock</t>
  </si>
  <si>
    <t>Life Will Change</t>
  </si>
  <si>
    <t>VGM</t>
  </si>
  <si>
    <t>One day early</t>
  </si>
  <si>
    <t>Vem pra ser meu refrao</t>
  </si>
  <si>
    <t>Reinaldo</t>
  </si>
  <si>
    <t>Samba</t>
  </si>
  <si>
    <t>Otaku Hot Girl</t>
  </si>
  <si>
    <t>Megan Thee Stallion</t>
  </si>
  <si>
    <t>Houston Rap</t>
  </si>
  <si>
    <t>BABY SAID</t>
  </si>
  <si>
    <t>Maneskin</t>
  </si>
  <si>
    <t>Number One - Bankai</t>
  </si>
  <si>
    <t>Shiro Sagisu, Hazel Fernandes</t>
  </si>
  <si>
    <t>Plastic Love</t>
  </si>
  <si>
    <t>Friday Night Plans</t>
  </si>
  <si>
    <t>Molasses</t>
  </si>
  <si>
    <t>Hiatus Kaiyote</t>
  </si>
  <si>
    <t>Jazz Funk</t>
  </si>
  <si>
    <t>Papaoutai</t>
  </si>
  <si>
    <t>Stromae</t>
  </si>
  <si>
    <t>Belgian Pop</t>
  </si>
  <si>
    <t>End of Beginning</t>
  </si>
  <si>
    <t>Djo</t>
  </si>
  <si>
    <t>Psychedelic Pop</t>
  </si>
  <si>
    <t>Chasing The Sun</t>
  </si>
  <si>
    <t>The Wanted</t>
  </si>
  <si>
    <t>Kimijyanakya Damemitai</t>
  </si>
  <si>
    <t>Masayoshi Oishi</t>
  </si>
  <si>
    <t>Anime Rock</t>
  </si>
  <si>
    <t>Impulse</t>
  </si>
  <si>
    <t>An Endless Sporadic</t>
  </si>
  <si>
    <t>DNA</t>
  </si>
  <si>
    <t>Ghali</t>
  </si>
  <si>
    <t>Pop Italiano</t>
  </si>
  <si>
    <t>From The Start</t>
  </si>
  <si>
    <t>Laufey</t>
  </si>
  <si>
    <t>Jazz Pop</t>
  </si>
  <si>
    <t>Hanabi</t>
  </si>
  <si>
    <t>Ikimonogakari</t>
  </si>
  <si>
    <t>あの空の向こうがわへ</t>
  </si>
  <si>
    <t>Junk Fujiyama</t>
  </si>
  <si>
    <t>Electronic Girl</t>
  </si>
  <si>
    <t>Chinese Football</t>
  </si>
  <si>
    <t>Indie Rock</t>
  </si>
  <si>
    <t>Waves Wandering</t>
  </si>
  <si>
    <t>EggPlantEgg</t>
  </si>
  <si>
    <t>Mandopop</t>
  </si>
  <si>
    <t>Punk Tactics</t>
  </si>
  <si>
    <t>Joey Valence &amp; Brae</t>
  </si>
  <si>
    <t>Rap Rock</t>
  </si>
  <si>
    <t>Great Escape</t>
  </si>
  <si>
    <t>Cinema Staff</t>
  </si>
  <si>
    <t>Japanese Alternative Rock</t>
  </si>
  <si>
    <t>The Greatest</t>
  </si>
  <si>
    <t>Sia, Kendrick Lamar</t>
  </si>
  <si>
    <t>Theme: 2016</t>
  </si>
  <si>
    <t>Finish Line / Drown</t>
  </si>
  <si>
    <t>Chance the Rapper</t>
  </si>
  <si>
    <t>Lavender</t>
  </si>
  <si>
    <t>Two Door Cinema Club</t>
  </si>
  <si>
    <t>Indietronica</t>
  </si>
  <si>
    <t>Congratulations</t>
  </si>
  <si>
    <t>Post Malone</t>
  </si>
  <si>
    <t>Chill Bill</t>
  </si>
  <si>
    <t>Rob $tone, J. DaviS, J Spooks</t>
  </si>
  <si>
    <t>Pop Rap</t>
  </si>
  <si>
    <t>Silk &amp; Cologne</t>
  </si>
  <si>
    <t>EI8HT, Offset</t>
  </si>
  <si>
    <t>Hip-Hop</t>
  </si>
  <si>
    <t>HAZARD DUTY PAY!</t>
  </si>
  <si>
    <t>JPEGMAFIA</t>
  </si>
  <si>
    <t>Me (FWM)</t>
  </si>
  <si>
    <t>Meek Mill, A$AP Ferg</t>
  </si>
  <si>
    <t>Philly Rap</t>
  </si>
  <si>
    <t>Watch The World Burn</t>
  </si>
  <si>
    <t>Falling in Reverse</t>
  </si>
  <si>
    <t>Alternative Metal</t>
  </si>
  <si>
    <t>Annihilate</t>
  </si>
  <si>
    <t>Metro Boomin, Swae Lee, Lil Wayne</t>
  </si>
  <si>
    <t>Mona Lisa</t>
  </si>
  <si>
    <t>Dominic Fike</t>
  </si>
  <si>
    <t>Alternative R&amp;B</t>
  </si>
  <si>
    <t>Lonely At The Top</t>
  </si>
  <si>
    <t>Asake</t>
  </si>
  <si>
    <t>Afro-Beat</t>
  </si>
  <si>
    <t>Feel It</t>
  </si>
  <si>
    <t>d4vd</t>
  </si>
  <si>
    <t>Bedroom Pop</t>
  </si>
  <si>
    <t>Them Changes</t>
  </si>
  <si>
    <t>Thundercat</t>
  </si>
  <si>
    <t>Funk</t>
  </si>
  <si>
    <t>Lil Wayne, Kendrick Lamar</t>
  </si>
  <si>
    <t>Trap</t>
  </si>
  <si>
    <t>Comedy</t>
  </si>
  <si>
    <t>Gen Hoshino</t>
  </si>
  <si>
    <t>F.C.P.R.E.M.I.X</t>
  </si>
  <si>
    <t>The Fall of Troy</t>
  </si>
  <si>
    <t>Post-Pop Punk</t>
  </si>
  <si>
    <t>Nomu</t>
  </si>
  <si>
    <t>Good Kid</t>
  </si>
  <si>
    <t>BEST INTEREST</t>
  </si>
  <si>
    <t>Tyler, The Creator</t>
  </si>
  <si>
    <t>Nobody</t>
  </si>
  <si>
    <t>OneRepublic</t>
  </si>
  <si>
    <t>Synth Pop</t>
  </si>
  <si>
    <t>I Don't Do Drugs</t>
  </si>
  <si>
    <t>Doja Cat, Ariana Grande</t>
  </si>
  <si>
    <t>Theme: hammock vibes</t>
  </si>
  <si>
    <t>Otro Atardecer</t>
  </si>
  <si>
    <t>Bad Bunny, The Marias</t>
  </si>
  <si>
    <t>Latin Pop</t>
  </si>
  <si>
    <t>I Main Samus Now</t>
  </si>
  <si>
    <t>Sleepy Fish</t>
  </si>
  <si>
    <t>Lo-Fi</t>
  </si>
  <si>
    <t>Over the Rainbow</t>
  </si>
  <si>
    <t>Israel Kamakawiwo'ole</t>
  </si>
  <si>
    <t>Hawaiian Pop</t>
  </si>
  <si>
    <t>Suzume</t>
  </si>
  <si>
    <t>RADWIMPS, Toaka</t>
  </si>
  <si>
    <t>Demeanor</t>
  </si>
  <si>
    <t>Pop Smoke, Dua Lipa</t>
  </si>
  <si>
    <t>Kill V. Maim</t>
  </si>
  <si>
    <t>Grimes</t>
  </si>
  <si>
    <t>Hyper Pop</t>
  </si>
  <si>
    <t>princess peach</t>
  </si>
  <si>
    <t>Young Miko</t>
  </si>
  <si>
    <t>Trap Latino</t>
  </si>
  <si>
    <t>Maggot Brain</t>
  </si>
  <si>
    <t>Funkadelic</t>
  </si>
  <si>
    <t>Psychedelic Rock</t>
  </si>
  <si>
    <t>I really want to stay at your house</t>
  </si>
  <si>
    <t xml:space="preserve">Rosa Walton, Hallie Coginns </t>
  </si>
  <si>
    <t>Electro Pop</t>
  </si>
  <si>
    <t>Caught Up</t>
  </si>
  <si>
    <t>Usher</t>
  </si>
  <si>
    <t>Brookyln Bridge To Chorus</t>
  </si>
  <si>
    <t>The Strokes</t>
  </si>
  <si>
    <t>Wonderful</t>
  </si>
  <si>
    <t>Mullally</t>
  </si>
  <si>
    <t>CEO OF MY ASS</t>
  </si>
  <si>
    <t>Dev Lemons</t>
  </si>
  <si>
    <t>Boulevard of Broken Dreams</t>
  </si>
  <si>
    <t>Green Day</t>
  </si>
  <si>
    <t>Alternative Rock</t>
  </si>
  <si>
    <t>Corazón</t>
  </si>
  <si>
    <t>Maluma, Nego de Borel</t>
  </si>
  <si>
    <t>Reggaeton</t>
  </si>
  <si>
    <t>Neverita</t>
  </si>
  <si>
    <t>Bad Bunny</t>
  </si>
  <si>
    <t>Latin-Pop</t>
  </si>
  <si>
    <t>Bow Down</t>
  </si>
  <si>
    <t>I Prevail</t>
  </si>
  <si>
    <t>Nu-Metalcore</t>
  </si>
  <si>
    <t>Granite</t>
  </si>
  <si>
    <t>Sleep Token</t>
  </si>
  <si>
    <t>Progressive Djent R&amp;B</t>
  </si>
  <si>
    <t>Mamushi</t>
  </si>
  <si>
    <t>Megan Thee Stallion, Yuki Chiba</t>
  </si>
  <si>
    <t>Wii Shop Channel - acapella</t>
  </si>
  <si>
    <t>Maytree</t>
  </si>
  <si>
    <t>Theme: A Cappela</t>
  </si>
  <si>
    <t>Don't Speak</t>
  </si>
  <si>
    <t>VoicePlay, Hannah Juliano</t>
  </si>
  <si>
    <t>You Don't Know Nothin'</t>
  </si>
  <si>
    <t>H3rizon</t>
  </si>
  <si>
    <t>Bridge Over Troubled Water</t>
  </si>
  <si>
    <t>Jacob Collier, John Legend, Tori Kelly</t>
  </si>
  <si>
    <t>Pop R&amp;B</t>
  </si>
  <si>
    <t>Life Could Be A Dream</t>
  </si>
  <si>
    <t xml:space="preserve">Street Corner Renaissance </t>
  </si>
  <si>
    <t>Doo-Wop</t>
  </si>
  <si>
    <t>Pasoori</t>
  </si>
  <si>
    <t>Shae Gill, Ali Sethi</t>
  </si>
  <si>
    <t>Small Worlds</t>
  </si>
  <si>
    <t>Mac Miller</t>
  </si>
  <si>
    <t>Closer</t>
  </si>
  <si>
    <t>vaultboy, salem ilese</t>
  </si>
  <si>
    <t>Modern Indie Pop</t>
  </si>
  <si>
    <t>Hash Pipe</t>
  </si>
  <si>
    <t>Weezer</t>
  </si>
  <si>
    <t>Nothing Matters</t>
  </si>
  <si>
    <t>The Last Dinner Party</t>
  </si>
  <si>
    <t>KOD</t>
  </si>
  <si>
    <t>J. Cole</t>
  </si>
  <si>
    <t>Magnetic</t>
  </si>
  <si>
    <t>ILLIT</t>
  </si>
  <si>
    <t>Bossa No Sé</t>
  </si>
  <si>
    <t>Cuco, Jean Carter</t>
  </si>
  <si>
    <t>Dream Pop</t>
  </si>
  <si>
    <t>Pink + White</t>
  </si>
  <si>
    <t>Frank Ocean</t>
  </si>
  <si>
    <t>Lucky Girl Syndrome</t>
  </si>
  <si>
    <t>Deja Vu</t>
  </si>
  <si>
    <t>Beyoncé, Jay-Z</t>
  </si>
  <si>
    <t>FRONTAL LOBE MUSIK</t>
  </si>
  <si>
    <t>Daniel Caesar, Pharrell Williams</t>
  </si>
  <si>
    <t>Guilty Conscience</t>
  </si>
  <si>
    <t>070 Shake</t>
  </si>
  <si>
    <t>New Jersey Hip-Hop</t>
  </si>
  <si>
    <t>Steps Beach</t>
  </si>
  <si>
    <t>Childish Gambino</t>
  </si>
  <si>
    <t>Hopeless Romantic</t>
  </si>
  <si>
    <t>Wiz Khalifa, Swae Lee</t>
  </si>
  <si>
    <t>The Disaster of Passion</t>
  </si>
  <si>
    <t>AISHA, Arc System Works</t>
  </si>
  <si>
    <t>Theme: Girly</t>
  </si>
  <si>
    <t>Super Bass</t>
  </si>
  <si>
    <t>Nicki Minaj</t>
  </si>
  <si>
    <t>Disco Tits</t>
  </si>
  <si>
    <t>Tove Lo</t>
  </si>
  <si>
    <t>metropopolis</t>
  </si>
  <si>
    <t>Gimme Chocolate!!</t>
  </si>
  <si>
    <t>BABYMETAL</t>
  </si>
  <si>
    <t>Kawaii Metal</t>
  </si>
  <si>
    <t>Only Girl (In The World)</t>
  </si>
  <si>
    <t>Rihanna</t>
  </si>
  <si>
    <t>Drumhead Pulsation</t>
  </si>
  <si>
    <t>Arc System Works</t>
  </si>
  <si>
    <t>VGM Rock</t>
  </si>
  <si>
    <t>Pressure</t>
  </si>
  <si>
    <t>Rushy</t>
  </si>
  <si>
    <t>UK-Rap</t>
  </si>
  <si>
    <t>Please Don't Fall In Love With Me</t>
  </si>
  <si>
    <t>Khalid</t>
  </si>
  <si>
    <t>Let The Light In</t>
  </si>
  <si>
    <t>Lana Del Rey</t>
  </si>
  <si>
    <t>Indie Folk</t>
  </si>
  <si>
    <t>Rain</t>
  </si>
  <si>
    <t>Aitch, AJ Tracey, Tay Keith</t>
  </si>
  <si>
    <t>Jack-a-Dandy</t>
  </si>
  <si>
    <t>Daisuke Ishiwatari</t>
  </si>
  <si>
    <t>Scar Tissue</t>
  </si>
  <si>
    <t>Red Hot Chili Peppers</t>
  </si>
  <si>
    <t>The Hammer</t>
  </si>
  <si>
    <t>Kublai Khan TX</t>
  </si>
  <si>
    <t>Metallic Hardcore</t>
  </si>
  <si>
    <t>Proggresive Djent R&amp;B</t>
  </si>
  <si>
    <t>Love the Subhuman Self</t>
  </si>
  <si>
    <t>AISHA, Jamison Boaz, Arc System Works</t>
  </si>
  <si>
    <t>Kanzuki Beach</t>
  </si>
  <si>
    <t>Keiki Kobayashi</t>
  </si>
  <si>
    <t>Acting</t>
  </si>
  <si>
    <t>Sweet Trip</t>
  </si>
  <si>
    <t>shy girl</t>
  </si>
  <si>
    <t>wilo wilde</t>
  </si>
  <si>
    <t>Bedroom Electronic</t>
  </si>
  <si>
    <t>Time/Breath Reprise</t>
  </si>
  <si>
    <t>Greensky Bluegrass</t>
  </si>
  <si>
    <t>Bluegrass</t>
  </si>
  <si>
    <t>Parado no Bailao</t>
  </si>
  <si>
    <t>MC L da Vinte, MC Gury</t>
  </si>
  <si>
    <t>Brazilian Funk</t>
  </si>
  <si>
    <t>奇術師のバイレ</t>
  </si>
  <si>
    <t>Yoshihisa Hirano</t>
  </si>
  <si>
    <t>Theme: Instruments only
Tie Breaker Needed</t>
  </si>
  <si>
    <t>The Woven Web</t>
  </si>
  <si>
    <t>Animals As Leaders</t>
  </si>
  <si>
    <t>Funk for Your Life</t>
  </si>
  <si>
    <t>Dominic Glover, Gary Crockett, Jason Glover</t>
  </si>
  <si>
    <t>Jazz-Funk</t>
  </si>
  <si>
    <t>Lingus</t>
  </si>
  <si>
    <t>Snarky Puppy</t>
  </si>
  <si>
    <t>Fusion</t>
  </si>
  <si>
    <t>clavar la espada</t>
  </si>
  <si>
    <t>Shiro Sagisu</t>
  </si>
  <si>
    <t>Instrumental</t>
  </si>
  <si>
    <t>Guess</t>
  </si>
  <si>
    <t>Charli xcx, Billie Eilish</t>
  </si>
  <si>
    <t>Charli xcx</t>
  </si>
  <si>
    <t>Dance EDM</t>
  </si>
  <si>
    <t>No Trends</t>
  </si>
  <si>
    <t>Mike Dimes</t>
  </si>
  <si>
    <t>Southern Hip Hop</t>
  </si>
  <si>
    <t>The Reason</t>
  </si>
  <si>
    <t>Hoobastank</t>
  </si>
  <si>
    <t>Alt Rock</t>
  </si>
  <si>
    <t>Disparate Youth</t>
  </si>
  <si>
    <t>Santigold</t>
  </si>
  <si>
    <t>Greedy</t>
  </si>
  <si>
    <t>Ariana Grande</t>
  </si>
  <si>
    <t>Atrevete-Te-Te</t>
  </si>
  <si>
    <t>Calle 13</t>
  </si>
  <si>
    <t>Touch It - Remix</t>
  </si>
  <si>
    <t>Busta Rhymes, Mary J. Blige, Missy Elliott, DMX, Rah Digga, Lloyd Banks, Papoose</t>
  </si>
  <si>
    <t>East Coast Hip Hop</t>
  </si>
  <si>
    <t>Modern Girl</t>
  </si>
  <si>
    <t>Bleachers</t>
  </si>
  <si>
    <t>Pop Rock</t>
  </si>
  <si>
    <t>Ali in The Jungle</t>
  </si>
  <si>
    <t>The Hours</t>
  </si>
  <si>
    <t>Alchemy</t>
  </si>
  <si>
    <t>Jake Kaufman, Dale North</t>
  </si>
  <si>
    <t>Lithonia</t>
  </si>
  <si>
    <t>Wonder</t>
  </si>
  <si>
    <t>Jay Prince</t>
  </si>
  <si>
    <t>uk alternative hip hop</t>
  </si>
  <si>
    <t>Brown's Ferry Blues</t>
  </si>
  <si>
    <t>Tony Trischka, Billy Strings</t>
  </si>
  <si>
    <t>Going On</t>
  </si>
  <si>
    <t>Gnarls Barkley</t>
  </si>
  <si>
    <t>Psychedelic Soul</t>
  </si>
  <si>
    <t>Classical Gangsta</t>
  </si>
  <si>
    <t>Ryze Hendricks, G-Rome</t>
  </si>
  <si>
    <t>Theme: Inverse</t>
  </si>
  <si>
    <t>Put The Money In The Bag</t>
  </si>
  <si>
    <t>Yuno Miles</t>
  </si>
  <si>
    <t>Progressive Rap</t>
  </si>
  <si>
    <t>Not There Yet</t>
  </si>
  <si>
    <t>Pardison Fontaine</t>
  </si>
  <si>
    <t>upstate ny rap</t>
  </si>
  <si>
    <t>money machine - A.G. Cook Remix</t>
  </si>
  <si>
    <t>100 gecs, A.G. Cook</t>
  </si>
  <si>
    <t>Приютил свинью</t>
  </si>
  <si>
    <t>LOX333 AND IDIOT666</t>
  </si>
  <si>
    <t>Ric Flair Drip</t>
  </si>
  <si>
    <t>Offset, Metro Boomin</t>
  </si>
  <si>
    <t>Becane - A COLORS SHOW</t>
  </si>
  <si>
    <t>Yame</t>
  </si>
  <si>
    <t>French R&amp;B</t>
  </si>
  <si>
    <t>Ruined Me</t>
  </si>
  <si>
    <t>Muni Long</t>
  </si>
  <si>
    <t xml:space="preserve">	indie r&amp;b</t>
  </si>
  <si>
    <t>Missin' You Like This</t>
  </si>
  <si>
    <t>Post Malone, Luke Combs</t>
  </si>
  <si>
    <t>Pop Country</t>
  </si>
  <si>
    <t>Mystery Lady</t>
  </si>
  <si>
    <t>Masego, Don Toliver</t>
  </si>
  <si>
    <t>Ardent Rhythm</t>
  </si>
  <si>
    <t>Kenji Ito</t>
  </si>
  <si>
    <t>Mammagammaguchi</t>
  </si>
  <si>
    <t>EX-LYD</t>
  </si>
  <si>
    <t>Electronic Rock</t>
  </si>
  <si>
    <t>Lotus Flower Bomb</t>
  </si>
  <si>
    <t>Wale, Miguel</t>
  </si>
  <si>
    <t>urban contemporary</t>
  </si>
  <si>
    <t>Before The Next Teardrop Falls</t>
  </si>
  <si>
    <t>Freddy Fender</t>
  </si>
  <si>
    <t>Tejano</t>
  </si>
  <si>
    <t>Shove It</t>
  </si>
  <si>
    <t>Santigold, Spank Rock</t>
  </si>
  <si>
    <t>Never Too Much</t>
  </si>
  <si>
    <t>Luther Vandross</t>
  </si>
  <si>
    <t>FAMJAM40000</t>
  </si>
  <si>
    <t>Jordan Ward</t>
  </si>
  <si>
    <t>Dance/R&amp;B</t>
  </si>
  <si>
    <t>Never Ask</t>
  </si>
  <si>
    <t>Shayhan</t>
  </si>
  <si>
    <t>Alt-Electronic</t>
  </si>
  <si>
    <t>Sing Along</t>
  </si>
  <si>
    <t>Sturgill Simpson</t>
  </si>
  <si>
    <t>Alternative Country</t>
  </si>
  <si>
    <t>Rolled up</t>
  </si>
  <si>
    <t>Shinzou</t>
  </si>
  <si>
    <t>Arid Sands - Night</t>
  </si>
  <si>
    <t>SEGA SOUND TEAM, Kenichi Tokoi</t>
  </si>
  <si>
    <t>Theme: Mid Song</t>
  </si>
  <si>
    <t>Lazy Boy</t>
  </si>
  <si>
    <t>The Voidz</t>
  </si>
  <si>
    <t>The Flux</t>
  </si>
  <si>
    <t>Trayce Chapman</t>
  </si>
  <si>
    <t>denver rap</t>
  </si>
  <si>
    <t>Like A Drug</t>
  </si>
  <si>
    <t>BRKN LOVE</t>
  </si>
  <si>
    <t>STYX HELIX</t>
  </si>
  <si>
    <t>MYTH &amp; ROID</t>
  </si>
  <si>
    <t>J-Rock</t>
  </si>
  <si>
    <t>Fighting Animals</t>
  </si>
  <si>
    <t>Satoru Kosaki</t>
  </si>
  <si>
    <t>Floaty Boaty</t>
  </si>
  <si>
    <t>House Tours</t>
  </si>
  <si>
    <t>Progessive Punk</t>
  </si>
  <si>
    <t>Close Your Eyes(And Count to Fuck)</t>
  </si>
  <si>
    <t>Run the Jewelz, EI-P, Killer Mike, Zack De La Rocha</t>
  </si>
  <si>
    <t>NEW MAGIC WAND</t>
  </si>
  <si>
    <t>Tyler the Creator</t>
  </si>
  <si>
    <t>The Walker</t>
  </si>
  <si>
    <t>Fitz and The Tantrums</t>
  </si>
  <si>
    <t>Neo-Soul</t>
  </si>
  <si>
    <t>Monster</t>
  </si>
  <si>
    <t>Kanye West, Jay-Z, Rick Ross, Nicki Minaj, Bon Iver</t>
  </si>
  <si>
    <t>Slide</t>
  </si>
  <si>
    <t>Calvin Harris, Frank Ocean, Migos, Funk Wav</t>
  </si>
  <si>
    <t>Dance</t>
  </si>
  <si>
    <t>No Hands</t>
  </si>
  <si>
    <t>Waka Flocka Flame, Roscoe Dash, Wale</t>
  </si>
  <si>
    <t>Gold Digger</t>
  </si>
  <si>
    <t>Kanye West, Jaime Foxx</t>
  </si>
  <si>
    <t>3005</t>
  </si>
  <si>
    <t>Contemporary R&amp;B</t>
  </si>
  <si>
    <t>IV. Sweatpants</t>
  </si>
  <si>
    <t>Family Business</t>
  </si>
  <si>
    <t>Kanye West</t>
  </si>
  <si>
    <t>Red Lights</t>
  </si>
  <si>
    <t>Dirty Heads</t>
  </si>
  <si>
    <t>Blinding Lights</t>
  </si>
  <si>
    <t>The Weekend</t>
  </si>
  <si>
    <t>Heartless</t>
  </si>
  <si>
    <t>Pop-Rap</t>
  </si>
  <si>
    <t>Go-Getters</t>
  </si>
  <si>
    <t>Mori Calliope</t>
  </si>
  <si>
    <t>Theme: Guilty Pleasure</t>
  </si>
  <si>
    <t>Devil Town</t>
  </si>
  <si>
    <t>Cavetown</t>
  </si>
  <si>
    <t>Eeniee Meenie</t>
  </si>
  <si>
    <t>Justin Bieber, Sean Kingston</t>
  </si>
  <si>
    <t>You'll Be Back</t>
  </si>
  <si>
    <t>Jonathan Groff</t>
  </si>
  <si>
    <t>Musical</t>
  </si>
  <si>
    <t>Don't Say "Lazy"</t>
  </si>
  <si>
    <t>Sakurakou (Ho-Kago Tea Time)</t>
  </si>
  <si>
    <t>Go Crazy</t>
  </si>
  <si>
    <t>Chris Brown, Young Thug</t>
  </si>
  <si>
    <t>Early B/C Holiday</t>
  </si>
  <si>
    <t>Agosto</t>
  </si>
  <si>
    <t>Latin R&amp;B</t>
  </si>
  <si>
    <t>Single Again</t>
  </si>
  <si>
    <t>Big Sean</t>
  </si>
  <si>
    <t>Every Time We Touch - TEKKNO Version</t>
  </si>
  <si>
    <t>Electric Callboy</t>
  </si>
  <si>
    <t>Dark Crow</t>
  </si>
  <si>
    <t>Man With A Mission</t>
  </si>
  <si>
    <t>Lady Writer</t>
  </si>
  <si>
    <t>Dire Straits</t>
  </si>
  <si>
    <t>You Only Live Once</t>
  </si>
  <si>
    <t>Talking Body</t>
  </si>
  <si>
    <t>Chimera</t>
  </si>
  <si>
    <t>Polyphia, Lil West</t>
  </si>
  <si>
    <t>Clint Eastwood</t>
  </si>
  <si>
    <t>Gorillaz</t>
  </si>
  <si>
    <t>RED OUT</t>
  </si>
  <si>
    <t>Kenshi Yonezu</t>
  </si>
  <si>
    <t>SORRY 4 THAT MUCH</t>
  </si>
  <si>
    <t>Feid</t>
  </si>
  <si>
    <t>Got Me Started</t>
  </si>
  <si>
    <t>Troye Sivan</t>
  </si>
  <si>
    <t>Real Love Baby</t>
  </si>
  <si>
    <t>Father John Misty</t>
  </si>
  <si>
    <t>Indie</t>
  </si>
  <si>
    <t>Find Your Love</t>
  </si>
  <si>
    <t>Drake</t>
  </si>
  <si>
    <t>Pop-R&amp;B</t>
  </si>
  <si>
    <t>SOS</t>
  </si>
  <si>
    <t>Theme: Band4Band (Rihanna)</t>
  </si>
  <si>
    <t>S&amp;M</t>
  </si>
  <si>
    <t>Hate That I Love You</t>
  </si>
  <si>
    <t>Where Have You Been</t>
  </si>
  <si>
    <t>Don't Stop The Music</t>
  </si>
  <si>
    <t>Nu Disco</t>
  </si>
  <si>
    <t>FREEDOM</t>
  </si>
  <si>
    <t>Home Made Kazoku</t>
  </si>
  <si>
    <t>El Amor De Su Vida</t>
  </si>
  <si>
    <t>Grupo Frontera, Grupo Firme</t>
  </si>
  <si>
    <t>Regional Mexican</t>
  </si>
  <si>
    <t>CIVIL WAR - Bonus</t>
  </si>
  <si>
    <t>Russ</t>
  </si>
  <si>
    <t>Seventh Heaven</t>
  </si>
  <si>
    <t>INOHA</t>
  </si>
  <si>
    <t>Kehlani (Remix)</t>
  </si>
  <si>
    <t>Jordan Adetunji, Kehlani</t>
  </si>
  <si>
    <t>Irish Drill</t>
  </si>
  <si>
    <t>Murdergram Deux</t>
  </si>
  <si>
    <t>LL COOL J, Eminem</t>
  </si>
  <si>
    <t>Feel the Fiyaaaaah</t>
  </si>
  <si>
    <t>Metro Boomin, A$AP Rocky, Takeoff</t>
  </si>
  <si>
    <t>Plaksteris</t>
  </si>
  <si>
    <t>Singapuras Satins, Samanta Tina</t>
  </si>
  <si>
    <t>What's Going On</t>
  </si>
  <si>
    <t>Marvin Gaye</t>
  </si>
  <si>
    <t>Fragili</t>
  </si>
  <si>
    <t>Club Dogo, Arisa</t>
  </si>
  <si>
    <t>Rap Italiano</t>
  </si>
  <si>
    <t>勇者</t>
  </si>
  <si>
    <t>Yoasobi</t>
  </si>
  <si>
    <t>夜に駆ける</t>
  </si>
  <si>
    <t>祝福</t>
  </si>
  <si>
    <t>怪物</t>
  </si>
  <si>
    <t>Romance</t>
  </si>
  <si>
    <t>Say Nada (JME Remix)</t>
  </si>
  <si>
    <t>Shakka, Jme</t>
  </si>
  <si>
    <t>Theme: Overly British</t>
  </si>
  <si>
    <t>Kill the Director</t>
  </si>
  <si>
    <t>The Wombats</t>
  </si>
  <si>
    <t>She's A 10 But...</t>
  </si>
  <si>
    <t>ARTAN, Spencer Elmer</t>
  </si>
  <si>
    <t>Sprinter</t>
  </si>
  <si>
    <t>Dave, Central Cee</t>
  </si>
  <si>
    <t>Drill Rap</t>
  </si>
  <si>
    <t>Sweet Dreams (Are Made Of This)</t>
  </si>
  <si>
    <t>Eurythmics, Annie Lennox, Dave Stewart</t>
  </si>
  <si>
    <t>Synth-Pop</t>
  </si>
  <si>
    <t>New Woman</t>
  </si>
  <si>
    <t>LISA, ROSALÍA</t>
  </si>
  <si>
    <t>Tie Breaker Needed</t>
  </si>
  <si>
    <t>Cienciaficcion</t>
  </si>
  <si>
    <t>Nsqk</t>
  </si>
  <si>
    <t>Mexican Pop</t>
  </si>
  <si>
    <t>Keep Yappin</t>
  </si>
  <si>
    <t>Cantrell</t>
  </si>
  <si>
    <t>Ur Mum</t>
  </si>
  <si>
    <t>Wet Leg</t>
  </si>
  <si>
    <t>Raindrops</t>
  </si>
  <si>
    <t>Metro Boomin, Travis Scott</t>
  </si>
  <si>
    <t>よふかしのうた</t>
  </si>
  <si>
    <t>Creepy Nuts</t>
  </si>
  <si>
    <t>Agora Hills</t>
  </si>
  <si>
    <t>Doja Cat</t>
  </si>
  <si>
    <t>I'M HIS, HE'S MINE</t>
  </si>
  <si>
    <t>Katy Perry, Doechii</t>
  </si>
  <si>
    <t>Edge of Seventeen</t>
  </si>
  <si>
    <t>Stevie Nicks</t>
  </si>
  <si>
    <t>Duvet</t>
  </si>
  <si>
    <t>Boa</t>
  </si>
  <si>
    <t>UK-Rock</t>
  </si>
  <si>
    <t>King's Dead</t>
  </si>
  <si>
    <t>Jay Rock, Kendrick Lamar, Future, James Blake</t>
  </si>
  <si>
    <t>Heard 'Em Say</t>
  </si>
  <si>
    <t>Kanye West, Adam Levine</t>
  </si>
  <si>
    <t>Mirror</t>
  </si>
  <si>
    <t>Lil Wayne, Bruno Mars</t>
  </si>
  <si>
    <t>Prayer Of The Refugee</t>
  </si>
  <si>
    <t>Rise Against</t>
  </si>
  <si>
    <t>Party Monster</t>
  </si>
  <si>
    <t>The Weeknd</t>
  </si>
  <si>
    <t>Ping Pong Phase</t>
  </si>
  <si>
    <t>Kensuke Ushio</t>
  </si>
  <si>
    <t>Theme: Under 1 Minute</t>
  </si>
  <si>
    <t>Oncle Jazz</t>
  </si>
  <si>
    <t>Men I Trust</t>
  </si>
  <si>
    <t>Jazz R&amp;B</t>
  </si>
  <si>
    <t>キュートアグレッション - Leaks From His Laptop</t>
  </si>
  <si>
    <t>Tatsuya Kitani</t>
  </si>
  <si>
    <t>Bezos I</t>
  </si>
  <si>
    <t>Bo Burnham</t>
  </si>
  <si>
    <t>Galactic Mermaid</t>
  </si>
  <si>
    <t>Will Stetson</t>
  </si>
  <si>
    <t>Acapella</t>
  </si>
  <si>
    <t>Neva Play</t>
  </si>
  <si>
    <t>Megan Thee Stallion, RM</t>
  </si>
  <si>
    <t>Si Veo A Tu Mama</t>
  </si>
  <si>
    <t>Goin Up</t>
  </si>
  <si>
    <t>Deorro, DyCy</t>
  </si>
  <si>
    <t xml:space="preserve">Sunday Morning </t>
  </si>
  <si>
    <t>Maroon 5</t>
  </si>
  <si>
    <t>Breathe</t>
  </si>
  <si>
    <t>Yeat</t>
  </si>
  <si>
    <t>Alternative Rap</t>
  </si>
  <si>
    <t>m.A.A.d city</t>
  </si>
  <si>
    <t>Kendrick Lamar, MC Eiht</t>
  </si>
  <si>
    <t>Marsupial Superstars</t>
  </si>
  <si>
    <t>SahBabii, T3</t>
  </si>
  <si>
    <t>Anime World</t>
  </si>
  <si>
    <t>SahBabii</t>
  </si>
  <si>
    <t>Alright</t>
  </si>
  <si>
    <t>Kendrick Lamar</t>
  </si>
  <si>
    <t>Ishq Wala Love</t>
  </si>
  <si>
    <t>Vishal-Shekhar, Salim Merchant, Neeti Mohan,  Shekhar Ravjiani</t>
  </si>
  <si>
    <t>Borderline</t>
  </si>
  <si>
    <t>Leave Before You Love Me</t>
  </si>
  <si>
    <t>Marshmello, Jonas Brothers</t>
  </si>
  <si>
    <t>VEINS</t>
  </si>
  <si>
    <t>WesGhost</t>
  </si>
  <si>
    <t>Disco Man</t>
  </si>
  <si>
    <t>Remi Wolf</t>
  </si>
  <si>
    <t>Skeleton Boy</t>
  </si>
  <si>
    <t>Friendly Fires</t>
  </si>
  <si>
    <t>Nobody's Business</t>
  </si>
  <si>
    <t>Rihanna, Chris Brown</t>
  </si>
  <si>
    <t>Theme: DJ Pick</t>
  </si>
  <si>
    <t>fukumean</t>
  </si>
  <si>
    <t>Gunna</t>
  </si>
  <si>
    <t>I Am Happy</t>
  </si>
  <si>
    <t>AWOLNATION, Del The Funky Homosapien</t>
  </si>
  <si>
    <t>What about me?</t>
  </si>
  <si>
    <t>Wild Boy</t>
  </si>
  <si>
    <t>MA55IVE THE RAMPAGE</t>
  </si>
  <si>
    <t>FIFTY FIFTY</t>
  </si>
  <si>
    <t>Dancing In The Flames</t>
  </si>
  <si>
    <t>cloud 11</t>
  </si>
  <si>
    <t>thủy</t>
  </si>
  <si>
    <t>the perfect pair</t>
  </si>
  <si>
    <t>beabadoobee</t>
  </si>
  <si>
    <t>Love You Like A Love Song</t>
  </si>
  <si>
    <t>Selena Gomez &amp; The Scene</t>
  </si>
  <si>
    <t>Dance-Pop</t>
  </si>
  <si>
    <t>NA</t>
  </si>
  <si>
    <t>HWASA</t>
  </si>
  <si>
    <t>Nunca Es Suficiente</t>
  </si>
  <si>
    <t>Los Angeles Azules, Natalia Lafourcade</t>
  </si>
  <si>
    <t>WIN OR LOSE</t>
  </si>
  <si>
    <t>Kid Cudi, Chip Tha Ripper</t>
  </si>
  <si>
    <t>Teenage Dirtbag</t>
  </si>
  <si>
    <t>Wheatus</t>
  </si>
  <si>
    <t>Hymn for the Weekend</t>
  </si>
  <si>
    <t>Coldplay</t>
  </si>
  <si>
    <t>The Door</t>
  </si>
  <si>
    <t>Teddy Swims</t>
  </si>
  <si>
    <t>On Melancholy Hill</t>
  </si>
  <si>
    <t>Clarity</t>
  </si>
  <si>
    <t>24kGoldn</t>
  </si>
  <si>
    <t>Juna</t>
  </si>
  <si>
    <t>Clairo</t>
  </si>
  <si>
    <t>Son Of A Gun</t>
  </si>
  <si>
    <t>Key Glock</t>
  </si>
  <si>
    <t>Memphis Rap</t>
  </si>
  <si>
    <t>Don't Stop Believin'</t>
  </si>
  <si>
    <t>Journey</t>
  </si>
  <si>
    <t>Theme: Karaoke</t>
  </si>
  <si>
    <t>My Way</t>
  </si>
  <si>
    <t>Frank Sinatra</t>
  </si>
  <si>
    <t>I Write Sins Not Tragedies</t>
  </si>
  <si>
    <t>Panic! At The Disco</t>
  </si>
  <si>
    <t>Your Man</t>
  </si>
  <si>
    <t>Josh Turner</t>
  </si>
  <si>
    <t>Kiss Me Thru The Phone</t>
  </si>
  <si>
    <t>Soulja Boy, Sammie</t>
  </si>
  <si>
    <t>Southern Rap</t>
  </si>
  <si>
    <t>C'est La Vie</t>
  </si>
  <si>
    <t>Yung Gravy, bbno$, Rich Brian</t>
  </si>
  <si>
    <t>Someday</t>
  </si>
  <si>
    <t>sex money feelings die</t>
  </si>
  <si>
    <t>Lykke Li</t>
  </si>
  <si>
    <t>Art Pop</t>
  </si>
  <si>
    <t>If I Ain't Got You</t>
  </si>
  <si>
    <t>Alicia Keys</t>
  </si>
  <si>
    <t>Hate Bein' Sober</t>
  </si>
  <si>
    <t>Chief Keef, 50 Cent, Wiz Khalifa</t>
  </si>
  <si>
    <t>Otonoke</t>
  </si>
  <si>
    <t>Tomioka</t>
  </si>
  <si>
    <t>Jay Eazy</t>
  </si>
  <si>
    <t>Ballad of a Badman</t>
  </si>
  <si>
    <t>Tory Lanez</t>
  </si>
  <si>
    <t>Meliodic Rap</t>
  </si>
  <si>
    <t>4K</t>
  </si>
  <si>
    <t>El Alfa, Darell, Noriel</t>
  </si>
  <si>
    <t>What You Know</t>
  </si>
  <si>
    <t>Indie-Rock</t>
  </si>
  <si>
    <t>TAIDADA</t>
  </si>
  <si>
    <t>ZUTOMAYO</t>
  </si>
  <si>
    <t>遙か彼方</t>
  </si>
  <si>
    <t>Asian Kung-Fu Generation</t>
  </si>
  <si>
    <t>Indica</t>
  </si>
  <si>
    <t>Son Kuma</t>
  </si>
  <si>
    <t>Better Days</t>
  </si>
  <si>
    <t>Currents</t>
  </si>
  <si>
    <t>Pray</t>
  </si>
  <si>
    <t>Tommy heavenly6</t>
  </si>
  <si>
    <t>Kitsch</t>
  </si>
  <si>
    <t>Namco Sounds</t>
  </si>
  <si>
    <t>Theme: No Instruments (Joe's def)</t>
  </si>
  <si>
    <t>Veridis Quo</t>
  </si>
  <si>
    <t>Daft Punk</t>
  </si>
  <si>
    <t>Stress</t>
  </si>
  <si>
    <t>Justice</t>
  </si>
  <si>
    <t>Noddin'</t>
  </si>
  <si>
    <t>Millennial Trash</t>
  </si>
  <si>
    <t>Whisper Whisper Whisper</t>
  </si>
  <si>
    <t>Azari</t>
  </si>
  <si>
    <t>Vocaloid</t>
  </si>
  <si>
    <t>Die With a Smile</t>
  </si>
  <si>
    <t>Lady Gaga, Bruno Mars</t>
  </si>
  <si>
    <t>Kris Wu, Rich Brian, Trippie Redd, Baauer, Joji</t>
  </si>
  <si>
    <t>The Number You Have Dialed Is Not in Service</t>
  </si>
  <si>
    <t>$uicideboy$</t>
  </si>
  <si>
    <t>I Hate Everything About You</t>
  </si>
  <si>
    <t>Three Days Grace</t>
  </si>
  <si>
    <t>Dreamcatcher</t>
  </si>
  <si>
    <t>Metro Boomin, Swae Lee, Travis Scott</t>
  </si>
  <si>
    <t>Moonlit Floor</t>
  </si>
  <si>
    <t>LISA</t>
  </si>
  <si>
    <t>A Little Respect</t>
  </si>
  <si>
    <t>Erasure</t>
  </si>
  <si>
    <t>GUMMY</t>
  </si>
  <si>
    <t>BROCKHAMPTON</t>
  </si>
  <si>
    <t>Blue Eyes Crying In The Rain</t>
  </si>
  <si>
    <t>Willie Nelson</t>
  </si>
  <si>
    <t>Familia</t>
  </si>
  <si>
    <t>Nicki Minaj, Anuel AA, Bantu</t>
  </si>
  <si>
    <t>Reweave</t>
  </si>
  <si>
    <t>Konomi Suzuki</t>
  </si>
  <si>
    <t>Love On</t>
  </si>
  <si>
    <t>Selena Gomez</t>
  </si>
  <si>
    <t>places to be</t>
  </si>
  <si>
    <t>Fred again.., Anderson. Paak, CHIKA</t>
  </si>
  <si>
    <t>Creep</t>
  </si>
  <si>
    <t>Radiohead</t>
  </si>
  <si>
    <t>Hyakki Yakou</t>
  </si>
  <si>
    <t>Hello Sleepwalkers</t>
  </si>
  <si>
    <t>Shake That (Remix)</t>
  </si>
  <si>
    <t>Nate Dogg, Eminem, Obie Trice, Bobby Creekwater</t>
  </si>
  <si>
    <t>Theme: Remix</t>
  </si>
  <si>
    <t>Mon Amour - Remix</t>
  </si>
  <si>
    <t>zzoilo, Aitana</t>
  </si>
  <si>
    <t>Thriller (Steve Aoki Midnight Hour Remix)</t>
  </si>
  <si>
    <t>Michael Jackson, Steve Aoki</t>
  </si>
  <si>
    <t>Pump It Louder</t>
  </si>
  <si>
    <t>Tiesto, Black Eyed Peas</t>
  </si>
  <si>
    <t>Young Dumb &amp; Broke REMIX</t>
  </si>
  <si>
    <t>Khalid, Rae Sremmurd, Lil Yachty</t>
  </si>
  <si>
    <t>California Gurls</t>
  </si>
  <si>
    <t>Katy Perry, Snoop Dog</t>
  </si>
  <si>
    <t>QUE RICO CH**GAMOS</t>
  </si>
  <si>
    <t>Rauw Alejandro</t>
  </si>
  <si>
    <t>Talk Talk featuring troye sivan</t>
  </si>
  <si>
    <t>Charli xcx, Troye Sivan</t>
  </si>
  <si>
    <t>Toro</t>
  </si>
  <si>
    <t>Lovin' Me</t>
  </si>
  <si>
    <t>Ventura Highway</t>
  </si>
  <si>
    <t>America, George Martin</t>
  </si>
  <si>
    <t>Roxanne</t>
  </si>
  <si>
    <t>The Police</t>
  </si>
  <si>
    <t>Let's Groove</t>
  </si>
  <si>
    <t>Earth, Wind &amp; Fire</t>
  </si>
  <si>
    <t>Go Your Own Way</t>
  </si>
  <si>
    <t>Fleetwood Mac</t>
  </si>
  <si>
    <t>What is Love</t>
  </si>
  <si>
    <t>Haddaway</t>
  </si>
  <si>
    <t>California Love</t>
  </si>
  <si>
    <t>2Pac, Roger, Dr. Dre</t>
  </si>
  <si>
    <t>King For A Day</t>
  </si>
  <si>
    <t>Pierce The Veil, Kellin Quinn</t>
  </si>
  <si>
    <t>Alien Boy</t>
  </si>
  <si>
    <t>Oliver Tree</t>
  </si>
  <si>
    <t>Bring Me To Life</t>
  </si>
  <si>
    <t>Evanescence</t>
  </si>
  <si>
    <t>Dream On</t>
  </si>
  <si>
    <t>Aerosmith</t>
  </si>
  <si>
    <t>Hollywood Tonight</t>
  </si>
  <si>
    <t>Michael Jackson</t>
  </si>
  <si>
    <t>Theme: Diddy Day</t>
  </si>
  <si>
    <t>P.Y.T.(Pretty Young Thing)</t>
  </si>
  <si>
    <t>Behind Barz - Bonus</t>
  </si>
  <si>
    <t>Don't Matter To Me</t>
  </si>
  <si>
    <t>Drake, Micheal Jackson</t>
  </si>
  <si>
    <t>Satisfy You</t>
  </si>
  <si>
    <t>Diddy, R Kelly</t>
  </si>
  <si>
    <t>Homecoming</t>
  </si>
  <si>
    <t>ANTES QUE SE ACABE</t>
  </si>
  <si>
    <t>Skinny Dippin in the Deep End</t>
  </si>
  <si>
    <t>Zak Waters</t>
  </si>
  <si>
    <t>The Emptiness Machine</t>
  </si>
  <si>
    <t>Linkin Park</t>
  </si>
  <si>
    <t>I Was Made For Lovin' You</t>
  </si>
  <si>
    <t>YUNGBLUD</t>
  </si>
  <si>
    <t>Disease</t>
  </si>
  <si>
    <t>Lady Gaga</t>
  </si>
  <si>
    <t>Apartment</t>
  </si>
  <si>
    <t>Modern Baseball</t>
  </si>
  <si>
    <t>Psychic Attack</t>
  </si>
  <si>
    <t>Machine Girl</t>
  </si>
  <si>
    <t>Watcha Want</t>
  </si>
  <si>
    <t>Lawrence</t>
  </si>
  <si>
    <t>It's Going Down Now</t>
  </si>
  <si>
    <t>ATLUS GAME MUSIC, Lotus Juice,アトラスサウンドチーム, 高橋あず美</t>
  </si>
  <si>
    <t>I'm On Everything</t>
  </si>
  <si>
    <t>Bad Meets Evil, Mike Epps</t>
  </si>
  <si>
    <t>The Adults Are Talking</t>
  </si>
  <si>
    <t>FEELING LUCKY</t>
  </si>
  <si>
    <t>berryblue</t>
  </si>
  <si>
    <t>Homesick</t>
  </si>
  <si>
    <t>Noah Kahan</t>
  </si>
  <si>
    <t>All of Me</t>
  </si>
  <si>
    <t>Big Gigantic, Logic, ROZES</t>
  </si>
  <si>
    <t>Spooky Scary Skeletons (Tombstone Remix)</t>
  </si>
  <si>
    <t>Andrew Gold</t>
  </si>
  <si>
    <t>Theme: Halloween Tie Breaker Needed</t>
  </si>
  <si>
    <t>Montser Mash</t>
  </si>
  <si>
    <t>Bobby "Boris" Pickett, the Crypt-Kickers</t>
  </si>
  <si>
    <t>Goosebumps Theme</t>
  </si>
  <si>
    <t>Retrospectre</t>
  </si>
  <si>
    <t>Damned</t>
  </si>
  <si>
    <t>Kevin Sherwood</t>
  </si>
  <si>
    <t>Calling All The Monsters</t>
  </si>
  <si>
    <t>China Anne McClain</t>
  </si>
  <si>
    <t>Arturo Sandoval</t>
  </si>
  <si>
    <t>Arturo Sandoval, Pharrell Williams, Ariana Grande</t>
  </si>
  <si>
    <t>Devil In A New Dress</t>
  </si>
  <si>
    <t>Kanye West, Rick Ross</t>
  </si>
  <si>
    <t>BET Uncut</t>
  </si>
  <si>
    <t>MadeinTYO, Chance the Rapper, Smino</t>
  </si>
  <si>
    <t>Phantom Island</t>
  </si>
  <si>
    <t>King Gizzard &amp; The Lizard Wizard</t>
  </si>
  <si>
    <t>Timeless</t>
  </si>
  <si>
    <t>The Weeknd, Playboi Carti</t>
  </si>
  <si>
    <t>Get Up</t>
  </si>
  <si>
    <t>Ciara, Chamillionare</t>
  </si>
  <si>
    <t>unravel</t>
  </si>
  <si>
    <t>TK from Ling tosite sigure</t>
  </si>
  <si>
    <t>IDK</t>
  </si>
  <si>
    <t>In the Party</t>
  </si>
  <si>
    <t>Dev Lemons, Billy Lemos</t>
  </si>
  <si>
    <t>Baku</t>
  </si>
  <si>
    <t>PUSH 2 START</t>
  </si>
  <si>
    <t>Tyla</t>
  </si>
  <si>
    <t>Next Exit</t>
  </si>
  <si>
    <t>Vacations</t>
  </si>
  <si>
    <t>Billabong Babe</t>
  </si>
  <si>
    <t>Royce Fisherman</t>
  </si>
  <si>
    <t>Little Chaos</t>
  </si>
  <si>
    <t>Orla Gartland</t>
  </si>
  <si>
    <t>Kingdom Hearts Key</t>
  </si>
  <si>
    <t>JPEGMAFIA, Danny Brown, redveil</t>
  </si>
  <si>
    <t>The Stars and Stripes Forever</t>
  </si>
  <si>
    <t>John Philip Sousa, United States Marine Band</t>
  </si>
  <si>
    <t>Theme: America</t>
  </si>
  <si>
    <t>Free Bird</t>
  </si>
  <si>
    <t>Lynyrd Skynyrd</t>
  </si>
  <si>
    <t>Fortunate Son</t>
  </si>
  <si>
    <t>Creedance Clearwater Revival</t>
  </si>
  <si>
    <t>Electric Pow Wow Drum</t>
  </si>
  <si>
    <t>The Halluci Nation</t>
  </si>
  <si>
    <t>Sweet Child O' Mine</t>
  </si>
  <si>
    <t>Guns N' Roses</t>
  </si>
  <si>
    <t>Coffee</t>
  </si>
  <si>
    <t>a!ka</t>
  </si>
  <si>
    <t>VENTE CONMIGO</t>
  </si>
  <si>
    <t>Die Today</t>
  </si>
  <si>
    <t>EARTHGANG, Spillage Village</t>
  </si>
  <si>
    <t>Darling, I</t>
  </si>
  <si>
    <t>Tyler, The Creator, Teezo Touchdown</t>
  </si>
  <si>
    <t>NEW DROP</t>
  </si>
  <si>
    <t>Buttons</t>
  </si>
  <si>
    <t>Lyn Lapid</t>
  </si>
  <si>
    <t>Fuck Love</t>
  </si>
  <si>
    <t>XXXTENTACION, Trippie Redd</t>
  </si>
  <si>
    <t>Calm Snow</t>
  </si>
  <si>
    <t>I See Stars</t>
  </si>
  <si>
    <t>Solar</t>
  </si>
  <si>
    <t>BALTHVS</t>
  </si>
  <si>
    <t>Animal I Have Become</t>
  </si>
  <si>
    <t>Fleeting Lullaby</t>
  </si>
  <si>
    <t>Ado</t>
  </si>
  <si>
    <t xml:space="preserve">WAKE UP </t>
  </si>
  <si>
    <t>Travis Scott</t>
  </si>
  <si>
    <t>Clouded</t>
  </si>
  <si>
    <t>Brent Faiyaz</t>
  </si>
  <si>
    <t>Welcome to the Black Parade</t>
  </si>
  <si>
    <t>My Chemical Romance</t>
  </si>
  <si>
    <t>Love Somebody</t>
  </si>
  <si>
    <t>Morgan Wallen</t>
  </si>
  <si>
    <t>Zero to Hero</t>
  </si>
  <si>
    <t>Chorus - Hercules</t>
  </si>
  <si>
    <t>Theme: Alphabet</t>
  </si>
  <si>
    <t>Zombie</t>
  </si>
  <si>
    <t>The Cranberries</t>
  </si>
  <si>
    <t>Zatoichi</t>
  </si>
  <si>
    <t>Denzel Curry, slowthai</t>
  </si>
  <si>
    <t>Zanzibar</t>
  </si>
  <si>
    <t>Billy Joel</t>
  </si>
  <si>
    <t>Purple Kiss</t>
  </si>
  <si>
    <t>I'm Every Woman</t>
  </si>
  <si>
    <t>Chaka Khan</t>
  </si>
  <si>
    <t>Strike (Holster)</t>
  </si>
  <si>
    <t>Lil Yachty</t>
  </si>
  <si>
    <t>\ \ \</t>
  </si>
  <si>
    <t>c678924</t>
  </si>
  <si>
    <t xml:space="preserve">Time &gt; Breathe Reprise &gt; </t>
  </si>
  <si>
    <t>That Go!</t>
  </si>
  <si>
    <t>Young Stoner Life, Young Thug, Meek Mill, T-Shyne</t>
  </si>
  <si>
    <t>last night's mascara</t>
  </si>
  <si>
    <t>Griff</t>
  </si>
  <si>
    <t>Rose In Harlem</t>
  </si>
  <si>
    <t>Teyana Taylor</t>
  </si>
  <si>
    <t>Untouchable</t>
  </si>
  <si>
    <t>Golemm</t>
  </si>
  <si>
    <t>Iris</t>
  </si>
  <si>
    <t>The Goo Goo Dolls</t>
  </si>
  <si>
    <t>Color Your Night</t>
  </si>
  <si>
    <t>Mt. Coronet</t>
  </si>
  <si>
    <t>insaneintherainmusic</t>
  </si>
  <si>
    <t>La flaca</t>
  </si>
  <si>
    <t>Jarabe De Palo</t>
  </si>
  <si>
    <t>assadist pussy got me actin strange</t>
  </si>
  <si>
    <t>MIMIDEATH</t>
  </si>
  <si>
    <t>John The Fisherman</t>
  </si>
  <si>
    <t>Primus</t>
  </si>
  <si>
    <t>Mayonaka no Door / Stay With Me</t>
  </si>
  <si>
    <t>Miki Matsubara</t>
  </si>
  <si>
    <t>Funky D</t>
  </si>
  <si>
    <t>Victor Wooten, Dennis Chambers, Bob Franceschini</t>
  </si>
  <si>
    <t>Theme: Guitar solo</t>
  </si>
  <si>
    <t>Bohemian Rhapsody</t>
  </si>
  <si>
    <t>Queen</t>
  </si>
  <si>
    <t>Them Bones</t>
  </si>
  <si>
    <t>Alice in Chains</t>
  </si>
  <si>
    <t>Working Man</t>
  </si>
  <si>
    <t>Rush</t>
  </si>
  <si>
    <t>Fade to Black</t>
  </si>
  <si>
    <t>Metallica</t>
  </si>
  <si>
    <t>tv off</t>
  </si>
  <si>
    <t>Kendrick Lamar, Lefty Gunplay</t>
  </si>
  <si>
    <t>luther</t>
  </si>
  <si>
    <t>Kendrick Lamar, SZA</t>
  </si>
  <si>
    <t>Make of it</t>
  </si>
  <si>
    <t>half•alive</t>
  </si>
  <si>
    <t>In Bloom</t>
  </si>
  <si>
    <t>Nirvana</t>
  </si>
  <si>
    <t>Made You Look</t>
  </si>
  <si>
    <t>Nas</t>
  </si>
  <si>
    <t>Dean Town - The Paisley Park Session</t>
  </si>
  <si>
    <t>Cory Wong</t>
  </si>
  <si>
    <t>Deseandote</t>
  </si>
  <si>
    <t>Frankie Ruiz</t>
  </si>
  <si>
    <t>Dreamland</t>
  </si>
  <si>
    <t>Fox Stevenson</t>
  </si>
  <si>
    <t>Never Gonna Be Alone</t>
  </si>
  <si>
    <t>Jacob Collier, Lizzy McAlpine, John Mayer</t>
  </si>
  <si>
    <t>Elevate</t>
  </si>
  <si>
    <t>DJ Khalil, Denzel Curry, Cordae, SWAVAY, Trevor Rich</t>
  </si>
  <si>
    <t>American Psycho</t>
  </si>
  <si>
    <t>D12</t>
  </si>
  <si>
    <t>Theme: Double Up</t>
  </si>
  <si>
    <t>ELEMENT</t>
  </si>
  <si>
    <t>i KnOW itS LatE...♥︎(❀❛ ֊ ❛„)♡</t>
  </si>
  <si>
    <t>1999 WRITE THE FUTURE</t>
  </si>
  <si>
    <t>Eruption</t>
  </si>
  <si>
    <t>Van Halen</t>
  </si>
  <si>
    <t>Metro Spider</t>
  </si>
  <si>
    <t>Metro Boomin, Young Thug</t>
  </si>
  <si>
    <t>American Psycho II</t>
  </si>
  <si>
    <t>D12, B-Real</t>
  </si>
  <si>
    <t>Loyalty</t>
  </si>
  <si>
    <t>cOoL WATeR foR thE nIGHT</t>
  </si>
  <si>
    <t>Ghost</t>
  </si>
  <si>
    <t>Chon</t>
  </si>
  <si>
    <t>I Can't Save You</t>
  </si>
  <si>
    <t>Metro Boomin, Future, Don Toliver</t>
  </si>
  <si>
    <t>Disco Ulysses (Instrumental)</t>
  </si>
  <si>
    <t>Vulfpeck</t>
  </si>
  <si>
    <t>Mistletoe</t>
  </si>
  <si>
    <t>Justin Bieber</t>
  </si>
  <si>
    <t>MULAN</t>
  </si>
  <si>
    <t>ANNA, Tony Effe</t>
  </si>
  <si>
    <t>Walk On By</t>
  </si>
  <si>
    <t>Thundercat, Kendrick Lamar</t>
  </si>
  <si>
    <t>Give Me Some Sunshine</t>
  </si>
  <si>
    <t>Suraj Jagan, Sharman Joshi</t>
  </si>
  <si>
    <t>Spot a Fake</t>
  </si>
  <si>
    <t>Ava Max</t>
  </si>
  <si>
    <t>Ma quale idea</t>
  </si>
  <si>
    <t>Pino D'Angio</t>
  </si>
  <si>
    <t>Sona</t>
  </si>
  <si>
    <t>Zedd, the olllam</t>
  </si>
  <si>
    <t>In The End</t>
  </si>
  <si>
    <t>Surround Sound</t>
  </si>
  <si>
    <t>JID, 21 Savage, Baby Tate</t>
  </si>
  <si>
    <t>ANTIFRAGILE</t>
  </si>
  <si>
    <t>LE SSERAFIM</t>
  </si>
  <si>
    <t>Theme: Spotify Wrapped</t>
  </si>
  <si>
    <t>Trying Your Luck</t>
  </si>
  <si>
    <t>Friday</t>
  </si>
  <si>
    <t>The Chainsmokers, Fridayy</t>
  </si>
  <si>
    <t>I Had Some Help</t>
  </si>
  <si>
    <t>Post Malone, Morgan Wallen</t>
  </si>
  <si>
    <t>ETA</t>
  </si>
  <si>
    <t>Late to the Party</t>
  </si>
  <si>
    <t>Emei</t>
  </si>
  <si>
    <t>Theme: Culture Appropriation</t>
  </si>
  <si>
    <t>out the way</t>
  </si>
  <si>
    <t>spit!</t>
  </si>
  <si>
    <t>[Alexandros]</t>
  </si>
  <si>
    <t>Wagon Wheel</t>
  </si>
  <si>
    <t>Darius Rucker</t>
  </si>
  <si>
    <t>WOKE UP</t>
  </si>
  <si>
    <t>XG</t>
  </si>
  <si>
    <t>Fragile</t>
  </si>
  <si>
    <t>Striker</t>
  </si>
  <si>
    <t>Skrilla</t>
  </si>
  <si>
    <t>MAYNARD VIGNETTE</t>
  </si>
  <si>
    <t>Killer Mike, T.I., Jacquees, JID</t>
  </si>
  <si>
    <t>Take Me Back To Eden</t>
  </si>
  <si>
    <t>Dive Back In Time</t>
  </si>
  <si>
    <t>BaishaJaws</t>
  </si>
  <si>
    <t>KICK BACK</t>
  </si>
  <si>
    <t>Taste</t>
  </si>
  <si>
    <t>Tyga, Offset</t>
  </si>
  <si>
    <t>Too Good</t>
  </si>
  <si>
    <t>Breathe Carolina</t>
  </si>
  <si>
    <t>Gravity - Live at the Nokia Theatre</t>
  </si>
  <si>
    <t>John Mayer</t>
  </si>
  <si>
    <t>MAMACITA</t>
  </si>
  <si>
    <t>Tyga, YG, Carlos Santana</t>
  </si>
  <si>
    <t>アカシア</t>
  </si>
  <si>
    <t>BUMP OF CHICKEN</t>
  </si>
  <si>
    <t>The Loneliest Time</t>
  </si>
  <si>
    <t>Carly Rae Jepsen</t>
  </si>
  <si>
    <t>LMLY</t>
  </si>
  <si>
    <t>Jackson Wang</t>
  </si>
  <si>
    <t>symptom of life</t>
  </si>
  <si>
    <t>WILLOW</t>
  </si>
  <si>
    <t>All The Things She Said</t>
  </si>
  <si>
    <t>t.A.T.u.</t>
  </si>
  <si>
    <t xml:space="preserve">Theme: Rerun </t>
  </si>
  <si>
    <t>Gorgeous</t>
  </si>
  <si>
    <t>Snoop Dogg, Dr Dre, Jhené Aiko</t>
  </si>
  <si>
    <t>Last Christmas</t>
  </si>
  <si>
    <t>Wham!</t>
  </si>
  <si>
    <t>Look What God Gave Her</t>
  </si>
  <si>
    <t>Thomas Rhett</t>
  </si>
  <si>
    <t>Operator (That's Not the Way It Feels)</t>
  </si>
  <si>
    <t>Jim Croce</t>
  </si>
  <si>
    <t>Boyfriend</t>
  </si>
  <si>
    <t>Big Time Rush</t>
  </si>
  <si>
    <t>Kiss My Troubles Away</t>
  </si>
  <si>
    <t>TWICE</t>
  </si>
  <si>
    <t>Viking</t>
  </si>
  <si>
    <t>Bless You</t>
  </si>
  <si>
    <t>Kabwasa, berryblue</t>
  </si>
  <si>
    <t>prism</t>
  </si>
  <si>
    <t>monty.pk</t>
  </si>
  <si>
    <t>Like Him</t>
  </si>
  <si>
    <t>Tyler, The Creator, Lola Young</t>
  </si>
  <si>
    <t>IN_MY_HEAD</t>
  </si>
  <si>
    <t>natori</t>
  </si>
  <si>
    <t>Trouble</t>
  </si>
  <si>
    <t>Cage The Elephant</t>
  </si>
  <si>
    <t>Life 2</t>
  </si>
  <si>
    <t>Majid Jordan</t>
  </si>
  <si>
    <t>What a Fool Believes</t>
  </si>
  <si>
    <t>The Doobie Brothers</t>
  </si>
  <si>
    <t>Ma Meilleure Ennemie</t>
  </si>
  <si>
    <t>Arcane, Stromae, Pomme</t>
  </si>
  <si>
    <t>Christmas Eve / Sarejevo 12/24</t>
  </si>
  <si>
    <t>Trans-Siberian Orchestra</t>
  </si>
  <si>
    <t>Theme: Christmas</t>
  </si>
  <si>
    <t>Santa, Can't You Hear Me</t>
  </si>
  <si>
    <t>Kelly Clarkson, Ariana Grande</t>
  </si>
  <si>
    <t>Naughty or Nice</t>
  </si>
  <si>
    <t>Like It's Christmas</t>
  </si>
  <si>
    <t>Jonas Brothers</t>
  </si>
  <si>
    <t>Let It Snow! Let It Snow! Let It Snow!</t>
  </si>
  <si>
    <t>Frank Sinatra, B. Swanson Quartet</t>
  </si>
  <si>
    <t>Fever</t>
  </si>
  <si>
    <t>Dua Lipa, Angèle</t>
  </si>
  <si>
    <t>Favourite</t>
  </si>
  <si>
    <t>Fontaines D.C.</t>
  </si>
  <si>
    <t>Gravity</t>
  </si>
  <si>
    <t>Loretta (日本語 version)</t>
  </si>
  <si>
    <t>Si Antes Te Hubiera Conocido</t>
  </si>
  <si>
    <t>KAROL G</t>
  </si>
  <si>
    <t>Fate of Both Worlds</t>
  </si>
  <si>
    <t>Lemon</t>
  </si>
  <si>
    <t>CRAZY</t>
  </si>
  <si>
    <t>Kingslayer (feat. BABYMETAL)</t>
  </si>
  <si>
    <t>Bring Me The Horizon, BABYMETAL</t>
  </si>
  <si>
    <t>Dial Tone</t>
  </si>
  <si>
    <t>Catch Your Breath</t>
  </si>
  <si>
    <t>一輪の花</t>
  </si>
  <si>
    <t>HIGH and MIGHTY COLOR</t>
  </si>
  <si>
    <t>Koi Mil Gaya</t>
  </si>
  <si>
    <t>Jatin-Lalit, Kavita Krishnamurthy, Udit Narayan, Alka Yagnik</t>
  </si>
  <si>
    <t>drive ME crazy!</t>
  </si>
  <si>
    <t>I Won't Tell</t>
  </si>
  <si>
    <t>Baby Rose, Smino</t>
  </si>
  <si>
    <t>Bulls On Parade</t>
  </si>
  <si>
    <t>Rage Against The Machine</t>
  </si>
  <si>
    <t>Fly-day Chinatown</t>
  </si>
  <si>
    <t>泰葉</t>
  </si>
  <si>
    <t>Ég Veit Ϸú Kemur</t>
  </si>
  <si>
    <t>Theme: Culture Appreciation</t>
  </si>
  <si>
    <t>Deli</t>
  </si>
  <si>
    <t>mor ve ötesi</t>
  </si>
  <si>
    <t>Jordan</t>
  </si>
  <si>
    <t>Megaherz</t>
  </si>
  <si>
    <t>Soul Makossa</t>
  </si>
  <si>
    <t>Manu Dibango</t>
  </si>
  <si>
    <t>芒种</t>
  </si>
  <si>
    <t>赵方婧,音阙诗听</t>
  </si>
  <si>
    <t>クラクラ</t>
  </si>
  <si>
    <t>Roll Wit Me</t>
  </si>
  <si>
    <t>Sugar Water Cyanide</t>
  </si>
  <si>
    <t>Rebecca Black</t>
  </si>
  <si>
    <t>ZITTIE BUONI</t>
  </si>
  <si>
    <t>Take Me to the Beach</t>
  </si>
  <si>
    <t>Imagine Dragons, Ado</t>
  </si>
  <si>
    <t>boyfriend (with Social House)</t>
  </si>
  <si>
    <t>Ariana Grande, Social House</t>
  </si>
  <si>
    <t>Malas Decisiones</t>
  </si>
  <si>
    <t>Kenia OS</t>
  </si>
  <si>
    <t>One Reason</t>
  </si>
  <si>
    <t>DWB, fade</t>
  </si>
  <si>
    <t>Xanadu</t>
  </si>
  <si>
    <t>Frontiers</t>
  </si>
  <si>
    <t>Awich</t>
  </si>
  <si>
    <t>Looking at Me</t>
  </si>
  <si>
    <t>Kilometros</t>
  </si>
  <si>
    <t>Los Caligaris</t>
  </si>
  <si>
    <t>peace signs</t>
  </si>
  <si>
    <t>JRjoos, redwater, RERI</t>
  </si>
  <si>
    <t>Super Graphic Ultra Modern Girl</t>
  </si>
  <si>
    <t>Like That</t>
  </si>
  <si>
    <t>Doja Cat, Gucci Mane</t>
  </si>
  <si>
    <t>RUN SAKAMOTO RUN</t>
  </si>
  <si>
    <t>Vaundy</t>
  </si>
  <si>
    <t>Theme: New Song</t>
  </si>
  <si>
    <t>BAILE INoLVIDABLE</t>
  </si>
  <si>
    <t>Scissors</t>
  </si>
  <si>
    <t>Julis Michaels, Maren Morris</t>
  </si>
  <si>
    <t>The Garden</t>
  </si>
  <si>
    <t>Sierra Ferrell</t>
  </si>
  <si>
    <t>Hypnotized</t>
  </si>
  <si>
    <t>Anyama, Ellie Goulding</t>
  </si>
  <si>
    <t>A Mis Abuelos</t>
  </si>
  <si>
    <t>Long Story Short</t>
  </si>
  <si>
    <t>2 Chainz, Lil Wayne</t>
  </si>
  <si>
    <t>Konbini</t>
  </si>
  <si>
    <t>misa</t>
  </si>
  <si>
    <t>Corazón Tatuado</t>
  </si>
  <si>
    <t>Estevie</t>
  </si>
  <si>
    <t>I Am ... All Of Me</t>
  </si>
  <si>
    <t>Crush 40</t>
  </si>
  <si>
    <t>Kuru/Speak Like a Child</t>
  </si>
  <si>
    <t>Jaco Pastorius</t>
  </si>
  <si>
    <t>FERXXO 151</t>
  </si>
  <si>
    <t>Feid, ICON</t>
  </si>
  <si>
    <t>el cielo</t>
  </si>
  <si>
    <t>TINI</t>
  </si>
  <si>
    <t>Texas Sun</t>
  </si>
  <si>
    <t>Khruangbin, Leon Bridges</t>
  </si>
  <si>
    <t>Treachery</t>
  </si>
  <si>
    <t>Shiro SAGISU</t>
  </si>
  <si>
    <t>Fireshaker</t>
  </si>
  <si>
    <t>Love Like Woe</t>
  </si>
  <si>
    <t>The Ready Set</t>
  </si>
  <si>
    <t>Tears On A Pretty Face</t>
  </si>
  <si>
    <t>Kyle Dion</t>
  </si>
  <si>
    <t>Good Lord Lorrie</t>
  </si>
  <si>
    <t>Turnpike Troubadours</t>
  </si>
  <si>
    <t>Love Me Again</t>
  </si>
  <si>
    <t>John Newman</t>
  </si>
  <si>
    <t>All Night Long</t>
  </si>
  <si>
    <t>Lionel Richie</t>
  </si>
  <si>
    <t>Theme: Your Mom's Favorite Song</t>
  </si>
  <si>
    <t>Lloraras</t>
  </si>
  <si>
    <t>Dimension Latina, Oscar de Leon</t>
  </si>
  <si>
    <t>You Light Up My Life</t>
  </si>
  <si>
    <t>Debby Boone</t>
  </si>
  <si>
    <t>From This Valley</t>
  </si>
  <si>
    <t>The Civil Wars</t>
  </si>
  <si>
    <t>Single Ladies (Put a Ring on It)</t>
  </si>
  <si>
    <t>Beyoncé</t>
  </si>
  <si>
    <t>Tu Vecina</t>
  </si>
  <si>
    <t>Maluma, Ty Dolla $ign</t>
  </si>
  <si>
    <t>Amor de Vago</t>
  </si>
  <si>
    <t>La Ty La M, Malandro</t>
  </si>
  <si>
    <t>Fkn Around</t>
  </si>
  <si>
    <t>Phony Ppl, Megan Thee Stallion</t>
  </si>
  <si>
    <t>Pacific Ave</t>
  </si>
  <si>
    <t>Pearl &amp; The Oysters</t>
  </si>
  <si>
    <t>Nights</t>
  </si>
  <si>
    <t>Chantaje</t>
  </si>
  <si>
    <t>Shakira, Maluma</t>
  </si>
  <si>
    <t>Float On</t>
  </si>
  <si>
    <t>Modest Mouse</t>
  </si>
  <si>
    <t>Pudgy</t>
  </si>
  <si>
    <t>Smino, Lil Uzi Vert</t>
  </si>
  <si>
    <t>Dawn</t>
  </si>
  <si>
    <t>Vulfmon, Jacob Jeffries, Harrison Whitford</t>
  </si>
  <si>
    <t>A N X I E T Y</t>
  </si>
  <si>
    <t>Sleepy Hallow, Doechii</t>
  </si>
  <si>
    <t>The Show Goes On</t>
  </si>
  <si>
    <t>Lupe Fiasco</t>
  </si>
  <si>
    <t>Razorblade</t>
  </si>
  <si>
    <t>Porcelain</t>
  </si>
  <si>
    <t>JoJo</t>
  </si>
  <si>
    <t>Gila Monster</t>
  </si>
  <si>
    <t>Travis Scott, Kacy Hill</t>
  </si>
  <si>
    <t>Aang (The Avatar State)</t>
  </si>
  <si>
    <t>Jeremy Zuckerman</t>
  </si>
  <si>
    <t>Theme: Ni Hao</t>
  </si>
  <si>
    <t>Goalkeeper</t>
  </si>
  <si>
    <t>Cold Blooded</t>
  </si>
  <si>
    <t>ZHU</t>
  </si>
  <si>
    <t>Giddy Up</t>
  </si>
  <si>
    <t>Who You Foolin</t>
  </si>
  <si>
    <t>chess (slowed)</t>
  </si>
  <si>
    <t>joyful</t>
  </si>
  <si>
    <t>Venezuela Riddim</t>
  </si>
  <si>
    <t>Hak Baker</t>
  </si>
  <si>
    <t>MUTT</t>
  </si>
  <si>
    <t>Leon Thomas</t>
  </si>
  <si>
    <t>Hymn For A Droid</t>
  </si>
  <si>
    <t>Psychedelic Porn Crumpets</t>
  </si>
  <si>
    <t>Messy</t>
  </si>
  <si>
    <t>Lola Young</t>
  </si>
  <si>
    <t>Elf</t>
  </si>
  <si>
    <t>Anders</t>
  </si>
  <si>
    <t>01099</t>
  </si>
  <si>
    <t>Stay Right Here</t>
  </si>
  <si>
    <t>Saba, Xavier Omär, Mick Jenkins</t>
  </si>
  <si>
    <t>Bound and Determined</t>
  </si>
  <si>
    <t>Nick Shoulders</t>
  </si>
  <si>
    <t>Real Man</t>
  </si>
  <si>
    <t>星屑のパイプライン</t>
  </si>
  <si>
    <t>Robbery</t>
  </si>
  <si>
    <t>Juice WRLD</t>
  </si>
  <si>
    <t>How This Feels</t>
  </si>
  <si>
    <t>R.LUM.R</t>
  </si>
  <si>
    <t>Cowboys Are Frequently Secretley Fond of Each Other</t>
  </si>
  <si>
    <t>Remembering</t>
  </si>
  <si>
    <t>Jean du Voyage, anais</t>
  </si>
  <si>
    <t>Eterna Forest</t>
  </si>
  <si>
    <t>Theme:Video Game</t>
  </si>
  <si>
    <t>Jump up Super Star</t>
  </si>
  <si>
    <t>The 8-Bit Big Band, Grace Kelly</t>
  </si>
  <si>
    <t>Theme of Sand Ruins</t>
  </si>
  <si>
    <t>SEGA SOUND TEAM</t>
  </si>
  <si>
    <t>Dragonborn</t>
  </si>
  <si>
    <t>Jeremy Soule</t>
  </si>
  <si>
    <t>スパイラル</t>
  </si>
  <si>
    <t>KANA-BOON</t>
  </si>
  <si>
    <t>The Unseen Ones</t>
  </si>
  <si>
    <t>Darren Korb, Masahiro Aoki, daisuke kurosawa</t>
  </si>
  <si>
    <t>Saint Pablo</t>
  </si>
  <si>
    <t>First</t>
  </si>
  <si>
    <t>Rose Gray</t>
  </si>
  <si>
    <t>bitter</t>
  </si>
  <si>
    <t>Internet Girl, Payday</t>
  </si>
  <si>
    <t>No More Parties In LA</t>
  </si>
  <si>
    <t>I Wanna Dance with Somebody</t>
  </si>
  <si>
    <t>Whitney Houston</t>
  </si>
  <si>
    <t>Augenblick</t>
  </si>
  <si>
    <t>01099, Gustav, Paul</t>
  </si>
  <si>
    <t>DIORAMA</t>
  </si>
  <si>
    <t>Yves</t>
  </si>
  <si>
    <t>burbank house</t>
  </si>
  <si>
    <t>tsubi club</t>
  </si>
  <si>
    <t>Arm's Length</t>
  </si>
  <si>
    <t>Kacy Hill</t>
  </si>
  <si>
    <t>Born Again</t>
  </si>
  <si>
    <t>LISA, Doja Cat, RAYE</t>
  </si>
  <si>
    <t>XO Tour Life</t>
  </si>
  <si>
    <t>Lil Uzi Vert</t>
  </si>
  <si>
    <t xml:space="preserve">Father, Father </t>
  </si>
  <si>
    <t>Scene Seven: The Dance of Eternity</t>
  </si>
  <si>
    <t>Dream Theater</t>
  </si>
  <si>
    <t>Escapism.</t>
  </si>
  <si>
    <t>RAYE, 070 Shake</t>
  </si>
  <si>
    <t>Đừng Làm Trái Tim Anh Đau</t>
  </si>
  <si>
    <t>Sơn Tùng M-TP</t>
  </si>
  <si>
    <t>Theme:Top Charts Vietnam</t>
  </si>
  <si>
    <t>Chịu Cách Mình Nói Thua</t>
  </si>
  <si>
    <t>RHYDER, CoolKid, BAN</t>
  </si>
  <si>
    <t>shhhhhhh...</t>
  </si>
  <si>
    <t>WEAN, tlinh</t>
  </si>
  <si>
    <t>Có Đôi Điều</t>
  </si>
  <si>
    <t>Shiki</t>
  </si>
  <si>
    <t>Hẹn Gặp Em Dưới Ánh Trăng</t>
  </si>
  <si>
    <t>HIEUTHUHAI, HURRYKNG, MANBO</t>
  </si>
  <si>
    <t>New Beastly</t>
  </si>
  <si>
    <t>Locked out of Heaven</t>
  </si>
  <si>
    <t>Bruno Mars</t>
  </si>
  <si>
    <t>Ex 2See Me Cry</t>
  </si>
  <si>
    <t>Downtown Kayoto</t>
  </si>
  <si>
    <t>12th Street Rag</t>
  </si>
  <si>
    <t>Roy Smack</t>
  </si>
  <si>
    <t>Just The Way You Are</t>
  </si>
  <si>
    <t>Dumb</t>
  </si>
  <si>
    <t>Tyga, Big Sean, Flo Milli</t>
  </si>
  <si>
    <t>Words2LiveBy</t>
  </si>
  <si>
    <t>El Cousteau, Earl Sweatshirt</t>
  </si>
  <si>
    <t>still</t>
  </si>
  <si>
    <t>bbno$</t>
  </si>
  <si>
    <t>Cut the Grass Before the World Ends</t>
  </si>
  <si>
    <t>Neighbor Susan</t>
  </si>
  <si>
    <t>Senorita</t>
  </si>
  <si>
    <t>Hrithik Roshan, Maria Del Mar Fernandez, Farhan Akhtar, Abhay Deol</t>
  </si>
  <si>
    <t>Supernova</t>
  </si>
  <si>
    <t>WIM</t>
  </si>
  <si>
    <t>Crooked Smile</t>
  </si>
  <si>
    <t>J Cole</t>
  </si>
  <si>
    <t>T.O.P</t>
  </si>
  <si>
    <t>G Herbo, 21 Savage</t>
  </si>
  <si>
    <t>Escape (The Pina Colada Song)</t>
  </si>
  <si>
    <t>Rupert Holmes</t>
  </si>
  <si>
    <t>Thought I Was Dead</t>
  </si>
  <si>
    <t>Tyler, The Creator, Santigold, ScHoolboy Q</t>
  </si>
  <si>
    <t>残酷な天使のテーゼ</t>
  </si>
  <si>
    <t>Yoko Takahashi</t>
  </si>
  <si>
    <t>Theme:
Throw Back</t>
  </si>
  <si>
    <t>Juicy</t>
  </si>
  <si>
    <t>Biggie Smalls</t>
  </si>
  <si>
    <t>Check the Rhime</t>
  </si>
  <si>
    <t>A Tribe Called Quest</t>
  </si>
  <si>
    <t>Bullet With Butterfly Wings</t>
  </si>
  <si>
    <t>The Smashing Pumpkins</t>
  </si>
  <si>
    <t>Smells Like Teen Spirit</t>
  </si>
  <si>
    <t>Fantasy</t>
  </si>
  <si>
    <t>Mariah Carey</t>
  </si>
  <si>
    <t>Nokia</t>
  </si>
  <si>
    <t>Inside Out</t>
  </si>
  <si>
    <t>keshi</t>
  </si>
  <si>
    <t>Busy Woman</t>
  </si>
  <si>
    <t>Saturday Nights</t>
  </si>
  <si>
    <t>Inoha</t>
  </si>
  <si>
    <t>DRESSING ROOM</t>
  </si>
  <si>
    <t>Hungry Like The Wolf</t>
  </si>
  <si>
    <t>Duran Duran</t>
  </si>
  <si>
    <t>Why He Told</t>
  </si>
  <si>
    <t>King Von</t>
  </si>
  <si>
    <t>An Abduction</t>
  </si>
  <si>
    <t>Thrailkill</t>
  </si>
  <si>
    <t>Bazzi</t>
  </si>
  <si>
    <t>BLOODY STREAM</t>
  </si>
  <si>
    <t>Coda</t>
  </si>
  <si>
    <t>CHIRI</t>
  </si>
  <si>
    <t>Rosalia</t>
  </si>
  <si>
    <t>JUMP!</t>
  </si>
  <si>
    <t>GASPXR</t>
  </si>
  <si>
    <t>Circle With Me</t>
  </si>
  <si>
    <t>Spiritbox</t>
  </si>
  <si>
    <t>awake</t>
  </si>
  <si>
    <t>Taku Iwasaki</t>
  </si>
  <si>
    <t>Countdown</t>
  </si>
  <si>
    <t>Theme:
What's the Title</t>
  </si>
  <si>
    <t>Guilt Trip</t>
  </si>
  <si>
    <t>Beep</t>
  </si>
  <si>
    <t>flipturn</t>
  </si>
  <si>
    <t>Immigrant Song</t>
  </si>
  <si>
    <t>Led Zeppelin</t>
  </si>
  <si>
    <t>Follow God</t>
  </si>
  <si>
    <t>Pasadena</t>
  </si>
  <si>
    <t>Tinashe, Buddy</t>
  </si>
  <si>
    <t>Drunk in Love</t>
  </si>
  <si>
    <t>Beyonce, JAY-Z</t>
  </si>
  <si>
    <t>treetops</t>
  </si>
  <si>
    <t>Alé Araya</t>
  </si>
  <si>
    <t>Oh shit...are we in love?</t>
  </si>
  <si>
    <t>Valley</t>
  </si>
  <si>
    <t>Take Me Out</t>
  </si>
  <si>
    <t>Franz Ferdinand</t>
  </si>
  <si>
    <t>bad idea</t>
  </si>
  <si>
    <t xml:space="preserve">distance </t>
  </si>
  <si>
    <t>Long Shot Party</t>
  </si>
  <si>
    <t>Best Spot in the House</t>
  </si>
  <si>
    <t>Injury Reserve</t>
  </si>
  <si>
    <t>Semi-Charmed Life</t>
  </si>
  <si>
    <t>Third Eye Blind</t>
  </si>
  <si>
    <t>CHAINSAW BLOOD</t>
  </si>
  <si>
    <t>Golden</t>
  </si>
  <si>
    <t>Cory Wong, Cody Fry</t>
  </si>
  <si>
    <t>Lithium</t>
  </si>
  <si>
    <t>Stick</t>
  </si>
  <si>
    <t>Dreamville, JID, J. Cole, Kenny Mason, Sheck Wes</t>
  </si>
  <si>
    <t>Dear Maria, Count Me In</t>
  </si>
  <si>
    <t>All Time Low</t>
  </si>
  <si>
    <t>Broke As Fuck</t>
  </si>
  <si>
    <t>Cordae</t>
  </si>
  <si>
    <t>Kamikaze</t>
  </si>
  <si>
    <t>Eminem</t>
  </si>
  <si>
    <t>Theme:
Majik Main</t>
  </si>
  <si>
    <t>Dynamic Duo 2</t>
  </si>
  <si>
    <t>Teejayx6, Kasher Quan</t>
  </si>
  <si>
    <t>Psycho</t>
  </si>
  <si>
    <t>slowthai, Denzel Curry</t>
  </si>
  <si>
    <t>RADA RADA</t>
  </si>
  <si>
    <t>Baby Kia</t>
  </si>
  <si>
    <t>Doot Doot (6 7)</t>
  </si>
  <si>
    <t>トドメの一撃</t>
  </si>
  <si>
    <t>Vaundy, Cory Wong</t>
  </si>
  <si>
    <t>Bayamon</t>
  </si>
  <si>
    <t>FloyyMenor</t>
  </si>
  <si>
    <t>I Don't Wanna Know</t>
  </si>
  <si>
    <t>Wei Ming</t>
  </si>
  <si>
    <t>spy?</t>
  </si>
  <si>
    <t>WHOKILLEDXIX</t>
  </si>
  <si>
    <t>black samurai.</t>
  </si>
  <si>
    <t>jev.</t>
  </si>
  <si>
    <t>Moonlight Steppin'</t>
  </si>
  <si>
    <t>Louie Zong</t>
  </si>
  <si>
    <t>DARE</t>
  </si>
  <si>
    <t>Bleed</t>
  </si>
  <si>
    <t>Malcom Todd, Omar Apollo</t>
  </si>
  <si>
    <t>Tripping Over Air</t>
  </si>
  <si>
    <t>Aidan Bissett</t>
  </si>
  <si>
    <t>Sun</t>
  </si>
  <si>
    <t>Derik Fein</t>
  </si>
  <si>
    <t>Drip Too Hard</t>
  </si>
  <si>
    <t>Lil Baby, Gunna</t>
  </si>
  <si>
    <t>Welcome Home</t>
  </si>
  <si>
    <t>Coheed &amp; Cambria</t>
  </si>
  <si>
    <t>bbycakes</t>
  </si>
  <si>
    <t>Mura Masa, Lil Uzi Vert, PinkPantheress, Shygirl</t>
  </si>
  <si>
    <t>Call to Arms</t>
  </si>
  <si>
    <t>Sense</t>
  </si>
  <si>
    <t>BAND-MAID</t>
  </si>
  <si>
    <t>Rakuen Toshi</t>
  </si>
  <si>
    <t>Theme:
alphabet_order_bot</t>
  </si>
  <si>
    <t>Danza Kuduro</t>
  </si>
  <si>
    <t>Don Omar, Lucenzo</t>
  </si>
  <si>
    <t>Around The World</t>
  </si>
  <si>
    <t>Kings of Leon</t>
  </si>
  <si>
    <t>Bridge Burning</t>
  </si>
  <si>
    <t>Foo Fighters</t>
  </si>
  <si>
    <t>Hold On Tight</t>
  </si>
  <si>
    <t>aespa</t>
  </si>
  <si>
    <t>Arawareta Hoshikuzuno Otoko</t>
  </si>
  <si>
    <t>Yugo Kanno</t>
  </si>
  <si>
    <t>Dead!</t>
  </si>
  <si>
    <t>ARSENAL (I SMELL BITCH)</t>
  </si>
  <si>
    <t>Mike Dimes, Denzel Curry</t>
  </si>
  <si>
    <t>War Pigs / Luke's Wall</t>
  </si>
  <si>
    <t>Black Sabbath</t>
  </si>
  <si>
    <t>Outfit</t>
  </si>
  <si>
    <t>Lil Baby, 21 Savage</t>
  </si>
  <si>
    <t>Interplanetary Spark</t>
  </si>
  <si>
    <t>SEGA SOUND TEAM, ZENTA</t>
  </si>
  <si>
    <t>Leave It In My Dreams</t>
  </si>
  <si>
    <t>Cmon</t>
  </si>
  <si>
    <t>KYLE</t>
  </si>
  <si>
    <t xml:space="preserve">The Giver </t>
  </si>
  <si>
    <t>Fire in the belly</t>
  </si>
  <si>
    <t>炎国の王妃</t>
  </si>
  <si>
    <t>Zac Zinger</t>
  </si>
  <si>
    <t>Lost In The World</t>
  </si>
  <si>
    <t>Salvation</t>
  </si>
  <si>
    <t>Ramble On</t>
  </si>
  <si>
    <t xml:space="preserve">where's the confetti </t>
  </si>
  <si>
    <t>Telepone</t>
  </si>
  <si>
    <t>Lady Gaga, Beyonce</t>
  </si>
  <si>
    <t>Theme:
Recession Era</t>
  </si>
  <si>
    <t>Rocketeer</t>
  </si>
  <si>
    <t>Far East Movement</t>
  </si>
  <si>
    <t>Gettin' Over You</t>
  </si>
  <si>
    <t>David Guetta, Chris Willis, Fergie, LMFAO</t>
  </si>
  <si>
    <t>Misery Business</t>
  </si>
  <si>
    <t>Airplanes</t>
  </si>
  <si>
    <t>B.o.B, Hayley Williams</t>
  </si>
  <si>
    <t>A Lonely Night</t>
  </si>
  <si>
    <t>Nothin' on You</t>
  </si>
  <si>
    <t>B.o.B, Bruno Mars</t>
  </si>
  <si>
    <t>Hunting Nirvana</t>
  </si>
  <si>
    <t>SAINt JHN</t>
  </si>
  <si>
    <t>Sugar, We're Goin Down</t>
  </si>
  <si>
    <t>Fall Out Boy</t>
  </si>
  <si>
    <t>All Of The Lights</t>
  </si>
  <si>
    <t>Clock Tower Stage</t>
  </si>
  <si>
    <t>Arcade Player</t>
  </si>
  <si>
    <t>OPM BABI</t>
  </si>
  <si>
    <t>Playboi Carti</t>
  </si>
  <si>
    <t>roleplay</t>
  </si>
  <si>
    <t>Walk Like a Motherfucker</t>
  </si>
  <si>
    <t>Ghost Funk Orchestra</t>
  </si>
  <si>
    <t xml:space="preserve">Chest Pain(I Love) </t>
  </si>
  <si>
    <t>Malcolm Todd</t>
  </si>
  <si>
    <t>Sunbeam Seaker</t>
  </si>
  <si>
    <t>Me vs Your Friends</t>
  </si>
  <si>
    <t>The Flat Stanleys</t>
  </si>
  <si>
    <t>Got Friends</t>
  </si>
  <si>
    <t>GoldLink, Miguel</t>
  </si>
  <si>
    <t>CLOVER</t>
  </si>
  <si>
    <t>IDK, Joey Valence &amp; Brae</t>
  </si>
  <si>
    <t>Language</t>
  </si>
  <si>
    <t>Paperboy Fabe, Brent Faiyaz</t>
  </si>
  <si>
    <t>Not Letting Go</t>
  </si>
  <si>
    <t>Tinie Tempah, Jess Glynne</t>
  </si>
  <si>
    <t>Theme:
Two-Hit Wonder?</t>
  </si>
  <si>
    <t>Solo</t>
  </si>
  <si>
    <t>Iyaz</t>
  </si>
  <si>
    <t>Loyal like Sid &amp; Nancy</t>
  </si>
  <si>
    <t>Foster The People</t>
  </si>
  <si>
    <t>Salute Your Solution</t>
  </si>
  <si>
    <t>The Raconteurs</t>
  </si>
  <si>
    <t>The Plastic Age</t>
  </si>
  <si>
    <t>The Buggles</t>
  </si>
  <si>
    <t>the boy is mine</t>
  </si>
  <si>
    <t>less is more (with Skepta)</t>
  </si>
  <si>
    <t>PlaqueBoyMax, Skepta</t>
  </si>
  <si>
    <t>drifting</t>
  </si>
  <si>
    <t>Night Tapes</t>
  </si>
  <si>
    <t>The Sound of Silence</t>
  </si>
  <si>
    <t>Disturbed</t>
  </si>
  <si>
    <t>Theme of Sonic The Hedgehog - 2006 E3 Version</t>
  </si>
  <si>
    <t>SEGA SOUND TEAM, Tomoya Ohtani</t>
  </si>
  <si>
    <t>National Park</t>
  </si>
  <si>
    <t>The Consouls</t>
  </si>
  <si>
    <t>Black Panther</t>
  </si>
  <si>
    <t>Crystal Castles</t>
  </si>
  <si>
    <t>Robots</t>
  </si>
  <si>
    <t>Flight of the Conchords</t>
  </si>
  <si>
    <t>Josie</t>
  </si>
  <si>
    <t>Steely Dan</t>
  </si>
  <si>
    <t>Bunny Girl</t>
  </si>
  <si>
    <t>AKASAKI</t>
  </si>
  <si>
    <t>Coconut Mall</t>
  </si>
  <si>
    <t>Chop Suey!</t>
  </si>
  <si>
    <t>System of a Down</t>
  </si>
  <si>
    <t>Looking For Love</t>
  </si>
  <si>
    <t>Disclosure</t>
  </si>
  <si>
    <t>March on for Pax Romana</t>
  </si>
  <si>
    <t>Psychadelic Porn Crumpets</t>
  </si>
  <si>
    <t>Dance Now</t>
  </si>
  <si>
    <t>JID, Kenny Mason</t>
  </si>
  <si>
    <t>Do For Love</t>
  </si>
  <si>
    <t>2Pac</t>
  </si>
  <si>
    <t xml:space="preserve">Theme: Literature </t>
  </si>
  <si>
    <t>Tom Sawyer</t>
  </si>
  <si>
    <t>All Nightmare Long</t>
  </si>
  <si>
    <t>2112: Overture/The Temples of Syrinx/Discovery/Presentation/Oracle: The Dream/Soliloquy/Grand Finale</t>
  </si>
  <si>
    <t>When the Lights Are Down</t>
  </si>
  <si>
    <t>Kamelot</t>
  </si>
  <si>
    <t>Petite Etoile</t>
  </si>
  <si>
    <t>Polo &amp; Pan, Beth Ditto</t>
  </si>
  <si>
    <t>Love</t>
  </si>
  <si>
    <t>Dance in the Fire</t>
  </si>
  <si>
    <t>selfdestruct</t>
  </si>
  <si>
    <t>torr</t>
  </si>
  <si>
    <t>appetite</t>
  </si>
  <si>
    <t>STIM</t>
  </si>
  <si>
    <t>Lady</t>
  </si>
  <si>
    <t>Modjo</t>
  </si>
  <si>
    <t xml:space="preserve">hooligan </t>
  </si>
  <si>
    <t>Baby Keem</t>
  </si>
  <si>
    <t>No Comma</t>
  </si>
  <si>
    <t>Slayyyter</t>
  </si>
  <si>
    <t>Things to Do - Live</t>
  </si>
  <si>
    <t>Zach Top, Billy Strings</t>
  </si>
  <si>
    <t>Family Ties</t>
  </si>
  <si>
    <t>Baby Keem, Kendrick Lamar</t>
  </si>
  <si>
    <t>Silver Lining</t>
  </si>
  <si>
    <t>Movin' Out (Anthony's Song)</t>
  </si>
  <si>
    <t>Bad to Me</t>
  </si>
  <si>
    <t>Wizkid</t>
  </si>
  <si>
    <t>ringtone(Remix)</t>
  </si>
  <si>
    <t>100 gecs, Charli xcx, Rico Nasty, Kero Kero Bonito</t>
  </si>
  <si>
    <t>Go Loko</t>
  </si>
  <si>
    <t>Tyga, YG, Jon Z</t>
  </si>
  <si>
    <t>Cut Me Deep (feat. MAGIC!)</t>
  </si>
  <si>
    <t>Shakira, MAGIC!</t>
  </si>
  <si>
    <t>Theme: Birthday</t>
  </si>
  <si>
    <t>cul-de-sac</t>
  </si>
  <si>
    <t>glass beach</t>
  </si>
  <si>
    <t>Clocks</t>
  </si>
  <si>
    <t>Let's Stay Together</t>
  </si>
  <si>
    <t>Al Green</t>
  </si>
  <si>
    <t>Ball For Me</t>
  </si>
  <si>
    <t>Post Malone, Nicki Minaj</t>
  </si>
  <si>
    <t>We Might Even Be Falling In Love</t>
  </si>
  <si>
    <t>Victoria Monét, Bryson Tiller</t>
  </si>
  <si>
    <t>Helena</t>
  </si>
  <si>
    <t>The Great Escape</t>
  </si>
  <si>
    <t>BOYS LIKE GIRLS</t>
  </si>
  <si>
    <t>Gaddaar</t>
  </si>
  <si>
    <t>Bloodywood</t>
  </si>
  <si>
    <t>Black Hole Sun</t>
  </si>
  <si>
    <t>Soundgarden</t>
  </si>
  <si>
    <t>I Wish</t>
  </si>
  <si>
    <t>Stevie Wonder</t>
  </si>
  <si>
    <t>(Don't Fear) The Reaper</t>
  </si>
  <si>
    <t>Blue Oyster Cult</t>
  </si>
  <si>
    <t>Stacy</t>
  </si>
  <si>
    <t>Quinn XCII</t>
  </si>
  <si>
    <t>The Outfield</t>
  </si>
  <si>
    <t>The Night Game</t>
  </si>
  <si>
    <t>Metamodernity</t>
  </si>
  <si>
    <t>Vansire</t>
  </si>
  <si>
    <t>In Your Eyes (Remix)</t>
  </si>
  <si>
    <t>The Weeknd, Doja Cat</t>
  </si>
  <si>
    <t>Rips in Jeans</t>
  </si>
  <si>
    <t>Niko B</t>
  </si>
  <si>
    <t>Long Way</t>
  </si>
  <si>
    <t>Blxst, Amanda Reifer</t>
  </si>
  <si>
    <t>Sympathy is a knife</t>
  </si>
  <si>
    <t>Temptation</t>
  </si>
  <si>
    <t>Joey Bada$$</t>
  </si>
  <si>
    <t>Isis</t>
  </si>
  <si>
    <t>Joyner Lucas, Logic</t>
  </si>
  <si>
    <t>Theme: 2019 Wrapped</t>
  </si>
  <si>
    <t>Ghost Town</t>
  </si>
  <si>
    <t>Acid Dreams</t>
  </si>
  <si>
    <t>Max, Felly</t>
  </si>
  <si>
    <t>On the Banks</t>
  </si>
  <si>
    <t>Chris Renzema</t>
  </si>
  <si>
    <t>Look Back at It</t>
  </si>
  <si>
    <t>A Boogie Wit da Hoodie</t>
  </si>
  <si>
    <t>Snacks &amp; Wine</t>
  </si>
  <si>
    <t>Soul</t>
  </si>
  <si>
    <t>Sultans of Swing</t>
  </si>
  <si>
    <t>Love Drunk Lust (Make it Hard)</t>
  </si>
  <si>
    <t>Peter $un, Blue Rondo, Trip Carter, KnottRudy</t>
  </si>
  <si>
    <t>Indie Hip-Hop</t>
  </si>
  <si>
    <t>Your Direction</t>
  </si>
  <si>
    <t>Goose</t>
  </si>
  <si>
    <t>Alternative</t>
  </si>
  <si>
    <t>New Person, Same Old Mistakes</t>
  </si>
  <si>
    <t>Tame Impala</t>
  </si>
  <si>
    <t>Gerudo Valley</t>
  </si>
  <si>
    <t>Koji Kondo, Jonnas Heisenberg</t>
  </si>
  <si>
    <t>Video Game OST</t>
  </si>
  <si>
    <t>IN YOUR EYES</t>
  </si>
  <si>
    <t>Snoh Aalegra</t>
  </si>
  <si>
    <t>Dramaturgy</t>
  </si>
  <si>
    <t>Eve</t>
  </si>
  <si>
    <t>GODSTAINED</t>
  </si>
  <si>
    <t>Quadeca</t>
  </si>
  <si>
    <t>Flight Facilities, Owl Eyes</t>
  </si>
  <si>
    <t>Baby Powder</t>
  </si>
  <si>
    <t>Jenevieve</t>
  </si>
  <si>
    <t>Little Wing</t>
  </si>
  <si>
    <t>Jimi Hendrix</t>
  </si>
  <si>
    <t>Psychodelic Rock</t>
  </si>
  <si>
    <t>Lost At Sea</t>
  </si>
  <si>
    <t>Zedd, Ryan Tedder</t>
  </si>
  <si>
    <t>Progressive House</t>
  </si>
  <si>
    <t>21st Century Schizoid Man</t>
  </si>
  <si>
    <t>King Crimson</t>
  </si>
  <si>
    <t>I Think I Left the Stove On</t>
  </si>
  <si>
    <t>Hotel Ugly</t>
  </si>
  <si>
    <t>Vegas</t>
  </si>
  <si>
    <t>Theme: Movie Soundtrack</t>
  </si>
  <si>
    <t>Gotta Go My Own Way</t>
  </si>
  <si>
    <t>Zac Efron, Vanessa Hudgens</t>
  </si>
  <si>
    <t>On My Soul</t>
  </si>
  <si>
    <t>Tobe Nwigwe, Nas, Jacob Banks</t>
  </si>
  <si>
    <t>Conscious Hip Hop</t>
  </si>
  <si>
    <t>Never</t>
  </si>
  <si>
    <t>Moving Pictures</t>
  </si>
  <si>
    <t>Black Sheep</t>
  </si>
  <si>
    <t>Metric</t>
  </si>
  <si>
    <t>Kekka Orai</t>
  </si>
  <si>
    <t>Kocchi no Kento</t>
  </si>
  <si>
    <t>Kaikai Kitan</t>
  </si>
  <si>
    <t>ふ・れ・ん・ど・し・た・い</t>
  </si>
  <si>
    <t>学園生活部</t>
  </si>
  <si>
    <t>タイム・リミット</t>
  </si>
  <si>
    <t>CASIOPEA</t>
  </si>
  <si>
    <t>J-Fusion</t>
  </si>
  <si>
    <t>Kizukeyo Baby</t>
  </si>
  <si>
    <t>THE ORAL CIGARETTES</t>
  </si>
  <si>
    <t>Sayonara</t>
  </si>
  <si>
    <t>PIDA LO QUE QUIERA MAMI</t>
  </si>
  <si>
    <t>Latin</t>
  </si>
  <si>
    <t>WASSUP</t>
  </si>
  <si>
    <t>Latin Trap</t>
  </si>
  <si>
    <t>My Hero</t>
  </si>
  <si>
    <t>Upset</t>
  </si>
  <si>
    <t>Brent Faiyaz, FELIX!, Tommy Richman</t>
  </si>
  <si>
    <t>Do It</t>
  </si>
  <si>
    <t>Tuxedo</t>
  </si>
  <si>
    <t>Tape You</t>
  </si>
  <si>
    <t>N.E.R.D</t>
  </si>
  <si>
    <t>I Really Wish I Hated You</t>
  </si>
  <si>
    <t>blink-182</t>
  </si>
  <si>
    <t>Half of My Heart</t>
  </si>
  <si>
    <t>Soft Rock</t>
  </si>
  <si>
    <t>光るなら</t>
  </si>
  <si>
    <t>Goose House</t>
  </si>
  <si>
    <t>Circles</t>
  </si>
  <si>
    <t>Theme: Bad Bitch Era</t>
  </si>
  <si>
    <t>U My Everything (feat. Drake)</t>
  </si>
  <si>
    <t>Sexyy Red, Drake</t>
  </si>
  <si>
    <t>Immaculate</t>
  </si>
  <si>
    <t>Shygirl, Club Shy, Saweetie</t>
  </si>
  <si>
    <t>15 Minutes</t>
  </si>
  <si>
    <t xml:space="preserve">Pop  </t>
  </si>
  <si>
    <t>Feeling Myself</t>
  </si>
  <si>
    <t>Nicki Minaj, Beyonce</t>
  </si>
  <si>
    <t>After Midnight</t>
  </si>
  <si>
    <t>Jordan Astra, Misha, Jussi Halme</t>
  </si>
  <si>
    <t>RATHER LIE (with The Weeknd)</t>
  </si>
  <si>
    <t>Playboi Carti, The Weeknd</t>
  </si>
  <si>
    <t>The 1</t>
  </si>
  <si>
    <t>muque</t>
  </si>
  <si>
    <t>Priceless</t>
  </si>
  <si>
    <t>Maroon 5, LISA</t>
  </si>
  <si>
    <t>Ash</t>
  </si>
  <si>
    <t>NOT SORRY</t>
  </si>
  <si>
    <t>Lee Young Ji, pH-1</t>
  </si>
  <si>
    <t>K-Rap</t>
  </si>
  <si>
    <t>Una Vida Pasada</t>
  </si>
  <si>
    <t>Camilo, Carin Leon</t>
  </si>
  <si>
    <t>venus fly trap</t>
  </si>
  <si>
    <t>brakence</t>
  </si>
  <si>
    <t>Deadstick</t>
  </si>
  <si>
    <t>King Gizzard and the Lizard Wizard</t>
  </si>
  <si>
    <t>4EVER</t>
  </si>
  <si>
    <t>Carrion Riders</t>
  </si>
  <si>
    <t>I Can't Win</t>
  </si>
  <si>
    <t>I Lied to You</t>
  </si>
  <si>
    <t>Miles Canton, Sinners Movie</t>
  </si>
  <si>
    <t>Man! I Feel Like  A Woman!</t>
  </si>
  <si>
    <t>Shania Twain</t>
  </si>
  <si>
    <t>Mercury</t>
  </si>
  <si>
    <t>Steve Lacy</t>
  </si>
  <si>
    <t>Right Round</t>
  </si>
  <si>
    <t>Flo Rida, Kesha</t>
  </si>
  <si>
    <t>Theme: First Purchase</t>
  </si>
  <si>
    <t>Waka Waka (This Time for Africa)</t>
  </si>
  <si>
    <t>Shakira, Freshlyground</t>
  </si>
  <si>
    <t>Out of My Mind</t>
  </si>
  <si>
    <t>B.o.B, Nicki Minaj</t>
  </si>
  <si>
    <t>Alternative Hip Hop</t>
  </si>
  <si>
    <t>Demons</t>
  </si>
  <si>
    <t>Imagine Dragons</t>
  </si>
  <si>
    <t>Trap Queen</t>
  </si>
  <si>
    <t>Fetty Wap</t>
  </si>
  <si>
    <t>Desi Girl</t>
  </si>
  <si>
    <t>Vishal-Shekhar, Shankar Mahadevan, Sunidhi Chauhan, Vishal Dadlani</t>
  </si>
  <si>
    <t>Mr. Jones</t>
  </si>
  <si>
    <t>Counting Crows</t>
  </si>
  <si>
    <t>LIVING IN MY HEAD</t>
  </si>
  <si>
    <t>Friz</t>
  </si>
  <si>
    <t>Emo Rap</t>
  </si>
  <si>
    <t>Fire Escape</t>
  </si>
  <si>
    <t>Tyson Motsenbocker</t>
  </si>
  <si>
    <t>Judas</t>
  </si>
  <si>
    <t>Dark Pop</t>
  </si>
  <si>
    <t>Balam Pichkari</t>
  </si>
  <si>
    <t>Pritam, Vishal Dadlani, Shalmali Kolgade</t>
  </si>
  <si>
    <t>Holy Wars... The Punishment Due</t>
  </si>
  <si>
    <t>Megadeth</t>
  </si>
  <si>
    <t>So Good</t>
  </si>
  <si>
    <t>Weston Estate</t>
  </si>
  <si>
    <t>Geese</t>
  </si>
  <si>
    <t>Neo-Psychadelic</t>
  </si>
  <si>
    <t>Backstage Pass</t>
  </si>
  <si>
    <t>Smino, monte booker, The Drums</t>
  </si>
  <si>
    <t>Call It Off</t>
  </si>
  <si>
    <t>Emotional Oranges, JAEHYUN</t>
  </si>
  <si>
    <t>Alt-R&amp;B</t>
  </si>
  <si>
    <t>25grad</t>
  </si>
  <si>
    <t>0199, Gustav, Kasi, antonius</t>
  </si>
  <si>
    <t>Houston</t>
  </si>
  <si>
    <t>Jean Dawson</t>
  </si>
  <si>
    <t>Overkill</t>
  </si>
  <si>
    <t>Men At Work</t>
  </si>
  <si>
    <t>80s Rock</t>
  </si>
  <si>
    <t>Collide</t>
  </si>
  <si>
    <t>James Bay</t>
  </si>
  <si>
    <t>CUFF IT</t>
  </si>
  <si>
    <t>Theme: Nothing Beats Texas</t>
  </si>
  <si>
    <t>STARGAZING</t>
  </si>
  <si>
    <t>Attention</t>
  </si>
  <si>
    <t>Tush</t>
  </si>
  <si>
    <t>ZZ Top</t>
  </si>
  <si>
    <t>Texas</t>
  </si>
  <si>
    <t>BigXthaPlug</t>
  </si>
  <si>
    <t>Ella Se Olvido De Mi</t>
  </si>
  <si>
    <t>Los Angeles Azules</t>
  </si>
  <si>
    <t>Nice to Know You</t>
  </si>
  <si>
    <t>Me and Bobby McGee</t>
  </si>
  <si>
    <t>Janis Joplin</t>
  </si>
  <si>
    <t>BLACK MEMORY</t>
  </si>
  <si>
    <t>Kid Charlemagne</t>
  </si>
  <si>
    <t>Pop-Rock</t>
  </si>
  <si>
    <t>4EVA</t>
  </si>
  <si>
    <t>KAYTRAMINE, Amine, KAYTRANADA, Pharrell</t>
  </si>
  <si>
    <t>PURPLE TUESDAY</t>
  </si>
  <si>
    <t>Rejjie Snow, Joey Bada$$, Jesse Boykin III</t>
  </si>
  <si>
    <t>Mr. Crowley</t>
  </si>
  <si>
    <t>Ozzy Osbourne</t>
  </si>
  <si>
    <t>Heavydirtysoul</t>
  </si>
  <si>
    <t>Twenty One Pilots</t>
  </si>
  <si>
    <t>Concious Hip-Hop</t>
  </si>
  <si>
    <t>double take</t>
  </si>
  <si>
    <t>dhruv</t>
  </si>
  <si>
    <t>Despues de la Playa</t>
  </si>
  <si>
    <t>Crash</t>
  </si>
  <si>
    <t>Rdcworld, Toasty-Chan</t>
  </si>
  <si>
    <t>Seven Weeks In County</t>
  </si>
  <si>
    <t>Billy Strings</t>
  </si>
  <si>
    <t>Hard Times</t>
  </si>
  <si>
    <t>Nessun dorma</t>
  </si>
  <si>
    <t>Andrea Bocelli</t>
  </si>
  <si>
    <t>Classical</t>
  </si>
  <si>
    <t>Opera</t>
  </si>
  <si>
    <t xml:space="preserve">Theme: Latest Concert </t>
  </si>
  <si>
    <t>Open Arms (Feat. Travis Scott)</t>
  </si>
  <si>
    <t>SZA, Travis Scott</t>
  </si>
  <si>
    <t>STEP BACK</t>
  </si>
  <si>
    <t>Dro Kenji, Mike Dimes</t>
  </si>
  <si>
    <t>Photograph</t>
  </si>
  <si>
    <t>Come Get Her</t>
  </si>
  <si>
    <t>Rae Sremmurd</t>
  </si>
  <si>
    <t>The Town Inside Me</t>
  </si>
  <si>
    <t>Heran theme
Holiday: Posted on 5/22</t>
  </si>
  <si>
    <t>I Miss You</t>
  </si>
  <si>
    <t>Thru These Tears</t>
  </si>
  <si>
    <t>LANY</t>
  </si>
  <si>
    <t>Moving On and Getting Over</t>
  </si>
  <si>
    <t>The End</t>
  </si>
  <si>
    <t>Lil Uzi Vert, BABY METAL</t>
  </si>
  <si>
    <t>Melodic Metalcore</t>
  </si>
  <si>
    <t>Oh My God</t>
  </si>
  <si>
    <t>Adele</t>
  </si>
  <si>
    <t>Gospel Pop</t>
  </si>
  <si>
    <t>Let's Get It Started</t>
  </si>
  <si>
    <t>Black Eyed Peas</t>
  </si>
  <si>
    <t>It's Not Design</t>
  </si>
  <si>
    <t>Lupe Fiasco, Salim</t>
  </si>
  <si>
    <t>Achilles Last Stand</t>
  </si>
  <si>
    <t>Higher</t>
  </si>
  <si>
    <t>Sigma, Labrinth</t>
  </si>
  <si>
    <t>Love Me Right</t>
  </si>
  <si>
    <t>Aretha Franklin</t>
  </si>
  <si>
    <t>BRASILIAN SKIES</t>
  </si>
  <si>
    <t>Masayoshi Takanaka</t>
  </si>
  <si>
    <t>cafuné (butter version)</t>
  </si>
  <si>
    <t>Sofi Tukker, Channel Tres</t>
  </si>
  <si>
    <t>No Rain, No Flowers</t>
  </si>
  <si>
    <t>The Black Keys</t>
  </si>
  <si>
    <t>Ban All the Music</t>
  </si>
  <si>
    <t>Nothing But Thieves</t>
  </si>
  <si>
    <t>SOUVENIR</t>
  </si>
  <si>
    <t>Theme: Luck of the Draw</t>
  </si>
  <si>
    <t>Star Shopping</t>
  </si>
  <si>
    <t>Lil Peep</t>
  </si>
  <si>
    <t>CAN'T SAY</t>
  </si>
  <si>
    <t>Travis Scott, Don Toliver</t>
  </si>
  <si>
    <t>SISAS NADA</t>
  </si>
  <si>
    <t>TURY, Ryan Castro, Blessd</t>
  </si>
  <si>
    <t>c</t>
  </si>
  <si>
    <t>とおのねむり</t>
  </si>
  <si>
    <t>In Touch</t>
  </si>
  <si>
    <t>Daul, Charli Taft</t>
  </si>
  <si>
    <t>Cool Cat</t>
  </si>
  <si>
    <t>robbery</t>
  </si>
  <si>
    <t>SOLOMON</t>
  </si>
  <si>
    <t>Whateverrrr</t>
  </si>
  <si>
    <t>Spacey Jane</t>
  </si>
  <si>
    <t>Little White Lies</t>
  </si>
  <si>
    <t>One Direction</t>
  </si>
  <si>
    <t>Sweet</t>
  </si>
  <si>
    <t>Breny Joy, Landon Sears</t>
  </si>
  <si>
    <t>Runaway (U&amp;I)</t>
  </si>
  <si>
    <t>Galantis</t>
  </si>
  <si>
    <t>One Out Of Two</t>
  </si>
  <si>
    <t>Breakbot, Irfane</t>
  </si>
  <si>
    <t>Long Distance Runaround</t>
  </si>
  <si>
    <t>Yes</t>
  </si>
  <si>
    <t>Rather Be</t>
  </si>
  <si>
    <t>Clean Bandit, Jess Glynne</t>
  </si>
  <si>
    <t>Before Midnight</t>
  </si>
  <si>
    <t>Illegal</t>
  </si>
  <si>
    <t>STRANGERS</t>
  </si>
  <si>
    <t>JP Saxe, TINI</t>
  </si>
  <si>
    <t>The Void</t>
  </si>
  <si>
    <t>Come And Get It</t>
  </si>
  <si>
    <t>No Mediocre</t>
  </si>
  <si>
    <t>T.I., Iggy Azalea</t>
  </si>
  <si>
    <t>Theme: Ruined by a Feature</t>
  </si>
  <si>
    <t>Echame La Culpa</t>
  </si>
  <si>
    <t>Luis Fonsi, Demi Lovato</t>
  </si>
  <si>
    <t>Rat A Tat</t>
  </si>
  <si>
    <t>Fall Out Boy, Courtney Love</t>
  </si>
  <si>
    <t>Please Please Please</t>
  </si>
  <si>
    <t>Sabrina Carpenter, Dolly Parton</t>
  </si>
  <si>
    <t>Swervin</t>
  </si>
  <si>
    <t>A Boogie Wit Da Hoodie, 6ix9ine</t>
  </si>
  <si>
    <t>Too Late</t>
  </si>
  <si>
    <t>Wake the Wild</t>
  </si>
  <si>
    <t>Umbrella</t>
  </si>
  <si>
    <t>Rihanna, JAY-Z</t>
  </si>
  <si>
    <t>Sure</t>
  </si>
  <si>
    <t>Emarosa</t>
  </si>
  <si>
    <t>Hocus Pocus</t>
  </si>
  <si>
    <t>Focus</t>
  </si>
  <si>
    <t>The London</t>
  </si>
  <si>
    <t>Young Thug, J. Cole, Travis Scott</t>
  </si>
  <si>
    <t>Cash In Cash Out</t>
  </si>
  <si>
    <t>Pharrell Williams, 21 Savage, Tyler The Creator</t>
  </si>
  <si>
    <t>Jackie Down The Line</t>
  </si>
  <si>
    <t>StArlight</t>
  </si>
  <si>
    <t>Johnny Yukon</t>
  </si>
  <si>
    <t>Noble Soldier</t>
  </si>
  <si>
    <t>The Murlocs</t>
  </si>
  <si>
    <t>Mr. Blue Sky</t>
  </si>
  <si>
    <t>Electric Light Orchestra</t>
  </si>
  <si>
    <t>Gut Feeling</t>
  </si>
  <si>
    <t>Ella MAI, H.E.R.</t>
  </si>
  <si>
    <t>Balloon (feat. Doechii)</t>
  </si>
  <si>
    <t>Tyler, The Creator, Doechii</t>
  </si>
  <si>
    <t>MIENAIKARANE!?</t>
  </si>
  <si>
    <t>四谷みこ(CV:雨宮 天)</t>
  </si>
  <si>
    <t>Renegade</t>
  </si>
  <si>
    <t>Styx</t>
  </si>
  <si>
    <t>Ain't Too Cool</t>
  </si>
  <si>
    <t>Lunchmoney Lewis</t>
  </si>
  <si>
    <t>I Wanna Take You for a Ride</t>
  </si>
  <si>
    <t>The 8-Bit Big Band, Lawrence</t>
  </si>
  <si>
    <t>Theme: Discovery</t>
  </si>
  <si>
    <t>girls like me don't cry</t>
  </si>
  <si>
    <t>Past Self</t>
  </si>
  <si>
    <t>NUEVAYoL</t>
  </si>
  <si>
    <t>Ain't It Fun</t>
  </si>
  <si>
    <t>Lucky (Song 7)</t>
  </si>
  <si>
    <t>Busty and the Bass</t>
  </si>
  <si>
    <t>Chega de Saudada</t>
  </si>
  <si>
    <t>Joao Gilberto</t>
  </si>
  <si>
    <t>BRAINROT</t>
  </si>
  <si>
    <t>grandson</t>
  </si>
  <si>
    <t xml:space="preserve">Voices </t>
  </si>
  <si>
    <t>Joshua Ray Walker</t>
  </si>
  <si>
    <t>Dig My Grave</t>
  </si>
  <si>
    <t>Retrofile</t>
  </si>
  <si>
    <t>Look At Me</t>
  </si>
  <si>
    <t>Cory Wong, Allen Stone</t>
  </si>
  <si>
    <t>Ferxxo 500</t>
  </si>
  <si>
    <t>CANDY</t>
  </si>
  <si>
    <t>Paco, Ale Araya</t>
  </si>
  <si>
    <t>Broken Wing Bird</t>
  </si>
  <si>
    <t>Kashus Culpepper, Sierra Ferrell</t>
  </si>
  <si>
    <t>Only Wonder</t>
  </si>
  <si>
    <t>frederic</t>
  </si>
  <si>
    <t>Wherever I Go</t>
  </si>
  <si>
    <t>Jacob Collier, Lawrence, Michael McDonald</t>
  </si>
  <si>
    <t>Daybreak</t>
  </si>
  <si>
    <t>Michael Haggins</t>
  </si>
  <si>
    <t>Grace</t>
  </si>
  <si>
    <t>CARRTOONS, Rae Khalil</t>
  </si>
  <si>
    <t>ブルーバード</t>
  </si>
  <si>
    <t>Boku no Sensou</t>
  </si>
  <si>
    <t>Shinsei Kamattechan</t>
  </si>
  <si>
    <t>Theme: Sweet Home Alabama</t>
  </si>
  <si>
    <t>Kill That Yankee Soldier</t>
  </si>
  <si>
    <t>Un-Reconstructed</t>
  </si>
  <si>
    <t>Idk How to Kill Myself</t>
  </si>
  <si>
    <t>Yunggoth</t>
  </si>
  <si>
    <t>Unwell</t>
  </si>
  <si>
    <t>Matchbox Twenty</t>
  </si>
  <si>
    <t>Down Bad</t>
  </si>
  <si>
    <t>Dreamville, JID, Bas, J. Cole, EARTHGANG, Young Nudy</t>
  </si>
  <si>
    <t>Move</t>
  </si>
  <si>
    <t>EASY FREAK</t>
  </si>
  <si>
    <t>BedRock</t>
  </si>
  <si>
    <t>Young Money, Lloyd</t>
  </si>
  <si>
    <t>Victory Lap</t>
  </si>
  <si>
    <t>Fred again.., Skepta, PlaqueBoyMax</t>
  </si>
  <si>
    <t>Cover Me Up</t>
  </si>
  <si>
    <t>Jason Isbell</t>
  </si>
  <si>
    <t>Rock That Body</t>
  </si>
  <si>
    <t>TAKEDOWN</t>
  </si>
  <si>
    <t>ESTOY PUTIAO</t>
  </si>
  <si>
    <t>Fied, Sky Rompiendo, Dei V</t>
  </si>
  <si>
    <t>STILL IN THE PAINT</t>
  </si>
  <si>
    <t>Denzel Curry, LAZER DIM 700, Bktherula</t>
  </si>
  <si>
    <t>Uncle Remus</t>
  </si>
  <si>
    <t>Frank Zappa</t>
  </si>
  <si>
    <t>I Will Survive</t>
  </si>
  <si>
    <t>Gloria Gaynor</t>
  </si>
  <si>
    <t>Shake Senora</t>
  </si>
  <si>
    <t>Pitbull, T-Pain, Sean Paul</t>
  </si>
  <si>
    <t>ALV</t>
  </si>
  <si>
    <t>Arcangel, Grupo Frontera</t>
  </si>
  <si>
    <t>Strangers</t>
  </si>
  <si>
    <t>Kenya Grace</t>
  </si>
  <si>
    <t>LOOK OUT FOR ME</t>
  </si>
  <si>
    <t>Turnstile</t>
  </si>
  <si>
    <t>Hush</t>
  </si>
  <si>
    <t>miss A</t>
  </si>
  <si>
    <t>Numb Little Bug</t>
  </si>
  <si>
    <t>Em Beihold</t>
  </si>
  <si>
    <t>Theme: No Correlation</t>
  </si>
  <si>
    <t>Crew Love</t>
  </si>
  <si>
    <t>Drake, The Weeknd</t>
  </si>
  <si>
    <t>Music Sounds Better With You</t>
  </si>
  <si>
    <t>Stardust, Benjamin Diamond, Alan Braxe, Thomas Bangalter</t>
  </si>
  <si>
    <t>Bennie And The Jets</t>
  </si>
  <si>
    <t>Elton John</t>
  </si>
  <si>
    <t>TUCA DONKA</t>
  </si>
  <si>
    <t>CURSEDDEVIL, DJ FKU, Skorde</t>
  </si>
  <si>
    <t>Stare At Me</t>
  </si>
  <si>
    <t>JANE HANDCOCK, Anderson .Paak</t>
  </si>
  <si>
    <t>Laugh Now Cry Later (feat. Lil Durk)</t>
  </si>
  <si>
    <t>Drake, Lil Durk</t>
  </si>
  <si>
    <t>LONELY MF</t>
  </si>
  <si>
    <t>$NOT</t>
  </si>
  <si>
    <t>NEEDY</t>
  </si>
  <si>
    <t>Internet Girl, Lancey Foux</t>
  </si>
  <si>
    <t>Sky</t>
  </si>
  <si>
    <t>Fantasia on the "Dargason"</t>
  </si>
  <si>
    <t>United States Air Force Band</t>
  </si>
  <si>
    <t>Yam Yam</t>
  </si>
  <si>
    <t>No Vacation</t>
  </si>
  <si>
    <t>Sad Sad City</t>
  </si>
  <si>
    <t>Ghostland Observatory</t>
  </si>
  <si>
    <t>davina mccall</t>
  </si>
  <si>
    <t>Bodies</t>
  </si>
  <si>
    <t>Offset, JID</t>
  </si>
  <si>
    <t>ALL IN</t>
  </si>
  <si>
    <t>Ty Dolla $ign</t>
  </si>
  <si>
    <t>Invictus</t>
  </si>
  <si>
    <t>Karl King, United States Air Force Band</t>
  </si>
  <si>
    <t>Silent Ride</t>
  </si>
  <si>
    <t>WESTSIDE BOOGIE</t>
  </si>
  <si>
    <t>Time</t>
  </si>
  <si>
    <t>Pink Floyd</t>
  </si>
  <si>
    <t>Bottoms Up</t>
  </si>
  <si>
    <t>Trey Songz, Nicki Minaj</t>
  </si>
  <si>
    <t>Spider-Man 2 pizza theme</t>
  </si>
  <si>
    <t>Little Jacob</t>
  </si>
  <si>
    <t>Theme: Alarm Song</t>
  </si>
  <si>
    <t>Turn My Swag On</t>
  </si>
  <si>
    <t>Soulja Boy</t>
  </si>
  <si>
    <t>Morioucho Radio</t>
  </si>
  <si>
    <t>NFL on FOX</t>
  </si>
  <si>
    <t>logan feece</t>
  </si>
  <si>
    <t>Just Wanna Rock</t>
  </si>
  <si>
    <t>Come Down</t>
  </si>
  <si>
    <t>Anderson.Paak</t>
  </si>
  <si>
    <t>A Prophecy</t>
  </si>
  <si>
    <t>Asking Alexandria</t>
  </si>
  <si>
    <t>ideology of a ghost</t>
  </si>
  <si>
    <t>Davin Glover, 1nonly</t>
  </si>
  <si>
    <t>Let Me Leave</t>
  </si>
  <si>
    <t>Can't Go Broke Remix</t>
  </si>
  <si>
    <t>ZEDDY WILL</t>
  </si>
  <si>
    <t>Buy U a Drank</t>
  </si>
  <si>
    <t>T-Pain, Yung Joc</t>
  </si>
  <si>
    <t>Maps</t>
  </si>
  <si>
    <t>Yeah Yeah Yeahs</t>
  </si>
  <si>
    <t>Elevation</t>
  </si>
  <si>
    <t>U2</t>
  </si>
  <si>
    <t>トーキョーレギー</t>
  </si>
  <si>
    <t>Rubber Band Stacks</t>
  </si>
  <si>
    <t>Brooke Candy</t>
  </si>
  <si>
    <t>Lose My Mind</t>
  </si>
  <si>
    <t>Don Toliver (feat. Doja Cat)</t>
  </si>
  <si>
    <t>I Get Around</t>
  </si>
  <si>
    <t>The Beach Boys</t>
  </si>
  <si>
    <t>Durgaflowz</t>
  </si>
  <si>
    <t>Ski Mask The Slump God</t>
  </si>
  <si>
    <t>The Omnific = Bass</t>
  </si>
  <si>
    <t>The Omnific</t>
  </si>
  <si>
    <t>Shine A Light</t>
  </si>
  <si>
    <t>Banners</t>
  </si>
  <si>
    <t>No Love</t>
  </si>
  <si>
    <t>Royce Da 5'9", 100 Kufis</t>
  </si>
  <si>
    <t>Theme: They still make music?</t>
  </si>
  <si>
    <t>TOXIC</t>
  </si>
  <si>
    <t>Dreezy T-Pain</t>
  </si>
  <si>
    <t>Tsunami</t>
  </si>
  <si>
    <t>Desiigner</t>
  </si>
  <si>
    <t>Television Love</t>
  </si>
  <si>
    <t>Of Monsters and Men</t>
  </si>
  <si>
    <t>Dark Thoughts</t>
  </si>
  <si>
    <t>Lil Tecca</t>
  </si>
  <si>
    <t>Lover Girl</t>
  </si>
  <si>
    <t>Trophies</t>
  </si>
  <si>
    <t>Young Money, Drake</t>
  </si>
  <si>
    <t>Missed Calls</t>
  </si>
  <si>
    <t>glue trap</t>
  </si>
  <si>
    <t>Man of the Year</t>
  </si>
  <si>
    <t>ScHoolboy Q</t>
  </si>
  <si>
    <t>THIS IS FOR</t>
  </si>
  <si>
    <t>Sick Love</t>
  </si>
  <si>
    <t>Long Beach</t>
  </si>
  <si>
    <t>Kota the Friend, Hello O'shay, Alex Banin</t>
  </si>
  <si>
    <t>Godzilla</t>
  </si>
  <si>
    <t>新宝島</t>
  </si>
  <si>
    <t>sakanaction</t>
  </si>
  <si>
    <t>All Night</t>
  </si>
  <si>
    <t>COSAS QUE NO TE DIJE</t>
  </si>
  <si>
    <t>SAIKO</t>
  </si>
  <si>
    <t>Work Out</t>
  </si>
  <si>
    <t>Dog Dribble</t>
  </si>
  <si>
    <t>Getdown Services</t>
  </si>
  <si>
    <t>Still into You</t>
  </si>
  <si>
    <t>Do It Again</t>
  </si>
  <si>
    <t>Pia Mia, Chris Brown, Tyga</t>
  </si>
  <si>
    <t>Theme: That Adds Up</t>
  </si>
  <si>
    <t>neo roneo</t>
  </si>
  <si>
    <t>rusowsky, LATIN MAFIA</t>
  </si>
  <si>
    <t>5 Star Crest (4 Vattenrum)</t>
  </si>
  <si>
    <t>Bladee, Ecco2k</t>
  </si>
  <si>
    <t>Ralphie</t>
  </si>
  <si>
    <t>Post Animal</t>
  </si>
  <si>
    <t>10AM/Save The World</t>
  </si>
  <si>
    <t>Metro Boomin, Gucci Mane</t>
  </si>
  <si>
    <t>Every Second</t>
  </si>
  <si>
    <t>Mina Okabe</t>
  </si>
  <si>
    <t>Helicopter</t>
  </si>
  <si>
    <t>Bloc Party</t>
  </si>
  <si>
    <t>Stars</t>
  </si>
  <si>
    <t>More Giraffes</t>
  </si>
  <si>
    <t>Elderberry Wine</t>
  </si>
  <si>
    <t>Wednesday</t>
  </si>
  <si>
    <t>革命道中 - On The Way</t>
  </si>
  <si>
    <t>AiNA THE END</t>
  </si>
  <si>
    <t>Synthesizers</t>
  </si>
  <si>
    <t>Butch Walker</t>
  </si>
  <si>
    <t>The Outsider</t>
  </si>
  <si>
    <t>A Perfect Circle</t>
  </si>
  <si>
    <t>Tell Me</t>
  </si>
  <si>
    <t>PJ, Jevon Doe</t>
  </si>
  <si>
    <t>Abandon Me</t>
  </si>
  <si>
    <t>Kevin Abstract, Quadeca</t>
  </si>
  <si>
    <t>I'm Better</t>
  </si>
  <si>
    <t xml:space="preserve">Kendrick Lamar </t>
  </si>
  <si>
    <t>New Way</t>
  </si>
  <si>
    <t>Jafunk, Triple H Horns, Yogi</t>
  </si>
  <si>
    <t>Yo No Soy Celoso</t>
  </si>
  <si>
    <t>Dance With You</t>
  </si>
  <si>
    <t>Party Pupils, Yung Bae, Bryce Vine</t>
  </si>
  <si>
    <t>Friends in the End</t>
  </si>
  <si>
    <t>Lukas Nelson, Sierra Ferrell</t>
  </si>
  <si>
    <t>Standing On The Shore</t>
  </si>
  <si>
    <t>Empire Of The Sun</t>
  </si>
  <si>
    <t>DragonBallZ</t>
  </si>
  <si>
    <t>Bruce Faulconer</t>
  </si>
  <si>
    <t>Theme: Pre-Exam Song</t>
  </si>
  <si>
    <t>Rocketman</t>
  </si>
  <si>
    <t>Headstrong</t>
  </si>
  <si>
    <t>Trapt</t>
  </si>
  <si>
    <t>Kill The Noise</t>
  </si>
  <si>
    <t>Papa Roach</t>
  </si>
  <si>
    <t>Love Sosa</t>
  </si>
  <si>
    <t>Chief Keef</t>
  </si>
  <si>
    <t>DYNAMITE</t>
  </si>
  <si>
    <t>Tyla, Wizkid</t>
  </si>
  <si>
    <t>Goodbyes</t>
  </si>
  <si>
    <t>prequel</t>
  </si>
  <si>
    <t>Tabby</t>
  </si>
  <si>
    <t>Lazaretto</t>
  </si>
  <si>
    <t>Jack White</t>
  </si>
  <si>
    <t>Crazy Train</t>
  </si>
  <si>
    <t>Hollow Tips</t>
  </si>
  <si>
    <t>Ramirez</t>
  </si>
  <si>
    <t>Weird Fishes / Arpeggi</t>
  </si>
  <si>
    <t>A.D.H.D</t>
  </si>
  <si>
    <t>Sugar On My Tongue</t>
  </si>
  <si>
    <t>Hold Me Down</t>
  </si>
  <si>
    <t>WonderBag</t>
  </si>
  <si>
    <t>Ensalada</t>
  </si>
  <si>
    <t>Freddie Gibbs, The Alchemist, Anderson .Paak</t>
  </si>
  <si>
    <t>Freddie Gibbs, The Alchemist</t>
  </si>
  <si>
    <t>Gold Feet</t>
  </si>
  <si>
    <t>Freddie Gibbs, The Alchemist, JID</t>
  </si>
  <si>
    <t>Wildfire</t>
  </si>
  <si>
    <t>Watchhouse</t>
  </si>
  <si>
    <t>DIKIDANDAN</t>
  </si>
  <si>
    <t>cliche</t>
  </si>
  <si>
    <t>mgk</t>
  </si>
  <si>
    <t>Theme: Artist Pivot</t>
  </si>
  <si>
    <t>PIToRRO DE COCO</t>
  </si>
  <si>
    <t>Do You Even Think About Me?</t>
  </si>
  <si>
    <t>Note to Self</t>
  </si>
  <si>
    <t>From First To Last</t>
  </si>
  <si>
    <t>Mirage</t>
  </si>
  <si>
    <t>Afro-beats</t>
  </si>
  <si>
    <t>Billie Jean</t>
  </si>
  <si>
    <t>Keloide</t>
  </si>
  <si>
    <t>ROLLER COASTER</t>
  </si>
  <si>
    <t>legallyrxx</t>
  </si>
  <si>
    <t>SPEED OF LOVE</t>
  </si>
  <si>
    <t>Holiday</t>
  </si>
  <si>
    <t>Greenday</t>
  </si>
  <si>
    <t>Be Alright</t>
  </si>
  <si>
    <t>IVE</t>
  </si>
  <si>
    <t>Rock with You</t>
  </si>
  <si>
    <t>Distance</t>
  </si>
  <si>
    <t>Kayo Genesis</t>
  </si>
  <si>
    <t>Flagpole Sitta</t>
  </si>
  <si>
    <t>Harvey Danger</t>
  </si>
  <si>
    <t>Vamp Anthem</t>
  </si>
  <si>
    <t>ALAMBRE PúA</t>
  </si>
  <si>
    <t>Super</t>
  </si>
  <si>
    <t>Bb trickz</t>
  </si>
  <si>
    <t>The Sound of Reverie</t>
  </si>
  <si>
    <t>The Maine</t>
  </si>
  <si>
    <t>My Own Worst Enemy</t>
  </si>
  <si>
    <t>Lit</t>
  </si>
  <si>
    <t>Turning Into You</t>
  </si>
  <si>
    <t>angelic milk</t>
  </si>
  <si>
    <t>Beat Eat Nest</t>
  </si>
  <si>
    <t>Raito</t>
  </si>
  <si>
    <t>Theme: Heart Rate Raiser</t>
  </si>
  <si>
    <t>Piss On The Kitchen Floor</t>
  </si>
  <si>
    <t>Riot</t>
  </si>
  <si>
    <t>Billy Knows Jamie</t>
  </si>
  <si>
    <t>Starships</t>
  </si>
  <si>
    <t>Targets</t>
  </si>
  <si>
    <t>Night Talks, Cory Wong</t>
  </si>
  <si>
    <t>All The Things You Are</t>
  </si>
  <si>
    <t>Ella Fitzgerald, Nelson Riddle</t>
  </si>
  <si>
    <t>endlessly</t>
  </si>
  <si>
    <t>Chanpan</t>
  </si>
  <si>
    <t>xXXi_wud_nvrstop_UXXx</t>
  </si>
  <si>
    <t>100 Gecs, Tommy Cash, Hannah Diamond</t>
  </si>
  <si>
    <t>Wrap Me In Plastic</t>
  </si>
  <si>
    <t>MOMOLAND, CHROMANCE</t>
  </si>
  <si>
    <t>Suzanne</t>
  </si>
  <si>
    <t>Mark Ronson, RAYE</t>
  </si>
  <si>
    <t>HIDEO NOMO</t>
  </si>
  <si>
    <t>Action Bronson</t>
  </si>
  <si>
    <t>82.99 F.M</t>
  </si>
  <si>
    <t>ANDER503</t>
  </si>
  <si>
    <t>Taxes</t>
  </si>
  <si>
    <t>Robert DeLong</t>
  </si>
  <si>
    <t>LOVERS OR FRIENDS</t>
  </si>
  <si>
    <t>YG, Leon Thomas</t>
  </si>
  <si>
    <t>If You Know You Know</t>
  </si>
  <si>
    <t>Pusha T</t>
  </si>
  <si>
    <t>VOLVER</t>
  </si>
  <si>
    <t>Tainy, Skrillex, Four Tet, Rauw Alejandro</t>
  </si>
  <si>
    <t>Loser</t>
  </si>
  <si>
    <t>Beck</t>
  </si>
  <si>
    <t>I CAN'T STOP THE LONELINESS</t>
  </si>
  <si>
    <t>Anri</t>
  </si>
  <si>
    <t>Pipe</t>
  </si>
  <si>
    <t>Christina Aguilera, XNDA</t>
  </si>
  <si>
    <t>Theme: Wild Feature</t>
  </si>
  <si>
    <t>Through the Night</t>
  </si>
  <si>
    <t>CueStack, David Hasselhoff</t>
  </si>
  <si>
    <t>Bombs Away</t>
  </si>
  <si>
    <t>B.o.B, Morgan Freeman</t>
  </si>
  <si>
    <t>Say My Name</t>
  </si>
  <si>
    <t>Destiny's Child, Kobe Bryant</t>
  </si>
  <si>
    <t>Chammak Challo</t>
  </si>
  <si>
    <t>Vishal-Shekhar, Akon, Hamsika Iyer, Niranjan Iyengar, Vishal Dadlani</t>
  </si>
  <si>
    <t>BOUND - Bossa Nova Version</t>
  </si>
  <si>
    <t>Sincerely Suav</t>
  </si>
  <si>
    <t>Ft.</t>
  </si>
  <si>
    <t>FUNKIST</t>
  </si>
  <si>
    <t>Run It Up</t>
  </si>
  <si>
    <t>Hanumankind</t>
  </si>
  <si>
    <t>Calling After Me</t>
  </si>
  <si>
    <t>Wallows</t>
  </si>
  <si>
    <t>Hunting Soul</t>
  </si>
  <si>
    <t>HAYASii</t>
  </si>
  <si>
    <t>Shibuya Meltdown</t>
  </si>
  <si>
    <t>Jack Gardiner, Gianluca Pellerito, Riccardo Olivia</t>
  </si>
  <si>
    <t>Ride (feat. Do or Die)</t>
  </si>
  <si>
    <t>Chance the Rapper, Do Or Die</t>
  </si>
  <si>
    <t>High Beams - JPEGMAFIA Remix</t>
  </si>
  <si>
    <t>Tkay Maidza, JPEGMAFIA</t>
  </si>
  <si>
    <t>Setting Sun</t>
  </si>
  <si>
    <t>Howlin' for You</t>
  </si>
  <si>
    <t>Like I Do</t>
  </si>
  <si>
    <t>J.Tajor</t>
  </si>
  <si>
    <t>Always Running</t>
  </si>
  <si>
    <t>Kevin Sherwood, Malukah</t>
  </si>
  <si>
    <t>Jesus Is The One (I Got Depression)</t>
  </si>
  <si>
    <t>Zack Fox, Kenny Beats</t>
  </si>
  <si>
    <t>Wires</t>
  </si>
  <si>
    <t>Spirit of the Bear</t>
  </si>
  <si>
    <t>Fiesta</t>
  </si>
  <si>
    <t>+Plus</t>
  </si>
  <si>
    <t>The Abduction from the Seraglio Overture, KV 384</t>
  </si>
  <si>
    <t>Wolfgang Amadeus Mozart, London Philharmonic Orchestra, Alfred Scholz</t>
  </si>
  <si>
    <t>Theme: History of Music</t>
  </si>
  <si>
    <t>Strawberry Fields Forever</t>
  </si>
  <si>
    <t>The Beatles</t>
  </si>
  <si>
    <t>Face to Face</t>
  </si>
  <si>
    <t>Rapper's Delight</t>
  </si>
  <si>
    <t>The Sugarhill Gang</t>
  </si>
  <si>
    <t>In The Air Tonight</t>
  </si>
  <si>
    <t>Phil Collins</t>
  </si>
  <si>
    <t>Empire State of Mind</t>
  </si>
  <si>
    <t>JAY-Z, Alicia Keys</t>
  </si>
  <si>
    <t>Lady of Namek</t>
  </si>
  <si>
    <t>Don't Wait Up</t>
  </si>
  <si>
    <t>Midnight Generation</t>
  </si>
  <si>
    <t>Ring Ring Ring</t>
  </si>
  <si>
    <t>Tyler, the Creator</t>
  </si>
  <si>
    <t>Chicago</t>
  </si>
  <si>
    <t>My Love</t>
  </si>
  <si>
    <t>Leigh-Anne, Ayra Starr</t>
  </si>
  <si>
    <t>Here It Goes Again</t>
  </si>
  <si>
    <t>OK Go</t>
  </si>
  <si>
    <t>Energy</t>
  </si>
  <si>
    <t>BURNS, A$AP Rocky, Sonny Fodera, Sabrina Claudio</t>
  </si>
  <si>
    <t>SEE U DANCE</t>
  </si>
  <si>
    <t>Joey Valence &amp; Brae, Rebecca Black</t>
  </si>
  <si>
    <t>Sweet Boy</t>
  </si>
  <si>
    <t>Malcom Todd</t>
  </si>
  <si>
    <t>Fight the Power, Pts. 1 &amp; 2</t>
  </si>
  <si>
    <t>The Isley Brothers</t>
  </si>
  <si>
    <t>Motherboard</t>
  </si>
  <si>
    <t>Heartpiece</t>
  </si>
  <si>
    <t>helloworld</t>
  </si>
  <si>
    <t>Trinidad</t>
  </si>
  <si>
    <t>Simple And Clean</t>
  </si>
  <si>
    <t>Hikaru Utada</t>
  </si>
  <si>
    <t>El Clavo - Remix</t>
  </si>
  <si>
    <t>Prince Royce, Maluma</t>
  </si>
  <si>
    <t>Theme: Adios Daniel</t>
  </si>
  <si>
    <t>KLOuFRENS</t>
  </si>
  <si>
    <t>Lo Siento BB:/</t>
  </si>
  <si>
    <t>Tainy, Bad Bunny, Julieta Venegas</t>
  </si>
  <si>
    <t>Drum Solo - Live</t>
  </si>
  <si>
    <t>Baila Esta Cumbia</t>
  </si>
  <si>
    <t>Selena</t>
  </si>
  <si>
    <t>Miss Me?</t>
  </si>
  <si>
    <t>There IS a Light That Never Goes Out</t>
  </si>
  <si>
    <t>The Smiths</t>
  </si>
  <si>
    <t>São Paulo</t>
  </si>
  <si>
    <t>The Weekend, Anitta</t>
  </si>
  <si>
    <t>BOOTZ</t>
  </si>
  <si>
    <t>Salina EsTitties</t>
  </si>
  <si>
    <t>Sanctuary (Opening)</t>
  </si>
  <si>
    <t>Catching Bodies</t>
  </si>
  <si>
    <t>Sekou</t>
  </si>
  <si>
    <t>Mrs. Officer</t>
  </si>
  <si>
    <t>Lil Wayne, Bobby V, Kidd Kidd</t>
  </si>
  <si>
    <t>HALLWAYS</t>
  </si>
  <si>
    <t>I Feel Bad For You, Dave</t>
  </si>
  <si>
    <t>dodie</t>
  </si>
  <si>
    <t>Last Memory</t>
  </si>
  <si>
    <t>Takeoff</t>
  </si>
  <si>
    <t>Body &amp; Soul</t>
  </si>
  <si>
    <t>Emotional Oranges, Biig Piig</t>
  </si>
  <si>
    <t>Theme: Daily Mix 6</t>
  </si>
  <si>
    <t>One Note Samba</t>
  </si>
  <si>
    <t>Stacey Kent, Jim Tomlinson, Graham Harvey, John Parricelli, Jeremy Brown, Josh Morrison</t>
  </si>
  <si>
    <t>Pink Dolphin Sunset</t>
  </si>
  <si>
    <t>Tory Lanez, Tee</t>
  </si>
  <si>
    <t>hand crushed by a mallet</t>
  </si>
  <si>
    <t>100 Gecs</t>
  </si>
  <si>
    <t>Let Me Love You</t>
  </si>
  <si>
    <t>Amber Mark</t>
  </si>
  <si>
    <t>block hug</t>
  </si>
  <si>
    <t>Jim Legxacy</t>
  </si>
  <si>
    <t>KEEP FOLLOWING</t>
  </si>
  <si>
    <t>Odetari</t>
  </si>
  <si>
    <t>Politix</t>
  </si>
  <si>
    <t>Balu Brigada</t>
  </si>
  <si>
    <t>Solitare</t>
  </si>
  <si>
    <t xml:space="preserve">Gucci Mane, Migos, Lil Yachty </t>
  </si>
  <si>
    <t>flip side</t>
  </si>
  <si>
    <t>ALICE</t>
  </si>
  <si>
    <t>on one tonight</t>
  </si>
  <si>
    <t>DJ Mix #2 [White Cave - Theme of Green Cave (Laur Remix)/Sand Road (CrossWorlds Remix)/Holoska (CrossWorlds Remix)/Hidden World (Aiobahn +81 Mix)/Kronos Island ("Stars falling" Remix)/I'm Here ("Run Towards The Final Horizon" Remix)</t>
  </si>
  <si>
    <t>Laur, RIOT, ZARDONIC, Aiobahn, Tomoya Ohtani, Camellia, SEGA GAME MUSIC</t>
  </si>
  <si>
    <t>WHAT IS FOREVER FOR</t>
  </si>
  <si>
    <t>Frost Children</t>
  </si>
  <si>
    <t>Big Scarr, Offset</t>
  </si>
  <si>
    <t>SkyIs Falling</t>
  </si>
  <si>
    <t>Nujabes, C.L. Smooth</t>
  </si>
  <si>
    <t>Headlines</t>
  </si>
  <si>
    <t>Soap</t>
  </si>
  <si>
    <t>Yves, PinkPantheress</t>
  </si>
  <si>
    <t>bad luck</t>
  </si>
  <si>
    <t>We Came As Romans, Currents, After The Burial</t>
  </si>
  <si>
    <t>WHO? WHAT!</t>
  </si>
  <si>
    <t>JAY-Z, Eminem</t>
  </si>
  <si>
    <t>Theme: In Memoriam</t>
  </si>
  <si>
    <t>Loverboy</t>
  </si>
  <si>
    <t>Mariah Carey, Cameo</t>
  </si>
  <si>
    <t>Izzo (H.O.V.A)</t>
  </si>
  <si>
    <t>JAY-Z</t>
  </si>
  <si>
    <t>How You Remind Me</t>
  </si>
  <si>
    <t>Nickelback</t>
  </si>
  <si>
    <t>The Ruler's Back</t>
  </si>
  <si>
    <t>A Little More</t>
  </si>
  <si>
    <t>mgk, Victoria Monét</t>
  </si>
  <si>
    <t>A Dios Le Pido</t>
  </si>
  <si>
    <t>Juanes</t>
  </si>
  <si>
    <t>Delete</t>
  </si>
  <si>
    <t>Ninajirachi</t>
  </si>
  <si>
    <t>Bitter Everyday</t>
  </si>
  <si>
    <t>千本桜</t>
  </si>
  <si>
    <t>Black Rose</t>
  </si>
  <si>
    <t>TAEMIN, Kid Milli</t>
  </si>
  <si>
    <t>SORRY PAPI</t>
  </si>
  <si>
    <t>Vacation</t>
  </si>
  <si>
    <t>Children of the Baked Potato</t>
  </si>
  <si>
    <t>Thundercat, Remi Wolf</t>
  </si>
  <si>
    <t>Doo Wop</t>
  </si>
  <si>
    <t>Ms. Lauryn Hill</t>
  </si>
  <si>
    <t>Stir Fry</t>
  </si>
  <si>
    <t>Migos</t>
  </si>
  <si>
    <t>DIE TRYING</t>
  </si>
  <si>
    <t>PARTYNEXTDOOR, Drake, Yebba</t>
  </si>
  <si>
    <t>Risk</t>
  </si>
  <si>
    <t>FKJ, Bas</t>
  </si>
  <si>
    <t>Acid Rain</t>
  </si>
  <si>
    <t>Liquid Tension Experiment</t>
  </si>
  <si>
    <t>wgft</t>
  </si>
  <si>
    <t>Gunna, Burna Boy</t>
  </si>
  <si>
    <t>34+35</t>
  </si>
  <si>
    <t xml:space="preserve">Theme: The Numbers, Mason
Tie Breaker Needed </t>
  </si>
  <si>
    <t>Bowling for Soup</t>
  </si>
  <si>
    <t>1-800-273-8255</t>
  </si>
  <si>
    <t>Logic, Alessia Cara, Khalid</t>
  </si>
  <si>
    <t>82 92</t>
  </si>
  <si>
    <t>Statik Selektah, Termanology, Mac Miller</t>
  </si>
  <si>
    <t>679</t>
  </si>
  <si>
    <t>Fetty Wap, Remy Boyz</t>
  </si>
  <si>
    <t>OVR</t>
  </si>
  <si>
    <t>3ee</t>
  </si>
  <si>
    <t>Sugar Talking</t>
  </si>
  <si>
    <t>21 Savage</t>
  </si>
  <si>
    <t>LOVE SONG</t>
  </si>
  <si>
    <t>Rockefeller Street</t>
  </si>
  <si>
    <t>Getter Jaani</t>
  </si>
  <si>
    <t>Nightcore</t>
  </si>
  <si>
    <t>That Girl</t>
  </si>
  <si>
    <t>Emotional Oranges</t>
  </si>
  <si>
    <t>Electroman Adventures</t>
  </si>
  <si>
    <t>Waterflame (Geometry Dash)</t>
  </si>
  <si>
    <t>Lauv</t>
  </si>
  <si>
    <t>THE PARTY SONG</t>
  </si>
  <si>
    <t>Written In The Stars</t>
  </si>
  <si>
    <t>Tinie Tempah, Eric Turner</t>
  </si>
  <si>
    <t>in plain sight</t>
  </si>
  <si>
    <t>Sandstorm</t>
  </si>
  <si>
    <t>Darude</t>
  </si>
  <si>
    <t>Rosa Parks</t>
  </si>
  <si>
    <t>Outkast</t>
  </si>
  <si>
    <t>BOYS WITH THE CHARACTERISTICS OF WOLVES</t>
  </si>
  <si>
    <t>Unknown Mortal Orchestra</t>
  </si>
  <si>
    <t>Zedd, Foxes</t>
  </si>
  <si>
    <t>Gonna Fly Now</t>
  </si>
  <si>
    <t>Theme: My Documentary</t>
  </si>
  <si>
    <t>What I've Done</t>
  </si>
  <si>
    <t>i</t>
  </si>
  <si>
    <t>Master Exploder</t>
  </si>
  <si>
    <t>Tenacious D</t>
  </si>
  <si>
    <t>Some Nights</t>
  </si>
  <si>
    <t>fun.</t>
  </si>
  <si>
    <t>body</t>
  </si>
  <si>
    <t>DAYOUNG</t>
  </si>
  <si>
    <t>Paco</t>
  </si>
  <si>
    <t>Gilberto Gil</t>
  </si>
  <si>
    <t>FOCUS</t>
  </si>
  <si>
    <t>_BY.ALEXANDER, HAWA, Julius Rodriguez</t>
  </si>
  <si>
    <t>Roundabaout</t>
  </si>
  <si>
    <t>Headshots (4 da Locals)</t>
  </si>
  <si>
    <t>Isaiah Rashad</t>
  </si>
  <si>
    <t>La forza della banda</t>
  </si>
  <si>
    <t>Shablo, Mimi, Tormento</t>
  </si>
  <si>
    <t>Live Like You Were Dying</t>
  </si>
  <si>
    <t>Tim McGraw</t>
  </si>
  <si>
    <t>Drip Sweat</t>
  </si>
  <si>
    <t>KAYTRANADA, Channel Tres</t>
  </si>
  <si>
    <t>The Trees</t>
  </si>
  <si>
    <t>Sin</t>
  </si>
  <si>
    <t>Young Thug, Jaden</t>
  </si>
  <si>
    <t>Cosmic Sans</t>
  </si>
  <si>
    <t>Cory Wong, Tom Misch</t>
  </si>
  <si>
    <t>Desenfocao'</t>
  </si>
  <si>
    <t>Stab The Eye</t>
  </si>
  <si>
    <t>Qteku</t>
  </si>
  <si>
    <t>Wake Me up When September Ends</t>
  </si>
  <si>
    <t>裸の勇者</t>
  </si>
  <si>
    <t>Hello?</t>
  </si>
  <si>
    <t>Clairo, Rejjie Snow</t>
  </si>
  <si>
    <t>Theme: Performative Male</t>
  </si>
  <si>
    <t>The Less I Know The Better</t>
  </si>
  <si>
    <t>Capable of Love</t>
  </si>
  <si>
    <t>No Surprises</t>
  </si>
  <si>
    <t>Take Me Home</t>
  </si>
  <si>
    <t>Cosmic</t>
  </si>
  <si>
    <t>Celine Wayni</t>
  </si>
  <si>
    <t>don't wanna break up again</t>
  </si>
  <si>
    <t>ADD</t>
  </si>
  <si>
    <t>Khantrast</t>
  </si>
  <si>
    <t>Break Stuff</t>
  </si>
  <si>
    <t>Limp Bizkit</t>
  </si>
  <si>
    <t>NOW OR NEVER</t>
  </si>
  <si>
    <t>Tkandz, CXSPER</t>
  </si>
  <si>
    <t>King Kunta</t>
  </si>
  <si>
    <t>Cherry Waves</t>
  </si>
  <si>
    <t>Deftones</t>
  </si>
  <si>
    <t>Black Catcher</t>
  </si>
  <si>
    <t>VK Blanka</t>
  </si>
  <si>
    <t>Spoonman</t>
  </si>
  <si>
    <t>Dj Got Us Fallin' In Love Again</t>
  </si>
  <si>
    <t>Usher, Pitbull</t>
  </si>
  <si>
    <t>WHERE IS MY HUSBAND!</t>
  </si>
  <si>
    <t>RAYE</t>
  </si>
  <si>
    <t>The Fate of Ophelia</t>
  </si>
  <si>
    <t>Taylor Swift</t>
  </si>
  <si>
    <t>Flyers</t>
  </si>
  <si>
    <t>BRADIO</t>
  </si>
  <si>
    <t>Tommy The Cat</t>
  </si>
  <si>
    <t>Beginner's Luck</t>
  </si>
  <si>
    <t>Eels</t>
  </si>
  <si>
    <t>Whoa</t>
  </si>
  <si>
    <t>Theme: AI Recommended Artist</t>
  </si>
  <si>
    <t>UN PESO</t>
  </si>
  <si>
    <t>J Balvin, Bad Bunny, Marciano Cantero</t>
  </si>
  <si>
    <t>Slowly</t>
  </si>
  <si>
    <t>Giraffage, Matosic</t>
  </si>
  <si>
    <t>Gigglebutton</t>
  </si>
  <si>
    <t>Brave Shine</t>
  </si>
  <si>
    <t>Aimer</t>
  </si>
  <si>
    <t>Lemonade</t>
  </si>
  <si>
    <t>Internet Money, Gunna, Don Toliver, NAV</t>
  </si>
  <si>
    <t>Stand By Me - Remastered</t>
  </si>
  <si>
    <t>Oasis</t>
  </si>
  <si>
    <t>In The Morning</t>
  </si>
  <si>
    <t>Drowning</t>
  </si>
  <si>
    <t>Atreyu</t>
  </si>
  <si>
    <t>Breathe Deeper</t>
  </si>
  <si>
    <t>Dirty Diana</t>
  </si>
  <si>
    <t>Younginsosleaze</t>
  </si>
  <si>
    <t>DIVE INTO STORM</t>
  </si>
  <si>
    <t>SEGA SOUND TEAM, 庄司 英徳</t>
  </si>
  <si>
    <t>I Like It, I Love It</t>
  </si>
  <si>
    <t>Buckshot, fakemink</t>
  </si>
  <si>
    <t>Actor</t>
  </si>
  <si>
    <t>Lilas</t>
  </si>
  <si>
    <t>PIXELATED KISSES</t>
  </si>
  <si>
    <t>Joji</t>
  </si>
  <si>
    <t>Gloria !</t>
  </si>
  <si>
    <t>Norwegian Wood</t>
  </si>
  <si>
    <t>Jacob Collier</t>
  </si>
  <si>
    <t>ワノ国 幕開け、幕引きのテーマ</t>
  </si>
  <si>
    <t>Kohei Tanaka</t>
  </si>
  <si>
    <t>Scatterbrain</t>
  </si>
  <si>
    <t>Theme: Most recent add</t>
  </si>
  <si>
    <t>malibU</t>
  </si>
  <si>
    <t>rusowsky</t>
  </si>
  <si>
    <t>nobody (make me feel)</t>
  </si>
  <si>
    <t>oskar med k, Khalid</t>
  </si>
  <si>
    <t>Jacob's Ladder</t>
  </si>
  <si>
    <t>INERTIA</t>
  </si>
  <si>
    <t>SawanoHiroyuki[nzk], Rei</t>
  </si>
  <si>
    <t>Voilà</t>
  </si>
  <si>
    <t>André Rieu, Johann Strauss Orchestra, Emma Kok</t>
  </si>
  <si>
    <t>Before I Forget</t>
  </si>
  <si>
    <t>Slipknot</t>
  </si>
  <si>
    <t>crossing field</t>
  </si>
  <si>
    <t>LiSa</t>
  </si>
  <si>
    <t>#thatPOWER</t>
  </si>
  <si>
    <t>will.i.am, Justin Bieber</t>
  </si>
  <si>
    <t>Eightfold Fence</t>
  </si>
  <si>
    <t>Jack Gardiner, Mariko Muranaka</t>
  </si>
  <si>
    <t>Good Love</t>
  </si>
  <si>
    <t>Otis Kane, KALLITECHNIS</t>
  </si>
  <si>
    <t>Liebesleid (Love's Sorrow)</t>
  </si>
  <si>
    <t>Fritz Kreisler, Sergei Rachmaninoff</t>
  </si>
  <si>
    <t>DON'T PINCH ME</t>
  </si>
  <si>
    <t>Animal</t>
  </si>
  <si>
    <t>Neon Trees</t>
  </si>
  <si>
    <t>Wish - Audiomack Trap Symphony Version</t>
  </si>
  <si>
    <t>Trippie Redd</t>
  </si>
  <si>
    <t>Take Me Dancing</t>
  </si>
  <si>
    <t>Doja Cat, SZA</t>
  </si>
  <si>
    <t>Minor Threat</t>
  </si>
  <si>
    <t>Dirt Off Your Shoulder/Lying From You</t>
  </si>
  <si>
    <t>JAY-Z, Linkin Park</t>
  </si>
  <si>
    <t>can't slow down</t>
  </si>
  <si>
    <t>almost Monday</t>
  </si>
  <si>
    <t>Puff Daddy, The Notorious B.I.G. Mase</t>
  </si>
  <si>
    <t>Mockingbird</t>
  </si>
  <si>
    <t>Theme:
Sad Boy Hour</t>
  </si>
  <si>
    <t>SLOW DANCING IN THE DARK</t>
  </si>
  <si>
    <t>Broken</t>
  </si>
  <si>
    <t>Lund</t>
  </si>
  <si>
    <t>Always On My Mind</t>
  </si>
  <si>
    <t>Chandelier</t>
  </si>
  <si>
    <t>Will Paquin</t>
  </si>
  <si>
    <t>Blood Drain -Again-</t>
  </si>
  <si>
    <t>Friday I'm in Love</t>
  </si>
  <si>
    <t>The Cure</t>
  </si>
  <si>
    <t>Jimmy Eat World</t>
  </si>
  <si>
    <t>Townies</t>
  </si>
  <si>
    <t>AT THE PARTY</t>
  </si>
  <si>
    <t>Kid Cudi, Pharrell Williams, Travis Scott</t>
  </si>
  <si>
    <t>MIRROR</t>
  </si>
  <si>
    <t>Yerin Baek</t>
  </si>
  <si>
    <t>Always on My Mind</t>
  </si>
  <si>
    <t>Pet Shop Boys</t>
  </si>
  <si>
    <t>she call my phone again</t>
  </si>
  <si>
    <t>300 dreams</t>
  </si>
  <si>
    <t>After</t>
  </si>
  <si>
    <t>秋野桜</t>
  </si>
  <si>
    <t>魔鬼花园</t>
  </si>
  <si>
    <t>PT Cruiser</t>
  </si>
  <si>
    <t>MoRuf, SZA</t>
  </si>
  <si>
    <t>Bound 2</t>
  </si>
  <si>
    <t>Just How You Are</t>
  </si>
  <si>
    <t>GBP</t>
  </si>
  <si>
    <t>Central Cee, 21 Savage</t>
  </si>
  <si>
    <t>Aoku Aoku Hikaru</t>
  </si>
  <si>
    <t>Lanndo, ZUTOMAYO, ACANE, nulut</t>
  </si>
  <si>
    <t>Lavender Town</t>
  </si>
  <si>
    <t>Theme: Halloween</t>
  </si>
  <si>
    <t>Somebody's Watching Me</t>
  </si>
  <si>
    <t>Rockwell</t>
  </si>
  <si>
    <t>This is Halloween</t>
  </si>
  <si>
    <t>The Citizens of Halloween</t>
  </si>
  <si>
    <t>Pet Sematary</t>
  </si>
  <si>
    <t>Ramones</t>
  </si>
  <si>
    <t>Hex Girls</t>
  </si>
  <si>
    <t>Moon Sisters</t>
  </si>
  <si>
    <t>Unhinged</t>
  </si>
  <si>
    <t>Masego</t>
  </si>
  <si>
    <t>Life Is Simple in the Moonlight</t>
  </si>
  <si>
    <t>WE ON GO II</t>
  </si>
  <si>
    <t>BIA, A$AP Ferg, Denzel Curry</t>
  </si>
  <si>
    <t>Liminality</t>
  </si>
  <si>
    <t>SERAPHINE NOIR</t>
  </si>
  <si>
    <t>IRIS OUT</t>
  </si>
  <si>
    <t>Star</t>
  </si>
  <si>
    <t>LOONA</t>
  </si>
  <si>
    <t>from below with love</t>
  </si>
  <si>
    <t>kensuke ushio</t>
  </si>
  <si>
    <t>In Your Corner</t>
  </si>
  <si>
    <t>Pale Jay</t>
  </si>
  <si>
    <t>Rise &amp; Fall</t>
  </si>
  <si>
    <t>JANE DOE</t>
  </si>
  <si>
    <t>Kenshi Yonezu, Hikaru Utada</t>
  </si>
  <si>
    <t>Three Man Weave</t>
  </si>
  <si>
    <t>What Did I Miss?</t>
  </si>
  <si>
    <t>Porn (Ode to Sade)</t>
  </si>
  <si>
    <t>The Great Pumpkin Waltz</t>
  </si>
  <si>
    <t>Vince Guaraldi</t>
  </si>
  <si>
    <t>in the pool</t>
  </si>
  <si>
    <t>iSpy</t>
  </si>
  <si>
    <t>KYLE, Lil Yachty</t>
  </si>
  <si>
    <t>Theme: Must've Been The Wind</t>
  </si>
  <si>
    <t>Otro Trago (Remix)</t>
  </si>
  <si>
    <t>Sech, Darell, Anuel AA, Ozuna, Nicky Jam</t>
  </si>
  <si>
    <t>Marinate</t>
  </si>
  <si>
    <t>Zack Fox</t>
  </si>
  <si>
    <t>Money for Nothing</t>
  </si>
  <si>
    <t>Metro Boomin, 21 Savage, Young Nudy</t>
  </si>
  <si>
    <t>BURNING UP</t>
  </si>
  <si>
    <t>MEOVV</t>
  </si>
  <si>
    <t>ALAKRAN</t>
  </si>
  <si>
    <t>Binary Garden</t>
  </si>
  <si>
    <t>TURQUOISEDEATH</t>
  </si>
  <si>
    <t>Rodeo Clown</t>
  </si>
  <si>
    <t>in the sea</t>
  </si>
  <si>
    <t>lucasp007</t>
  </si>
  <si>
    <t>Summer Montage / Madeline</t>
  </si>
  <si>
    <t>Justin Hurwitz</t>
  </si>
  <si>
    <t>You You You</t>
  </si>
  <si>
    <t>Carter Ace</t>
  </si>
  <si>
    <t>Tonight Tonight</t>
  </si>
  <si>
    <t>Hot Chelle Rae</t>
  </si>
  <si>
    <t>HAWATARI NIOKU CENTI</t>
  </si>
  <si>
    <t>MAXIMUM THE HORMONE</t>
  </si>
  <si>
    <t>HONDA</t>
  </si>
  <si>
    <t>Excuse</t>
  </si>
  <si>
    <t>Parannoul</t>
  </si>
  <si>
    <t>Dreaming</t>
  </si>
  <si>
    <t>T-Pain</t>
  </si>
  <si>
    <t>Too Far</t>
  </si>
  <si>
    <t>Improvement Movement</t>
  </si>
  <si>
    <t>Nope your too late I already died</t>
  </si>
  <si>
    <t>wifiskeleton, i wanna be a jack-o-lantern</t>
  </si>
  <si>
    <t>+57</t>
  </si>
  <si>
    <t>KAROL G, Feid, DFZM, Ovy On the Drums, J Balvin, Maluma, Ryan Castro, Blessd</t>
  </si>
  <si>
    <t>Theme: Targeted Advertising</t>
  </si>
  <si>
    <t>Don't Play</t>
  </si>
  <si>
    <t>Jungle, Mood Talk</t>
  </si>
  <si>
    <t>SUPERMODEL</t>
  </si>
  <si>
    <r>
      <t>M</t>
    </r>
    <r>
      <rPr>
        <sz val="11"/>
        <color theme="1"/>
        <rFont val="Aptos Narrow"/>
        <family val="2"/>
      </rPr>
      <t>åneskin</t>
    </r>
  </si>
  <si>
    <t>Reason for existence</t>
  </si>
  <si>
    <t>Tsukuyomi</t>
  </si>
  <si>
    <t>Avid</t>
  </si>
  <si>
    <t>SawanoHiroyuki[nzk], mizuki</t>
  </si>
  <si>
    <t>Up to Speed, Pt. 1</t>
  </si>
  <si>
    <t>SonicPicnic</t>
  </si>
  <si>
    <t>Hoy no me siento bien</t>
  </si>
  <si>
    <t>Alejandro Sanz, Grupo Frontera</t>
  </si>
  <si>
    <t>Welcome To The Circus</t>
  </si>
  <si>
    <t>Five Finger Death Punch</t>
  </si>
  <si>
    <t>Rio</t>
  </si>
  <si>
    <t>Addicted to You</t>
  </si>
  <si>
    <t>Shakira</t>
  </si>
  <si>
    <t>A Way of Life</t>
  </si>
  <si>
    <t>MOSQ</t>
  </si>
  <si>
    <t>Wednesday Morning Bonk (It's 9aM)</t>
  </si>
  <si>
    <t>Megabonk</t>
  </si>
  <si>
    <t>Re:Re:</t>
  </si>
  <si>
    <t>ASIAN KUNG-FU GENERATION</t>
  </si>
  <si>
    <t>Mother</t>
  </si>
  <si>
    <t>DON'T KILL THE PARTY</t>
  </si>
  <si>
    <t>Ty Dolla $ign, Juicy J, Quavo</t>
  </si>
  <si>
    <t>West Coast Love</t>
  </si>
  <si>
    <t>Off With Their Heads</t>
  </si>
  <si>
    <t>There Will Be Fireworks</t>
  </si>
  <si>
    <t>Automatic</t>
  </si>
  <si>
    <t>The Sound of Muzak</t>
  </si>
  <si>
    <t>Porcupine Tree</t>
  </si>
  <si>
    <t>Now or Never</t>
  </si>
  <si>
    <t>Kendrick Lamar, Mary J. Blige</t>
  </si>
  <si>
    <t>No Role Modelz</t>
  </si>
  <si>
    <t>Theme:Edit Theme</t>
  </si>
  <si>
    <t>Greatness</t>
  </si>
  <si>
    <t>Quavo</t>
  </si>
  <si>
    <t>NEW PERSON SAME OLD JUGG</t>
  </si>
  <si>
    <t>LEM, Young Nudy, Tame Impala</t>
  </si>
  <si>
    <t>Down with the Sickness</t>
  </si>
  <si>
    <t>Like a Prayer - Choir Version</t>
  </si>
  <si>
    <t>I'll Take You There</t>
  </si>
  <si>
    <t>Betting Woman</t>
  </si>
  <si>
    <t>Ella Maddux</t>
  </si>
  <si>
    <t>KETU TeCRÉ</t>
  </si>
  <si>
    <t>START UP A RUMOUR</t>
  </si>
  <si>
    <t>Sam Gellaitry</t>
  </si>
  <si>
    <t>Happy Birthday</t>
  </si>
  <si>
    <t>Black Country, New Road</t>
  </si>
  <si>
    <t>You Say Run</t>
  </si>
  <si>
    <t>Yuki Hayashi</t>
  </si>
  <si>
    <t>At the Top of the World</t>
  </si>
  <si>
    <t>LaKesha Nugent</t>
  </si>
  <si>
    <t>Death Cup</t>
  </si>
  <si>
    <t>Mom Jeans</t>
  </si>
  <si>
    <t>Compliance</t>
  </si>
  <si>
    <t>Muse</t>
  </si>
  <si>
    <t>Today</t>
  </si>
  <si>
    <t>August</t>
  </si>
  <si>
    <t>hair down</t>
  </si>
  <si>
    <t>Dream A Little Dream Of Me</t>
  </si>
  <si>
    <t>Ella Fitzgerald, Louis Armstrong</t>
  </si>
  <si>
    <t>GEEKIN</t>
  </si>
  <si>
    <t>DavidTheTragic, Kenny Mason</t>
  </si>
  <si>
    <t>Don't Take Me Alive</t>
  </si>
  <si>
    <t>Mr. Brightside</t>
  </si>
  <si>
    <t>The Killers</t>
  </si>
  <si>
    <t>Alter Ego</t>
  </si>
  <si>
    <t>Doechii, JT</t>
  </si>
  <si>
    <t>Theme:Bechdel Test</t>
  </si>
  <si>
    <t>Survivor</t>
  </si>
  <si>
    <t>Destiny's Child</t>
  </si>
  <si>
    <t>Pink Roses</t>
  </si>
  <si>
    <t>Say She She</t>
  </si>
  <si>
    <t>Somethin' Bad</t>
  </si>
  <si>
    <t>Miranda Lambert, Carrie Underwood</t>
  </si>
  <si>
    <t>DRUM GO DUM</t>
  </si>
  <si>
    <t>K/DA, Wolftyla, Bekuh Boom, Aluna, League of Legends</t>
  </si>
  <si>
    <t>hella jealous</t>
  </si>
  <si>
    <t>TYLER LEWIS</t>
  </si>
  <si>
    <t>Flamingo</t>
  </si>
  <si>
    <t>Kero Kero Bonito</t>
  </si>
  <si>
    <t>Outside All Night</t>
  </si>
  <si>
    <t>Brent Faiyaz, N3WYRKLA, A$AP Rocky</t>
  </si>
  <si>
    <t>Fly</t>
  </si>
  <si>
    <t>Wishy</t>
  </si>
  <si>
    <t>Dark Necessities</t>
  </si>
  <si>
    <t>FOMO</t>
  </si>
  <si>
    <t>Selfish</t>
  </si>
  <si>
    <t>PnB Rock</t>
  </si>
  <si>
    <t>Soft</t>
  </si>
  <si>
    <t>Love Takes Miles</t>
  </si>
  <si>
    <t>Cameron Winter</t>
  </si>
  <si>
    <t>Radio</t>
  </si>
  <si>
    <t>Bershy</t>
  </si>
  <si>
    <t>nah</t>
  </si>
  <si>
    <t>Spotify Wrapped  pop-up theme</t>
  </si>
  <si>
    <t>VOY A LLeVARTE PA PR</t>
  </si>
  <si>
    <t>F*Me</t>
  </si>
  <si>
    <t>Shygirl, Club Shy, Yseult</t>
  </si>
  <si>
    <t>Long Game</t>
  </si>
  <si>
    <t>Emily Nenni</t>
  </si>
  <si>
    <t>UNDEAD</t>
  </si>
  <si>
    <t>YOASOBI</t>
  </si>
  <si>
    <t>Kung Fu Fighting</t>
  </si>
  <si>
    <t>Carl Douglas</t>
  </si>
  <si>
    <t>Theme: WWIII Songs</t>
  </si>
  <si>
    <t>We Are Charlie Kirk</t>
  </si>
  <si>
    <t>Spalexma</t>
  </si>
  <si>
    <t>FDT</t>
  </si>
  <si>
    <t>YG, Nipsey Hussle</t>
  </si>
  <si>
    <t>100 Horses</t>
  </si>
  <si>
    <t>HUNTR/X, EJAE, AUDREY NUNA, REI AMI, KPop Demon Hunters Cast</t>
  </si>
  <si>
    <t>cut</t>
  </si>
  <si>
    <t>Tori Kelly</t>
  </si>
  <si>
    <t>El Dueno De Tu Amor</t>
  </si>
  <si>
    <t>Danny Lux</t>
  </si>
  <si>
    <t>LET'S JUST CRASH</t>
  </si>
  <si>
    <t>My Old Ways</t>
  </si>
  <si>
    <t>Muscle Memory</t>
  </si>
  <si>
    <t>kamille, Nile Rodgers</t>
  </si>
  <si>
    <t>safety</t>
  </si>
  <si>
    <t>2hollis</t>
  </si>
  <si>
    <t>Genziara</t>
  </si>
  <si>
    <t>GENZIE</t>
  </si>
  <si>
    <t>MONDAY</t>
  </si>
  <si>
    <t>her</t>
  </si>
  <si>
    <t>JVKE, Annika Wells</t>
  </si>
  <si>
    <t>Sun Spat</t>
  </si>
  <si>
    <t>EMEFE</t>
  </si>
  <si>
    <t>SOMETHING ABOU T YOU</t>
  </si>
  <si>
    <t>Drake, PARTYNEXTDOOR</t>
  </si>
  <si>
    <t>PASAJERO</t>
  </si>
  <si>
    <t>Mora</t>
  </si>
  <si>
    <t>最後の楽園</t>
  </si>
  <si>
    <t>Haruomi Hosono</t>
  </si>
  <si>
    <t>Off the Wall!</t>
  </si>
  <si>
    <t>XXXTENTACION, Ski Mask the Slump God</t>
  </si>
  <si>
    <t>euphoria</t>
  </si>
  <si>
    <t>Theme: Tis The Szn To Not Be Jolly</t>
  </si>
  <si>
    <t>Hit 'Em Up</t>
  </si>
  <si>
    <t>2Pac, Outlawz</t>
  </si>
  <si>
    <t>I Hope</t>
  </si>
  <si>
    <t>Jay Lewis, Gorilla Mode Dezz, Mista Cain</t>
  </si>
  <si>
    <t>Fuck You</t>
  </si>
  <si>
    <t>CeeLo Green</t>
  </si>
  <si>
    <t>I Don't Fuck With You</t>
  </si>
  <si>
    <t>Big Sean, E-40</t>
  </si>
  <si>
    <t>SUGA ON THE RIM</t>
  </si>
  <si>
    <t>Heaven or Las Vegas</t>
  </si>
  <si>
    <t>Cocteau Twins</t>
  </si>
  <si>
    <t>THE SUN</t>
  </si>
  <si>
    <t>KayCyy, Gesaffelstein</t>
  </si>
  <si>
    <t>RYDEEN</t>
  </si>
  <si>
    <t>YELLOW MAGIC ORCHESTRA</t>
  </si>
  <si>
    <t>veil</t>
  </si>
  <si>
    <t>須田景凪</t>
  </si>
  <si>
    <t>yūsei</t>
  </si>
  <si>
    <t>yesmcx</t>
  </si>
  <si>
    <t>Black Star</t>
  </si>
  <si>
    <t>God Save The Girl</t>
  </si>
  <si>
    <t>Riovaz</t>
  </si>
  <si>
    <t>Guitars, Cadillacs</t>
  </si>
  <si>
    <t>Dwight Yoakam</t>
  </si>
  <si>
    <t>evangelium</t>
  </si>
  <si>
    <t>Nyu</t>
  </si>
  <si>
    <t>Hair Down</t>
  </si>
  <si>
    <t>SiR, Kendrick Lamar</t>
  </si>
  <si>
    <t>I'll Fly Away</t>
  </si>
  <si>
    <t>Treme Brass Band</t>
  </si>
  <si>
    <t>People's Choice</t>
  </si>
  <si>
    <t>Jansport J, Coast Contra</t>
  </si>
  <si>
    <t>風街ろまん</t>
  </si>
  <si>
    <t>Happy End</t>
  </si>
  <si>
    <t>Trunks</t>
  </si>
  <si>
    <t>A$AP Rocky</t>
  </si>
  <si>
    <t>A Nonsense Christmas</t>
  </si>
  <si>
    <t>Wonderful Christmastime</t>
  </si>
  <si>
    <t>Paul McCartney</t>
  </si>
  <si>
    <t>Jingle Bell Rock</t>
  </si>
  <si>
    <t>Santa Claus And His Old Lady</t>
  </si>
  <si>
    <t>Cheech &amp; Chong</t>
  </si>
  <si>
    <t>Carol of the Bells</t>
  </si>
  <si>
    <t>Cathedral Choir</t>
  </si>
  <si>
    <t>SOULSOUP</t>
  </si>
  <si>
    <t>OFFICIAL HIGE DANDISM</t>
  </si>
  <si>
    <t>Preoccupied</t>
  </si>
  <si>
    <t>Mac DeMarco</t>
  </si>
  <si>
    <t>Tainted Glow</t>
  </si>
  <si>
    <t>Layla</t>
  </si>
  <si>
    <t>Derek &amp; The Dominos</t>
  </si>
  <si>
    <t>Follow You</t>
  </si>
  <si>
    <t>Tone Stith</t>
  </si>
  <si>
    <t>Coral Cave</t>
  </si>
  <si>
    <t>Ape Escape</t>
  </si>
  <si>
    <t>Die4u</t>
  </si>
  <si>
    <t>YUNGBLUD, The Smashing Pumpkins</t>
  </si>
  <si>
    <t>LOSER</t>
  </si>
  <si>
    <t>TOO BAD</t>
  </si>
  <si>
    <t>G-DRAGON, Anderson .Paak</t>
  </si>
  <si>
    <t>I MIXX U</t>
  </si>
  <si>
    <t>RABBITHOLE</t>
  </si>
  <si>
    <t>Jamie's Cryin'</t>
  </si>
  <si>
    <t>Ye Ishq Hai</t>
  </si>
  <si>
    <t>Pritam, Shreya Ghoshai, Irshad Kamil</t>
  </si>
  <si>
    <t>Hey Jude</t>
  </si>
  <si>
    <t>Theme: JD</t>
  </si>
  <si>
    <t>Helter Skelter</t>
  </si>
  <si>
    <t>Bulletproof</t>
  </si>
  <si>
    <t>Godsmack</t>
  </si>
  <si>
    <t>Peace Frog</t>
  </si>
  <si>
    <t>The Doors</t>
  </si>
  <si>
    <t>Awake</t>
  </si>
  <si>
    <t>Jananto</t>
  </si>
  <si>
    <t>Zeina</t>
  </si>
  <si>
    <t>The Concept</t>
  </si>
  <si>
    <t>Teenage Fanclub</t>
  </si>
  <si>
    <t>Its All Your Fault</t>
  </si>
  <si>
    <t>Logic</t>
  </si>
  <si>
    <t>Look What You've Done</t>
  </si>
  <si>
    <t>Radio Free Alice</t>
  </si>
  <si>
    <t>Messages from the Stars</t>
  </si>
  <si>
    <t>Dabeull, Rude Jude, HolyBrune</t>
  </si>
  <si>
    <t>Jacinthe Theme: Flamenco Style</t>
  </si>
  <si>
    <t>Discetto</t>
  </si>
  <si>
    <t>El Dia De Mi Suerte</t>
  </si>
  <si>
    <t>Willie Colon, Hector Lavoe</t>
  </si>
  <si>
    <t>VENENO</t>
  </si>
  <si>
    <t>RØZ, DannyLux</t>
  </si>
  <si>
    <t>Green River</t>
  </si>
  <si>
    <t>Creedence Clearwater Revivial</t>
  </si>
  <si>
    <t>SO BAD</t>
  </si>
  <si>
    <t>STAYC</t>
  </si>
  <si>
    <t>All Night Radio</t>
  </si>
  <si>
    <t>Orpo</t>
  </si>
  <si>
    <t>GORILLA GLUE, LIL NAKUR</t>
  </si>
  <si>
    <t>Troublemaker</t>
  </si>
  <si>
    <t>Black Pontiac</t>
  </si>
  <si>
    <t>I Heard it Through the Grapevine</t>
  </si>
  <si>
    <t>Rock Dancer</t>
  </si>
  <si>
    <t>Nino (BG)</t>
  </si>
  <si>
    <t>Galaxy</t>
  </si>
  <si>
    <t>Kungs, Theophilus London</t>
  </si>
  <si>
    <t>Theme: New Year New Me</t>
  </si>
  <si>
    <t>True (feelings for you)</t>
  </si>
  <si>
    <t>Model Man</t>
  </si>
  <si>
    <t>I Just Might</t>
  </si>
  <si>
    <t>Box In The Basement</t>
  </si>
  <si>
    <t>nothing,nowhere.</t>
  </si>
  <si>
    <t>POWER</t>
  </si>
  <si>
    <t>ONE OR EIGHT</t>
  </si>
  <si>
    <t>CHOOSE LIFE</t>
  </si>
  <si>
    <t>ALI, Ashley</t>
  </si>
  <si>
    <t>4 The Betta</t>
  </si>
  <si>
    <t>LUCKI</t>
  </si>
  <si>
    <t>NERVOUS</t>
  </si>
  <si>
    <t>Man Made of Meat</t>
  </si>
  <si>
    <t>Viagra Boys</t>
  </si>
  <si>
    <t>Queen of the Palace</t>
  </si>
  <si>
    <t>Guest Who</t>
  </si>
  <si>
    <t>Canari Battle</t>
  </si>
  <si>
    <t>Raindance</t>
  </si>
  <si>
    <t>Dave, Tems</t>
  </si>
  <si>
    <t>4L</t>
  </si>
  <si>
    <t>Ghais Guevara</t>
  </si>
  <si>
    <t>Possum Kingdom</t>
  </si>
  <si>
    <t>Toadies</t>
  </si>
  <si>
    <t>Psychics in LA</t>
  </si>
  <si>
    <t>Peach Pit</t>
  </si>
  <si>
    <t>In A House That's Burning Down</t>
  </si>
  <si>
    <t>Ric Wilson, YaSi, KOLA</t>
  </si>
  <si>
    <t>Roc</t>
  </si>
  <si>
    <t>2slimey</t>
  </si>
  <si>
    <t>father</t>
  </si>
  <si>
    <t>Use Me</t>
  </si>
  <si>
    <t>Bill Withers</t>
  </si>
  <si>
    <t>React</t>
  </si>
  <si>
    <t>Erick Sermon, Redman</t>
  </si>
  <si>
    <t>Fly As Me (Sam)</t>
  </si>
  <si>
    <t>Bruno Mars, Anderson.Paak, Silk Sonic</t>
  </si>
  <si>
    <t>Theme: Run it Back 2</t>
  </si>
  <si>
    <t>Written in The Stars (Heran)</t>
  </si>
  <si>
    <t>Kingdom Hearts Key (Heran)</t>
  </si>
  <si>
    <t>Holy Wars...The Punishment Due (Daniel)</t>
  </si>
  <si>
    <t>BABY SAID (Sam)</t>
  </si>
  <si>
    <t>Sweet Disposition</t>
  </si>
  <si>
    <t>The Temper Trap</t>
  </si>
  <si>
    <t>Pop a lot</t>
  </si>
  <si>
    <t>BRUISED</t>
  </si>
  <si>
    <t>sign crushes motorists, KayCyy</t>
  </si>
  <si>
    <t>Mercy Mercy Me (The Ecology)</t>
  </si>
  <si>
    <t>bloodline</t>
  </si>
  <si>
    <t>Alrighty Aphrodite</t>
  </si>
  <si>
    <t>Solo de Mi</t>
  </si>
  <si>
    <t>luv stuck</t>
  </si>
  <si>
    <t>salute, piri</t>
  </si>
  <si>
    <t>Don't Know Why</t>
  </si>
  <si>
    <t>Norah Jones</t>
  </si>
  <si>
    <t>PUNK ROCKY</t>
  </si>
  <si>
    <t>untitled 08 | 09.06.2014</t>
  </si>
  <si>
    <t>Ocean Avenue</t>
  </si>
  <si>
    <t>Yellowcard</t>
  </si>
  <si>
    <t>Stay With Me</t>
  </si>
  <si>
    <t>1nonly</t>
  </si>
  <si>
    <t>The Distance</t>
  </si>
  <si>
    <t>CAKE</t>
  </si>
  <si>
    <t>The Color Violet</t>
  </si>
  <si>
    <t>Birthday</t>
  </si>
  <si>
    <t>Twista, Gucci Mane, Busta Rhymes, Akon, R Kelly, Boosie Badazz</t>
  </si>
  <si>
    <t>Theme: Birthday song</t>
  </si>
  <si>
    <t>Celebration</t>
  </si>
  <si>
    <t>Madonna</t>
  </si>
  <si>
    <t>BIRTHDAY BEHAVIOR</t>
  </si>
  <si>
    <t>BIA, Young Miko</t>
  </si>
  <si>
    <t>Birthday Rap</t>
  </si>
  <si>
    <t>Jack Black, Jason Momoa</t>
  </si>
  <si>
    <t>In Da Club</t>
  </si>
  <si>
    <t>50 Cent</t>
  </si>
  <si>
    <t>Maki vs the HEI</t>
  </si>
  <si>
    <t>D.Meletis</t>
  </si>
  <si>
    <t>Electricityscape</t>
  </si>
  <si>
    <t>diamonds are forever</t>
  </si>
  <si>
    <t>Charlie's Garden</t>
  </si>
  <si>
    <t>Return To Sender</t>
  </si>
  <si>
    <t>MX LONELY</t>
  </si>
  <si>
    <t>Reclusive</t>
  </si>
  <si>
    <t>Elmiene</t>
  </si>
  <si>
    <t>Hate Me</t>
  </si>
  <si>
    <t>Lil Yachty, ian</t>
  </si>
  <si>
    <t>Stoked</t>
  </si>
  <si>
    <t>Burning Down the House</t>
  </si>
  <si>
    <t>Here With Me</t>
  </si>
  <si>
    <t>Drama</t>
  </si>
  <si>
    <t>Ella Mai</t>
  </si>
  <si>
    <t>MI EX TENIA RAZON</t>
  </si>
  <si>
    <t>Karol G</t>
  </si>
  <si>
    <t>Jay Safari</t>
  </si>
  <si>
    <t>Icky Thump</t>
  </si>
  <si>
    <t>The White Stripes</t>
  </si>
  <si>
    <t>GIRLLIKEYOU</t>
  </si>
  <si>
    <t>3ee, aria., karinovaa</t>
  </si>
  <si>
    <t>Be A Flower</t>
  </si>
  <si>
    <t>Ryokuoushoku Shakai</t>
  </si>
  <si>
    <t>Theme: Targeted Advertising Serpintine'd</t>
  </si>
  <si>
    <t>Kass's Theme</t>
  </si>
  <si>
    <t>The 8-Bit Big Band</t>
  </si>
  <si>
    <t>LACONE</t>
  </si>
  <si>
    <t>Polimá Westcoast, Quevedo, Mora</t>
  </si>
  <si>
    <t>The Good Life</t>
  </si>
  <si>
    <t>Wonderwall</t>
  </si>
  <si>
    <t>LA MuDANZA</t>
  </si>
  <si>
    <t>VUELVE CANDY B</t>
  </si>
  <si>
    <t>GEEKALEEK</t>
  </si>
  <si>
    <t>OHGEESY, BIA</t>
  </si>
  <si>
    <t>Cops &amp; Robbers</t>
  </si>
  <si>
    <t>Sammy Virji, Skepta</t>
  </si>
  <si>
    <t>Muevelo</t>
  </si>
  <si>
    <t>Kali Uchis</t>
  </si>
  <si>
    <t>What's The Difference</t>
  </si>
  <si>
    <t>Dr. Dre, Eminem, Xzibit</t>
  </si>
  <si>
    <t>Last of a Dying Breed</t>
  </si>
  <si>
    <t>Gemstone</t>
  </si>
  <si>
    <t>Kilby Girl</t>
  </si>
  <si>
    <t>The Backseat Lovers</t>
  </si>
  <si>
    <t>Body</t>
  </si>
  <si>
    <t>Cory Wong, Stephen Day</t>
  </si>
  <si>
    <t>Sweet Home</t>
  </si>
  <si>
    <t>Afterbody</t>
  </si>
  <si>
    <t>Jae Stephens</t>
  </si>
  <si>
    <t>Black Butterflies and déjà vu</t>
  </si>
  <si>
    <t>STOLE YA FLOW</t>
  </si>
  <si>
    <t>Theme: Change of Heart</t>
  </si>
  <si>
    <t>Re: Re:</t>
  </si>
  <si>
    <t>BANG BANG</t>
  </si>
  <si>
    <t>Poor Boxer Shorts</t>
  </si>
  <si>
    <t>Mom Jeans.</t>
  </si>
  <si>
    <t>oh, you don't say?!!</t>
  </si>
  <si>
    <t>sssss, graphite</t>
  </si>
  <si>
    <t>Buddy Holly</t>
  </si>
  <si>
    <t>Babydoll</t>
  </si>
  <si>
    <t>iluvslapbass</t>
  </si>
  <si>
    <t>prodBigMike</t>
  </si>
  <si>
    <t>SKELETONS</t>
  </si>
  <si>
    <t>Masterpiece</t>
  </si>
  <si>
    <t>Barny Fletcher</t>
  </si>
  <si>
    <t>Carry on Wayward Son</t>
  </si>
  <si>
    <t>Kansas</t>
  </si>
  <si>
    <t>ぐらでーしょん</t>
  </si>
  <si>
    <t>KANA-BOON, Yuho Kitazawa</t>
  </si>
  <si>
    <t>Prism Parade</t>
  </si>
  <si>
    <t>Kuma Slaps</t>
  </si>
  <si>
    <t>One of Your Girls</t>
  </si>
  <si>
    <t>FAT BOY</t>
  </si>
  <si>
    <t>Jesus, Etc.</t>
  </si>
  <si>
    <t>Wilco</t>
  </si>
  <si>
    <t>Papermoon</t>
  </si>
  <si>
    <t>Flexicution</t>
  </si>
  <si>
    <t>Theme: Helllllllll Nah</t>
  </si>
  <si>
    <t>GIMME CHEESEBURGER</t>
  </si>
  <si>
    <t>Kill Karl</t>
  </si>
  <si>
    <t>Beach Boogie</t>
  </si>
  <si>
    <t>Three Beat Slide</t>
  </si>
  <si>
    <t>I Want To Be Neenja</t>
  </si>
  <si>
    <t>Jennifer Murphy Go Girl</t>
  </si>
  <si>
    <t>Gnarly</t>
  </si>
  <si>
    <t>KATSEYE</t>
  </si>
  <si>
    <t>Velvet</t>
  </si>
  <si>
    <t>Koven Wei, SUGAR</t>
  </si>
  <si>
    <t>Atop a Cake</t>
  </si>
  <si>
    <t>Alvvays</t>
  </si>
  <si>
    <t>Smoke Break</t>
  </si>
  <si>
    <t>Sam Austins</t>
  </si>
  <si>
    <t>She Knows Too Much</t>
  </si>
  <si>
    <t>Thundercat, Mac Miller</t>
  </si>
  <si>
    <t>Johnny Glamour</t>
  </si>
  <si>
    <t>rusowsky, Las Ketchup</t>
  </si>
  <si>
    <t>ROCK THE BOAT</t>
  </si>
  <si>
    <t>Dramatic Girl</t>
  </si>
  <si>
    <t>SADLY, I STILL LOVE YOU</t>
  </si>
  <si>
    <t>Evenson</t>
  </si>
  <si>
    <t>You Make Loving Fun</t>
  </si>
  <si>
    <t>星が降るユメ (Fate/Grand Order -絶対魔獣戦線バビロニア-)</t>
  </si>
  <si>
    <t>KOKO!</t>
  </si>
  <si>
    <t>High Maintenance</t>
  </si>
  <si>
    <t>Paul Russell</t>
  </si>
  <si>
    <t>Even Flow</t>
  </si>
  <si>
    <t>Pearl Jam</t>
  </si>
  <si>
    <t>POISON FLIP - LeeJi Remix</t>
  </si>
  <si>
    <t>berryblue, LeeJi</t>
  </si>
  <si>
    <t>Fame</t>
  </si>
  <si>
    <t>David Bowie</t>
  </si>
  <si>
    <t>Calone</t>
  </si>
  <si>
    <t>Tiffany Day</t>
  </si>
  <si>
    <t>Tank!</t>
  </si>
  <si>
    <t>Plantina Jazz</t>
  </si>
  <si>
    <t>Theme: Album Art Color Match</t>
  </si>
  <si>
    <t>Giving My Life</t>
  </si>
  <si>
    <t>I-Exist</t>
  </si>
  <si>
    <t>Over the Hills and Far Away</t>
  </si>
  <si>
    <t>Why So Lonely</t>
  </si>
  <si>
    <t>Wonder Girls</t>
  </si>
  <si>
    <t>Cherub Rock</t>
  </si>
  <si>
    <t>Circus</t>
  </si>
  <si>
    <t>Britney Spears</t>
  </si>
  <si>
    <t>Let's Dance</t>
  </si>
  <si>
    <t>House Money</t>
  </si>
  <si>
    <t>Alley Oop</t>
  </si>
  <si>
    <t>Chris Patrick</t>
  </si>
  <si>
    <t>Morado</t>
  </si>
  <si>
    <t>J Balvin</t>
  </si>
  <si>
    <t>Not Fair</t>
  </si>
  <si>
    <t>Na Na Na (Na Na Na Na Na Na Na Na Na)</t>
  </si>
  <si>
    <t>Stateside</t>
  </si>
  <si>
    <t>PinkPantheress, Zara Larsson</t>
  </si>
  <si>
    <t>Malaguena</t>
  </si>
  <si>
    <t>Stan Kenton</t>
  </si>
  <si>
    <t>Ca$ino</t>
  </si>
  <si>
    <t>L.U.C.K.Y</t>
  </si>
  <si>
    <t>Fcukers</t>
  </si>
  <si>
    <t>This Must Be the Place (Naive Melody)</t>
  </si>
  <si>
    <t>Talking Heads</t>
  </si>
  <si>
    <t>Kuchizuke Diamond</t>
  </si>
  <si>
    <t>WEAVER</t>
  </si>
  <si>
    <t>Love Hangover</t>
  </si>
  <si>
    <t>JENNIE, Dominic Fike</t>
  </si>
  <si>
    <t>Theme: All Alone</t>
  </si>
  <si>
    <t>Smooth Criminal</t>
  </si>
  <si>
    <t>What You Waiting For?</t>
  </si>
  <si>
    <t>Gwen Stefani</t>
  </si>
  <si>
    <t>Careless Whisper</t>
  </si>
  <si>
    <t>George Micheal</t>
  </si>
  <si>
    <t>百花繚乱</t>
  </si>
  <si>
    <t>Shout</t>
  </si>
  <si>
    <t>Otis Day &amp; The Knights</t>
  </si>
  <si>
    <t>Gimme! Gimme! Gimme!</t>
  </si>
  <si>
    <t>ABBA</t>
  </si>
  <si>
    <t>Fire Burning</t>
  </si>
  <si>
    <t>Sean Kingston</t>
  </si>
  <si>
    <t>I Did This To Myself</t>
  </si>
  <si>
    <t>Thundercat, Lil Yachty, Flying Lotus</t>
  </si>
  <si>
    <t>STUPID IN LOVE</t>
  </si>
  <si>
    <t>Huh Yunjin, Max</t>
  </si>
  <si>
    <t>Bloom</t>
  </si>
  <si>
    <t>Systems Nominal</t>
  </si>
  <si>
    <t>GANTEL y BELLAKz</t>
  </si>
  <si>
    <t>Omar Courtz, BASSYY</t>
  </si>
  <si>
    <t>Don't Think Twice</t>
  </si>
  <si>
    <t>Schism</t>
  </si>
  <si>
    <t>TOOL</t>
  </si>
  <si>
    <t>Cloud 9</t>
  </si>
  <si>
    <t>Beach Bunny</t>
  </si>
  <si>
    <t>Let The Wound Heal</t>
  </si>
  <si>
    <t>Death Drive, Tori Hall</t>
  </si>
  <si>
    <t>I'm with You</t>
  </si>
  <si>
    <t>GROUPLOVE</t>
  </si>
  <si>
    <t>22:22</t>
  </si>
  <si>
    <t>The Great Divide</t>
  </si>
  <si>
    <t>Blame Brett</t>
  </si>
  <si>
    <t>The Beaches</t>
  </si>
  <si>
    <t>Drips</t>
  </si>
  <si>
    <t>Eminem, Obie Trice</t>
  </si>
  <si>
    <t>Theme: Don't Do Drugs Kids</t>
  </si>
  <si>
    <t>Roman Holiday</t>
  </si>
  <si>
    <t>Mutant Brain</t>
  </si>
  <si>
    <t>Sam i, Ape Drums, Agent Sasco (Assassin)</t>
  </si>
  <si>
    <t>HENGE</t>
  </si>
  <si>
    <t>Tomorrow Never Knows</t>
  </si>
  <si>
    <t>Na Na</t>
  </si>
  <si>
    <t>Trey Songz</t>
  </si>
  <si>
    <t>All Of My Friends</t>
  </si>
  <si>
    <t>Jack Harlow</t>
  </si>
  <si>
    <t>Should've Been Us</t>
  </si>
  <si>
    <t>Trade Places</t>
  </si>
  <si>
    <t>Orange County</t>
  </si>
  <si>
    <t>Gorillaz, Bizarrap, Kara Jackson, Anoushka Shankar</t>
  </si>
  <si>
    <t>STCKSHFT</t>
  </si>
  <si>
    <t>Aquel Lugar</t>
  </si>
  <si>
    <t>LONDON</t>
  </si>
  <si>
    <t>BIA, J. Cole</t>
  </si>
  <si>
    <t>Young Mister</t>
  </si>
  <si>
    <t>Wild Irish Roses</t>
  </si>
  <si>
    <t>Moonage Daydream</t>
  </si>
  <si>
    <t>Jennifer</t>
  </si>
  <si>
    <t>Ghali, Soolking</t>
  </si>
  <si>
    <t>1000 Ways</t>
  </si>
  <si>
    <t>Chet Faker</t>
  </si>
  <si>
    <t>Kammy (like i do)</t>
  </si>
  <si>
    <t>Fred again..</t>
  </si>
  <si>
    <t>Primavera</t>
  </si>
  <si>
    <t>Ludovico Einaudi</t>
  </si>
  <si>
    <t>Theme: Galaxy Brain</t>
  </si>
  <si>
    <t>Overture to "The School for Scandal"</t>
  </si>
  <si>
    <t>Samuel Barber</t>
  </si>
  <si>
    <t>il vento d'oro</t>
  </si>
  <si>
    <t>Cello Suite No.1 in G Major</t>
  </si>
  <si>
    <t>Johann Sebastian Bach, Yo-Yo Ma</t>
  </si>
  <si>
    <t>L no Theme</t>
  </si>
  <si>
    <t>Hideki Taniuchi</t>
  </si>
  <si>
    <t>Skunk</t>
  </si>
  <si>
    <t>Bump2Soul</t>
  </si>
  <si>
    <t>La rebuena mi fai</t>
  </si>
  <si>
    <t>Mona Lisa Motion</t>
  </si>
  <si>
    <t>ZAH1DE</t>
  </si>
  <si>
    <t>White Rabbit</t>
  </si>
  <si>
    <t>Jefferson Airplane</t>
  </si>
  <si>
    <t>All I Think About Now</t>
  </si>
  <si>
    <t>Pixies</t>
  </si>
  <si>
    <t>Casanova</t>
  </si>
  <si>
    <t>I'MIN, King Sis</t>
  </si>
  <si>
    <t>Boleritoxx</t>
  </si>
  <si>
    <t>Belladona</t>
  </si>
  <si>
    <t>Brain Stew</t>
  </si>
  <si>
    <t>Jamie Jones, Connie Constance</t>
  </si>
  <si>
    <t>SHUT UP</t>
  </si>
  <si>
    <t>Lucid Dreams</t>
  </si>
  <si>
    <t>Let King Tonka Talk</t>
  </si>
  <si>
    <t>Yeat, King Kylie</t>
  </si>
  <si>
    <t>Shape Of My Heart</t>
  </si>
  <si>
    <t>Sting</t>
  </si>
  <si>
    <t>Dumbest Girl Alive</t>
  </si>
  <si>
    <t>La Copa de La Vida</t>
  </si>
  <si>
    <t>Ricky Martin</t>
  </si>
  <si>
    <t>Theme: Hispanic Heritage Month</t>
  </si>
  <si>
    <t>Bamboleo</t>
  </si>
  <si>
    <t>Gipsy Kings</t>
  </si>
  <si>
    <t>Oro De Ley</t>
  </si>
  <si>
    <t>Luis Miguel</t>
  </si>
  <si>
    <t>Soy De San Luis</t>
  </si>
  <si>
    <t>Texas Tornados</t>
  </si>
  <si>
    <t>Suavemente</t>
  </si>
  <si>
    <t>Elvis Crespo</t>
  </si>
  <si>
    <t>AIZO</t>
  </si>
  <si>
    <t>King Gnu</t>
  </si>
  <si>
    <t>Polar Opposites</t>
  </si>
  <si>
    <t>Medellín Takai</t>
  </si>
  <si>
    <t>Feid, Yuki Chiba</t>
  </si>
  <si>
    <t>B.Y.O.B</t>
  </si>
  <si>
    <t>System of A Down</t>
  </si>
  <si>
    <t>Jane!</t>
  </si>
  <si>
    <t>The Long Faces</t>
  </si>
  <si>
    <t>The Spider's thread</t>
  </si>
  <si>
    <t>Penthouse</t>
  </si>
  <si>
    <t>Que vuelta vox</t>
  </si>
  <si>
    <t>THEMSELVES</t>
  </si>
  <si>
    <t>Du hast</t>
  </si>
  <si>
    <t>Rammstein</t>
  </si>
  <si>
    <t>Hello Juliet</t>
  </si>
  <si>
    <t>Clarion</t>
  </si>
  <si>
    <t>Things We Do</t>
  </si>
  <si>
    <t>Charli Taft</t>
  </si>
  <si>
    <t>Ojitos Lindos</t>
  </si>
  <si>
    <t>Semicolon</t>
  </si>
  <si>
    <t>The Lonely Island, Solange</t>
  </si>
  <si>
    <t>Rosa Pastel</t>
  </si>
  <si>
    <t>Belanova</t>
  </si>
  <si>
    <t>rockstar</t>
  </si>
  <si>
    <t>Post Malone, 21 Savage</t>
  </si>
  <si>
    <t>Theme: Fallout Day</t>
  </si>
  <si>
    <t>Starboy</t>
  </si>
  <si>
    <t>STAY</t>
  </si>
  <si>
    <t>The Kid LAROI, Justin Bieber</t>
  </si>
  <si>
    <t>Yellow</t>
  </si>
  <si>
    <t>I Wonder</t>
  </si>
  <si>
    <t>All Hands on Deck</t>
  </si>
  <si>
    <t>Tinashe</t>
  </si>
  <si>
    <t>The Manifesto</t>
  </si>
  <si>
    <t>Gorillaz, Trueno, Proof</t>
  </si>
  <si>
    <t>WARDA</t>
  </si>
  <si>
    <t>Inkonnu, Manal</t>
  </si>
  <si>
    <t>Hey Ya!</t>
  </si>
  <si>
    <t>Hotel Room Service</t>
  </si>
  <si>
    <t>Pitbull</t>
  </si>
  <si>
    <t>So Easy (To Fall In Love)</t>
  </si>
  <si>
    <t>Olivia Dean</t>
  </si>
  <si>
    <t>The Moon Cave</t>
  </si>
  <si>
    <t>Asha Puthli, Bobby Womack, Dave Jolicoeur</t>
  </si>
  <si>
    <t>SFWA</t>
  </si>
  <si>
    <t xml:space="preserve">Jasòn  Brulée </t>
  </si>
  <si>
    <t>I See Myself</t>
  </si>
  <si>
    <t>Drop the Guillotine</t>
  </si>
  <si>
    <t>Reply To This</t>
  </si>
  <si>
    <t>Charlie Puth</t>
  </si>
  <si>
    <t>Doblexxo</t>
  </si>
  <si>
    <t>J Balvin, Feid</t>
  </si>
  <si>
    <t>Dangerous Lover</t>
  </si>
  <si>
    <t>Hysteria</t>
  </si>
  <si>
    <t>Aggression from Saturn</t>
  </si>
  <si>
    <t>Playing God</t>
  </si>
  <si>
    <t>Polyphia</t>
  </si>
  <si>
    <t>Theme: Sam Day</t>
  </si>
  <si>
    <t>Time Alone With You</t>
  </si>
  <si>
    <t>Jacob Collier, Daniel Caesar</t>
  </si>
  <si>
    <t>All I Need</t>
  </si>
  <si>
    <t>Jacob Collier, Mahalia, Ty Dolla $ign</t>
  </si>
  <si>
    <t>Another One Bites The Dust</t>
  </si>
  <si>
    <t>Figure it Out</t>
  </si>
  <si>
    <t>Royal Blood</t>
  </si>
  <si>
    <t>YOU SHOULD BE MINE</t>
  </si>
  <si>
    <t>Full Circle Boys</t>
  </si>
  <si>
    <t>COQUETA</t>
  </si>
  <si>
    <t>Grupo Frontera</t>
  </si>
  <si>
    <t>Layaway Luv</t>
  </si>
  <si>
    <t>Ariel</t>
  </si>
  <si>
    <t>Sarniezz</t>
  </si>
  <si>
    <t>Angine de Poitrine</t>
  </si>
  <si>
    <t>Bully</t>
  </si>
  <si>
    <t>Kanye West, CeeLo Green</t>
  </si>
  <si>
    <t>Checklist</t>
  </si>
  <si>
    <t>MAX, Chromeo</t>
  </si>
  <si>
    <t>Selfless</t>
  </si>
  <si>
    <t>Dive Into Me</t>
  </si>
  <si>
    <t>Alok, Khalid</t>
  </si>
  <si>
    <t>Head Over Heels</t>
  </si>
  <si>
    <t>Tears For Fears, Dave Bascombe</t>
  </si>
  <si>
    <t>HARUKAZE</t>
  </si>
  <si>
    <t>Scandal</t>
  </si>
  <si>
    <t>CRUSH</t>
  </si>
  <si>
    <t>Zamir, Chevy</t>
  </si>
  <si>
    <t>BOBOMENSOTONTO</t>
  </si>
  <si>
    <t>nsqk, EasyKid</t>
  </si>
  <si>
    <t>Krillin's Fumble</t>
  </si>
  <si>
    <t>Designer</t>
  </si>
  <si>
    <t>Blame</t>
  </si>
  <si>
    <t>Gabriels</t>
  </si>
  <si>
    <t>Jupiter, the Bringer of Jollity</t>
  </si>
  <si>
    <t>Gustav Holst, BBC Symphony Orchestra, Sir Malcom Sargent</t>
  </si>
  <si>
    <t>Theme: Favorite Album Cover Art</t>
  </si>
  <si>
    <t>TRANKAITO</t>
  </si>
  <si>
    <t>Look at the Sky</t>
  </si>
  <si>
    <t>Porter Robinson</t>
  </si>
  <si>
    <t>Evangeline</t>
  </si>
  <si>
    <t>アイドル</t>
  </si>
  <si>
    <t>I Do / Options</t>
  </si>
  <si>
    <t>Kevin Ross</t>
  </si>
  <si>
    <t>Go With The Flow</t>
  </si>
  <si>
    <t>Queens of the Stone Age</t>
  </si>
  <si>
    <t>Rift</t>
  </si>
  <si>
    <t>Hot for Teacher</t>
  </si>
  <si>
    <t>Permanent High School</t>
  </si>
  <si>
    <t>IRL</t>
  </si>
  <si>
    <t>Devon Gilfillian, Cory Wong</t>
  </si>
  <si>
    <t>LADY GAGA</t>
  </si>
  <si>
    <t>Peso Pluma, Gabito Ballesteros</t>
  </si>
  <si>
    <t>GESHUOU</t>
  </si>
  <si>
    <t>Purple Rain</t>
  </si>
  <si>
    <t>Prince</t>
  </si>
  <si>
    <t>YAOKE</t>
  </si>
  <si>
    <t>blank paper</t>
  </si>
  <si>
    <t>He's Good</t>
  </si>
  <si>
    <t>Kate Stewart</t>
  </si>
  <si>
    <t>Q U E V A S H A C E R H O Y ?</t>
  </si>
  <si>
    <t>Omar Courtz, De La Rose</t>
  </si>
  <si>
    <t>Don't Look Down</t>
  </si>
  <si>
    <t>Jai Wolf, BANKS</t>
  </si>
  <si>
    <t>Far Beyond the Sun</t>
  </si>
  <si>
    <t>Yngwei Malmsteen</t>
  </si>
  <si>
    <t>CATCH</t>
  </si>
  <si>
    <t>THREEE</t>
  </si>
  <si>
    <t>Hopscotch</t>
  </si>
  <si>
    <t>Theme: Before They Were Cool</t>
  </si>
  <si>
    <t>I Think I Kinda, You Know - Duet</t>
  </si>
  <si>
    <t>Olivia Rodrigo, Joshua Bassett, Disney</t>
  </si>
  <si>
    <t>damn</t>
  </si>
  <si>
    <t>bbno$, Lzr</t>
  </si>
  <si>
    <t>Brighter</t>
  </si>
  <si>
    <t>Slaughter Ya Daughter</t>
  </si>
  <si>
    <t>21 Savage, Key, ILOVEMAKONNEN</t>
  </si>
  <si>
    <t>Ashley Alisha</t>
  </si>
  <si>
    <t>SI SABE FERXXO</t>
  </si>
  <si>
    <t>Blessd, Feid</t>
  </si>
  <si>
    <t>LOVE ON ME</t>
  </si>
  <si>
    <t>Turtles All the Way Down</t>
  </si>
  <si>
    <t>P.O.V</t>
  </si>
  <si>
    <t>Clipse, Tyler The Creator, Pusha T, Malice</t>
  </si>
  <si>
    <t>TOP NOTCH</t>
  </si>
  <si>
    <t>Ace Hashimoto, 3ee</t>
  </si>
  <si>
    <t>When It Started</t>
  </si>
  <si>
    <t>Tokyo Drifting</t>
  </si>
  <si>
    <t>Glass Animals, Denzel Curry</t>
  </si>
  <si>
    <t>FIX UR FACE</t>
  </si>
  <si>
    <t>mgk, Fred Durst</t>
  </si>
  <si>
    <t>Butterfly</t>
  </si>
  <si>
    <t>Crazy Town</t>
  </si>
  <si>
    <t>Madwoman</t>
  </si>
  <si>
    <t>Ojitos Rojos</t>
  </si>
  <si>
    <t>Drifting</t>
  </si>
  <si>
    <t>Omar Apollo</t>
  </si>
  <si>
    <t>Wristwatch</t>
  </si>
  <si>
    <t>MJ Lenderman</t>
  </si>
  <si>
    <t>Os-宇宙人</t>
  </si>
  <si>
    <t>Erio wo Kamattechan</t>
  </si>
  <si>
    <t>Eminem, Juice WRLD</t>
  </si>
  <si>
    <t>Theme: zamalamadoomalamayouassuminimahuman</t>
  </si>
  <si>
    <t>Stan</t>
  </si>
  <si>
    <t>Eminem, Lil Wayne</t>
  </si>
  <si>
    <t>The Monster</t>
  </si>
  <si>
    <t>Eminem, Rihanna</t>
  </si>
  <si>
    <t>Almost Famous</t>
  </si>
  <si>
    <t>White Roses</t>
  </si>
  <si>
    <t>Fetty Wap, Divinity, Ymanie</t>
  </si>
  <si>
    <t>OLD NAVY</t>
  </si>
  <si>
    <t>Feid, Sky Rompiendo</t>
  </si>
  <si>
    <t>Dreams, Fairytales, Fantasies</t>
  </si>
  <si>
    <t>A$AP Ferg, Brent Faiyaz, Salaam Remi</t>
  </si>
  <si>
    <t>the kill 2</t>
  </si>
  <si>
    <t>Lex Amarni</t>
  </si>
  <si>
    <t>Wonder Why</t>
  </si>
  <si>
    <t>Eli Noir</t>
  </si>
  <si>
    <t>Aguanile</t>
  </si>
  <si>
    <t>little too quiet</t>
  </si>
  <si>
    <t>Scro, Venus as a boy</t>
  </si>
  <si>
    <t>Cinderella Man</t>
  </si>
  <si>
    <t>Hate It</t>
  </si>
  <si>
    <t>Unclekamo</t>
  </si>
  <si>
    <t>Swoop</t>
  </si>
  <si>
    <t>Max Drazen</t>
  </si>
  <si>
    <t>Dreams</t>
  </si>
  <si>
    <t>The Kooks</t>
  </si>
  <si>
    <t>I'm Alright</t>
  </si>
  <si>
    <t>Brasstracks, R.LUM.R</t>
  </si>
  <si>
    <t>Dancing Alone</t>
  </si>
  <si>
    <t>David Alexander</t>
  </si>
  <si>
    <t>Partners In Crime</t>
  </si>
  <si>
    <t>Balatro Main Theme (Dom Polombi Game Night)</t>
  </si>
  <si>
    <t>Dom Palombi, Dave Pollack, Joe Etzine, Ryan Devlin, Tony Solis, Chloe Rowlands, Justin Salisbury</t>
  </si>
  <si>
    <t>Theme: Underground</t>
  </si>
  <si>
    <t>Discourse is Dead and so Are Our Insides</t>
  </si>
  <si>
    <t>over it</t>
  </si>
  <si>
    <t>joss lockwood</t>
  </si>
  <si>
    <t>McLean's Baby Boy</t>
  </si>
  <si>
    <t>In Your Hands</t>
  </si>
  <si>
    <t>furthernotice</t>
  </si>
  <si>
    <t>One Two Three</t>
  </si>
  <si>
    <t>Azul</t>
  </si>
  <si>
    <t>247</t>
  </si>
  <si>
    <t>Serenata Nortena</t>
  </si>
  <si>
    <t>Los Lobos</t>
  </si>
  <si>
    <t>Self Aware</t>
  </si>
  <si>
    <t>Temper City</t>
  </si>
  <si>
    <t>Girl Front</t>
  </si>
  <si>
    <t>LOONA / ODD EYE CIRCLE</t>
  </si>
  <si>
    <t>Love And Affection</t>
  </si>
  <si>
    <t>2SIDED</t>
  </si>
  <si>
    <t>Arlo Parks</t>
  </si>
  <si>
    <t>Neon</t>
  </si>
  <si>
    <t>Partners in Crime</t>
  </si>
  <si>
    <t>Set It Off, Ash Costello</t>
  </si>
  <si>
    <t>Gimmie</t>
  </si>
  <si>
    <t xml:space="preserve">WO OH OH </t>
  </si>
  <si>
    <t>Omar Courtz, ROA</t>
  </si>
  <si>
    <t>TEQUILA MOCKINGBIRD</t>
  </si>
  <si>
    <t>Wisteria</t>
  </si>
  <si>
    <t>Remains</t>
  </si>
  <si>
    <t>Daze</t>
  </si>
  <si>
    <t>Jin, MARiA</t>
  </si>
  <si>
    <t>Chloe x Halle</t>
  </si>
  <si>
    <t>Theme: All-Time Great</t>
  </si>
  <si>
    <t>Moon River</t>
  </si>
  <si>
    <t>Sad Song - Ossian Remix</t>
  </si>
  <si>
    <t>Parson James, Ossian</t>
  </si>
  <si>
    <t>The Spirit Of Radio</t>
  </si>
  <si>
    <t>Mayday</t>
  </si>
  <si>
    <t>ABG</t>
  </si>
  <si>
    <t>Joh!</t>
  </si>
  <si>
    <t>El Vallenato</t>
  </si>
  <si>
    <t>Maluma</t>
  </si>
  <si>
    <t>I Just Wanna Run</t>
  </si>
  <si>
    <t>The Downtown Fiction</t>
  </si>
  <si>
    <t>Cliffs of Dover - Live</t>
  </si>
  <si>
    <t>Eric Johnson</t>
  </si>
  <si>
    <t>Both</t>
  </si>
  <si>
    <t>Gucci Mane, Drake, Lil Wayne</t>
  </si>
  <si>
    <t>Free Your Mind</t>
  </si>
  <si>
    <t>Prospa, Cloonee</t>
  </si>
  <si>
    <t>BBY ROMEO</t>
  </si>
  <si>
    <t>rusowsky, Ralphie Choo</t>
  </si>
  <si>
    <t>Lying Awake</t>
  </si>
  <si>
    <t>Notes From Under Ground</t>
  </si>
  <si>
    <t>Tornado Of Souls</t>
  </si>
  <si>
    <t>This fffire</t>
  </si>
  <si>
    <t>Let It Ride !</t>
  </si>
  <si>
    <t>GRIM SAINT</t>
  </si>
  <si>
    <t>Lollipop</t>
  </si>
  <si>
    <t>Lil Wayne</t>
  </si>
  <si>
    <t>atomic</t>
  </si>
  <si>
    <t>Aziya</t>
  </si>
  <si>
    <t xml:space="preserve"> 2/14</t>
  </si>
  <si>
    <t>The Band CAMINO</t>
  </si>
  <si>
    <t>Pocketful Of Sunshine</t>
  </si>
  <si>
    <t>Natasha Bedingfield</t>
  </si>
  <si>
    <t>ウィーアー!</t>
  </si>
  <si>
    <t>Hiroshi Kitadani</t>
  </si>
  <si>
    <t>Theme: Asian Heritage Month</t>
  </si>
  <si>
    <t>Mehndi Laga Ke Rakhna</t>
  </si>
  <si>
    <t>Lata Mangeshkar, Udit Narayan</t>
  </si>
  <si>
    <t>Fascination</t>
  </si>
  <si>
    <t>Maiko Okamoto</t>
  </si>
  <si>
    <t>電話しても</t>
  </si>
  <si>
    <t>Kazuhito Murata</t>
  </si>
  <si>
    <t>Kuch Kuch Hota Hai</t>
  </si>
  <si>
    <t>Kavita Krishnamurthy, Jatin-Lalit, Udit Narayan, Alka Yagnik</t>
  </si>
  <si>
    <t>Hindi</t>
  </si>
  <si>
    <t>Traa</t>
  </si>
  <si>
    <t>Softwilly, LEX PAIN, Jøjo</t>
  </si>
  <si>
    <t>Memorial Day</t>
  </si>
  <si>
    <t>DETONO</t>
  </si>
  <si>
    <t>Sech, Kris R.</t>
  </si>
  <si>
    <t>petals on the floor</t>
  </si>
  <si>
    <t>fxris, dazed?!</t>
  </si>
  <si>
    <t>Rollin' (Air Raid Vehicle)</t>
  </si>
  <si>
    <t>Hotel Room</t>
  </si>
  <si>
    <t>Ax and the Hatchetmen</t>
  </si>
  <si>
    <t>Made 4 Two</t>
  </si>
  <si>
    <t>DAUL, Charli Taft, SIRUP</t>
  </si>
  <si>
    <t>Crocodile Woman</t>
  </si>
  <si>
    <t>Saam Sultan</t>
  </si>
  <si>
    <t>Roommates</t>
  </si>
  <si>
    <t>Demi Lovato, Cobrah</t>
  </si>
  <si>
    <t>Revive</t>
  </si>
  <si>
    <t>ClariS</t>
  </si>
  <si>
    <t>PEPPERMINT GOLD</t>
  </si>
  <si>
    <t>RC AVENUE</t>
  </si>
  <si>
    <t>Birds &amp; the Bees</t>
  </si>
  <si>
    <t>BIAF&lt;3</t>
  </si>
  <si>
    <t>Gild the Lily</t>
  </si>
  <si>
    <t>Remember When</t>
  </si>
  <si>
    <t>Love Me</t>
  </si>
  <si>
    <t>Obie Trice, 50 Cent, Eminem</t>
  </si>
  <si>
    <t>Theme: First Stream</t>
  </si>
  <si>
    <t>osk</t>
  </si>
  <si>
    <t>Ride</t>
  </si>
  <si>
    <t>The Metal</t>
  </si>
  <si>
    <t>Black America Again</t>
  </si>
  <si>
    <t>Common, Stevie Wonder</t>
  </si>
  <si>
    <t>Hvnly</t>
  </si>
  <si>
    <t>Jenevieve, JIHYO</t>
  </si>
  <si>
    <t>Omerta</t>
  </si>
  <si>
    <t>J Balvin, Ryan Castro</t>
  </si>
  <si>
    <t>settle4tonight</t>
  </si>
  <si>
    <t>El!jah</t>
  </si>
  <si>
    <t>My Old School</t>
  </si>
  <si>
    <t>Oxygen</t>
  </si>
  <si>
    <t>Porch Light</t>
  </si>
  <si>
    <t>HOTLINE</t>
  </si>
  <si>
    <t>Mikayla Geier</t>
  </si>
  <si>
    <t>One Way Trigger</t>
  </si>
  <si>
    <t>takemylife</t>
  </si>
  <si>
    <t>alkayn</t>
  </si>
  <si>
    <t>Famous Last Words</t>
  </si>
  <si>
    <t>Dead of Night</t>
  </si>
  <si>
    <t>Jfarrari</t>
  </si>
  <si>
    <t>Way I Know</t>
  </si>
  <si>
    <t>Lucus</t>
  </si>
  <si>
    <t>Sera que e amor</t>
  </si>
  <si>
    <t>Arlindo Cruz</t>
  </si>
  <si>
    <t>Surf Swag</t>
  </si>
  <si>
    <t>Abbreviated</t>
  </si>
  <si>
    <t>Ovven</t>
  </si>
  <si>
    <t>Are you Bored Yet?</t>
  </si>
  <si>
    <t>Wallows, Clairo</t>
  </si>
  <si>
    <t>Crazy In Love</t>
  </si>
  <si>
    <t>Beyoncé, JAY-Z</t>
  </si>
  <si>
    <t>Theme: googoo gaga</t>
  </si>
  <si>
    <t>Despacito - Remix</t>
  </si>
  <si>
    <t>Luis Fonsi, Daddy Yankee, Justin Bieber</t>
  </si>
  <si>
    <t>Forever</t>
  </si>
  <si>
    <t>Drake, Kanye West, Lil Wayne, Eminem</t>
  </si>
  <si>
    <t>La Villa Strangiato</t>
  </si>
  <si>
    <t>Down</t>
  </si>
  <si>
    <t>Jay Sean, Lil Wayne</t>
  </si>
  <si>
    <t>Pure Water</t>
  </si>
  <si>
    <t>Mustard, Migos</t>
  </si>
  <si>
    <t>Cudi Montage</t>
  </si>
  <si>
    <t>KIDS SEE GHOSTS</t>
  </si>
  <si>
    <t>tarde o temprano</t>
  </si>
  <si>
    <t>sArah</t>
  </si>
  <si>
    <t>Don't Wanna Fight</t>
  </si>
  <si>
    <t>Alabama Shakes</t>
  </si>
  <si>
    <t>WTFU</t>
  </si>
  <si>
    <t>Cheem</t>
  </si>
  <si>
    <t>Mambo No. 5</t>
  </si>
  <si>
    <t>Lou Bega</t>
  </si>
  <si>
    <t>Dark</t>
  </si>
  <si>
    <t>Maddie Ashman</t>
  </si>
  <si>
    <t>I Can Only Imagine</t>
  </si>
  <si>
    <t>David Guetta, Chris Brown, Lil Wayne</t>
  </si>
  <si>
    <t>Sherpa</t>
  </si>
  <si>
    <t>Culture Wars</t>
  </si>
  <si>
    <t>On Sight</t>
  </si>
  <si>
    <t>Squid the Kid,Taylr</t>
  </si>
  <si>
    <t>esperando que vuelvas</t>
  </si>
  <si>
    <t>Marc Segui</t>
  </si>
  <si>
    <t>Kokiri Forest</t>
  </si>
  <si>
    <t>Right Back to It</t>
  </si>
  <si>
    <t>Waxahatchee, MJ Lenderman</t>
  </si>
  <si>
    <t>Mystery Girl</t>
  </si>
  <si>
    <t>Housecall</t>
  </si>
  <si>
    <t>Personal</t>
  </si>
  <si>
    <t>Theme: Discovery R2</t>
  </si>
  <si>
    <t>Criminal (Over You)</t>
  </si>
  <si>
    <t>Afgan, thuy</t>
  </si>
  <si>
    <t>Waiting Room</t>
  </si>
  <si>
    <t>Jenevieve, Jordan Ward</t>
  </si>
  <si>
    <t>un x100to</t>
  </si>
  <si>
    <t>Grupo Frontera, Bad Bunny</t>
  </si>
  <si>
    <t>crushcrushcrush</t>
  </si>
  <si>
    <t>Goals</t>
  </si>
  <si>
    <t>LISA, Anitta, Rema, FIFA Sound</t>
  </si>
  <si>
    <t>they already know</t>
  </si>
  <si>
    <t>Feid, Munic HB</t>
  </si>
  <si>
    <t>Afterglow</t>
  </si>
  <si>
    <t>Parker, Bianca</t>
  </si>
  <si>
    <t>Can You Feel It</t>
  </si>
  <si>
    <t>hate that i made you love me</t>
  </si>
  <si>
    <t>Noah</t>
  </si>
  <si>
    <t>$UELTA GATITA $UELTA</t>
  </si>
  <si>
    <t>Omar Courtz, Dei V, Clarent, Tito "El Bambino"</t>
  </si>
  <si>
    <t>DARKER</t>
  </si>
  <si>
    <t>Locksi, jdxp_</t>
  </si>
  <si>
    <t>Knockin</t>
  </si>
  <si>
    <t>Tic Tac</t>
  </si>
  <si>
    <t>Future, Lil Uzi</t>
  </si>
  <si>
    <t>Sometimes</t>
  </si>
  <si>
    <t>Babyface, Jenevieve</t>
  </si>
  <si>
    <t>El Ritmo Que Nos Une</t>
  </si>
  <si>
    <t>Ryan Castro</t>
  </si>
  <si>
    <t>Mia Takarabe, Steve Aoki</t>
  </si>
  <si>
    <t>thumbs</t>
  </si>
  <si>
    <t>jigitz, Lamb</t>
  </si>
  <si>
    <t>Cicada</t>
  </si>
  <si>
    <t>Rehab</t>
  </si>
  <si>
    <t>Amy Winehouse</t>
  </si>
  <si>
    <t>Theme: 27 Club</t>
  </si>
  <si>
    <t>Hey Joe</t>
  </si>
  <si>
    <t>You Know I'm No Good</t>
  </si>
  <si>
    <t>Heart-Shaped Box</t>
  </si>
  <si>
    <t>Paint It, Black</t>
  </si>
  <si>
    <t>The Rolling Stones</t>
  </si>
  <si>
    <t>Take Me Home, Country Roads</t>
  </si>
  <si>
    <t>John Denver</t>
  </si>
  <si>
    <t>Look Alive</t>
  </si>
  <si>
    <t>BlocBoy JB, Drake</t>
  </si>
  <si>
    <t>CYKA</t>
  </si>
  <si>
    <t>Pussy Riot, Vladimir Putin</t>
  </si>
  <si>
    <t>Faint</t>
  </si>
  <si>
    <t>Eir Aoi</t>
  </si>
  <si>
    <t>Taco Tuesday</t>
  </si>
  <si>
    <t>COCO LOCO</t>
  </si>
  <si>
    <t>Wherever You Are</t>
  </si>
  <si>
    <t>Rarri, Tory Lanez</t>
  </si>
  <si>
    <t>Disenchanted</t>
  </si>
  <si>
    <t>tolerance</t>
  </si>
  <si>
    <t>Asal</t>
  </si>
  <si>
    <t>Hurricane</t>
  </si>
  <si>
    <t>Infinity Song</t>
  </si>
  <si>
    <t>Oye Mi Amor</t>
  </si>
  <si>
    <t>Mana</t>
  </si>
  <si>
    <t>Somedays</t>
  </si>
  <si>
    <t>Sonny Fondera, Jazzy, D.O.D</t>
  </si>
  <si>
    <t>Lump</t>
  </si>
  <si>
    <t>The Presidents Of The United States Of America</t>
  </si>
  <si>
    <t>Mr. Rager</t>
  </si>
  <si>
    <t>Kid Cudi</t>
  </si>
  <si>
    <t>We Are One</t>
  </si>
  <si>
    <t>Pitbull, Jennifer Lopez, Claudia Leitte</t>
  </si>
  <si>
    <t>Theme: World Cup</t>
  </si>
  <si>
    <t>Arhbo</t>
  </si>
  <si>
    <t>Ozuna</t>
  </si>
  <si>
    <t>Wavin' Flag</t>
  </si>
  <si>
    <t>K'NAAN</t>
  </si>
  <si>
    <t>Champions</t>
  </si>
  <si>
    <t>IShowSpeed</t>
  </si>
  <si>
    <t>Magic in the Air</t>
  </si>
  <si>
    <t>Magic System, Chawki</t>
  </si>
  <si>
    <t>Afropop</t>
  </si>
  <si>
    <t>Heaven Can Wait</t>
  </si>
  <si>
    <t>JUNNY</t>
  </si>
  <si>
    <t>DYKILY</t>
  </si>
  <si>
    <t>AGAIN</t>
  </si>
  <si>
    <t>Feid, Sky Rompiendo, Majid Jordan</t>
  </si>
  <si>
    <t>Man in the Box</t>
  </si>
  <si>
    <t>TONIGHT, TONIGHT, TONIGHT</t>
  </si>
  <si>
    <t>BEAT CRUSADERS</t>
  </si>
  <si>
    <t>Darling!</t>
  </si>
  <si>
    <t>Deion Gill</t>
  </si>
  <si>
    <t>Cuando Me Muera Te Olvido</t>
  </si>
  <si>
    <t>Saylor.exe</t>
  </si>
  <si>
    <t>Parker</t>
  </si>
  <si>
    <t>Giant Steps - 2020 Remaster</t>
  </si>
  <si>
    <t>John Coltrane</t>
  </si>
  <si>
    <t>Golden Brown</t>
  </si>
  <si>
    <t>The Stranglers</t>
  </si>
  <si>
    <t>Flashing Lights</t>
  </si>
  <si>
    <t>Crush, Anderson .Paak</t>
  </si>
  <si>
    <t>kill death ratio</t>
  </si>
  <si>
    <t>Supachefm</t>
  </si>
  <si>
    <t>One</t>
  </si>
  <si>
    <t>Shy Glizzy</t>
  </si>
  <si>
    <t>DO I LOOK HIGH?</t>
  </si>
  <si>
    <t>Isaiah Rashad, Julian Sintonia</t>
  </si>
  <si>
    <t>Cupid's Chokehold/ Breakfast in America</t>
  </si>
  <si>
    <t>Gym Class Heros</t>
  </si>
  <si>
    <t>365 FRESH</t>
  </si>
  <si>
    <t>Triple H</t>
  </si>
  <si>
    <t>Theme: Global Americanization</t>
  </si>
  <si>
    <t>99 Luftballoons</t>
  </si>
  <si>
    <t>Nena</t>
  </si>
  <si>
    <t>WHITE GIRL WASTED</t>
  </si>
  <si>
    <t>ANNA</t>
  </si>
  <si>
    <t>Gangnam Style</t>
  </si>
  <si>
    <t>PSY</t>
  </si>
  <si>
    <t>Hero's Come Back!!</t>
  </si>
  <si>
    <t>nobodyknows+</t>
  </si>
  <si>
    <t>limbo</t>
  </si>
  <si>
    <t>Moon Sujin, pH-1</t>
  </si>
  <si>
    <t>Ballout</t>
  </si>
  <si>
    <t>SUMMER'S EDGE</t>
  </si>
  <si>
    <t>Adolf Nomura</t>
  </si>
  <si>
    <t>It's The End Of The World As We Know It (And I Feel Fine)</t>
  </si>
  <si>
    <t>R.E.M</t>
  </si>
  <si>
    <t>Steppin' Out</t>
  </si>
  <si>
    <t>Flow</t>
  </si>
  <si>
    <t>June</t>
  </si>
  <si>
    <t>Koven Wei, The Vanished People</t>
  </si>
  <si>
    <t>PINKY UP</t>
  </si>
  <si>
    <t>Bad Dreams</t>
  </si>
  <si>
    <t>Virtual Insanity</t>
  </si>
  <si>
    <t>Jamiroquai</t>
  </si>
  <si>
    <t>Loco</t>
  </si>
  <si>
    <t>Itzy</t>
  </si>
  <si>
    <t>Pina Colada</t>
  </si>
  <si>
    <t>Olivia Marsh</t>
  </si>
  <si>
    <t>Work REMIX</t>
  </si>
  <si>
    <t>A$AP Ferg, French Montana, A$AP Rocky….</t>
  </si>
  <si>
    <t>DON'T BELIEVE IT</t>
  </si>
  <si>
    <t>John Summit, Absolutely</t>
  </si>
  <si>
    <t>Savior</t>
  </si>
  <si>
    <t>The Spins</t>
  </si>
  <si>
    <t>Mac Miller, Empire of the Sun</t>
  </si>
  <si>
    <t>Money</t>
  </si>
  <si>
    <t>Theme: Time Signature Change</t>
  </si>
  <si>
    <t>ME JALO</t>
  </si>
  <si>
    <t>Fuerza Regida, Grupo Frontera</t>
  </si>
  <si>
    <t>Here Comes The Sun</t>
  </si>
  <si>
    <t>Pull Me Under</t>
  </si>
  <si>
    <t>Haru</t>
  </si>
  <si>
    <t>Yorushika</t>
  </si>
  <si>
    <t>Skyline</t>
  </si>
  <si>
    <t>Terrify</t>
  </si>
  <si>
    <t>RockWave</t>
  </si>
  <si>
    <t>EsDeeKid</t>
  </si>
  <si>
    <t>By-Tor And The Snow Dog</t>
  </si>
  <si>
    <t>sky &amp; blue</t>
  </si>
  <si>
    <t>GIRLFRIEND</t>
  </si>
  <si>
    <t>OVER IT</t>
  </si>
  <si>
    <t>Citizen</t>
  </si>
  <si>
    <t>Alvorada</t>
  </si>
  <si>
    <t>Cartola</t>
  </si>
  <si>
    <t>FACE DOWN</t>
  </si>
  <si>
    <t>Drive</t>
  </si>
  <si>
    <t>Incubus</t>
  </si>
  <si>
    <t>Orpheus Under the Influence</t>
  </si>
  <si>
    <t>The buttertones</t>
  </si>
  <si>
    <t>Gracie</t>
  </si>
  <si>
    <t>Naomi Scott</t>
  </si>
  <si>
    <t>the WORLD</t>
  </si>
  <si>
    <t>NIGHTMARE</t>
  </si>
  <si>
    <t>VAMONOS</t>
  </si>
  <si>
    <t>Astro, Ghali</t>
  </si>
  <si>
    <t>Bright Size Life</t>
  </si>
  <si>
    <t>Pat Metheny</t>
  </si>
  <si>
    <t>Bye Bye Yesterday</t>
  </si>
  <si>
    <t>3 Nen E Gumi Uta Tan</t>
  </si>
  <si>
    <t>We Found Love</t>
  </si>
  <si>
    <t>Rihanna, Calvin Harris</t>
  </si>
  <si>
    <t>Theme: Clubbing</t>
  </si>
  <si>
    <t>Give Me Everything (feat. Nayer)</t>
  </si>
  <si>
    <t>Pitbull, AFROJACK, Ne-Yo, Nayer</t>
  </si>
  <si>
    <t>Club Can't Handle Me</t>
  </si>
  <si>
    <t>Flo Rida, David Guetta</t>
  </si>
  <si>
    <t>Scary Monsters and Nice Sprites</t>
  </si>
  <si>
    <t>Just Dance</t>
  </si>
  <si>
    <t>Dai Dai</t>
  </si>
  <si>
    <t>Shakira, Burna Boy</t>
  </si>
  <si>
    <t>Neonatalimpalionecrophiliation</t>
  </si>
  <si>
    <t>Infant Annihilator</t>
  </si>
  <si>
    <t>buzzin</t>
  </si>
  <si>
    <t>We Own the Night</t>
  </si>
  <si>
    <t>Dance Gavin Dance</t>
  </si>
  <si>
    <t>loveshy</t>
  </si>
  <si>
    <t>LOSE YOURSELF</t>
  </si>
  <si>
    <t>Drowning (feat. Kodak Black)</t>
  </si>
  <si>
    <t>BEAUTIFUL - Anime Edit</t>
  </si>
  <si>
    <t>TREASURE</t>
  </si>
  <si>
    <t>eat the pavement</t>
  </si>
  <si>
    <t>Desdemona</t>
  </si>
  <si>
    <t>Honey</t>
  </si>
  <si>
    <t>Jordan Astra</t>
  </si>
  <si>
    <t>Bailando - Spanish Version</t>
  </si>
  <si>
    <t>Enrique Iglesias</t>
  </si>
  <si>
    <t>I Like It</t>
  </si>
  <si>
    <t>Enrique Iglesias, Pitbull</t>
  </si>
  <si>
    <t>THAT GUY</t>
  </si>
  <si>
    <t>Feel It All Again</t>
  </si>
  <si>
    <t>adore</t>
  </si>
  <si>
    <t>Ambitionz Az a Ridah</t>
  </si>
  <si>
    <t>Theme: Norwegian Rocket Incident</t>
  </si>
  <si>
    <t>Karma Police</t>
  </si>
  <si>
    <t>Believe</t>
  </si>
  <si>
    <t>Cher</t>
  </si>
  <si>
    <t>When I Come Around</t>
  </si>
  <si>
    <t>Don't Cry</t>
  </si>
  <si>
    <t>Guns n' Roses</t>
  </si>
  <si>
    <t>So Familiar</t>
  </si>
  <si>
    <t>Sylo</t>
  </si>
  <si>
    <t>CANCION CON YANDEL</t>
  </si>
  <si>
    <t>Yandel, Bad Bunny</t>
  </si>
  <si>
    <t>Going Under</t>
  </si>
  <si>
    <t>Evil Eye</t>
  </si>
  <si>
    <t>SO GOOD</t>
  </si>
  <si>
    <t>Charlie Jeer, Simone Ashley</t>
  </si>
  <si>
    <t>VACAXIONES</t>
  </si>
  <si>
    <t xml:space="preserve">Feid </t>
  </si>
  <si>
    <t>NIGHT RUNNING</t>
  </si>
  <si>
    <t>Shin Sakiura, AAAMYYY</t>
  </si>
  <si>
    <t>The Kids Aren't Alright</t>
  </si>
  <si>
    <t>The Offspring</t>
  </si>
  <si>
    <t>SI LAS PAREDES HABLARAN</t>
  </si>
  <si>
    <t>Blessd, Ovy On The Drums</t>
  </si>
  <si>
    <t>Bittersweet Escape</t>
  </si>
  <si>
    <t>Grace Carter</t>
  </si>
  <si>
    <t>Magic Metal Madonna</t>
  </si>
  <si>
    <t>Charli XCX</t>
  </si>
  <si>
    <t>Ultramoon</t>
  </si>
  <si>
    <t>camoufly</t>
  </si>
  <si>
    <t>Bleed American</t>
  </si>
  <si>
    <t>Snow Fairy</t>
  </si>
  <si>
    <t>Funkist</t>
  </si>
  <si>
    <t>Hot In Here</t>
  </si>
  <si>
    <t>Nelly</t>
  </si>
  <si>
    <t>Theme: Its Hot Outside</t>
  </si>
  <si>
    <t>I Melt with You</t>
  </si>
  <si>
    <t>Modern English</t>
  </si>
  <si>
    <t>Heat Waves</t>
  </si>
  <si>
    <t>Glass Animals</t>
  </si>
  <si>
    <t>Hot, Hot, Hot</t>
  </si>
  <si>
    <t>The Merrymen</t>
  </si>
  <si>
    <t>Hot</t>
  </si>
  <si>
    <t>Crash Out</t>
  </si>
  <si>
    <t>2.0</t>
  </si>
  <si>
    <t>BTS</t>
  </si>
  <si>
    <t>bbydoll</t>
  </si>
  <si>
    <t>Reichenbach Falls</t>
  </si>
  <si>
    <t>Racing Mount Pleasant</t>
  </si>
  <si>
    <t>Overnight</t>
  </si>
  <si>
    <t>Parcels</t>
  </si>
  <si>
    <t>petal</t>
  </si>
  <si>
    <t>Me Rehuso</t>
  </si>
  <si>
    <t>Danny Ocean</t>
  </si>
  <si>
    <t>Fallin' Apart</t>
  </si>
  <si>
    <t>Young Franco, Denzel Curry, Pell</t>
  </si>
  <si>
    <t>Running</t>
  </si>
  <si>
    <t>Dahi, Childish Gambino</t>
  </si>
  <si>
    <t>Heads Will Roll</t>
  </si>
  <si>
    <t>CAN YOU FEEL IT TOO</t>
  </si>
  <si>
    <t>HENTAI</t>
  </si>
  <si>
    <t>Freefall</t>
  </si>
  <si>
    <t>KAYTRANADA, Durand Bernarr</t>
  </si>
  <si>
    <t>Bicycle Race</t>
  </si>
  <si>
    <t>The Night Begins To Shine</t>
  </si>
  <si>
    <t>B.E.R</t>
  </si>
  <si>
    <t>Suit &amp; Tie</t>
  </si>
  <si>
    <t>Justin Timberlake, JAY-Z</t>
  </si>
  <si>
    <t>Theme: Comeback</t>
  </si>
  <si>
    <t>Not Afraid</t>
  </si>
  <si>
    <t>My Songs Know what You Did In The Dark (Light Em Up)</t>
  </si>
  <si>
    <t>Pneuma</t>
  </si>
  <si>
    <t>Merry Go Round</t>
  </si>
  <si>
    <t>Wolf Like Me</t>
  </si>
  <si>
    <t>TV On The Radio</t>
  </si>
  <si>
    <t>XQ Te Pones Asi</t>
  </si>
  <si>
    <t>Feid, Yandel</t>
  </si>
  <si>
    <t>Ne-Yo</t>
  </si>
  <si>
    <t>laced up</t>
  </si>
  <si>
    <t>Tampe Impala</t>
  </si>
  <si>
    <t>QVC</t>
  </si>
  <si>
    <t>Masego, Leon Thomas</t>
  </si>
  <si>
    <t>YYZ</t>
  </si>
  <si>
    <t>A+</t>
  </si>
  <si>
    <t>Kenny Mason, Denzel Curry</t>
  </si>
  <si>
    <t>Goodbye Yellow Brick Road</t>
  </si>
  <si>
    <t>Origami</t>
  </si>
  <si>
    <t>The Rare Occasions</t>
  </si>
  <si>
    <t>Reach Out</t>
  </si>
  <si>
    <t>Victoria Monet</t>
  </si>
  <si>
    <t>EN ALTAVOZ</t>
  </si>
  <si>
    <t>Grupo Frontera, Junior H</t>
  </si>
  <si>
    <t>Angel</t>
  </si>
  <si>
    <t>In Too Deep</t>
  </si>
  <si>
    <t>Sum 41</t>
  </si>
  <si>
    <t>Frou-frou Foxes in Midsummer Fires</t>
  </si>
  <si>
    <t>Sierra Leone</t>
  </si>
  <si>
    <t>Mt. Eden, Freshlyground, munro</t>
  </si>
  <si>
    <t>Theme: Peww Bruhm Drrap Dr Dr Dr Drrappp Dr Dr Drrappp</t>
  </si>
  <si>
    <t>Cinema</t>
  </si>
  <si>
    <t xml:space="preserve">Benny Benassi, Gary Go, Skrillex </t>
  </si>
  <si>
    <t>Swamp Thing</t>
  </si>
  <si>
    <t>Pegboard Nerds</t>
  </si>
  <si>
    <t>Rumble</t>
  </si>
  <si>
    <t>Skrillex, Fred again…, Flowdan</t>
  </si>
  <si>
    <t>Time Leaper</t>
  </si>
  <si>
    <t>Hinkik</t>
  </si>
  <si>
    <t>Nightlife</t>
  </si>
  <si>
    <t>Jafunk, Triple H Horns</t>
  </si>
  <si>
    <t>MALASNOTICIAS.</t>
  </si>
  <si>
    <t>Alvaro Diaz, LATIN MAFIA</t>
  </si>
  <si>
    <t>POINT-BLANK</t>
  </si>
  <si>
    <t>Kamera</t>
  </si>
  <si>
    <t>Fate</t>
  </si>
  <si>
    <t>i-dle</t>
  </si>
  <si>
    <t>love me not</t>
  </si>
  <si>
    <t>Moon Sujin, Wonstein</t>
  </si>
  <si>
    <t>Call Me</t>
  </si>
  <si>
    <t>NAV, Metro Boomin</t>
  </si>
  <si>
    <t>Wanted You (feat. Lil Uzi Vert)</t>
  </si>
  <si>
    <t>NAV, Lil Uzi Vert</t>
  </si>
  <si>
    <t>SPINNIN IN CIRCLES</t>
  </si>
  <si>
    <t>$TARFACE, Tyga</t>
  </si>
  <si>
    <t>Night of Knights</t>
  </si>
  <si>
    <t>Cool&amp;Create</t>
  </si>
  <si>
    <t>Theme:</t>
  </si>
  <si>
    <t>Number of Wins</t>
  </si>
  <si>
    <t>Sum of Average</t>
  </si>
  <si>
    <t>Overall Average</t>
  </si>
  <si>
    <t>Place</t>
  </si>
  <si>
    <t>Constructors</t>
  </si>
  <si>
    <t>Poster\Day Rank</t>
  </si>
  <si>
    <t>Mean</t>
  </si>
  <si>
    <t>1B+</t>
  </si>
  <si>
    <t>Median</t>
  </si>
  <si>
    <t>Min</t>
  </si>
  <si>
    <t>Max</t>
  </si>
  <si>
    <t>Average Rank for past</t>
  </si>
  <si>
    <t>days</t>
  </si>
  <si>
    <t>Median Rank for past</t>
  </si>
  <si>
    <t>Sum</t>
  </si>
  <si>
    <t>Poster\Voter</t>
  </si>
  <si>
    <t>Standard Deviation for past</t>
  </si>
  <si>
    <t>Mode Rank for past</t>
  </si>
  <si>
    <t>Best Rank for past</t>
  </si>
  <si>
    <t>Worst Rank for past</t>
  </si>
  <si>
    <t>Hall of Fame</t>
  </si>
  <si>
    <t>Hall of Shame</t>
  </si>
  <si>
    <t>Hall of Same</t>
  </si>
  <si>
    <t>Clown Award</t>
  </si>
  <si>
    <t>AVG</t>
  </si>
  <si>
    <t>Std Dev</t>
  </si>
  <si>
    <t>Song</t>
  </si>
  <si>
    <t>January</t>
  </si>
  <si>
    <t>Seeding</t>
  </si>
  <si>
    <t>Expected</t>
  </si>
  <si>
    <t>Result</t>
  </si>
  <si>
    <t>Diff</t>
  </si>
  <si>
    <t>Shift</t>
  </si>
  <si>
    <t>Description</t>
  </si>
  <si>
    <t>Num</t>
  </si>
  <si>
    <t>Round</t>
  </si>
  <si>
    <t>Max Seed</t>
  </si>
  <si>
    <t>Top Seed</t>
  </si>
  <si>
    <t>Low Seed</t>
  </si>
  <si>
    <t>Initial 1</t>
  </si>
  <si>
    <t>Initial 2</t>
  </si>
  <si>
    <t>J</t>
  </si>
  <si>
    <t>D</t>
  </si>
  <si>
    <t>L</t>
  </si>
  <si>
    <t>S</t>
  </si>
  <si>
    <t>H</t>
  </si>
  <si>
    <t>Song 1</t>
  </si>
  <si>
    <t>Score 1</t>
  </si>
  <si>
    <t>Score 2</t>
  </si>
  <si>
    <t>Song 2</t>
  </si>
  <si>
    <t xml:space="preserve">H </t>
  </si>
  <si>
    <t xml:space="preserve">S </t>
  </si>
  <si>
    <t xml:space="preserve">L </t>
  </si>
  <si>
    <t xml:space="preserve">D </t>
  </si>
  <si>
    <t xml:space="preserve">J </t>
  </si>
  <si>
    <t>Remaining</t>
  </si>
  <si>
    <t>x</t>
  </si>
  <si>
    <t>February</t>
  </si>
  <si>
    <t>March</t>
  </si>
  <si>
    <t>April</t>
  </si>
  <si>
    <t>May</t>
  </si>
  <si>
    <t>July</t>
  </si>
  <si>
    <t>September</t>
  </si>
  <si>
    <t>October</t>
  </si>
  <si>
    <t>November</t>
  </si>
  <si>
    <t>December</t>
  </si>
  <si>
    <t>Themes</t>
  </si>
  <si>
    <t>Voters</t>
  </si>
  <si>
    <t>Results</t>
  </si>
  <si>
    <t>Theme Date</t>
  </si>
  <si>
    <t>Proponent</t>
  </si>
  <si>
    <t>Theme Suggestion</t>
  </si>
  <si>
    <t>Theme Description (Optional)</t>
  </si>
  <si>
    <t>Passed</t>
  </si>
  <si>
    <t>Winning Song</t>
  </si>
  <si>
    <t>Hectic</t>
  </si>
  <si>
    <t>there's just got to be a lot going on</t>
  </si>
  <si>
    <t>In Favor</t>
  </si>
  <si>
    <t>Released in 2016</t>
  </si>
  <si>
    <t>Song has to have been released in 2016</t>
  </si>
  <si>
    <t>Hammock vibes</t>
  </si>
  <si>
    <t>Chill vibes of just relaxing</t>
  </si>
  <si>
    <t>A Cappella</t>
  </si>
  <si>
    <t>Only singing. No instruments</t>
  </si>
  <si>
    <t>Girly</t>
  </si>
  <si>
    <t>Most girly sounding song that sounds good</t>
  </si>
  <si>
    <t>Instruments only</t>
  </si>
  <si>
    <t>No computer generated sounds or vocals</t>
  </si>
  <si>
    <t>Inverse Day</t>
  </si>
  <si>
    <t>The song with the lowest ranking wins</t>
  </si>
  <si>
    <t>Mid song</t>
  </si>
  <si>
    <t>Shoot for 3rd place</t>
  </si>
  <si>
    <t>Guilty Pleasure</t>
  </si>
  <si>
    <t>A song you are embaressed to like</t>
  </si>
  <si>
    <t>Band4Band</t>
  </si>
  <si>
    <t>We all choose a song from the same artist</t>
  </si>
  <si>
    <t>Overly British</t>
  </si>
  <si>
    <t>By a British artist with a British accent saying British sounding words</t>
  </si>
  <si>
    <t>Random</t>
  </si>
  <si>
    <t>Choose a song with a random title that you've never heard, by an artist you've never heard of.</t>
  </si>
  <si>
    <t>Opposed</t>
  </si>
  <si>
    <t>Quick</t>
  </si>
  <si>
    <t>Song is under 1 minute long</t>
  </si>
  <si>
    <t>DJ Pick</t>
  </si>
  <si>
    <t>First song that the AI DJ plays that's not in the playlist</t>
  </si>
  <si>
    <t>Karaoke</t>
  </si>
  <si>
    <t>A song you would sing at a karaoke bar</t>
  </si>
  <si>
    <t>No Instruments(Joes def)</t>
  </si>
  <si>
    <t>Song cant use any "instruments" or be A Capella. Basically electronic sounds only (vocal - optional)</t>
  </si>
  <si>
    <t>Remix</t>
  </si>
  <si>
    <t>The song shall be a remix of another song</t>
  </si>
  <si>
    <t>Diddy Day</t>
  </si>
  <si>
    <t>Choose a song by an artist with Diddy-like allegations (Michael Jackson, Drake, Diddy, R. Kelly, etc.)</t>
  </si>
  <si>
    <t>Halloween</t>
  </si>
  <si>
    <t>Spooky season</t>
  </si>
  <si>
    <t>America</t>
  </si>
  <si>
    <t>Alphabet Day</t>
  </si>
  <si>
    <t>Song has to start with a Z</t>
  </si>
  <si>
    <t>Guitar Solo</t>
  </si>
  <si>
    <t>Song with a sweet guitar solo. Specifically a solo and not a song that is primarily an instrumental guitar song. For example: no Cliffs of Dover type songs.</t>
  </si>
  <si>
    <t>Double Up 1</t>
  </si>
  <si>
    <t>Post a pair of related songs</t>
  </si>
  <si>
    <t>Double Up 2</t>
  </si>
  <si>
    <t>Skin Color</t>
  </si>
  <si>
    <t xml:space="preserve">Choose a song that when you listen to it and you go look at the artist picture, they do not match the voice. </t>
  </si>
  <si>
    <t>Rerun</t>
  </si>
  <si>
    <t>Pick a song you previously posted that did not win to be your song for the day</t>
  </si>
  <si>
    <t>Christmas</t>
  </si>
  <si>
    <t>Happy Holidays</t>
  </si>
  <si>
    <t>Culture Appreciation (except korea/japan)</t>
  </si>
  <si>
    <t>Choose a song in a language that you don't speak a single word of (except japanese/korean)</t>
  </si>
  <si>
    <t>New Song</t>
  </si>
  <si>
    <t>Song is less than 1 month old</t>
  </si>
  <si>
    <t>Your Mom's Favorite Song</t>
  </si>
  <si>
    <t>Ask your mom for her top three favorite songs. You must post her number one or go down the list if her number one is already posted.</t>
  </si>
  <si>
    <t>Ni Hao</t>
  </si>
  <si>
    <t>Gotta be chinese somehow (beat, singer, song title, etc..)</t>
  </si>
  <si>
    <t>Video Game</t>
  </si>
  <si>
    <t>Post a song from a video game OST or a cover of a video game track</t>
  </si>
  <si>
    <t>Top Charts: Vietnam</t>
  </si>
  <si>
    <t>Must choose a song in the Daily Top 50 Chart for Vietnam</t>
  </si>
  <si>
    <t>Throw back</t>
  </si>
  <si>
    <t>Song released sometime between 1990-1995</t>
  </si>
  <si>
    <t>What's the title?</t>
  </si>
  <si>
    <t>A song with lyrics that do not include the name of the song. The song cannot be instrumental.</t>
  </si>
  <si>
    <t>Big Oppa Stoppa</t>
  </si>
  <si>
    <t>Choose a song that your biggest op posted, that hasn't won. Your biggest op = highest average rank in the last 1000 days</t>
  </si>
  <si>
    <t>Magik Main</t>
  </si>
  <si>
    <t>Choose a song that a Magik main would listen to .... so crashout/skitzo with a hint of demonic</t>
  </si>
  <si>
    <t>alphabet_order_bot</t>
  </si>
  <si>
    <t>Song where all of the words in the title are in alphabetical order. The title must have multiple words.  Any modifers count toward the title (ex: feat. [Artist Name])</t>
  </si>
  <si>
    <t>Minecraft Parody</t>
  </si>
  <si>
    <t>Post a minecraft parody song</t>
  </si>
  <si>
    <t>Recession Vibes</t>
  </si>
  <si>
    <t>Post a song from the recession era (2007 – 2010)</t>
  </si>
  <si>
    <t>Two-Hit Wonder?</t>
  </si>
  <si>
    <t>Songs by an artist that's considered to be a one-hit wonder, but it can't be the song they are known for. 
Ref Link: https://en.wikipedia.org/wiki/List_of_one-hit_wonders_in_the_United_States</t>
  </si>
  <si>
    <t xml:space="preserve">Literature </t>
  </si>
  <si>
    <t>Post a song based on literary works. Reference Link: https://en.wikipedia.org/wiki/List_of_songs_based_on_literary_works</t>
  </si>
  <si>
    <t>A song that came out on your birthday (any year)</t>
  </si>
  <si>
    <t>2019 Wrapped</t>
  </si>
  <si>
    <t>Put the top song from your 2019 Spotify wrapped that you have not yet posted</t>
  </si>
  <si>
    <t>Movie Soundtrack</t>
  </si>
  <si>
    <t>Choose a song from a Movie OST</t>
  </si>
  <si>
    <t>Bad Bitch Era</t>
  </si>
  <si>
    <t>Song that makes you feel like a bad bitch</t>
  </si>
  <si>
    <t>First Purchase</t>
  </si>
  <si>
    <t>Song from the first album, ep, or single you bought with your own money.</t>
  </si>
  <si>
    <t>Nothing Beats Texas</t>
  </si>
  <si>
    <t>Song from an Artist that's from Texas</t>
  </si>
  <si>
    <t>Latest Concert</t>
  </si>
  <si>
    <t>A song from the last concert you went to</t>
  </si>
  <si>
    <t>Luck of the Draw</t>
  </si>
  <si>
    <t>You have to post a song from the first artist that pops up in this artist generator: https://www.chosic.com/random-artists-generator/</t>
  </si>
  <si>
    <t>Song ruined by feature</t>
  </si>
  <si>
    <t>A song where a feature or sections ruins the song for you</t>
  </si>
  <si>
    <t>Discovery</t>
  </si>
  <si>
    <t>A song from an artist you were introduced to by MPE Moosic that has made it into your song rotation</t>
  </si>
  <si>
    <t>Sweet Home Alabama</t>
  </si>
  <si>
    <t>Imagine you were moving to bama, put a song that depcits how you would feel.</t>
  </si>
  <si>
    <t>No Correlation</t>
  </si>
  <si>
    <t>A song that you associate with something else that is completely unrelated. Add a note to the cell with your song with what the association is.</t>
  </si>
  <si>
    <t>Alarm Song</t>
  </si>
  <si>
    <t>Pick a song that you think is most appropriate to use as an alarm for waking up</t>
  </si>
  <si>
    <t>They still make music?</t>
  </si>
  <si>
    <t>Song by an artist who was popular at some point but now no one realizes still makes songs</t>
  </si>
  <si>
    <t>That adds up</t>
  </si>
  <si>
    <t>The sum of the numbers in the song length equals 13</t>
  </si>
  <si>
    <t>Pre-Exam Hype Song</t>
  </si>
  <si>
    <t>Song you would listen to before taking an exam</t>
  </si>
  <si>
    <t>Artist Pivot</t>
  </si>
  <si>
    <t>Song by an artist who switched genres</t>
  </si>
  <si>
    <t>Heart Rate Raiser</t>
  </si>
  <si>
    <t>Song that will guarantee a raised heart rate when it's playing.</t>
  </si>
  <si>
    <t>Wild Feature</t>
  </si>
  <si>
    <t>Song with a feature you would never expect</t>
  </si>
  <si>
    <t>History of Music</t>
  </si>
  <si>
    <t>Song that would be a required listening in a history of music class.</t>
  </si>
  <si>
    <t>Adios Daniel</t>
  </si>
  <si>
    <t>Song that makes you think of Daniel</t>
  </si>
  <si>
    <t>Daily Mix 6</t>
  </si>
  <si>
    <t>Post the first song from your Daily Mix 6 playlist</t>
  </si>
  <si>
    <t>In Memoriam</t>
  </si>
  <si>
    <t>Post a song that came out on 9/11/2001 (today)</t>
  </si>
  <si>
    <t>The Numbers, Mason</t>
  </si>
  <si>
    <t>Song title has to be all numbers</t>
  </si>
  <si>
    <t>My documentary</t>
  </si>
  <si>
    <t>Song that would play at the end of a movie about you</t>
  </si>
  <si>
    <t>Performative Male</t>
  </si>
  <si>
    <t>Song that a performative male would listen to</t>
  </si>
  <si>
    <t>AI Recommended Artist</t>
  </si>
  <si>
    <t>Ask an AI chat bot to recommend an artist based on your current top 10 artists on your Spotify profile</t>
  </si>
  <si>
    <t>Most recent add</t>
  </si>
  <si>
    <t>Pick the song that was most recently added to a playlist you have.</t>
  </si>
  <si>
    <t>Sad Boy Hour</t>
  </si>
  <si>
    <t>Pick a sad song</t>
  </si>
  <si>
    <t>Boo</t>
  </si>
  <si>
    <t>Must've Been The Wind</t>
  </si>
  <si>
    <t>Song that has atleast one questionable line that makes you turn your head and think "did he just say that"/"what did he just say"/"I know he didn't just say what I heard" etc... But make sure the whole songs not questionable just a few lines at most.</t>
  </si>
  <si>
    <t>Targeted Advertising</t>
  </si>
  <si>
    <t>Pick a song trying to get a 1 from the person next in the list: alappatjoe, danram, loganworsdell, samuelbattista, currydestroyer27
Example: Sam picks a song targeting Heran, Heran picks a song targeting Joe</t>
  </si>
  <si>
    <t>Edit Theme</t>
  </si>
  <si>
    <t>Song that you would want if someone made an edit of your best moments. (aura)</t>
  </si>
  <si>
    <t>Bechdel Test</t>
  </si>
  <si>
    <t>Pick a song with at least 2 women who don't sing about a man</t>
  </si>
  <si>
    <t>WW3</t>
  </si>
  <si>
    <t>Songs that would be in a movie about WW3 if it started today.</t>
  </si>
  <si>
    <t>Tis The Szn To Not Be Jolly</t>
  </si>
  <si>
    <t>Song that's all about hating/angry at something, someone, etc…</t>
  </si>
  <si>
    <t>Self-Explanatory</t>
  </si>
  <si>
    <t>JD</t>
  </si>
  <si>
    <t>Post a song from JDs 2025 top 5 songs or artists</t>
  </si>
  <si>
    <t>New Year New Me</t>
  </si>
  <si>
    <t>Post a song that was released in 2026</t>
  </si>
  <si>
    <t>Run it Back 2</t>
  </si>
  <si>
    <t>Pick a song that you think deserved to win but didn't, but this time it has to be posted by someone else</t>
  </si>
  <si>
    <t>Birthday song</t>
  </si>
  <si>
    <t>Post a song about birthdays in honor of my birthday (1/31)</t>
  </si>
  <si>
    <t>Targeted Advertising Serpintine'd</t>
  </si>
  <si>
    <t>Same rules as the first Targeted Advertising except reverse the order. Ex: Joe targets Heran, Heran targets Sam.</t>
  </si>
  <si>
    <t>Change of Heart</t>
  </si>
  <si>
    <t>Pick a song that some one else posted that you orginally did not like (gave it a 4 or 5) but now do</t>
  </si>
  <si>
    <t>Helllllllll Nah</t>
  </si>
  <si>
    <t>Post a song that you think is cringe/makes you cringe</t>
  </si>
  <si>
    <t>Album Art Color Match</t>
  </si>
  <si>
    <t>Generate a random color (Major color: Blue, red, etc.) and the art of the single or album has to be primarily that color</t>
  </si>
  <si>
    <t>All Alone</t>
  </si>
  <si>
    <t>Post a song from an artist that went solo after being in a succesful band or group.</t>
  </si>
  <si>
    <t>Don't Do Drugs Kids</t>
  </si>
  <si>
    <t>A song that makes you think the artist was on drugs making this</t>
  </si>
  <si>
    <t>Galaxy brain</t>
  </si>
  <si>
    <t>A song that evokes this feeling: https://blueseatblogs.com/cdn-cgi/image/quality=80,format=auto,onerror=redirect,metadata=none/wp-content/uploads/2018/07/consciousness-709143.jpg</t>
  </si>
  <si>
    <t>Hispanic Heritage Month</t>
  </si>
  <si>
    <t>Pick a song that is sung in Spanish and was release prior to your birthyear</t>
  </si>
  <si>
    <t>Fallout Day</t>
  </si>
  <si>
    <t>Post a song that is a nuke, that you've been holding off on posting</t>
  </si>
  <si>
    <t>Joe's Favorite Song</t>
  </si>
  <si>
    <t>Post a song that will force Joe to give himself a 5</t>
  </si>
  <si>
    <t>Sam Day</t>
  </si>
  <si>
    <t>Pick a song that makes you think of Sam</t>
  </si>
  <si>
    <t>Favorite Album Cover Art</t>
  </si>
  <si>
    <t>A song with your favorite album cover art</t>
  </si>
  <si>
    <t>Before They Were Cool</t>
  </si>
  <si>
    <t>An early song by a now popular artist that has a relatively low number of plays</t>
  </si>
  <si>
    <t>zamalamadoomalamayouassuminimahuman</t>
  </si>
  <si>
    <t>Pick any song by Eminem</t>
  </si>
  <si>
    <t>Underground</t>
  </si>
  <si>
    <t>Pick a song from an artist with less 10k monthly listeners</t>
  </si>
  <si>
    <t>All-Time Great</t>
  </si>
  <si>
    <t>Pick your most listened to song of all time according to Spotify 20</t>
  </si>
  <si>
    <t>Asian Heritage Month</t>
  </si>
  <si>
    <t>Pick a song from an asian country of your choice. Has to be prior to your birth year and atleast 51% of the song has to be not english.</t>
  </si>
  <si>
    <t>First Stream</t>
  </si>
  <si>
    <t>Post the song that spotify says was your "first stream"</t>
  </si>
  <si>
    <t>googoo gaga</t>
  </si>
  <si>
    <t>Post a song that you 100% will be playing for your hypothetical child/nephew (put them on game)</t>
  </si>
  <si>
    <t>Discovery R2</t>
  </si>
  <si>
    <t>27 Club</t>
  </si>
  <si>
    <t>Post a song from an artist in the 27 Club</t>
  </si>
  <si>
    <t>World Cup</t>
  </si>
  <si>
    <t>Pick a song from any world cup</t>
  </si>
  <si>
    <t>Global Americanization</t>
  </si>
  <si>
    <t>Pick a song by a foreign artist that is clearly influenced by American culture/media</t>
  </si>
  <si>
    <t>Time Signature Change</t>
  </si>
  <si>
    <t>Pick a song with at least 1 time signature change</t>
  </si>
  <si>
    <t>Clubbing</t>
  </si>
  <si>
    <t>Pick a song kid you thought would be played in clubs</t>
  </si>
  <si>
    <t>Norwegian Rocket Incident</t>
  </si>
  <si>
    <t>Post a song from the 90s that would cause a near-miss nuclear incident (800mill - 1 billion plays)</t>
  </si>
  <si>
    <t>Its Hot Outside</t>
  </si>
  <si>
    <t>Pick a song that mentions/has to do with hot temperature</t>
  </si>
  <si>
    <t>Comeback</t>
  </si>
  <si>
    <t>Pick a song that the artist released after a long break/hiatus</t>
  </si>
  <si>
    <t>Peww Bruhm Drrap Dr Dr Dr Drrappp Dr Dr Drrappp</t>
  </si>
  <si>
    <t>Pick any Dubstep song, MUST be dubstep</t>
  </si>
  <si>
    <t>End of the World</t>
  </si>
  <si>
    <t>Pick a song that came out in 2012 when everyone thought the world would end</t>
  </si>
  <si>
    <t>Ben Franklin</t>
  </si>
  <si>
    <t>Pick a song that would be on Ben Franklin's Spotify Wrapped literally (songs from or before 1790)</t>
  </si>
  <si>
    <t>Row Labels</t>
  </si>
  <si>
    <t>joe</t>
  </si>
  <si>
    <t>To Vote put a "x" in your column</t>
  </si>
  <si>
    <t>X</t>
  </si>
  <si>
    <t>Average of alappatjoe</t>
  </si>
  <si>
    <t>Average of danram</t>
  </si>
  <si>
    <t>Average of loganworsdell</t>
  </si>
  <si>
    <t>Average of samuelbattista</t>
  </si>
  <si>
    <t>Average of currydestroyer27</t>
  </si>
  <si>
    <t>Average of Average</t>
  </si>
  <si>
    <t>Sub Genre</t>
  </si>
  <si>
    <t>(blank)</t>
  </si>
  <si>
    <t>Grand Total</t>
  </si>
  <si>
    <t>Continuous Average</t>
  </si>
  <si>
    <t>Sum of Average Score</t>
  </si>
  <si>
    <t>Date (copy)</t>
  </si>
  <si>
    <t>Total</t>
  </si>
  <si>
    <t>=LET(
    names, B1:F1,
    artist_col,  Data[Artist],
    poster_col,  Data[Poster],
    all_artists, TEXTJOIN(",", TRUE, artist_col),
    artist_list, TEXTSPLIT(all_artists, , ","),
    trimmed,     MAP(artist_list, LAMBDA(s, TRIM(s))),
    u_artists,   UNIQUE(trimmed),
    padded_artists, MAP(artist_col, LAMBDA(a, CONCAT(",", TEXTJOIN(",", TRUE,TRIM(TEXTSPLIT(a, , ","))), ","))),
    artist_counts,        MAKEARRAY(ROWS(u_artists), COLUMNS(names), LAMBDA(r,c,
                                                                SUMPRODUCT(
                                                                    (poster_col=INDEX(names, 1,c)) *
                                                                    ISNUMBER( FIND(CONCAT(",",INDEX(u_artists, r), ","), padded_artists) )
                                                                )
                 )),
    artist_totals, BYROW(artist_counts, LAMBDA(r, SUM(r))),
    combined, HSTACK(u_artists, artist_counts, artist_totals),
    SORTBY(combined, INDEX(combined, , 7), -1)
)</t>
  </si>
  <si>
    <t>Count</t>
  </si>
  <si>
    <t>=LET(
    names, B1:F1,
    p, Data[Poster],
    a, Data[Artist],
    seq, SEQUENCE(ROWS(a)),
    split_artists, REDUCE({"Row","Artist"}, seq, LAMBDA(acc,idx,
        LET(
            art, TRIM(TEXTSPLIT(INDEX(a, idx), ",")),
            VSTACK(acc, HSTACK(EXPAND(idx, ROWS(art), , idx), art))
        )
    )),
    row_idx, DROP(CHOOSECOLS(split_artists, 1), 1),
    art_list, DROP(CHOOSECOLS(split_artists, 2), 1),
    post_list, INDEX(p, row_idx),
    filtered_art, FILTER(art_list, ISNUMBER(XMATCH(post_list, names)), ""),
    filtered_post, FILTER(post_list, ISNUMBER(XMATCH(post_list, names)), ""),
    piv, PIVOTBY(filtered_art, filtered_post, filtered_post, COUNTA, 0, 0, , 1, -2),
    split_artists
)</t>
  </si>
  <si>
    <t>#1</t>
  </si>
  <si>
    <t>#2</t>
  </si>
  <si>
    <t>#3</t>
  </si>
  <si>
    <t>#4</t>
  </si>
  <si>
    <t>#5</t>
  </si>
  <si>
    <t>Dear Fren</t>
  </si>
  <si>
    <t>High Klassified, Zach Zoya</t>
  </si>
  <si>
    <t>1919</t>
  </si>
  <si>
    <t>Still</t>
  </si>
  <si>
    <t>KAROL G, Bruno Mars</t>
  </si>
  <si>
    <t>Danger On the Track</t>
  </si>
  <si>
    <t>Europe</t>
  </si>
  <si>
    <t>Once in a Lifetime</t>
  </si>
  <si>
    <t>Diamonds</t>
  </si>
  <si>
    <t>ARE YOU WITH THAT?</t>
  </si>
  <si>
    <t>Vince Staples</t>
  </si>
  <si>
    <t>Latch</t>
  </si>
  <si>
    <t>Disclosure, Sam Smith</t>
  </si>
  <si>
    <t>Die Young</t>
  </si>
  <si>
    <t>Kesha</t>
  </si>
  <si>
    <t>catacombs</t>
  </si>
  <si>
    <t>nothhingspecial</t>
  </si>
  <si>
    <t>just my luck</t>
  </si>
  <si>
    <t>natalie jinju</t>
  </si>
  <si>
    <t>Leader</t>
  </si>
  <si>
    <t>Stryv, Camila Cabello, Malachiii, Adam Port, Keinemusik, Orso</t>
  </si>
  <si>
    <t>Stronger (What Doesn't Kill You)</t>
  </si>
  <si>
    <t>Kelly Clarkson</t>
  </si>
  <si>
    <t>She's the Best</t>
  </si>
  <si>
    <t>Miss Alissa</t>
  </si>
  <si>
    <t>Eagles Of Death Metal</t>
  </si>
  <si>
    <t>chAngE</t>
  </si>
  <si>
    <t>miwa</t>
  </si>
  <si>
    <t>Days Like This</t>
  </si>
  <si>
    <t>Goldlink, Khalid</t>
  </si>
  <si>
    <t>The Jetset Life Is Gonna Kill You</t>
  </si>
  <si>
    <t>One More Night</t>
  </si>
  <si>
    <t>Bottle</t>
  </si>
  <si>
    <t>Ranbu No Melody</t>
  </si>
  <si>
    <t>SID</t>
  </si>
  <si>
    <t>Hound</t>
  </si>
  <si>
    <t>hey, nothing</t>
  </si>
  <si>
    <t>Commitment</t>
  </si>
  <si>
    <t>Zachkary</t>
  </si>
  <si>
    <t>Communicate</t>
  </si>
  <si>
    <t>who do we blame</t>
  </si>
  <si>
    <t>9 to 5</t>
  </si>
  <si>
    <t>Dolly Parton</t>
  </si>
  <si>
    <t>Have The Heart</t>
  </si>
  <si>
    <t>Post Malone, Dolly Parton</t>
  </si>
  <si>
    <t>Dolly World</t>
  </si>
  <si>
    <t>Pick a song by Dolly Parton. RIP</t>
  </si>
  <si>
    <t>The House of the Rising Sun</t>
  </si>
  <si>
    <t>Talk of the Town</t>
  </si>
  <si>
    <t>Fred again..., Sammy Virji, Reggie</t>
  </si>
  <si>
    <t>I Will Always Love You</t>
  </si>
  <si>
    <t>Islands In the Stream</t>
  </si>
  <si>
    <t>Dolly Parton, Kenny Rogers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</si>
</sst>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"/>
  </numFmts>
  <fonts count="18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4"/>
    </font>
    <font>
      <sz val="36"/>
      <color rgb="FF000000"/>
      <name val="Comic Sans MS"/>
      <family val="4"/>
    </font>
    <font>
      <sz val="11"/>
      <color rgb="FFFFFFFF"/>
      <name val="Ui-Monospace"/>
      <charset val="1"/>
    </font>
    <font>
      <u/>
      <sz val="11"/>
      <color theme="10"/>
      <name val="Calibri"/>
      <family val="2"/>
      <scheme val="minor"/>
    </font>
    <font>
      <u/>
      <sz val="11"/>
      <color theme="10"/>
      <name val="Comic Sans MS"/>
      <family val="4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44444"/>
      <name val="Consolas"/>
      <family val="3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theme="1"/>
      </patternFill>
    </fill>
  </fills>
  <borders count="9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7">
    <xf numFmtId="0" fontId="0" fillId="0" borderId="0" xfId="0"/>
    <xf numFmtId="164" fontId="0" fillId="0" borderId="0" xfId="0" applyNumberFormat="1" applyAlignment="1">
      <alignment horizontal="center" vertical="center"/>
    </xf>
    <xf numFmtId="164" fontId="1" fillId="7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7" borderId="0" xfId="0" applyFont="1" applyFill="1"/>
    <xf numFmtId="0" fontId="0" fillId="5" borderId="7" xfId="0" applyFill="1" applyBorder="1"/>
    <xf numFmtId="0" fontId="1" fillId="8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15" xfId="0" applyFill="1" applyBorder="1" applyAlignment="1">
      <alignment horizontal="center"/>
    </xf>
    <xf numFmtId="165" fontId="1" fillId="8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16" xfId="0" applyFont="1" applyBorder="1"/>
    <xf numFmtId="0" fontId="0" fillId="2" borderId="22" xfId="0" applyFill="1" applyBorder="1" applyAlignment="1">
      <alignment horizontal="center"/>
    </xf>
    <xf numFmtId="1" fontId="0" fillId="2" borderId="22" xfId="0" applyNumberFormat="1" applyFill="1" applyBorder="1" applyAlignment="1">
      <alignment horizontal="center"/>
    </xf>
    <xf numFmtId="2" fontId="0" fillId="2" borderId="22" xfId="0" applyNumberFormat="1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2" fontId="0" fillId="3" borderId="22" xfId="0" applyNumberFormat="1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2" fontId="0" fillId="4" borderId="22" xfId="0" applyNumberFormat="1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2" fontId="0" fillId="6" borderId="22" xfId="0" applyNumberFormat="1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2" fontId="0" fillId="5" borderId="22" xfId="0" applyNumberFormat="1" applyFill="1" applyBorder="1" applyAlignment="1">
      <alignment horizontal="center"/>
    </xf>
    <xf numFmtId="0" fontId="4" fillId="0" borderId="0" xfId="0" applyFont="1"/>
    <xf numFmtId="0" fontId="1" fillId="7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2" fontId="0" fillId="3" borderId="15" xfId="0" applyNumberFormat="1" applyFill="1" applyBorder="1" applyAlignment="1">
      <alignment horizontal="center"/>
    </xf>
    <xf numFmtId="2" fontId="0" fillId="4" borderId="15" xfId="0" applyNumberFormat="1" applyFill="1" applyBorder="1" applyAlignment="1">
      <alignment horizontal="center"/>
    </xf>
    <xf numFmtId="2" fontId="0" fillId="6" borderId="15" xfId="0" applyNumberFormat="1" applyFill="1" applyBorder="1" applyAlignment="1">
      <alignment horizontal="center"/>
    </xf>
    <xf numFmtId="2" fontId="0" fillId="5" borderId="15" xfId="0" applyNumberFormat="1" applyFill="1" applyBorder="1" applyAlignment="1">
      <alignment horizontal="center"/>
    </xf>
    <xf numFmtId="1" fontId="0" fillId="2" borderId="23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/>
    </xf>
    <xf numFmtId="1" fontId="0" fillId="4" borderId="24" xfId="0" applyNumberFormat="1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7" xfId="0" applyBorder="1"/>
    <xf numFmtId="164" fontId="0" fillId="0" borderId="0" xfId="0" applyNumberFormat="1"/>
    <xf numFmtId="164" fontId="0" fillId="0" borderId="6" xfId="0" applyNumberFormat="1" applyBorder="1"/>
    <xf numFmtId="0" fontId="0" fillId="2" borderId="15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2" borderId="6" xfId="0" applyFill="1" applyBorder="1"/>
    <xf numFmtId="0" fontId="0" fillId="3" borderId="7" xfId="0" applyFill="1" applyBorder="1"/>
    <xf numFmtId="0" fontId="0" fillId="4" borderId="7" xfId="0" applyFill="1" applyBorder="1"/>
    <xf numFmtId="0" fontId="0" fillId="6" borderId="7" xfId="0" applyFill="1" applyBorder="1"/>
    <xf numFmtId="0" fontId="0" fillId="0" borderId="6" xfId="0" applyBorder="1"/>
    <xf numFmtId="0" fontId="0" fillId="0" borderId="3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8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164" fontId="0" fillId="0" borderId="40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39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7" xfId="0" applyBorder="1" applyAlignment="1">
      <alignment wrapText="1"/>
    </xf>
    <xf numFmtId="0" fontId="0" fillId="0" borderId="0" xfId="0" applyAlignment="1">
      <alignment wrapText="1"/>
    </xf>
    <xf numFmtId="0" fontId="7" fillId="7" borderId="0" xfId="0" applyFont="1" applyFill="1" applyAlignment="1">
      <alignment horizontal="center"/>
    </xf>
    <xf numFmtId="0" fontId="8" fillId="0" borderId="0" xfId="0" applyFont="1"/>
    <xf numFmtId="16" fontId="0" fillId="0" borderId="0" xfId="0" quotePrefix="1" applyNumberFormat="1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64" fontId="1" fillId="7" borderId="0" xfId="0" applyNumberFormat="1" applyFont="1" applyFill="1" applyAlignment="1">
      <alignment horizontal="center"/>
    </xf>
    <xf numFmtId="0" fontId="9" fillId="14" borderId="42" xfId="0" applyFont="1" applyFill="1" applyBorder="1"/>
    <xf numFmtId="14" fontId="0" fillId="0" borderId="0" xfId="0" applyNumberFormat="1"/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0" xfId="0" pivotButton="1"/>
    <xf numFmtId="0" fontId="0" fillId="0" borderId="33" xfId="0" pivotButton="1" applyBorder="1"/>
    <xf numFmtId="0" fontId="0" fillId="0" borderId="33" xfId="0" applyBorder="1"/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33" xfId="0" pivotButton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3" xfId="0" pivotButton="1" applyBorder="1" applyAlignment="1">
      <alignment wrapText="1"/>
    </xf>
    <xf numFmtId="0" fontId="10" fillId="0" borderId="22" xfId="0" applyFont="1" applyBorder="1" applyAlignment="1">
      <alignment horizontal="center"/>
    </xf>
    <xf numFmtId="0" fontId="0" fillId="0" borderId="22" xfId="0" applyBorder="1"/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right"/>
    </xf>
    <xf numFmtId="0" fontId="0" fillId="0" borderId="22" xfId="0" applyBorder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1" fillId="7" borderId="22" xfId="0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center" vertical="center"/>
    </xf>
    <xf numFmtId="0" fontId="1" fillId="7" borderId="57" xfId="0" applyFont="1" applyFill="1" applyBorder="1"/>
    <xf numFmtId="0" fontId="0" fillId="0" borderId="32" xfId="0" applyBorder="1" applyAlignment="1">
      <alignment horizontal="center"/>
    </xf>
    <xf numFmtId="0" fontId="0" fillId="0" borderId="32" xfId="0" applyBorder="1" applyAlignment="1">
      <alignment horizontal="right"/>
    </xf>
    <xf numFmtId="0" fontId="0" fillId="0" borderId="32" xfId="0" applyBorder="1"/>
    <xf numFmtId="0" fontId="0" fillId="0" borderId="32" xfId="0" applyBorder="1" applyAlignment="1">
      <alignment horizontal="left"/>
    </xf>
    <xf numFmtId="0" fontId="1" fillId="7" borderId="0" xfId="0" applyFont="1" applyFill="1" applyAlignment="1">
      <alignment horizontal="left"/>
    </xf>
    <xf numFmtId="0" fontId="11" fillId="7" borderId="63" xfId="0" applyFont="1" applyFill="1" applyBorder="1" applyAlignment="1">
      <alignment horizontal="left"/>
    </xf>
    <xf numFmtId="0" fontId="0" fillId="0" borderId="9" xfId="0" applyBorder="1"/>
    <xf numFmtId="0" fontId="11" fillId="7" borderId="64" xfId="0" applyFont="1" applyFill="1" applyBorder="1" applyAlignment="1">
      <alignment horizontal="center"/>
    </xf>
    <xf numFmtId="0" fontId="11" fillId="7" borderId="0" xfId="0" applyFont="1" applyFill="1"/>
    <xf numFmtId="0" fontId="11" fillId="7" borderId="0" xfId="0" applyFont="1" applyFill="1" applyAlignment="1">
      <alignment horizontal="left"/>
    </xf>
    <xf numFmtId="0" fontId="11" fillId="7" borderId="65" xfId="0" applyFont="1" applyFill="1" applyBorder="1" applyAlignment="1">
      <alignment horizontal="left"/>
    </xf>
    <xf numFmtId="0" fontId="0" fillId="0" borderId="57" xfId="0" applyBorder="1" applyAlignment="1">
      <alignment horizontal="center"/>
    </xf>
    <xf numFmtId="0" fontId="0" fillId="0" borderId="66" xfId="0" applyBorder="1" applyAlignment="1">
      <alignment horizontal="center"/>
    </xf>
    <xf numFmtId="164" fontId="0" fillId="0" borderId="58" xfId="0" applyNumberFormat="1" applyBorder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56" xfId="0" applyNumberFormat="1" applyBorder="1" applyAlignment="1">
      <alignment horizontal="center" vertical="center"/>
    </xf>
    <xf numFmtId="0" fontId="1" fillId="7" borderId="43" xfId="0" applyFont="1" applyFill="1" applyBorder="1" applyAlignment="1">
      <alignment horizontal="center"/>
    </xf>
    <xf numFmtId="164" fontId="1" fillId="7" borderId="44" xfId="0" applyNumberFormat="1" applyFont="1" applyFill="1" applyBorder="1" applyAlignment="1">
      <alignment horizontal="center"/>
    </xf>
    <xf numFmtId="0" fontId="1" fillId="7" borderId="44" xfId="0" applyFont="1" applyFill="1" applyBorder="1"/>
    <xf numFmtId="0" fontId="1" fillId="7" borderId="44" xfId="0" applyFont="1" applyFill="1" applyBorder="1" applyAlignment="1">
      <alignment horizontal="center"/>
    </xf>
    <xf numFmtId="2" fontId="1" fillId="7" borderId="44" xfId="0" applyNumberFormat="1" applyFont="1" applyFill="1" applyBorder="1" applyAlignment="1">
      <alignment horizontal="center"/>
    </xf>
    <xf numFmtId="164" fontId="1" fillId="7" borderId="44" xfId="0" applyNumberFormat="1" applyFont="1" applyFill="1" applyBorder="1" applyAlignment="1">
      <alignment horizontal="left" vertical="center"/>
    </xf>
    <xf numFmtId="0" fontId="1" fillId="8" borderId="44" xfId="0" applyFont="1" applyFill="1" applyBorder="1" applyAlignment="1">
      <alignment horizontal="center"/>
    </xf>
    <xf numFmtId="165" fontId="1" fillId="8" borderId="45" xfId="0" applyNumberFormat="1" applyFont="1" applyFill="1" applyBorder="1" applyAlignment="1">
      <alignment horizontal="center"/>
    </xf>
    <xf numFmtId="164" fontId="0" fillId="0" borderId="49" xfId="0" applyNumberFormat="1" applyBorder="1" applyAlignment="1">
      <alignment horizontal="center"/>
    </xf>
    <xf numFmtId="0" fontId="0" fillId="0" borderId="49" xfId="0" applyBorder="1"/>
    <xf numFmtId="2" fontId="0" fillId="0" borderId="49" xfId="0" applyNumberFormat="1" applyBorder="1" applyAlignment="1">
      <alignment horizontal="center"/>
    </xf>
    <xf numFmtId="0" fontId="0" fillId="0" borderId="49" xfId="0" applyBorder="1" applyAlignment="1">
      <alignment horizontal="left"/>
    </xf>
    <xf numFmtId="0" fontId="0" fillId="0" borderId="11" xfId="0" applyBorder="1"/>
    <xf numFmtId="0" fontId="0" fillId="0" borderId="73" xfId="0" applyBorder="1" applyAlignment="1">
      <alignment horizontal="center"/>
    </xf>
    <xf numFmtId="0" fontId="0" fillId="0" borderId="25" xfId="0" applyBorder="1" applyAlignment="1">
      <alignment horizontal="center"/>
    </xf>
    <xf numFmtId="0" fontId="11" fillId="7" borderId="0" xfId="0" applyFont="1" applyFill="1" applyAlignment="1">
      <alignment horizontal="center"/>
    </xf>
    <xf numFmtId="164" fontId="0" fillId="0" borderId="74" xfId="0" applyNumberFormat="1" applyBorder="1" applyAlignment="1">
      <alignment horizontal="center" vertical="center"/>
    </xf>
    <xf numFmtId="0" fontId="0" fillId="0" borderId="76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80" xfId="0" applyBorder="1"/>
    <xf numFmtId="0" fontId="0" fillId="0" borderId="80" xfId="0" applyBorder="1" applyAlignment="1">
      <alignment horizontal="center"/>
    </xf>
    <xf numFmtId="0" fontId="0" fillId="2" borderId="80" xfId="0" applyFill="1" applyBorder="1" applyAlignment="1">
      <alignment horizontal="center"/>
    </xf>
    <xf numFmtId="0" fontId="0" fillId="3" borderId="80" xfId="0" applyFill="1" applyBorder="1" applyAlignment="1">
      <alignment horizontal="center"/>
    </xf>
    <xf numFmtId="0" fontId="0" fillId="4" borderId="80" xfId="0" applyFill="1" applyBorder="1" applyAlignment="1">
      <alignment horizontal="center"/>
    </xf>
    <xf numFmtId="0" fontId="0" fillId="6" borderId="80" xfId="0" applyFill="1" applyBorder="1" applyAlignment="1">
      <alignment horizontal="center"/>
    </xf>
    <xf numFmtId="0" fontId="0" fillId="5" borderId="80" xfId="0" applyFill="1" applyBorder="1" applyAlignment="1">
      <alignment horizontal="center"/>
    </xf>
    <xf numFmtId="0" fontId="0" fillId="0" borderId="80" xfId="0" applyBorder="1" applyAlignment="1">
      <alignment horizontal="right"/>
    </xf>
    <xf numFmtId="0" fontId="0" fillId="0" borderId="80" xfId="0" applyBorder="1" applyAlignment="1">
      <alignment horizontal="left"/>
    </xf>
    <xf numFmtId="165" fontId="0" fillId="0" borderId="9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1" xfId="0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0" fontId="0" fillId="0" borderId="28" xfId="0" applyBorder="1"/>
    <xf numFmtId="0" fontId="0" fillId="0" borderId="27" xfId="0" applyBorder="1"/>
    <xf numFmtId="0" fontId="0" fillId="0" borderId="69" xfId="0" applyBorder="1"/>
    <xf numFmtId="0" fontId="0" fillId="2" borderId="33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0" borderId="33" xfId="0" applyBorder="1" applyAlignment="1">
      <alignment horizontal="right"/>
    </xf>
    <xf numFmtId="0" fontId="0" fillId="0" borderId="33" xfId="0" applyBorder="1" applyAlignment="1">
      <alignment horizontal="left"/>
    </xf>
    <xf numFmtId="0" fontId="1" fillId="7" borderId="50" xfId="0" applyFont="1" applyFill="1" applyBorder="1" applyAlignment="1">
      <alignment horizontal="center"/>
    </xf>
    <xf numFmtId="0" fontId="1" fillId="7" borderId="55" xfId="0" applyFont="1" applyFill="1" applyBorder="1" applyAlignment="1">
      <alignment horizontal="center"/>
    </xf>
    <xf numFmtId="0" fontId="1" fillId="7" borderId="55" xfId="0" applyFont="1" applyFill="1" applyBorder="1" applyAlignment="1">
      <alignment horizontal="left"/>
    </xf>
    <xf numFmtId="0" fontId="0" fillId="0" borderId="53" xfId="0" applyBorder="1"/>
    <xf numFmtId="0" fontId="0" fillId="2" borderId="51" xfId="0" applyFill="1" applyBorder="1" applyAlignment="1">
      <alignment horizontal="center"/>
    </xf>
    <xf numFmtId="0" fontId="0" fillId="0" borderId="45" xfId="0" applyBorder="1"/>
    <xf numFmtId="0" fontId="0" fillId="0" borderId="54" xfId="0" applyBorder="1"/>
    <xf numFmtId="0" fontId="0" fillId="0" borderId="54" xfId="0" applyBorder="1" applyAlignment="1">
      <alignment horizontal="center"/>
    </xf>
    <xf numFmtId="0" fontId="1" fillId="7" borderId="48" xfId="0" applyFont="1" applyFill="1" applyBorder="1" applyAlignment="1">
      <alignment horizontal="center"/>
    </xf>
    <xf numFmtId="0" fontId="0" fillId="0" borderId="54" xfId="0" applyBorder="1" applyAlignment="1">
      <alignment horizontal="right"/>
    </xf>
    <xf numFmtId="0" fontId="0" fillId="0" borderId="0" xfId="0" applyAlignment="1">
      <alignment horizontal="right"/>
    </xf>
    <xf numFmtId="0" fontId="1" fillId="7" borderId="55" xfId="0" applyFont="1" applyFill="1" applyBorder="1"/>
    <xf numFmtId="0" fontId="0" fillId="0" borderId="54" xfId="0" applyBorder="1" applyAlignment="1">
      <alignment horizontal="left"/>
    </xf>
    <xf numFmtId="0" fontId="11" fillId="7" borderId="50" xfId="0" applyFont="1" applyFill="1" applyBorder="1" applyAlignment="1">
      <alignment horizontal="center"/>
    </xf>
    <xf numFmtId="0" fontId="11" fillId="7" borderId="55" xfId="0" applyFont="1" applyFill="1" applyBorder="1"/>
    <xf numFmtId="0" fontId="11" fillId="7" borderId="55" xfId="0" applyFont="1" applyFill="1" applyBorder="1" applyAlignment="1">
      <alignment horizontal="left"/>
    </xf>
    <xf numFmtId="0" fontId="11" fillId="7" borderId="48" xfId="0" applyFont="1" applyFill="1" applyBorder="1" applyAlignment="1">
      <alignment horizontal="left"/>
    </xf>
    <xf numFmtId="164" fontId="0" fillId="0" borderId="49" xfId="0" applyNumberFormat="1" applyBorder="1"/>
    <xf numFmtId="0" fontId="0" fillId="0" borderId="81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46" xfId="0" applyNumberFormat="1" applyBorder="1"/>
    <xf numFmtId="164" fontId="0" fillId="0" borderId="0" xfId="0" applyNumberFormat="1" applyAlignment="1">
      <alignment horizontal="left"/>
    </xf>
    <xf numFmtId="0" fontId="0" fillId="0" borderId="50" xfId="0" applyBorder="1"/>
    <xf numFmtId="0" fontId="0" fillId="0" borderId="55" xfId="0" applyBorder="1"/>
    <xf numFmtId="0" fontId="11" fillId="15" borderId="33" xfId="0" applyFont="1" applyFill="1" applyBorder="1"/>
    <xf numFmtId="0" fontId="11" fillId="15" borderId="33" xfId="0" applyFont="1" applyFill="1" applyBorder="1" applyAlignment="1">
      <alignment horizontal="center"/>
    </xf>
    <xf numFmtId="164" fontId="11" fillId="15" borderId="33" xfId="0" applyNumberFormat="1" applyFont="1" applyFill="1" applyBorder="1"/>
    <xf numFmtId="0" fontId="11" fillId="15" borderId="55" xfId="0" applyFont="1" applyFill="1" applyBorder="1" applyAlignment="1">
      <alignment horizontal="center"/>
    </xf>
    <xf numFmtId="0" fontId="11" fillId="15" borderId="48" xfId="0" applyFont="1" applyFill="1" applyBorder="1" applyAlignment="1">
      <alignment horizontal="center"/>
    </xf>
    <xf numFmtId="0" fontId="11" fillId="15" borderId="50" xfId="0" applyFont="1" applyFill="1" applyBorder="1" applyAlignment="1">
      <alignment horizontal="center"/>
    </xf>
    <xf numFmtId="0" fontId="0" fillId="0" borderId="55" xfId="0" applyBorder="1" applyAlignment="1">
      <alignment horizontal="right"/>
    </xf>
    <xf numFmtId="0" fontId="0" fillId="0" borderId="76" xfId="0" applyBorder="1"/>
    <xf numFmtId="0" fontId="0" fillId="0" borderId="74" xfId="0" applyBorder="1" applyAlignment="1">
      <alignment horizontal="center"/>
    </xf>
    <xf numFmtId="0" fontId="0" fillId="0" borderId="10" xfId="0" applyBorder="1"/>
    <xf numFmtId="164" fontId="0" fillId="0" borderId="0" xfId="0" applyNumberFormat="1" applyAlignment="1">
      <alignment horizontal="right"/>
    </xf>
    <xf numFmtId="0" fontId="0" fillId="0" borderId="55" xfId="0" applyBorder="1" applyAlignment="1">
      <alignment horizontal="left"/>
    </xf>
    <xf numFmtId="0" fontId="0" fillId="0" borderId="8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83" xfId="0" applyBorder="1" applyAlignment="1">
      <alignment horizontal="center"/>
    </xf>
    <xf numFmtId="3" fontId="0" fillId="0" borderId="84" xfId="0" applyNumberFormat="1" applyBorder="1" applyAlignment="1">
      <alignment horizontal="center"/>
    </xf>
    <xf numFmtId="3" fontId="0" fillId="0" borderId="85" xfId="0" applyNumberFormat="1" applyBorder="1" applyAlignment="1">
      <alignment horizontal="center"/>
    </xf>
    <xf numFmtId="3" fontId="0" fillId="0" borderId="86" xfId="0" applyNumberFormat="1" applyBorder="1" applyAlignment="1">
      <alignment horizontal="center"/>
    </xf>
    <xf numFmtId="3" fontId="0" fillId="0" borderId="87" xfId="0" applyNumberFormat="1" applyBorder="1" applyAlignment="1">
      <alignment horizontal="center"/>
    </xf>
    <xf numFmtId="3" fontId="0" fillId="0" borderId="88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46" fontId="0" fillId="0" borderId="9" xfId="0" applyNumberFormat="1" applyBorder="1"/>
    <xf numFmtId="0" fontId="0" fillId="0" borderId="63" xfId="0" applyBorder="1" applyAlignment="1">
      <alignment horizontal="center"/>
    </xf>
    <xf numFmtId="0" fontId="11" fillId="15" borderId="64" xfId="0" applyFont="1" applyFill="1" applyBorder="1" applyAlignment="1">
      <alignment horizontal="center"/>
    </xf>
    <xf numFmtId="0" fontId="11" fillId="15" borderId="0" xfId="0" applyFont="1" applyFill="1"/>
    <xf numFmtId="0" fontId="11" fillId="15" borderId="0" xfId="0" applyFont="1" applyFill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5" borderId="37" xfId="0" applyFont="1" applyFill="1" applyBorder="1" applyAlignment="1">
      <alignment horizontal="center"/>
    </xf>
    <xf numFmtId="0" fontId="14" fillId="0" borderId="0" xfId="0" applyFont="1" applyAlignment="1">
      <alignment wrapText="1"/>
    </xf>
    <xf numFmtId="165" fontId="0" fillId="0" borderId="76" xfId="0" applyNumberFormat="1" applyBorder="1" applyAlignment="1">
      <alignment horizontal="center"/>
    </xf>
    <xf numFmtId="0" fontId="0" fillId="0" borderId="77" xfId="0" applyBorder="1"/>
    <xf numFmtId="16" fontId="0" fillId="0" borderId="0" xfId="0" applyNumberFormat="1"/>
    <xf numFmtId="0" fontId="0" fillId="0" borderId="89" xfId="0" applyBorder="1" applyAlignment="1">
      <alignment horizontal="center"/>
    </xf>
    <xf numFmtId="0" fontId="0" fillId="0" borderId="90" xfId="0" applyBorder="1" applyAlignment="1">
      <alignment horizontal="center"/>
    </xf>
    <xf numFmtId="165" fontId="0" fillId="0" borderId="39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39" xfId="0" applyBorder="1"/>
    <xf numFmtId="0" fontId="0" fillId="0" borderId="1" xfId="0" applyBorder="1"/>
    <xf numFmtId="0" fontId="0" fillId="0" borderId="26" xfId="0" applyBorder="1"/>
    <xf numFmtId="0" fontId="0" fillId="0" borderId="68" xfId="0" applyBorder="1"/>
    <xf numFmtId="3" fontId="7" fillId="7" borderId="0" xfId="0" applyNumberFormat="1" applyFont="1" applyFill="1" applyAlignment="1">
      <alignment horizontal="center"/>
    </xf>
    <xf numFmtId="0" fontId="0" fillId="0" borderId="9" xfId="0" applyBorder="1" applyAlignment="1">
      <alignment horizontal="left"/>
    </xf>
    <xf numFmtId="0" fontId="0" fillId="0" borderId="28" xfId="0" applyBorder="1" applyAlignment="1">
      <alignment wrapText="1"/>
    </xf>
    <xf numFmtId="0" fontId="0" fillId="0" borderId="28" xfId="0" quotePrefix="1" applyBorder="1"/>
    <xf numFmtId="0" fontId="0" fillId="0" borderId="76" xfId="0" quotePrefix="1" applyBorder="1" applyAlignment="1">
      <alignment horizontal="left"/>
    </xf>
    <xf numFmtId="0" fontId="0" fillId="0" borderId="10" xfId="0" quotePrefix="1" applyBorder="1" applyAlignment="1">
      <alignment horizontal="left"/>
    </xf>
    <xf numFmtId="0" fontId="0" fillId="0" borderId="76" xfId="0" quotePrefix="1" applyBorder="1"/>
    <xf numFmtId="0" fontId="0" fillId="0" borderId="77" xfId="0" applyBorder="1" applyAlignment="1">
      <alignment wrapText="1"/>
    </xf>
    <xf numFmtId="1" fontId="0" fillId="0" borderId="9" xfId="0" applyNumberFormat="1" applyBorder="1" applyAlignment="1">
      <alignment horizontal="left"/>
    </xf>
    <xf numFmtId="0" fontId="0" fillId="0" borderId="77" xfId="0" quotePrefix="1" applyBorder="1"/>
    <xf numFmtId="0" fontId="0" fillId="0" borderId="78" xfId="0" applyBorder="1"/>
    <xf numFmtId="0" fontId="0" fillId="0" borderId="91" xfId="0" applyBorder="1" applyAlignment="1">
      <alignment horizontal="center"/>
    </xf>
    <xf numFmtId="0" fontId="0" fillId="0" borderId="63" xfId="0" applyBorder="1"/>
    <xf numFmtId="0" fontId="0" fillId="0" borderId="93" xfId="0" applyBorder="1" applyAlignment="1">
      <alignment horizontal="center"/>
    </xf>
    <xf numFmtId="0" fontId="0" fillId="0" borderId="92" xfId="0" applyBorder="1" applyAlignment="1">
      <alignment horizontal="center"/>
    </xf>
    <xf numFmtId="0" fontId="11" fillId="15" borderId="65" xfId="0" applyFont="1" applyFill="1" applyBorder="1" applyAlignment="1">
      <alignment horizontal="center"/>
    </xf>
    <xf numFmtId="0" fontId="0" fillId="0" borderId="11" xfId="0" quotePrefix="1" applyBorder="1"/>
    <xf numFmtId="0" fontId="0" fillId="0" borderId="11" xfId="0" applyBorder="1" applyAlignment="1">
      <alignment horizontal="left"/>
    </xf>
    <xf numFmtId="0" fontId="0" fillId="0" borderId="76" xfId="0" applyBorder="1" applyAlignment="1">
      <alignment wrapText="1"/>
    </xf>
    <xf numFmtId="20" fontId="0" fillId="0" borderId="9" xfId="0" quotePrefix="1" applyNumberFormat="1" applyBorder="1"/>
    <xf numFmtId="164" fontId="16" fillId="0" borderId="0" xfId="0" applyNumberFormat="1" applyFont="1"/>
    <xf numFmtId="0" fontId="0" fillId="0" borderId="9" xfId="0" quotePrefix="1" applyBorder="1"/>
    <xf numFmtId="0" fontId="0" fillId="0" borderId="46" xfId="0" applyBorder="1"/>
    <xf numFmtId="164" fontId="1" fillId="7" borderId="22" xfId="0" applyNumberFormat="1" applyFont="1" applyFill="1" applyBorder="1" applyAlignment="1">
      <alignment horizontal="center"/>
    </xf>
    <xf numFmtId="164" fontId="0" fillId="2" borderId="22" xfId="0" applyNumberFormat="1" applyFill="1" applyBorder="1" applyAlignment="1">
      <alignment horizontal="center"/>
    </xf>
    <xf numFmtId="164" fontId="0" fillId="3" borderId="22" xfId="0" applyNumberFormat="1" applyFill="1" applyBorder="1" applyAlignment="1">
      <alignment horizontal="center"/>
    </xf>
    <xf numFmtId="164" fontId="0" fillId="4" borderId="22" xfId="0" applyNumberFormat="1" applyFill="1" applyBorder="1" applyAlignment="1">
      <alignment horizontal="center"/>
    </xf>
    <xf numFmtId="164" fontId="0" fillId="6" borderId="22" xfId="0" applyNumberFormat="1" applyFill="1" applyBorder="1" applyAlignment="1">
      <alignment horizontal="center"/>
    </xf>
    <xf numFmtId="164" fontId="0" fillId="5" borderId="22" xfId="0" applyNumberFormat="1" applyFill="1" applyBorder="1" applyAlignment="1">
      <alignment horizontal="center"/>
    </xf>
    <xf numFmtId="0" fontId="1" fillId="7" borderId="22" xfId="0" applyFont="1" applyFill="1" applyBorder="1"/>
    <xf numFmtId="0" fontId="0" fillId="0" borderId="0" xfId="0" quotePrefix="1" applyAlignment="1">
      <alignment wrapText="1"/>
    </xf>
    <xf numFmtId="16" fontId="0" fillId="0" borderId="9" xfId="0" applyNumberFormat="1" applyBorder="1"/>
    <xf numFmtId="0" fontId="0" fillId="0" borderId="67" xfId="0" applyBorder="1" applyAlignment="1">
      <alignment horizontal="center"/>
    </xf>
    <xf numFmtId="3" fontId="0" fillId="0" borderId="22" xfId="0" applyNumberFormat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1" fillId="15" borderId="63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6" fillId="0" borderId="0" xfId="1" applyFont="1" applyBorder="1" applyAlignment="1">
      <alignment horizontal="center" wrapText="1"/>
    </xf>
    <xf numFmtId="0" fontId="6" fillId="0" borderId="16" xfId="1" applyFont="1" applyBorder="1" applyAlignment="1">
      <alignment horizontal="center" wrapText="1"/>
    </xf>
    <xf numFmtId="0" fontId="8" fillId="0" borderId="2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4" fontId="0" fillId="0" borderId="29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3" xfId="0" applyBorder="1" applyAlignment="1">
      <alignment horizontal="center" vertical="center" wrapText="1"/>
    </xf>
    <xf numFmtId="164" fontId="0" fillId="0" borderId="82" xfId="0" applyNumberFormat="1" applyBorder="1" applyAlignment="1">
      <alignment horizontal="center" vertical="center"/>
    </xf>
    <xf numFmtId="164" fontId="0" fillId="0" borderId="79" xfId="0" applyNumberFormat="1" applyBorder="1" applyAlignment="1">
      <alignment horizontal="center" vertical="center"/>
    </xf>
    <xf numFmtId="0" fontId="1" fillId="7" borderId="9" xfId="0" applyFont="1" applyFill="1" applyBorder="1" applyAlignment="1">
      <alignment horizontal="right"/>
    </xf>
    <xf numFmtId="0" fontId="1" fillId="7" borderId="0" xfId="0" applyFont="1" applyFill="1" applyAlignment="1">
      <alignment horizontal="right"/>
    </xf>
    <xf numFmtId="0" fontId="1" fillId="7" borderId="11" xfId="0" applyFont="1" applyFill="1" applyBorder="1" applyAlignment="1">
      <alignment horizontal="left"/>
    </xf>
    <xf numFmtId="0" fontId="1" fillId="7" borderId="0" xfId="0" applyFont="1" applyFill="1" applyAlignment="1">
      <alignment horizontal="center"/>
    </xf>
    <xf numFmtId="0" fontId="11" fillId="15" borderId="63" xfId="0" applyFont="1" applyFill="1" applyBorder="1" applyAlignment="1">
      <alignment horizontal="center"/>
    </xf>
    <xf numFmtId="0" fontId="11" fillId="15" borderId="51" xfId="0" applyFont="1" applyFill="1" applyBorder="1" applyAlignment="1">
      <alignment horizontal="center"/>
    </xf>
    <xf numFmtId="0" fontId="11" fillId="15" borderId="52" xfId="0" applyFont="1" applyFill="1" applyBorder="1" applyAlignment="1">
      <alignment horizontal="center"/>
    </xf>
    <xf numFmtId="0" fontId="11" fillId="15" borderId="53" xfId="0" applyFont="1" applyFill="1" applyBorder="1" applyAlignment="1">
      <alignment horizontal="center"/>
    </xf>
    <xf numFmtId="0" fontId="1" fillId="7" borderId="35" xfId="0" applyFont="1" applyFill="1" applyBorder="1" applyAlignment="1">
      <alignment horizontal="center"/>
    </xf>
    <xf numFmtId="0" fontId="1" fillId="7" borderId="36" xfId="0" applyFont="1" applyFill="1" applyBorder="1" applyAlignment="1">
      <alignment horizontal="center"/>
    </xf>
    <xf numFmtId="0" fontId="1" fillId="7" borderId="34" xfId="0" applyFont="1" applyFill="1" applyBorder="1" applyAlignment="1">
      <alignment horizontal="center"/>
    </xf>
    <xf numFmtId="0" fontId="9" fillId="14" borderId="46" xfId="0" applyFont="1" applyFill="1" applyBorder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0" fillId="2" borderId="56" xfId="0" applyFill="1" applyBorder="1" applyAlignment="1">
      <alignment horizontal="center"/>
    </xf>
    <xf numFmtId="0" fontId="0" fillId="2" borderId="72" xfId="0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0" fontId="0" fillId="3" borderId="72" xfId="0" applyFill="1" applyBorder="1" applyAlignment="1">
      <alignment horizontal="center"/>
    </xf>
    <xf numFmtId="0" fontId="0" fillId="4" borderId="56" xfId="0" applyFill="1" applyBorder="1" applyAlignment="1">
      <alignment horizontal="center"/>
    </xf>
    <xf numFmtId="0" fontId="0" fillId="4" borderId="72" xfId="0" applyFill="1" applyBorder="1" applyAlignment="1">
      <alignment horizontal="center"/>
    </xf>
    <xf numFmtId="0" fontId="0" fillId="6" borderId="56" xfId="0" applyFill="1" applyBorder="1" applyAlignment="1">
      <alignment horizontal="center"/>
    </xf>
    <xf numFmtId="0" fontId="0" fillId="6" borderId="72" xfId="0" applyFill="1" applyBorder="1" applyAlignment="1">
      <alignment horizontal="center"/>
    </xf>
    <xf numFmtId="0" fontId="0" fillId="5" borderId="56" xfId="0" applyFill="1" applyBorder="1" applyAlignment="1">
      <alignment horizontal="center"/>
    </xf>
    <xf numFmtId="0" fontId="0" fillId="5" borderId="1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35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EFDA"/>
        </patternFill>
      </fill>
    </dxf>
    <dxf>
      <font>
        <color auto="1"/>
      </font>
      <fill>
        <patternFill patternType="solid">
          <bgColor rgb="FFFF00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theme="5" tint="0.79998168889431442"/>
        </patternFill>
      </fill>
      <border>
        <bottom style="thin">
          <color rgb="FF000000"/>
        </bottom>
      </border>
    </dxf>
    <dxf>
      <fill>
        <patternFill patternType="solid">
          <bgColor theme="6" tint="0.79998168889431442"/>
        </patternFill>
      </fill>
      <border>
        <bottom style="thin">
          <color rgb="FF000000"/>
        </bottom>
      </border>
    </dxf>
    <dxf>
      <fill>
        <patternFill patternType="solid">
          <bgColor theme="7" tint="0.79998168889431442"/>
        </patternFill>
      </fill>
      <border>
        <bottom style="thin">
          <color rgb="FF000000"/>
        </bottom>
      </border>
    </dxf>
    <dxf>
      <fill>
        <patternFill patternType="solid">
          <bgColor theme="8" tint="0.79998168889431442"/>
        </patternFill>
      </fill>
      <border>
        <bottom style="thin">
          <color rgb="FF000000"/>
        </bottom>
      </border>
    </dxf>
    <dxf>
      <fill>
        <patternFill patternType="solid">
          <bgColor rgb="FFE2EFDA"/>
        </patternFill>
      </fill>
      <border>
        <bottom style="thin">
          <color rgb="FF000000"/>
        </bottom>
      </border>
    </dxf>
    <dxf>
      <fill>
        <patternFill patternType="solid">
          <bgColor theme="6" tint="0.79998168889431442"/>
        </patternFill>
      </fill>
      <border>
        <bottom style="thin">
          <color rgb="FF000000"/>
        </bottom>
      </border>
    </dxf>
    <dxf>
      <fill>
        <patternFill patternType="solid">
          <bgColor rgb="FFFCE4D6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EF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theme="5" tint="0.79998168889431442"/>
        </patternFill>
      </fill>
      <border>
        <bottom style="thin">
          <color rgb="FF000000"/>
        </bottom>
      </border>
    </dxf>
    <dxf>
      <fill>
        <patternFill patternType="solid">
          <bgColor theme="6" tint="0.79998168889431442"/>
        </patternFill>
      </fill>
      <border>
        <bottom style="thin">
          <color rgb="FF000000"/>
        </bottom>
      </border>
    </dxf>
    <dxf>
      <fill>
        <patternFill patternType="solid">
          <bgColor theme="7" tint="0.79998168889431442"/>
        </patternFill>
      </fill>
      <border>
        <bottom style="thin">
          <color rgb="FF000000"/>
        </bottom>
      </border>
    </dxf>
    <dxf>
      <fill>
        <patternFill patternType="solid">
          <bgColor theme="8" tint="0.79998168889431442"/>
        </patternFill>
      </fill>
      <border>
        <bottom style="thin">
          <color rgb="FF000000"/>
        </bottom>
      </border>
    </dxf>
    <dxf>
      <fill>
        <patternFill patternType="solid">
          <bgColor rgb="FFE2EFDA"/>
        </patternFill>
      </fill>
      <border>
        <bottom style="thin">
          <color rgb="FF000000"/>
        </bottom>
      </border>
    </dxf>
    <dxf>
      <fill>
        <patternFill patternType="solid">
          <bgColor rgb="FFFCE4D6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EF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theme="6" tint="0.79998168889431442"/>
        </patternFill>
      </fill>
      <border>
        <bottom style="thin">
          <color rgb="FF000000"/>
        </bottom>
      </border>
    </dxf>
    <dxf>
      <fill>
        <patternFill patternType="solid">
          <bgColor theme="7" tint="0.79998168889431442"/>
        </patternFill>
      </fill>
      <border>
        <bottom style="thin">
          <color rgb="FF000000"/>
        </bottom>
      </border>
    </dxf>
    <dxf>
      <fill>
        <patternFill patternType="solid">
          <bgColor theme="8" tint="0.79998168889431442"/>
        </patternFill>
      </fill>
      <border>
        <bottom style="thin">
          <color rgb="FF000000"/>
        </bottom>
      </border>
    </dxf>
    <dxf>
      <fill>
        <patternFill patternType="solid">
          <bgColor rgb="FFE2EFDA"/>
        </patternFill>
      </fill>
      <border>
        <bottom style="thin">
          <color rgb="FF000000"/>
        </bottom>
      </border>
    </dxf>
    <dxf>
      <fill>
        <patternFill patternType="solid">
          <bgColor theme="5" tint="0.79998168889431442"/>
        </patternFill>
      </fill>
      <border>
        <bottom style="thin">
          <color rgb="FF000000"/>
        </bottom>
      </border>
    </dxf>
    <dxf>
      <fill>
        <patternFill patternType="solid">
          <bgColor rgb="FFFCE4D6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CE4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theme="5" tint="0.79998168889431442"/>
        </patternFill>
      </fill>
      <border>
        <bottom style="thin">
          <color rgb="FF000000"/>
        </bottom>
      </border>
    </dxf>
    <dxf>
      <fill>
        <patternFill patternType="solid">
          <bgColor theme="6" tint="0.79998168889431442"/>
        </patternFill>
      </fill>
      <border>
        <bottom style="thin">
          <color rgb="FF000000"/>
        </bottom>
      </border>
    </dxf>
    <dxf>
      <fill>
        <patternFill patternType="solid">
          <bgColor theme="7" tint="0.79998168889431442"/>
        </patternFill>
      </fill>
      <border>
        <bottom style="thin">
          <color rgb="FF000000"/>
        </bottom>
      </border>
    </dxf>
    <dxf>
      <fill>
        <patternFill patternType="solid">
          <bgColor theme="8" tint="0.79998168889431442"/>
        </patternFill>
      </fill>
      <border>
        <bottom style="thin">
          <color rgb="FF000000"/>
        </bottom>
      </border>
    </dxf>
    <dxf>
      <fill>
        <patternFill patternType="solid">
          <bgColor rgb="FFE2EFDA"/>
        </patternFill>
      </fill>
      <border>
        <bottom style="thin">
          <color rgb="FF000000"/>
        </bottom>
      </border>
    </dxf>
    <dxf>
      <fill>
        <patternFill patternType="solid">
          <bgColor rgb="FFFCE4D6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EF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 patternType="darkUp"/>
      </fill>
    </dxf>
    <dxf>
      <fill>
        <patternFill patternType="darkUp"/>
      </fill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theme="5" tint="0.79998168889431442"/>
        </patternFill>
      </fill>
      <border>
        <bottom style="thin">
          <color rgb="FF000000"/>
        </bottom>
      </border>
    </dxf>
    <dxf>
      <fill>
        <patternFill patternType="solid">
          <bgColor theme="6" tint="0.79998168889431442"/>
        </patternFill>
      </fill>
      <border>
        <bottom style="thin">
          <color rgb="FF000000"/>
        </bottom>
      </border>
    </dxf>
    <dxf>
      <fill>
        <patternFill patternType="solid">
          <bgColor theme="7" tint="0.79998168889431442"/>
        </patternFill>
      </fill>
      <border>
        <bottom style="thin">
          <color rgb="FF000000"/>
        </bottom>
      </border>
    </dxf>
    <dxf>
      <fill>
        <patternFill patternType="solid">
          <bgColor theme="8" tint="0.79998168889431442"/>
        </patternFill>
      </fill>
      <border>
        <bottom style="thin">
          <color rgb="FF000000"/>
        </bottom>
      </border>
    </dxf>
    <dxf>
      <fill>
        <patternFill patternType="solid">
          <bgColor rgb="FFE2EFDA"/>
        </patternFill>
      </fill>
      <border>
        <bottom style="thin">
          <color rgb="FF000000"/>
        </bottom>
      </border>
    </dxf>
    <dxf>
      <fill>
        <patternFill patternType="solid">
          <bgColor rgb="FFFCE4D6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EF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 patternType="solid">
          <bgColor theme="5" tint="0.79998168889431442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theme="6" tint="0.79998168889431442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theme="7" tint="0.79998168889431442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rgb="FFDDEBF7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rgb="FFE2EFDA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theme="5" tint="0.79998168889431442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theme="6" tint="0.79998168889431442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theme="7" tint="0.79998168889431442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theme="8" tint="0.79998168889431442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rgb="FFE2EFDA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rgb="FFFCE4D6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rgb="FFEDEDED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rgb="FFFFF2CC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rgb="FFDDEBF7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rgb="FFE2EFDA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rgb="FFFCE4D6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rgb="FFEDEDED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rgb="FFFFF2CC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rgb="FFDDEBF7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rgb="FFE2EFDA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DEDED"/>
        </patternFill>
      </fill>
    </dxf>
    <dxf>
      <numFmt numFmtId="0" formatCode="General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theme="1"/>
        </left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</dxf>
    <dxf>
      <numFmt numFmtId="164" formatCode="[$-409]d\-mmm\-yyyy;@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center" vertical="bottom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righ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</dxf>
    <dxf>
      <numFmt numFmtId="164" formatCode="[$-409]d\-mmm\-yyyy;@"/>
    </dxf>
    <dxf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1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numFmt numFmtId="164" formatCode="[$-409]d\-mmm\-yyyy;@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65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</dxfs>
  <tableStyles count="0" defaultTableStyle="TableStyleMedium2" defaultPivotStyle="PivotStyleLight16"/>
  <colors>
    <mruColors>
      <color rgb="FFDDEBF7"/>
      <color rgb="FFFCE4D6"/>
      <color rgb="FFE2EFDA"/>
      <color rgb="FFEDEDED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heetMetadata" Target="metadata.xml"/><Relationship Id="rId34" Type="http://schemas.openxmlformats.org/officeDocument/2006/relationships/customXml" Target="../customXml/item1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5.xml"/><Relationship Id="rId41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31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Wins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'Mario Party'!$B$1</c:f>
              <c:strCache>
                <c:ptCount val="1"/>
                <c:pt idx="0">
                  <c:v>alappatjoe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'Mario Party'!$B$2:$B$446</c:f>
              <c:numCache>
                <c:formatCode>General</c:formatCode>
                <c:ptCount val="44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8</c:v>
                </c:pt>
                <c:pt idx="46">
                  <c:v>8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11</c:v>
                </c:pt>
                <c:pt idx="74">
                  <c:v>11</c:v>
                </c:pt>
                <c:pt idx="75">
                  <c:v>11</c:v>
                </c:pt>
                <c:pt idx="76">
                  <c:v>11</c:v>
                </c:pt>
                <c:pt idx="77">
                  <c:v>11</c:v>
                </c:pt>
                <c:pt idx="78">
                  <c:v>12</c:v>
                </c:pt>
                <c:pt idx="79">
                  <c:v>12</c:v>
                </c:pt>
                <c:pt idx="80">
                  <c:v>12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13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  <c:pt idx="101">
                  <c:v>17</c:v>
                </c:pt>
                <c:pt idx="102">
                  <c:v>18</c:v>
                </c:pt>
                <c:pt idx="103">
                  <c:v>19</c:v>
                </c:pt>
                <c:pt idx="104">
                  <c:v>19</c:v>
                </c:pt>
                <c:pt idx="105">
                  <c:v>20</c:v>
                </c:pt>
                <c:pt idx="106">
                  <c:v>20</c:v>
                </c:pt>
                <c:pt idx="107">
                  <c:v>21</c:v>
                </c:pt>
                <c:pt idx="108">
                  <c:v>21</c:v>
                </c:pt>
                <c:pt idx="109">
                  <c:v>21</c:v>
                </c:pt>
                <c:pt idx="110">
                  <c:v>21</c:v>
                </c:pt>
                <c:pt idx="111">
                  <c:v>21</c:v>
                </c:pt>
                <c:pt idx="112">
                  <c:v>21</c:v>
                </c:pt>
                <c:pt idx="113">
                  <c:v>21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22</c:v>
                </c:pt>
                <c:pt idx="120">
                  <c:v>22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26</c:v>
                </c:pt>
                <c:pt idx="137">
                  <c:v>26</c:v>
                </c:pt>
                <c:pt idx="138">
                  <c:v>26</c:v>
                </c:pt>
                <c:pt idx="139">
                  <c:v>26</c:v>
                </c:pt>
                <c:pt idx="140">
                  <c:v>27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27</c:v>
                </c:pt>
                <c:pt idx="145">
                  <c:v>27</c:v>
                </c:pt>
                <c:pt idx="146">
                  <c:v>28</c:v>
                </c:pt>
                <c:pt idx="147">
                  <c:v>28</c:v>
                </c:pt>
                <c:pt idx="148">
                  <c:v>29</c:v>
                </c:pt>
                <c:pt idx="149">
                  <c:v>29</c:v>
                </c:pt>
                <c:pt idx="150">
                  <c:v>29</c:v>
                </c:pt>
                <c:pt idx="151">
                  <c:v>29</c:v>
                </c:pt>
                <c:pt idx="152">
                  <c:v>29</c:v>
                </c:pt>
                <c:pt idx="153">
                  <c:v>29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31</c:v>
                </c:pt>
                <c:pt idx="158">
                  <c:v>32</c:v>
                </c:pt>
                <c:pt idx="159">
                  <c:v>33</c:v>
                </c:pt>
                <c:pt idx="160">
                  <c:v>33</c:v>
                </c:pt>
                <c:pt idx="161">
                  <c:v>33</c:v>
                </c:pt>
                <c:pt idx="162">
                  <c:v>33</c:v>
                </c:pt>
                <c:pt idx="163">
                  <c:v>34</c:v>
                </c:pt>
                <c:pt idx="164">
                  <c:v>34</c:v>
                </c:pt>
                <c:pt idx="165">
                  <c:v>34</c:v>
                </c:pt>
                <c:pt idx="166">
                  <c:v>34</c:v>
                </c:pt>
                <c:pt idx="167">
                  <c:v>34</c:v>
                </c:pt>
                <c:pt idx="168">
                  <c:v>34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37</c:v>
                </c:pt>
                <c:pt idx="182">
                  <c:v>37</c:v>
                </c:pt>
                <c:pt idx="183">
                  <c:v>37</c:v>
                </c:pt>
                <c:pt idx="184">
                  <c:v>37</c:v>
                </c:pt>
                <c:pt idx="185">
                  <c:v>38</c:v>
                </c:pt>
                <c:pt idx="186">
                  <c:v>38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40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</c:v>
                </c:pt>
                <c:pt idx="198">
                  <c:v>40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42</c:v>
                </c:pt>
                <c:pt idx="203">
                  <c:v>43</c:v>
                </c:pt>
                <c:pt idx="204">
                  <c:v>43</c:v>
                </c:pt>
                <c:pt idx="205">
                  <c:v>43</c:v>
                </c:pt>
                <c:pt idx="206">
                  <c:v>43</c:v>
                </c:pt>
                <c:pt idx="207">
                  <c:v>43</c:v>
                </c:pt>
                <c:pt idx="208">
                  <c:v>43</c:v>
                </c:pt>
                <c:pt idx="209">
                  <c:v>44</c:v>
                </c:pt>
                <c:pt idx="210">
                  <c:v>44</c:v>
                </c:pt>
                <c:pt idx="211">
                  <c:v>44</c:v>
                </c:pt>
                <c:pt idx="212">
                  <c:v>44</c:v>
                </c:pt>
                <c:pt idx="213">
                  <c:v>44</c:v>
                </c:pt>
                <c:pt idx="214">
                  <c:v>44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45</c:v>
                </c:pt>
                <c:pt idx="225">
                  <c:v>45</c:v>
                </c:pt>
                <c:pt idx="226">
                  <c:v>45</c:v>
                </c:pt>
                <c:pt idx="227">
                  <c:v>46</c:v>
                </c:pt>
                <c:pt idx="228">
                  <c:v>47</c:v>
                </c:pt>
                <c:pt idx="229">
                  <c:v>47</c:v>
                </c:pt>
                <c:pt idx="230">
                  <c:v>48</c:v>
                </c:pt>
                <c:pt idx="231">
                  <c:v>48</c:v>
                </c:pt>
                <c:pt idx="232">
                  <c:v>49</c:v>
                </c:pt>
                <c:pt idx="233">
                  <c:v>49</c:v>
                </c:pt>
                <c:pt idx="234">
                  <c:v>49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51</c:v>
                </c:pt>
                <c:pt idx="241">
                  <c:v>51</c:v>
                </c:pt>
                <c:pt idx="242">
                  <c:v>51</c:v>
                </c:pt>
                <c:pt idx="243">
                  <c:v>51</c:v>
                </c:pt>
                <c:pt idx="244">
                  <c:v>51</c:v>
                </c:pt>
                <c:pt idx="245">
                  <c:v>51</c:v>
                </c:pt>
                <c:pt idx="246">
                  <c:v>51</c:v>
                </c:pt>
                <c:pt idx="247">
                  <c:v>51</c:v>
                </c:pt>
                <c:pt idx="248">
                  <c:v>51</c:v>
                </c:pt>
                <c:pt idx="249">
                  <c:v>51</c:v>
                </c:pt>
                <c:pt idx="250">
                  <c:v>51</c:v>
                </c:pt>
                <c:pt idx="251">
                  <c:v>51</c:v>
                </c:pt>
                <c:pt idx="252">
                  <c:v>51</c:v>
                </c:pt>
                <c:pt idx="253">
                  <c:v>51</c:v>
                </c:pt>
                <c:pt idx="254">
                  <c:v>51</c:v>
                </c:pt>
                <c:pt idx="255">
                  <c:v>51</c:v>
                </c:pt>
                <c:pt idx="256">
                  <c:v>51</c:v>
                </c:pt>
                <c:pt idx="257">
                  <c:v>52</c:v>
                </c:pt>
                <c:pt idx="258">
                  <c:v>53</c:v>
                </c:pt>
                <c:pt idx="259">
                  <c:v>53</c:v>
                </c:pt>
                <c:pt idx="260">
                  <c:v>53</c:v>
                </c:pt>
                <c:pt idx="261">
                  <c:v>53</c:v>
                </c:pt>
                <c:pt idx="262">
                  <c:v>54</c:v>
                </c:pt>
                <c:pt idx="263">
                  <c:v>54</c:v>
                </c:pt>
                <c:pt idx="264">
                  <c:v>54</c:v>
                </c:pt>
                <c:pt idx="265">
                  <c:v>54</c:v>
                </c:pt>
                <c:pt idx="266">
                  <c:v>54</c:v>
                </c:pt>
                <c:pt idx="267">
                  <c:v>54</c:v>
                </c:pt>
                <c:pt idx="268">
                  <c:v>54</c:v>
                </c:pt>
                <c:pt idx="269">
                  <c:v>54</c:v>
                </c:pt>
                <c:pt idx="270">
                  <c:v>55</c:v>
                </c:pt>
                <c:pt idx="271">
                  <c:v>56</c:v>
                </c:pt>
                <c:pt idx="272">
                  <c:v>56</c:v>
                </c:pt>
                <c:pt idx="273">
                  <c:v>56</c:v>
                </c:pt>
                <c:pt idx="274">
                  <c:v>56</c:v>
                </c:pt>
                <c:pt idx="275">
                  <c:v>56</c:v>
                </c:pt>
                <c:pt idx="276">
                  <c:v>57</c:v>
                </c:pt>
                <c:pt idx="277">
                  <c:v>57</c:v>
                </c:pt>
                <c:pt idx="278">
                  <c:v>57</c:v>
                </c:pt>
                <c:pt idx="279">
                  <c:v>57</c:v>
                </c:pt>
                <c:pt idx="280">
                  <c:v>57</c:v>
                </c:pt>
                <c:pt idx="281">
                  <c:v>57</c:v>
                </c:pt>
                <c:pt idx="282">
                  <c:v>58</c:v>
                </c:pt>
                <c:pt idx="283">
                  <c:v>59</c:v>
                </c:pt>
                <c:pt idx="284">
                  <c:v>59</c:v>
                </c:pt>
                <c:pt idx="285">
                  <c:v>59</c:v>
                </c:pt>
                <c:pt idx="286">
                  <c:v>60</c:v>
                </c:pt>
                <c:pt idx="287">
                  <c:v>60</c:v>
                </c:pt>
                <c:pt idx="288">
                  <c:v>61</c:v>
                </c:pt>
                <c:pt idx="289">
                  <c:v>61</c:v>
                </c:pt>
                <c:pt idx="290">
                  <c:v>61</c:v>
                </c:pt>
                <c:pt idx="291">
                  <c:v>61</c:v>
                </c:pt>
                <c:pt idx="292">
                  <c:v>61</c:v>
                </c:pt>
                <c:pt idx="293">
                  <c:v>61</c:v>
                </c:pt>
                <c:pt idx="294">
                  <c:v>61</c:v>
                </c:pt>
                <c:pt idx="295">
                  <c:v>62</c:v>
                </c:pt>
                <c:pt idx="296">
                  <c:v>62</c:v>
                </c:pt>
                <c:pt idx="297">
                  <c:v>62</c:v>
                </c:pt>
                <c:pt idx="298">
                  <c:v>62</c:v>
                </c:pt>
                <c:pt idx="299">
                  <c:v>63</c:v>
                </c:pt>
                <c:pt idx="300">
                  <c:v>63</c:v>
                </c:pt>
                <c:pt idx="301">
                  <c:v>63</c:v>
                </c:pt>
                <c:pt idx="302">
                  <c:v>63</c:v>
                </c:pt>
                <c:pt idx="303">
                  <c:v>63</c:v>
                </c:pt>
                <c:pt idx="304">
                  <c:v>63</c:v>
                </c:pt>
                <c:pt idx="305">
                  <c:v>63</c:v>
                </c:pt>
                <c:pt idx="306">
                  <c:v>63</c:v>
                </c:pt>
                <c:pt idx="307">
                  <c:v>63</c:v>
                </c:pt>
                <c:pt idx="308">
                  <c:v>63</c:v>
                </c:pt>
                <c:pt idx="309">
                  <c:v>63</c:v>
                </c:pt>
                <c:pt idx="310">
                  <c:v>64</c:v>
                </c:pt>
                <c:pt idx="311">
                  <c:v>64</c:v>
                </c:pt>
                <c:pt idx="312">
                  <c:v>65</c:v>
                </c:pt>
                <c:pt idx="313">
                  <c:v>65</c:v>
                </c:pt>
                <c:pt idx="314">
                  <c:v>65</c:v>
                </c:pt>
                <c:pt idx="315">
                  <c:v>66</c:v>
                </c:pt>
                <c:pt idx="316">
                  <c:v>66</c:v>
                </c:pt>
                <c:pt idx="317">
                  <c:v>66</c:v>
                </c:pt>
                <c:pt idx="318">
                  <c:v>66</c:v>
                </c:pt>
                <c:pt idx="319">
                  <c:v>66</c:v>
                </c:pt>
                <c:pt idx="320">
                  <c:v>66</c:v>
                </c:pt>
                <c:pt idx="321">
                  <c:v>67</c:v>
                </c:pt>
                <c:pt idx="322">
                  <c:v>67</c:v>
                </c:pt>
                <c:pt idx="323">
                  <c:v>67</c:v>
                </c:pt>
                <c:pt idx="324">
                  <c:v>67</c:v>
                </c:pt>
                <c:pt idx="325">
                  <c:v>67</c:v>
                </c:pt>
                <c:pt idx="326">
                  <c:v>67</c:v>
                </c:pt>
                <c:pt idx="327">
                  <c:v>67</c:v>
                </c:pt>
                <c:pt idx="328">
                  <c:v>68</c:v>
                </c:pt>
                <c:pt idx="329">
                  <c:v>68</c:v>
                </c:pt>
                <c:pt idx="330">
                  <c:v>68</c:v>
                </c:pt>
                <c:pt idx="331">
                  <c:v>68</c:v>
                </c:pt>
                <c:pt idx="332">
                  <c:v>68</c:v>
                </c:pt>
                <c:pt idx="333">
                  <c:v>68</c:v>
                </c:pt>
                <c:pt idx="334">
                  <c:v>68</c:v>
                </c:pt>
                <c:pt idx="335">
                  <c:v>69</c:v>
                </c:pt>
                <c:pt idx="336">
                  <c:v>69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71</c:v>
                </c:pt>
                <c:pt idx="341">
                  <c:v>71</c:v>
                </c:pt>
                <c:pt idx="342">
                  <c:v>71</c:v>
                </c:pt>
                <c:pt idx="343">
                  <c:v>71</c:v>
                </c:pt>
                <c:pt idx="344">
                  <c:v>71</c:v>
                </c:pt>
                <c:pt idx="345">
                  <c:v>71</c:v>
                </c:pt>
                <c:pt idx="346">
                  <c:v>72</c:v>
                </c:pt>
                <c:pt idx="347">
                  <c:v>72</c:v>
                </c:pt>
                <c:pt idx="348">
                  <c:v>72</c:v>
                </c:pt>
                <c:pt idx="349">
                  <c:v>72</c:v>
                </c:pt>
                <c:pt idx="350">
                  <c:v>72</c:v>
                </c:pt>
                <c:pt idx="351">
                  <c:v>73</c:v>
                </c:pt>
                <c:pt idx="352">
                  <c:v>73</c:v>
                </c:pt>
                <c:pt idx="353">
                  <c:v>73</c:v>
                </c:pt>
                <c:pt idx="354">
                  <c:v>74</c:v>
                </c:pt>
                <c:pt idx="355">
                  <c:v>74</c:v>
                </c:pt>
                <c:pt idx="356">
                  <c:v>74</c:v>
                </c:pt>
                <c:pt idx="357">
                  <c:v>74</c:v>
                </c:pt>
                <c:pt idx="358">
                  <c:v>74</c:v>
                </c:pt>
                <c:pt idx="359">
                  <c:v>74</c:v>
                </c:pt>
                <c:pt idx="360">
                  <c:v>74</c:v>
                </c:pt>
                <c:pt idx="361">
                  <c:v>74</c:v>
                </c:pt>
                <c:pt idx="362">
                  <c:v>75</c:v>
                </c:pt>
                <c:pt idx="363">
                  <c:v>75</c:v>
                </c:pt>
                <c:pt idx="364">
                  <c:v>76</c:v>
                </c:pt>
                <c:pt idx="365">
                  <c:v>76</c:v>
                </c:pt>
                <c:pt idx="366">
                  <c:v>76</c:v>
                </c:pt>
                <c:pt idx="367">
                  <c:v>76</c:v>
                </c:pt>
                <c:pt idx="368">
                  <c:v>76</c:v>
                </c:pt>
                <c:pt idx="369">
                  <c:v>76</c:v>
                </c:pt>
                <c:pt idx="370">
                  <c:v>76</c:v>
                </c:pt>
                <c:pt idx="371">
                  <c:v>76</c:v>
                </c:pt>
                <c:pt idx="372">
                  <c:v>76</c:v>
                </c:pt>
                <c:pt idx="373">
                  <c:v>76</c:v>
                </c:pt>
                <c:pt idx="374">
                  <c:v>77</c:v>
                </c:pt>
                <c:pt idx="375">
                  <c:v>77</c:v>
                </c:pt>
                <c:pt idx="376">
                  <c:v>77</c:v>
                </c:pt>
                <c:pt idx="377">
                  <c:v>77</c:v>
                </c:pt>
                <c:pt idx="378">
                  <c:v>77</c:v>
                </c:pt>
                <c:pt idx="379">
                  <c:v>77</c:v>
                </c:pt>
                <c:pt idx="380">
                  <c:v>77</c:v>
                </c:pt>
                <c:pt idx="381">
                  <c:v>77</c:v>
                </c:pt>
                <c:pt idx="382">
                  <c:v>78</c:v>
                </c:pt>
                <c:pt idx="383">
                  <c:v>79</c:v>
                </c:pt>
                <c:pt idx="384">
                  <c:v>79</c:v>
                </c:pt>
                <c:pt idx="385">
                  <c:v>80</c:v>
                </c:pt>
                <c:pt idx="386">
                  <c:v>80</c:v>
                </c:pt>
                <c:pt idx="387">
                  <c:v>80</c:v>
                </c:pt>
                <c:pt idx="388">
                  <c:v>80</c:v>
                </c:pt>
                <c:pt idx="389">
                  <c:v>80</c:v>
                </c:pt>
                <c:pt idx="390">
                  <c:v>80</c:v>
                </c:pt>
                <c:pt idx="391">
                  <c:v>80</c:v>
                </c:pt>
                <c:pt idx="392">
                  <c:v>80</c:v>
                </c:pt>
                <c:pt idx="393">
                  <c:v>80</c:v>
                </c:pt>
                <c:pt idx="394">
                  <c:v>80</c:v>
                </c:pt>
                <c:pt idx="395">
                  <c:v>80</c:v>
                </c:pt>
                <c:pt idx="396">
                  <c:v>80</c:v>
                </c:pt>
                <c:pt idx="397">
                  <c:v>80</c:v>
                </c:pt>
                <c:pt idx="398">
                  <c:v>80</c:v>
                </c:pt>
                <c:pt idx="399">
                  <c:v>80</c:v>
                </c:pt>
                <c:pt idx="400">
                  <c:v>80</c:v>
                </c:pt>
                <c:pt idx="401">
                  <c:v>80</c:v>
                </c:pt>
                <c:pt idx="402">
                  <c:v>80</c:v>
                </c:pt>
                <c:pt idx="403">
                  <c:v>80</c:v>
                </c:pt>
                <c:pt idx="404">
                  <c:v>80</c:v>
                </c:pt>
                <c:pt idx="405">
                  <c:v>80</c:v>
                </c:pt>
                <c:pt idx="406">
                  <c:v>80</c:v>
                </c:pt>
                <c:pt idx="407">
                  <c:v>81</c:v>
                </c:pt>
                <c:pt idx="408">
                  <c:v>81</c:v>
                </c:pt>
                <c:pt idx="409">
                  <c:v>81</c:v>
                </c:pt>
                <c:pt idx="410">
                  <c:v>81</c:v>
                </c:pt>
                <c:pt idx="411">
                  <c:v>81</c:v>
                </c:pt>
                <c:pt idx="412">
                  <c:v>81</c:v>
                </c:pt>
                <c:pt idx="413">
                  <c:v>81</c:v>
                </c:pt>
                <c:pt idx="414">
                  <c:v>81</c:v>
                </c:pt>
                <c:pt idx="415">
                  <c:v>81</c:v>
                </c:pt>
                <c:pt idx="416">
                  <c:v>81</c:v>
                </c:pt>
                <c:pt idx="417">
                  <c:v>81</c:v>
                </c:pt>
                <c:pt idx="418">
                  <c:v>81</c:v>
                </c:pt>
                <c:pt idx="419">
                  <c:v>82</c:v>
                </c:pt>
                <c:pt idx="420">
                  <c:v>82</c:v>
                </c:pt>
                <c:pt idx="421">
                  <c:v>82</c:v>
                </c:pt>
                <c:pt idx="422">
                  <c:v>83</c:v>
                </c:pt>
                <c:pt idx="423">
                  <c:v>83</c:v>
                </c:pt>
                <c:pt idx="424">
                  <c:v>83</c:v>
                </c:pt>
                <c:pt idx="425">
                  <c:v>83</c:v>
                </c:pt>
                <c:pt idx="426">
                  <c:v>84</c:v>
                </c:pt>
                <c:pt idx="427">
                  <c:v>84</c:v>
                </c:pt>
                <c:pt idx="428">
                  <c:v>84</c:v>
                </c:pt>
                <c:pt idx="429">
                  <c:v>84</c:v>
                </c:pt>
                <c:pt idx="430">
                  <c:v>84</c:v>
                </c:pt>
                <c:pt idx="431">
                  <c:v>84</c:v>
                </c:pt>
                <c:pt idx="432">
                  <c:v>84</c:v>
                </c:pt>
                <c:pt idx="433">
                  <c:v>84</c:v>
                </c:pt>
                <c:pt idx="434">
                  <c:v>84</c:v>
                </c:pt>
                <c:pt idx="435">
                  <c:v>84</c:v>
                </c:pt>
                <c:pt idx="436">
                  <c:v>85</c:v>
                </c:pt>
                <c:pt idx="437">
                  <c:v>85</c:v>
                </c:pt>
                <c:pt idx="438">
                  <c:v>85</c:v>
                </c:pt>
                <c:pt idx="439">
                  <c:v>86</c:v>
                </c:pt>
                <c:pt idx="440">
                  <c:v>87</c:v>
                </c:pt>
                <c:pt idx="441">
                  <c:v>87</c:v>
                </c:pt>
                <c:pt idx="442">
                  <c:v>87</c:v>
                </c:pt>
                <c:pt idx="443">
                  <c:v>87</c:v>
                </c:pt>
                <c:pt idx="444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39-4005-8766-0AD3001CB528}"/>
            </c:ext>
          </c:extLst>
        </c:ser>
        <c:ser>
          <c:idx val="1"/>
          <c:order val="1"/>
          <c:tx>
            <c:strRef>
              <c:f>'Mario Party'!$C$1</c:f>
              <c:strCache>
                <c:ptCount val="1"/>
                <c:pt idx="0">
                  <c:v>danram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'Mario Party'!$C$2:$C$446</c:f>
              <c:numCache>
                <c:formatCode>General</c:formatCode>
                <c:ptCount val="44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7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12</c:v>
                </c:pt>
                <c:pt idx="52">
                  <c:v>13</c:v>
                </c:pt>
                <c:pt idx="53">
                  <c:v>13</c:v>
                </c:pt>
                <c:pt idx="54">
                  <c:v>13</c:v>
                </c:pt>
                <c:pt idx="55">
                  <c:v>13</c:v>
                </c:pt>
                <c:pt idx="56">
                  <c:v>13</c:v>
                </c:pt>
                <c:pt idx="57">
                  <c:v>13</c:v>
                </c:pt>
                <c:pt idx="58">
                  <c:v>13</c:v>
                </c:pt>
                <c:pt idx="59">
                  <c:v>13</c:v>
                </c:pt>
                <c:pt idx="60">
                  <c:v>14</c:v>
                </c:pt>
                <c:pt idx="61">
                  <c:v>14</c:v>
                </c:pt>
                <c:pt idx="62">
                  <c:v>14</c:v>
                </c:pt>
                <c:pt idx="63">
                  <c:v>14</c:v>
                </c:pt>
                <c:pt idx="64">
                  <c:v>14</c:v>
                </c:pt>
                <c:pt idx="65">
                  <c:v>14</c:v>
                </c:pt>
                <c:pt idx="66">
                  <c:v>15</c:v>
                </c:pt>
                <c:pt idx="67">
                  <c:v>15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17</c:v>
                </c:pt>
                <c:pt idx="72">
                  <c:v>17</c:v>
                </c:pt>
                <c:pt idx="73">
                  <c:v>18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21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23</c:v>
                </c:pt>
                <c:pt idx="102">
                  <c:v>23</c:v>
                </c:pt>
                <c:pt idx="103">
                  <c:v>23</c:v>
                </c:pt>
                <c:pt idx="104">
                  <c:v>24</c:v>
                </c:pt>
                <c:pt idx="105">
                  <c:v>24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26</c:v>
                </c:pt>
                <c:pt idx="110">
                  <c:v>27</c:v>
                </c:pt>
                <c:pt idx="111">
                  <c:v>28</c:v>
                </c:pt>
                <c:pt idx="112">
                  <c:v>29</c:v>
                </c:pt>
                <c:pt idx="113">
                  <c:v>29</c:v>
                </c:pt>
                <c:pt idx="114">
                  <c:v>29</c:v>
                </c:pt>
                <c:pt idx="115">
                  <c:v>30</c:v>
                </c:pt>
                <c:pt idx="116">
                  <c:v>30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</c:v>
                </c:pt>
                <c:pt idx="138">
                  <c:v>33</c:v>
                </c:pt>
                <c:pt idx="139">
                  <c:v>33</c:v>
                </c:pt>
                <c:pt idx="140">
                  <c:v>33</c:v>
                </c:pt>
                <c:pt idx="141">
                  <c:v>33</c:v>
                </c:pt>
                <c:pt idx="142">
                  <c:v>33</c:v>
                </c:pt>
                <c:pt idx="143">
                  <c:v>33</c:v>
                </c:pt>
                <c:pt idx="144">
                  <c:v>34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35</c:v>
                </c:pt>
                <c:pt idx="150">
                  <c:v>36</c:v>
                </c:pt>
                <c:pt idx="151">
                  <c:v>36</c:v>
                </c:pt>
                <c:pt idx="152">
                  <c:v>36</c:v>
                </c:pt>
                <c:pt idx="153">
                  <c:v>36</c:v>
                </c:pt>
                <c:pt idx="154">
                  <c:v>36</c:v>
                </c:pt>
                <c:pt idx="155">
                  <c:v>36</c:v>
                </c:pt>
                <c:pt idx="156">
                  <c:v>36</c:v>
                </c:pt>
                <c:pt idx="157">
                  <c:v>36</c:v>
                </c:pt>
                <c:pt idx="158">
                  <c:v>36</c:v>
                </c:pt>
                <c:pt idx="159">
                  <c:v>36</c:v>
                </c:pt>
                <c:pt idx="160">
                  <c:v>36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38</c:v>
                </c:pt>
                <c:pt idx="165">
                  <c:v>38</c:v>
                </c:pt>
                <c:pt idx="166">
                  <c:v>39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</c:v>
                </c:pt>
                <c:pt idx="175">
                  <c:v>40</c:v>
                </c:pt>
                <c:pt idx="176">
                  <c:v>40</c:v>
                </c:pt>
                <c:pt idx="177">
                  <c:v>40</c:v>
                </c:pt>
                <c:pt idx="178">
                  <c:v>40</c:v>
                </c:pt>
                <c:pt idx="179">
                  <c:v>40</c:v>
                </c:pt>
                <c:pt idx="180">
                  <c:v>41</c:v>
                </c:pt>
                <c:pt idx="181">
                  <c:v>41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42</c:v>
                </c:pt>
                <c:pt idx="190">
                  <c:v>42</c:v>
                </c:pt>
                <c:pt idx="191">
                  <c:v>42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42</c:v>
                </c:pt>
                <c:pt idx="198">
                  <c:v>43</c:v>
                </c:pt>
                <c:pt idx="199">
                  <c:v>43</c:v>
                </c:pt>
                <c:pt idx="200">
                  <c:v>43</c:v>
                </c:pt>
                <c:pt idx="201">
                  <c:v>43</c:v>
                </c:pt>
                <c:pt idx="202">
                  <c:v>43</c:v>
                </c:pt>
                <c:pt idx="203">
                  <c:v>43</c:v>
                </c:pt>
                <c:pt idx="204">
                  <c:v>43</c:v>
                </c:pt>
                <c:pt idx="205">
                  <c:v>43</c:v>
                </c:pt>
                <c:pt idx="206">
                  <c:v>44</c:v>
                </c:pt>
                <c:pt idx="207">
                  <c:v>44</c:v>
                </c:pt>
                <c:pt idx="208">
                  <c:v>44</c:v>
                </c:pt>
                <c:pt idx="209">
                  <c:v>44</c:v>
                </c:pt>
                <c:pt idx="210">
                  <c:v>45</c:v>
                </c:pt>
                <c:pt idx="211">
                  <c:v>45</c:v>
                </c:pt>
                <c:pt idx="212">
                  <c:v>45</c:v>
                </c:pt>
                <c:pt idx="213">
                  <c:v>45</c:v>
                </c:pt>
                <c:pt idx="214">
                  <c:v>45</c:v>
                </c:pt>
                <c:pt idx="215">
                  <c:v>45</c:v>
                </c:pt>
                <c:pt idx="216">
                  <c:v>46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47</c:v>
                </c:pt>
                <c:pt idx="221">
                  <c:v>47</c:v>
                </c:pt>
                <c:pt idx="222">
                  <c:v>48</c:v>
                </c:pt>
                <c:pt idx="223">
                  <c:v>48</c:v>
                </c:pt>
                <c:pt idx="224">
                  <c:v>49</c:v>
                </c:pt>
                <c:pt idx="225">
                  <c:v>49</c:v>
                </c:pt>
                <c:pt idx="226">
                  <c:v>49</c:v>
                </c:pt>
                <c:pt idx="227">
                  <c:v>49</c:v>
                </c:pt>
                <c:pt idx="228">
                  <c:v>49</c:v>
                </c:pt>
                <c:pt idx="229">
                  <c:v>49</c:v>
                </c:pt>
                <c:pt idx="230">
                  <c:v>49</c:v>
                </c:pt>
                <c:pt idx="231">
                  <c:v>49</c:v>
                </c:pt>
                <c:pt idx="232">
                  <c:v>49</c:v>
                </c:pt>
                <c:pt idx="233">
                  <c:v>49</c:v>
                </c:pt>
                <c:pt idx="234">
                  <c:v>49</c:v>
                </c:pt>
                <c:pt idx="235">
                  <c:v>49</c:v>
                </c:pt>
                <c:pt idx="236">
                  <c:v>49</c:v>
                </c:pt>
                <c:pt idx="237">
                  <c:v>49</c:v>
                </c:pt>
                <c:pt idx="238">
                  <c:v>49</c:v>
                </c:pt>
                <c:pt idx="239">
                  <c:v>49</c:v>
                </c:pt>
                <c:pt idx="240">
                  <c:v>49</c:v>
                </c:pt>
                <c:pt idx="241">
                  <c:v>49</c:v>
                </c:pt>
                <c:pt idx="242">
                  <c:v>49</c:v>
                </c:pt>
                <c:pt idx="243">
                  <c:v>49</c:v>
                </c:pt>
                <c:pt idx="244">
                  <c:v>49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51</c:v>
                </c:pt>
                <c:pt idx="251">
                  <c:v>52</c:v>
                </c:pt>
                <c:pt idx="252">
                  <c:v>52</c:v>
                </c:pt>
                <c:pt idx="253">
                  <c:v>52</c:v>
                </c:pt>
                <c:pt idx="254">
                  <c:v>52</c:v>
                </c:pt>
                <c:pt idx="255">
                  <c:v>53</c:v>
                </c:pt>
                <c:pt idx="256">
                  <c:v>54</c:v>
                </c:pt>
                <c:pt idx="257">
                  <c:v>54</c:v>
                </c:pt>
                <c:pt idx="258">
                  <c:v>54</c:v>
                </c:pt>
                <c:pt idx="259">
                  <c:v>54</c:v>
                </c:pt>
                <c:pt idx="260">
                  <c:v>54</c:v>
                </c:pt>
                <c:pt idx="261">
                  <c:v>54</c:v>
                </c:pt>
                <c:pt idx="262">
                  <c:v>54</c:v>
                </c:pt>
                <c:pt idx="263">
                  <c:v>54</c:v>
                </c:pt>
                <c:pt idx="264">
                  <c:v>55</c:v>
                </c:pt>
                <c:pt idx="265">
                  <c:v>56</c:v>
                </c:pt>
                <c:pt idx="266">
                  <c:v>56</c:v>
                </c:pt>
                <c:pt idx="267">
                  <c:v>56</c:v>
                </c:pt>
                <c:pt idx="268">
                  <c:v>56</c:v>
                </c:pt>
                <c:pt idx="269">
                  <c:v>57</c:v>
                </c:pt>
                <c:pt idx="270">
                  <c:v>57</c:v>
                </c:pt>
                <c:pt idx="271">
                  <c:v>57</c:v>
                </c:pt>
                <c:pt idx="272">
                  <c:v>57</c:v>
                </c:pt>
                <c:pt idx="273">
                  <c:v>57</c:v>
                </c:pt>
                <c:pt idx="274">
                  <c:v>57</c:v>
                </c:pt>
                <c:pt idx="275">
                  <c:v>57</c:v>
                </c:pt>
                <c:pt idx="276">
                  <c:v>57</c:v>
                </c:pt>
                <c:pt idx="277">
                  <c:v>58</c:v>
                </c:pt>
                <c:pt idx="278">
                  <c:v>58</c:v>
                </c:pt>
                <c:pt idx="279">
                  <c:v>59</c:v>
                </c:pt>
                <c:pt idx="280">
                  <c:v>60</c:v>
                </c:pt>
                <c:pt idx="281">
                  <c:v>60</c:v>
                </c:pt>
                <c:pt idx="282">
                  <c:v>60</c:v>
                </c:pt>
                <c:pt idx="283">
                  <c:v>60</c:v>
                </c:pt>
                <c:pt idx="284">
                  <c:v>60</c:v>
                </c:pt>
                <c:pt idx="285">
                  <c:v>60</c:v>
                </c:pt>
                <c:pt idx="286">
                  <c:v>60</c:v>
                </c:pt>
                <c:pt idx="287">
                  <c:v>60</c:v>
                </c:pt>
                <c:pt idx="288">
                  <c:v>60</c:v>
                </c:pt>
                <c:pt idx="289">
                  <c:v>60</c:v>
                </c:pt>
                <c:pt idx="290">
                  <c:v>61</c:v>
                </c:pt>
                <c:pt idx="291">
                  <c:v>61</c:v>
                </c:pt>
                <c:pt idx="292">
                  <c:v>62</c:v>
                </c:pt>
                <c:pt idx="293">
                  <c:v>62</c:v>
                </c:pt>
                <c:pt idx="294">
                  <c:v>62</c:v>
                </c:pt>
                <c:pt idx="295">
                  <c:v>62</c:v>
                </c:pt>
                <c:pt idx="296">
                  <c:v>63</c:v>
                </c:pt>
                <c:pt idx="297">
                  <c:v>63</c:v>
                </c:pt>
                <c:pt idx="298">
                  <c:v>64</c:v>
                </c:pt>
                <c:pt idx="299">
                  <c:v>64</c:v>
                </c:pt>
                <c:pt idx="300">
                  <c:v>64</c:v>
                </c:pt>
                <c:pt idx="301">
                  <c:v>64</c:v>
                </c:pt>
                <c:pt idx="302">
                  <c:v>64</c:v>
                </c:pt>
                <c:pt idx="303">
                  <c:v>64</c:v>
                </c:pt>
                <c:pt idx="304">
                  <c:v>64</c:v>
                </c:pt>
                <c:pt idx="305">
                  <c:v>64</c:v>
                </c:pt>
                <c:pt idx="306">
                  <c:v>64</c:v>
                </c:pt>
                <c:pt idx="307">
                  <c:v>64</c:v>
                </c:pt>
                <c:pt idx="308">
                  <c:v>64</c:v>
                </c:pt>
                <c:pt idx="309">
                  <c:v>64</c:v>
                </c:pt>
                <c:pt idx="310">
                  <c:v>64</c:v>
                </c:pt>
                <c:pt idx="311">
                  <c:v>64</c:v>
                </c:pt>
                <c:pt idx="312">
                  <c:v>64</c:v>
                </c:pt>
                <c:pt idx="313">
                  <c:v>64</c:v>
                </c:pt>
                <c:pt idx="314">
                  <c:v>64</c:v>
                </c:pt>
                <c:pt idx="315">
                  <c:v>64</c:v>
                </c:pt>
                <c:pt idx="316">
                  <c:v>64</c:v>
                </c:pt>
                <c:pt idx="317">
                  <c:v>64</c:v>
                </c:pt>
                <c:pt idx="318">
                  <c:v>64</c:v>
                </c:pt>
                <c:pt idx="319">
                  <c:v>64</c:v>
                </c:pt>
                <c:pt idx="320">
                  <c:v>64</c:v>
                </c:pt>
                <c:pt idx="321">
                  <c:v>64</c:v>
                </c:pt>
                <c:pt idx="322">
                  <c:v>64</c:v>
                </c:pt>
                <c:pt idx="323">
                  <c:v>64</c:v>
                </c:pt>
                <c:pt idx="324">
                  <c:v>64</c:v>
                </c:pt>
                <c:pt idx="325">
                  <c:v>64</c:v>
                </c:pt>
                <c:pt idx="326">
                  <c:v>64</c:v>
                </c:pt>
                <c:pt idx="327">
                  <c:v>64</c:v>
                </c:pt>
                <c:pt idx="328">
                  <c:v>64</c:v>
                </c:pt>
                <c:pt idx="329">
                  <c:v>64</c:v>
                </c:pt>
                <c:pt idx="330">
                  <c:v>64</c:v>
                </c:pt>
                <c:pt idx="331">
                  <c:v>64</c:v>
                </c:pt>
                <c:pt idx="332">
                  <c:v>64</c:v>
                </c:pt>
                <c:pt idx="333">
                  <c:v>64</c:v>
                </c:pt>
                <c:pt idx="334">
                  <c:v>64</c:v>
                </c:pt>
                <c:pt idx="335">
                  <c:v>64</c:v>
                </c:pt>
                <c:pt idx="336">
                  <c:v>65</c:v>
                </c:pt>
                <c:pt idx="337">
                  <c:v>65</c:v>
                </c:pt>
                <c:pt idx="338">
                  <c:v>65</c:v>
                </c:pt>
                <c:pt idx="339">
                  <c:v>66</c:v>
                </c:pt>
                <c:pt idx="340">
                  <c:v>66</c:v>
                </c:pt>
                <c:pt idx="341">
                  <c:v>66</c:v>
                </c:pt>
                <c:pt idx="342">
                  <c:v>66</c:v>
                </c:pt>
                <c:pt idx="343">
                  <c:v>67</c:v>
                </c:pt>
                <c:pt idx="344">
                  <c:v>68</c:v>
                </c:pt>
                <c:pt idx="345">
                  <c:v>68</c:v>
                </c:pt>
                <c:pt idx="346">
                  <c:v>68</c:v>
                </c:pt>
                <c:pt idx="347">
                  <c:v>68</c:v>
                </c:pt>
                <c:pt idx="348">
                  <c:v>68</c:v>
                </c:pt>
                <c:pt idx="349">
                  <c:v>69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71</c:v>
                </c:pt>
                <c:pt idx="354">
                  <c:v>71</c:v>
                </c:pt>
                <c:pt idx="355">
                  <c:v>71</c:v>
                </c:pt>
                <c:pt idx="356">
                  <c:v>71</c:v>
                </c:pt>
                <c:pt idx="357">
                  <c:v>71</c:v>
                </c:pt>
                <c:pt idx="358">
                  <c:v>71</c:v>
                </c:pt>
                <c:pt idx="359">
                  <c:v>72</c:v>
                </c:pt>
                <c:pt idx="360">
                  <c:v>73</c:v>
                </c:pt>
                <c:pt idx="361">
                  <c:v>73</c:v>
                </c:pt>
                <c:pt idx="362">
                  <c:v>73</c:v>
                </c:pt>
                <c:pt idx="363">
                  <c:v>73</c:v>
                </c:pt>
                <c:pt idx="364">
                  <c:v>73</c:v>
                </c:pt>
                <c:pt idx="365">
                  <c:v>73</c:v>
                </c:pt>
                <c:pt idx="366">
                  <c:v>73</c:v>
                </c:pt>
                <c:pt idx="367">
                  <c:v>73</c:v>
                </c:pt>
                <c:pt idx="368">
                  <c:v>74</c:v>
                </c:pt>
                <c:pt idx="369">
                  <c:v>74</c:v>
                </c:pt>
                <c:pt idx="370">
                  <c:v>74</c:v>
                </c:pt>
                <c:pt idx="371">
                  <c:v>74</c:v>
                </c:pt>
                <c:pt idx="372">
                  <c:v>74</c:v>
                </c:pt>
                <c:pt idx="373">
                  <c:v>74</c:v>
                </c:pt>
                <c:pt idx="374">
                  <c:v>74</c:v>
                </c:pt>
                <c:pt idx="375">
                  <c:v>74</c:v>
                </c:pt>
                <c:pt idx="376">
                  <c:v>74</c:v>
                </c:pt>
                <c:pt idx="377">
                  <c:v>75</c:v>
                </c:pt>
                <c:pt idx="378">
                  <c:v>75</c:v>
                </c:pt>
                <c:pt idx="379">
                  <c:v>75</c:v>
                </c:pt>
                <c:pt idx="380">
                  <c:v>75</c:v>
                </c:pt>
                <c:pt idx="381">
                  <c:v>75</c:v>
                </c:pt>
                <c:pt idx="382">
                  <c:v>75</c:v>
                </c:pt>
                <c:pt idx="383">
                  <c:v>75</c:v>
                </c:pt>
                <c:pt idx="384">
                  <c:v>75</c:v>
                </c:pt>
                <c:pt idx="385">
                  <c:v>75</c:v>
                </c:pt>
                <c:pt idx="386">
                  <c:v>75</c:v>
                </c:pt>
                <c:pt idx="387">
                  <c:v>75</c:v>
                </c:pt>
                <c:pt idx="388">
                  <c:v>75</c:v>
                </c:pt>
                <c:pt idx="389">
                  <c:v>76</c:v>
                </c:pt>
                <c:pt idx="390">
                  <c:v>76</c:v>
                </c:pt>
                <c:pt idx="391">
                  <c:v>76</c:v>
                </c:pt>
                <c:pt idx="392">
                  <c:v>76</c:v>
                </c:pt>
                <c:pt idx="393">
                  <c:v>77</c:v>
                </c:pt>
                <c:pt idx="394">
                  <c:v>77</c:v>
                </c:pt>
                <c:pt idx="395">
                  <c:v>77</c:v>
                </c:pt>
                <c:pt idx="396">
                  <c:v>77</c:v>
                </c:pt>
                <c:pt idx="397">
                  <c:v>78</c:v>
                </c:pt>
                <c:pt idx="398">
                  <c:v>78</c:v>
                </c:pt>
                <c:pt idx="399">
                  <c:v>79</c:v>
                </c:pt>
                <c:pt idx="400">
                  <c:v>79</c:v>
                </c:pt>
                <c:pt idx="401">
                  <c:v>79</c:v>
                </c:pt>
                <c:pt idx="402">
                  <c:v>79</c:v>
                </c:pt>
                <c:pt idx="403">
                  <c:v>79</c:v>
                </c:pt>
                <c:pt idx="404">
                  <c:v>79</c:v>
                </c:pt>
                <c:pt idx="405">
                  <c:v>80</c:v>
                </c:pt>
                <c:pt idx="406">
                  <c:v>81</c:v>
                </c:pt>
                <c:pt idx="407">
                  <c:v>81</c:v>
                </c:pt>
                <c:pt idx="408">
                  <c:v>81</c:v>
                </c:pt>
                <c:pt idx="409">
                  <c:v>81</c:v>
                </c:pt>
                <c:pt idx="410">
                  <c:v>82</c:v>
                </c:pt>
                <c:pt idx="411">
                  <c:v>82</c:v>
                </c:pt>
                <c:pt idx="412">
                  <c:v>83</c:v>
                </c:pt>
                <c:pt idx="413">
                  <c:v>83</c:v>
                </c:pt>
                <c:pt idx="414">
                  <c:v>83</c:v>
                </c:pt>
                <c:pt idx="415">
                  <c:v>83</c:v>
                </c:pt>
                <c:pt idx="416">
                  <c:v>83</c:v>
                </c:pt>
                <c:pt idx="417">
                  <c:v>83</c:v>
                </c:pt>
                <c:pt idx="418">
                  <c:v>83</c:v>
                </c:pt>
                <c:pt idx="419">
                  <c:v>83</c:v>
                </c:pt>
                <c:pt idx="420">
                  <c:v>83</c:v>
                </c:pt>
                <c:pt idx="421">
                  <c:v>83</c:v>
                </c:pt>
                <c:pt idx="422">
                  <c:v>83</c:v>
                </c:pt>
                <c:pt idx="423">
                  <c:v>83</c:v>
                </c:pt>
                <c:pt idx="424">
                  <c:v>83</c:v>
                </c:pt>
                <c:pt idx="425">
                  <c:v>83</c:v>
                </c:pt>
                <c:pt idx="426">
                  <c:v>83</c:v>
                </c:pt>
                <c:pt idx="427">
                  <c:v>83</c:v>
                </c:pt>
                <c:pt idx="428">
                  <c:v>84</c:v>
                </c:pt>
                <c:pt idx="429">
                  <c:v>84</c:v>
                </c:pt>
                <c:pt idx="430">
                  <c:v>85</c:v>
                </c:pt>
                <c:pt idx="431">
                  <c:v>85</c:v>
                </c:pt>
                <c:pt idx="432">
                  <c:v>86</c:v>
                </c:pt>
                <c:pt idx="433">
                  <c:v>86</c:v>
                </c:pt>
                <c:pt idx="434">
                  <c:v>87</c:v>
                </c:pt>
                <c:pt idx="435">
                  <c:v>87</c:v>
                </c:pt>
                <c:pt idx="436">
                  <c:v>87</c:v>
                </c:pt>
                <c:pt idx="437">
                  <c:v>88</c:v>
                </c:pt>
                <c:pt idx="438">
                  <c:v>88</c:v>
                </c:pt>
                <c:pt idx="439">
                  <c:v>88</c:v>
                </c:pt>
                <c:pt idx="440">
                  <c:v>88</c:v>
                </c:pt>
                <c:pt idx="441">
                  <c:v>88</c:v>
                </c:pt>
                <c:pt idx="442">
                  <c:v>88</c:v>
                </c:pt>
                <c:pt idx="443">
                  <c:v>89</c:v>
                </c:pt>
                <c:pt idx="444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39-4005-8766-0AD3001CB528}"/>
            </c:ext>
          </c:extLst>
        </c:ser>
        <c:ser>
          <c:idx val="2"/>
          <c:order val="2"/>
          <c:tx>
            <c:strRef>
              <c:f>'Mario Party'!$D$1</c:f>
              <c:strCache>
                <c:ptCount val="1"/>
                <c:pt idx="0">
                  <c:v>loganworsdell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'Mario Party'!$D$2:$D$446</c:f>
              <c:numCache>
                <c:formatCode>General</c:formatCode>
                <c:ptCount val="4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8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10</c:v>
                </c:pt>
                <c:pt idx="31">
                  <c:v>10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13</c:v>
                </c:pt>
                <c:pt idx="50">
                  <c:v>13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13</c:v>
                </c:pt>
                <c:pt idx="55">
                  <c:v>13</c:v>
                </c:pt>
                <c:pt idx="56">
                  <c:v>13</c:v>
                </c:pt>
                <c:pt idx="57">
                  <c:v>13</c:v>
                </c:pt>
                <c:pt idx="58">
                  <c:v>13</c:v>
                </c:pt>
                <c:pt idx="59">
                  <c:v>13</c:v>
                </c:pt>
                <c:pt idx="60">
                  <c:v>13</c:v>
                </c:pt>
                <c:pt idx="61">
                  <c:v>13</c:v>
                </c:pt>
                <c:pt idx="62">
                  <c:v>14</c:v>
                </c:pt>
                <c:pt idx="63">
                  <c:v>14</c:v>
                </c:pt>
                <c:pt idx="64">
                  <c:v>14</c:v>
                </c:pt>
                <c:pt idx="65">
                  <c:v>14</c:v>
                </c:pt>
                <c:pt idx="66">
                  <c:v>14</c:v>
                </c:pt>
                <c:pt idx="67">
                  <c:v>14</c:v>
                </c:pt>
                <c:pt idx="68">
                  <c:v>14</c:v>
                </c:pt>
                <c:pt idx="69">
                  <c:v>14</c:v>
                </c:pt>
                <c:pt idx="70">
                  <c:v>15</c:v>
                </c:pt>
                <c:pt idx="71">
                  <c:v>15</c:v>
                </c:pt>
                <c:pt idx="72">
                  <c:v>16</c:v>
                </c:pt>
                <c:pt idx="73">
                  <c:v>16</c:v>
                </c:pt>
                <c:pt idx="74">
                  <c:v>16</c:v>
                </c:pt>
                <c:pt idx="75">
                  <c:v>17</c:v>
                </c:pt>
                <c:pt idx="76">
                  <c:v>17</c:v>
                </c:pt>
                <c:pt idx="77">
                  <c:v>17</c:v>
                </c:pt>
                <c:pt idx="78">
                  <c:v>17</c:v>
                </c:pt>
                <c:pt idx="79">
                  <c:v>17</c:v>
                </c:pt>
                <c:pt idx="80">
                  <c:v>18</c:v>
                </c:pt>
                <c:pt idx="81">
                  <c:v>18</c:v>
                </c:pt>
                <c:pt idx="82">
                  <c:v>18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20</c:v>
                </c:pt>
                <c:pt idx="97">
                  <c:v>21</c:v>
                </c:pt>
                <c:pt idx="98">
                  <c:v>21</c:v>
                </c:pt>
                <c:pt idx="99">
                  <c:v>21</c:v>
                </c:pt>
                <c:pt idx="100">
                  <c:v>21</c:v>
                </c:pt>
                <c:pt idx="101">
                  <c:v>21</c:v>
                </c:pt>
                <c:pt idx="102">
                  <c:v>21</c:v>
                </c:pt>
                <c:pt idx="103">
                  <c:v>21</c:v>
                </c:pt>
                <c:pt idx="104">
                  <c:v>21</c:v>
                </c:pt>
                <c:pt idx="105">
                  <c:v>21</c:v>
                </c:pt>
                <c:pt idx="106">
                  <c:v>21</c:v>
                </c:pt>
                <c:pt idx="107">
                  <c:v>21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23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25</c:v>
                </c:pt>
                <c:pt idx="127">
                  <c:v>26</c:v>
                </c:pt>
                <c:pt idx="128">
                  <c:v>26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29</c:v>
                </c:pt>
                <c:pt idx="156">
                  <c:v>29</c:v>
                </c:pt>
                <c:pt idx="157">
                  <c:v>29</c:v>
                </c:pt>
                <c:pt idx="158">
                  <c:v>29</c:v>
                </c:pt>
                <c:pt idx="159">
                  <c:v>29</c:v>
                </c:pt>
                <c:pt idx="160">
                  <c:v>29</c:v>
                </c:pt>
                <c:pt idx="161">
                  <c:v>29</c:v>
                </c:pt>
                <c:pt idx="162">
                  <c:v>29</c:v>
                </c:pt>
                <c:pt idx="163">
                  <c:v>29</c:v>
                </c:pt>
                <c:pt idx="164">
                  <c:v>29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31</c:v>
                </c:pt>
                <c:pt idx="172">
                  <c:v>31</c:v>
                </c:pt>
                <c:pt idx="173">
                  <c:v>31</c:v>
                </c:pt>
                <c:pt idx="174">
                  <c:v>31</c:v>
                </c:pt>
                <c:pt idx="175">
                  <c:v>32</c:v>
                </c:pt>
                <c:pt idx="176">
                  <c:v>32</c:v>
                </c:pt>
                <c:pt idx="177">
                  <c:v>32</c:v>
                </c:pt>
                <c:pt idx="178">
                  <c:v>32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33</c:v>
                </c:pt>
                <c:pt idx="183">
                  <c:v>34</c:v>
                </c:pt>
                <c:pt idx="184">
                  <c:v>35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</c:v>
                </c:pt>
                <c:pt idx="189">
                  <c:v>35</c:v>
                </c:pt>
                <c:pt idx="190">
                  <c:v>36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</c:v>
                </c:pt>
                <c:pt idx="195">
                  <c:v>37</c:v>
                </c:pt>
                <c:pt idx="196">
                  <c:v>37</c:v>
                </c:pt>
                <c:pt idx="197">
                  <c:v>38</c:v>
                </c:pt>
                <c:pt idx="198">
                  <c:v>38</c:v>
                </c:pt>
                <c:pt idx="199">
                  <c:v>38</c:v>
                </c:pt>
                <c:pt idx="200">
                  <c:v>38</c:v>
                </c:pt>
                <c:pt idx="201">
                  <c:v>38</c:v>
                </c:pt>
                <c:pt idx="202">
                  <c:v>38</c:v>
                </c:pt>
                <c:pt idx="203">
                  <c:v>38</c:v>
                </c:pt>
                <c:pt idx="204">
                  <c:v>38</c:v>
                </c:pt>
                <c:pt idx="205">
                  <c:v>38</c:v>
                </c:pt>
                <c:pt idx="206">
                  <c:v>38</c:v>
                </c:pt>
                <c:pt idx="207">
                  <c:v>38</c:v>
                </c:pt>
                <c:pt idx="208">
                  <c:v>38</c:v>
                </c:pt>
                <c:pt idx="209">
                  <c:v>38</c:v>
                </c:pt>
                <c:pt idx="210">
                  <c:v>38</c:v>
                </c:pt>
                <c:pt idx="211">
                  <c:v>38</c:v>
                </c:pt>
                <c:pt idx="212">
                  <c:v>38</c:v>
                </c:pt>
                <c:pt idx="213">
                  <c:v>39</c:v>
                </c:pt>
                <c:pt idx="214">
                  <c:v>39</c:v>
                </c:pt>
                <c:pt idx="215">
                  <c:v>39</c:v>
                </c:pt>
                <c:pt idx="216">
                  <c:v>39</c:v>
                </c:pt>
                <c:pt idx="217">
                  <c:v>39</c:v>
                </c:pt>
                <c:pt idx="218">
                  <c:v>40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41</c:v>
                </c:pt>
                <c:pt idx="225">
                  <c:v>42</c:v>
                </c:pt>
                <c:pt idx="226">
                  <c:v>42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43</c:v>
                </c:pt>
                <c:pt idx="234">
                  <c:v>44</c:v>
                </c:pt>
                <c:pt idx="235">
                  <c:v>44</c:v>
                </c:pt>
                <c:pt idx="236">
                  <c:v>44</c:v>
                </c:pt>
                <c:pt idx="237">
                  <c:v>44</c:v>
                </c:pt>
                <c:pt idx="238">
                  <c:v>44</c:v>
                </c:pt>
                <c:pt idx="239">
                  <c:v>44</c:v>
                </c:pt>
                <c:pt idx="240">
                  <c:v>44</c:v>
                </c:pt>
                <c:pt idx="241">
                  <c:v>45</c:v>
                </c:pt>
                <c:pt idx="242">
                  <c:v>46</c:v>
                </c:pt>
                <c:pt idx="243">
                  <c:v>46</c:v>
                </c:pt>
                <c:pt idx="244">
                  <c:v>46</c:v>
                </c:pt>
                <c:pt idx="245">
                  <c:v>46</c:v>
                </c:pt>
                <c:pt idx="246">
                  <c:v>47</c:v>
                </c:pt>
                <c:pt idx="247">
                  <c:v>47</c:v>
                </c:pt>
                <c:pt idx="248">
                  <c:v>47</c:v>
                </c:pt>
                <c:pt idx="249">
                  <c:v>47</c:v>
                </c:pt>
                <c:pt idx="250">
                  <c:v>47</c:v>
                </c:pt>
                <c:pt idx="251">
                  <c:v>47</c:v>
                </c:pt>
                <c:pt idx="252">
                  <c:v>47</c:v>
                </c:pt>
                <c:pt idx="253">
                  <c:v>47</c:v>
                </c:pt>
                <c:pt idx="254">
                  <c:v>47</c:v>
                </c:pt>
                <c:pt idx="255">
                  <c:v>47</c:v>
                </c:pt>
                <c:pt idx="256">
                  <c:v>47</c:v>
                </c:pt>
                <c:pt idx="257">
                  <c:v>47</c:v>
                </c:pt>
                <c:pt idx="258">
                  <c:v>47</c:v>
                </c:pt>
                <c:pt idx="259">
                  <c:v>47</c:v>
                </c:pt>
                <c:pt idx="260">
                  <c:v>48</c:v>
                </c:pt>
                <c:pt idx="261">
                  <c:v>48</c:v>
                </c:pt>
                <c:pt idx="262">
                  <c:v>48</c:v>
                </c:pt>
                <c:pt idx="263">
                  <c:v>48</c:v>
                </c:pt>
                <c:pt idx="264">
                  <c:v>48</c:v>
                </c:pt>
                <c:pt idx="265">
                  <c:v>48</c:v>
                </c:pt>
                <c:pt idx="266">
                  <c:v>48</c:v>
                </c:pt>
                <c:pt idx="267">
                  <c:v>49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51</c:v>
                </c:pt>
                <c:pt idx="274">
                  <c:v>51</c:v>
                </c:pt>
                <c:pt idx="275">
                  <c:v>51</c:v>
                </c:pt>
                <c:pt idx="276">
                  <c:v>51</c:v>
                </c:pt>
                <c:pt idx="277">
                  <c:v>51</c:v>
                </c:pt>
                <c:pt idx="278">
                  <c:v>51</c:v>
                </c:pt>
                <c:pt idx="279">
                  <c:v>51</c:v>
                </c:pt>
                <c:pt idx="280">
                  <c:v>51</c:v>
                </c:pt>
                <c:pt idx="281">
                  <c:v>51</c:v>
                </c:pt>
                <c:pt idx="282">
                  <c:v>51</c:v>
                </c:pt>
                <c:pt idx="283">
                  <c:v>51</c:v>
                </c:pt>
                <c:pt idx="284">
                  <c:v>51</c:v>
                </c:pt>
                <c:pt idx="285">
                  <c:v>51</c:v>
                </c:pt>
                <c:pt idx="286">
                  <c:v>51</c:v>
                </c:pt>
                <c:pt idx="287">
                  <c:v>51</c:v>
                </c:pt>
                <c:pt idx="288">
                  <c:v>51</c:v>
                </c:pt>
                <c:pt idx="289">
                  <c:v>51</c:v>
                </c:pt>
                <c:pt idx="290">
                  <c:v>51</c:v>
                </c:pt>
                <c:pt idx="291">
                  <c:v>51</c:v>
                </c:pt>
                <c:pt idx="292">
                  <c:v>51</c:v>
                </c:pt>
                <c:pt idx="293">
                  <c:v>51</c:v>
                </c:pt>
                <c:pt idx="294">
                  <c:v>51</c:v>
                </c:pt>
                <c:pt idx="295">
                  <c:v>51</c:v>
                </c:pt>
                <c:pt idx="296">
                  <c:v>51</c:v>
                </c:pt>
                <c:pt idx="297">
                  <c:v>51</c:v>
                </c:pt>
                <c:pt idx="298">
                  <c:v>51</c:v>
                </c:pt>
                <c:pt idx="299">
                  <c:v>51</c:v>
                </c:pt>
                <c:pt idx="300">
                  <c:v>51</c:v>
                </c:pt>
                <c:pt idx="301">
                  <c:v>51</c:v>
                </c:pt>
                <c:pt idx="302">
                  <c:v>51</c:v>
                </c:pt>
                <c:pt idx="303">
                  <c:v>52</c:v>
                </c:pt>
                <c:pt idx="304">
                  <c:v>53</c:v>
                </c:pt>
                <c:pt idx="305">
                  <c:v>53</c:v>
                </c:pt>
                <c:pt idx="306">
                  <c:v>54</c:v>
                </c:pt>
                <c:pt idx="307">
                  <c:v>54</c:v>
                </c:pt>
                <c:pt idx="308">
                  <c:v>54</c:v>
                </c:pt>
                <c:pt idx="309">
                  <c:v>54</c:v>
                </c:pt>
                <c:pt idx="310">
                  <c:v>54</c:v>
                </c:pt>
                <c:pt idx="311">
                  <c:v>55</c:v>
                </c:pt>
                <c:pt idx="312">
                  <c:v>55</c:v>
                </c:pt>
                <c:pt idx="313">
                  <c:v>55</c:v>
                </c:pt>
                <c:pt idx="314">
                  <c:v>55</c:v>
                </c:pt>
                <c:pt idx="315">
                  <c:v>55</c:v>
                </c:pt>
                <c:pt idx="316">
                  <c:v>55</c:v>
                </c:pt>
                <c:pt idx="317">
                  <c:v>56</c:v>
                </c:pt>
                <c:pt idx="318">
                  <c:v>56</c:v>
                </c:pt>
                <c:pt idx="319">
                  <c:v>56</c:v>
                </c:pt>
                <c:pt idx="320">
                  <c:v>56</c:v>
                </c:pt>
                <c:pt idx="321">
                  <c:v>56</c:v>
                </c:pt>
                <c:pt idx="322">
                  <c:v>57</c:v>
                </c:pt>
                <c:pt idx="323">
                  <c:v>57</c:v>
                </c:pt>
                <c:pt idx="324">
                  <c:v>57</c:v>
                </c:pt>
                <c:pt idx="325">
                  <c:v>58</c:v>
                </c:pt>
                <c:pt idx="326">
                  <c:v>59</c:v>
                </c:pt>
                <c:pt idx="327">
                  <c:v>59</c:v>
                </c:pt>
                <c:pt idx="328">
                  <c:v>59</c:v>
                </c:pt>
                <c:pt idx="329">
                  <c:v>59</c:v>
                </c:pt>
                <c:pt idx="330">
                  <c:v>59</c:v>
                </c:pt>
                <c:pt idx="331">
                  <c:v>59</c:v>
                </c:pt>
                <c:pt idx="332">
                  <c:v>59</c:v>
                </c:pt>
                <c:pt idx="333">
                  <c:v>59</c:v>
                </c:pt>
                <c:pt idx="334">
                  <c:v>59</c:v>
                </c:pt>
                <c:pt idx="335">
                  <c:v>59</c:v>
                </c:pt>
                <c:pt idx="336">
                  <c:v>59</c:v>
                </c:pt>
                <c:pt idx="337">
                  <c:v>59</c:v>
                </c:pt>
                <c:pt idx="338">
                  <c:v>60</c:v>
                </c:pt>
                <c:pt idx="339">
                  <c:v>60</c:v>
                </c:pt>
                <c:pt idx="340">
                  <c:v>60</c:v>
                </c:pt>
                <c:pt idx="341">
                  <c:v>61</c:v>
                </c:pt>
                <c:pt idx="342">
                  <c:v>61</c:v>
                </c:pt>
                <c:pt idx="343">
                  <c:v>61</c:v>
                </c:pt>
                <c:pt idx="344">
                  <c:v>61</c:v>
                </c:pt>
                <c:pt idx="345">
                  <c:v>62</c:v>
                </c:pt>
                <c:pt idx="346">
                  <c:v>62</c:v>
                </c:pt>
                <c:pt idx="347">
                  <c:v>63</c:v>
                </c:pt>
                <c:pt idx="348">
                  <c:v>63</c:v>
                </c:pt>
                <c:pt idx="349">
                  <c:v>63</c:v>
                </c:pt>
                <c:pt idx="350">
                  <c:v>63</c:v>
                </c:pt>
                <c:pt idx="351">
                  <c:v>63</c:v>
                </c:pt>
                <c:pt idx="352">
                  <c:v>64</c:v>
                </c:pt>
                <c:pt idx="353">
                  <c:v>64</c:v>
                </c:pt>
                <c:pt idx="354">
                  <c:v>64</c:v>
                </c:pt>
                <c:pt idx="355">
                  <c:v>64</c:v>
                </c:pt>
                <c:pt idx="356">
                  <c:v>64</c:v>
                </c:pt>
                <c:pt idx="357">
                  <c:v>65</c:v>
                </c:pt>
                <c:pt idx="358">
                  <c:v>65</c:v>
                </c:pt>
                <c:pt idx="359">
                  <c:v>65</c:v>
                </c:pt>
                <c:pt idx="360">
                  <c:v>65</c:v>
                </c:pt>
                <c:pt idx="361">
                  <c:v>65</c:v>
                </c:pt>
                <c:pt idx="362">
                  <c:v>65</c:v>
                </c:pt>
                <c:pt idx="363">
                  <c:v>65</c:v>
                </c:pt>
                <c:pt idx="364">
                  <c:v>65</c:v>
                </c:pt>
                <c:pt idx="365">
                  <c:v>66</c:v>
                </c:pt>
                <c:pt idx="366">
                  <c:v>67</c:v>
                </c:pt>
                <c:pt idx="367">
                  <c:v>68</c:v>
                </c:pt>
                <c:pt idx="368">
                  <c:v>68</c:v>
                </c:pt>
                <c:pt idx="369">
                  <c:v>69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71</c:v>
                </c:pt>
                <c:pt idx="374">
                  <c:v>71</c:v>
                </c:pt>
                <c:pt idx="375">
                  <c:v>72</c:v>
                </c:pt>
                <c:pt idx="376">
                  <c:v>73</c:v>
                </c:pt>
                <c:pt idx="377">
                  <c:v>73</c:v>
                </c:pt>
                <c:pt idx="378">
                  <c:v>74</c:v>
                </c:pt>
                <c:pt idx="379">
                  <c:v>74</c:v>
                </c:pt>
                <c:pt idx="380">
                  <c:v>75</c:v>
                </c:pt>
                <c:pt idx="381">
                  <c:v>75</c:v>
                </c:pt>
                <c:pt idx="382">
                  <c:v>75</c:v>
                </c:pt>
                <c:pt idx="383">
                  <c:v>75</c:v>
                </c:pt>
                <c:pt idx="384">
                  <c:v>75</c:v>
                </c:pt>
                <c:pt idx="385">
                  <c:v>75</c:v>
                </c:pt>
                <c:pt idx="386">
                  <c:v>76</c:v>
                </c:pt>
                <c:pt idx="387">
                  <c:v>77</c:v>
                </c:pt>
                <c:pt idx="388">
                  <c:v>77</c:v>
                </c:pt>
                <c:pt idx="389">
                  <c:v>77</c:v>
                </c:pt>
                <c:pt idx="390">
                  <c:v>78</c:v>
                </c:pt>
                <c:pt idx="391">
                  <c:v>78</c:v>
                </c:pt>
                <c:pt idx="392">
                  <c:v>79</c:v>
                </c:pt>
                <c:pt idx="393">
                  <c:v>79</c:v>
                </c:pt>
                <c:pt idx="394">
                  <c:v>79</c:v>
                </c:pt>
                <c:pt idx="395">
                  <c:v>80</c:v>
                </c:pt>
                <c:pt idx="396">
                  <c:v>81</c:v>
                </c:pt>
                <c:pt idx="397">
                  <c:v>81</c:v>
                </c:pt>
                <c:pt idx="398">
                  <c:v>81</c:v>
                </c:pt>
                <c:pt idx="399">
                  <c:v>81</c:v>
                </c:pt>
                <c:pt idx="400">
                  <c:v>81</c:v>
                </c:pt>
                <c:pt idx="401">
                  <c:v>81</c:v>
                </c:pt>
                <c:pt idx="402">
                  <c:v>81</c:v>
                </c:pt>
                <c:pt idx="403">
                  <c:v>81</c:v>
                </c:pt>
                <c:pt idx="404">
                  <c:v>81</c:v>
                </c:pt>
                <c:pt idx="405">
                  <c:v>81</c:v>
                </c:pt>
                <c:pt idx="406">
                  <c:v>81</c:v>
                </c:pt>
                <c:pt idx="407">
                  <c:v>81</c:v>
                </c:pt>
                <c:pt idx="408">
                  <c:v>82</c:v>
                </c:pt>
                <c:pt idx="409">
                  <c:v>82</c:v>
                </c:pt>
                <c:pt idx="410">
                  <c:v>82</c:v>
                </c:pt>
                <c:pt idx="411">
                  <c:v>83</c:v>
                </c:pt>
                <c:pt idx="412">
                  <c:v>83</c:v>
                </c:pt>
                <c:pt idx="413">
                  <c:v>83</c:v>
                </c:pt>
                <c:pt idx="414">
                  <c:v>83</c:v>
                </c:pt>
                <c:pt idx="415">
                  <c:v>83</c:v>
                </c:pt>
                <c:pt idx="416">
                  <c:v>83</c:v>
                </c:pt>
                <c:pt idx="417">
                  <c:v>83</c:v>
                </c:pt>
                <c:pt idx="418">
                  <c:v>83</c:v>
                </c:pt>
                <c:pt idx="419">
                  <c:v>83</c:v>
                </c:pt>
                <c:pt idx="420">
                  <c:v>83</c:v>
                </c:pt>
                <c:pt idx="421">
                  <c:v>83</c:v>
                </c:pt>
                <c:pt idx="422">
                  <c:v>83</c:v>
                </c:pt>
                <c:pt idx="423">
                  <c:v>83</c:v>
                </c:pt>
                <c:pt idx="424">
                  <c:v>84</c:v>
                </c:pt>
                <c:pt idx="425">
                  <c:v>85</c:v>
                </c:pt>
                <c:pt idx="426">
                  <c:v>85</c:v>
                </c:pt>
                <c:pt idx="427">
                  <c:v>86</c:v>
                </c:pt>
                <c:pt idx="428">
                  <c:v>86</c:v>
                </c:pt>
                <c:pt idx="429">
                  <c:v>87</c:v>
                </c:pt>
                <c:pt idx="430">
                  <c:v>87</c:v>
                </c:pt>
                <c:pt idx="431">
                  <c:v>87</c:v>
                </c:pt>
                <c:pt idx="432">
                  <c:v>87</c:v>
                </c:pt>
                <c:pt idx="433">
                  <c:v>88</c:v>
                </c:pt>
                <c:pt idx="434">
                  <c:v>88</c:v>
                </c:pt>
                <c:pt idx="435">
                  <c:v>88</c:v>
                </c:pt>
                <c:pt idx="436">
                  <c:v>88</c:v>
                </c:pt>
                <c:pt idx="437">
                  <c:v>88</c:v>
                </c:pt>
                <c:pt idx="438">
                  <c:v>89</c:v>
                </c:pt>
                <c:pt idx="439">
                  <c:v>89</c:v>
                </c:pt>
                <c:pt idx="440">
                  <c:v>89</c:v>
                </c:pt>
                <c:pt idx="441">
                  <c:v>89</c:v>
                </c:pt>
                <c:pt idx="442">
                  <c:v>90</c:v>
                </c:pt>
                <c:pt idx="443">
                  <c:v>90</c:v>
                </c:pt>
                <c:pt idx="44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39-4005-8766-0AD3001CB528}"/>
            </c:ext>
          </c:extLst>
        </c:ser>
        <c:ser>
          <c:idx val="3"/>
          <c:order val="3"/>
          <c:tx>
            <c:strRef>
              <c:f>'Mario Party'!$E$1</c:f>
              <c:strCache>
                <c:ptCount val="1"/>
                <c:pt idx="0">
                  <c:v>samuelbattista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'Mario Party'!$E$2:$E$446</c:f>
              <c:numCache>
                <c:formatCode>General</c:formatCode>
                <c:ptCount val="4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5</c:v>
                </c:pt>
                <c:pt idx="49">
                  <c:v>5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7</c:v>
                </c:pt>
                <c:pt idx="54">
                  <c:v>7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11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13</c:v>
                </c:pt>
                <c:pt idx="70">
                  <c:v>13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  <c:pt idx="75">
                  <c:v>13</c:v>
                </c:pt>
                <c:pt idx="76">
                  <c:v>14</c:v>
                </c:pt>
                <c:pt idx="77">
                  <c:v>14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15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17</c:v>
                </c:pt>
                <c:pt idx="89">
                  <c:v>17</c:v>
                </c:pt>
                <c:pt idx="90">
                  <c:v>17</c:v>
                </c:pt>
                <c:pt idx="91">
                  <c:v>17</c:v>
                </c:pt>
                <c:pt idx="92">
                  <c:v>17</c:v>
                </c:pt>
                <c:pt idx="93">
                  <c:v>18</c:v>
                </c:pt>
                <c:pt idx="94">
                  <c:v>19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21</c:v>
                </c:pt>
                <c:pt idx="100">
                  <c:v>21</c:v>
                </c:pt>
                <c:pt idx="101">
                  <c:v>21</c:v>
                </c:pt>
                <c:pt idx="102">
                  <c:v>21</c:v>
                </c:pt>
                <c:pt idx="103">
                  <c:v>21</c:v>
                </c:pt>
                <c:pt idx="104">
                  <c:v>21</c:v>
                </c:pt>
                <c:pt idx="105">
                  <c:v>21</c:v>
                </c:pt>
                <c:pt idx="106">
                  <c:v>21</c:v>
                </c:pt>
                <c:pt idx="107">
                  <c:v>21</c:v>
                </c:pt>
                <c:pt idx="108">
                  <c:v>21</c:v>
                </c:pt>
                <c:pt idx="109">
                  <c:v>21</c:v>
                </c:pt>
                <c:pt idx="110">
                  <c:v>21</c:v>
                </c:pt>
                <c:pt idx="111">
                  <c:v>21</c:v>
                </c:pt>
                <c:pt idx="112">
                  <c:v>21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23</c:v>
                </c:pt>
                <c:pt idx="119">
                  <c:v>23</c:v>
                </c:pt>
                <c:pt idx="120">
                  <c:v>23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25</c:v>
                </c:pt>
                <c:pt idx="131">
                  <c:v>26</c:v>
                </c:pt>
                <c:pt idx="132">
                  <c:v>26</c:v>
                </c:pt>
                <c:pt idx="133">
                  <c:v>26</c:v>
                </c:pt>
                <c:pt idx="134">
                  <c:v>26</c:v>
                </c:pt>
                <c:pt idx="135">
                  <c:v>26</c:v>
                </c:pt>
                <c:pt idx="136">
                  <c:v>26</c:v>
                </c:pt>
                <c:pt idx="137">
                  <c:v>26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27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29</c:v>
                </c:pt>
                <c:pt idx="157">
                  <c:v>29</c:v>
                </c:pt>
                <c:pt idx="158">
                  <c:v>29</c:v>
                </c:pt>
                <c:pt idx="159">
                  <c:v>29</c:v>
                </c:pt>
                <c:pt idx="160">
                  <c:v>29</c:v>
                </c:pt>
                <c:pt idx="161">
                  <c:v>29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31</c:v>
                </c:pt>
                <c:pt idx="171">
                  <c:v>31</c:v>
                </c:pt>
                <c:pt idx="172">
                  <c:v>31</c:v>
                </c:pt>
                <c:pt idx="173">
                  <c:v>32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34</c:v>
                </c:pt>
                <c:pt idx="183">
                  <c:v>34</c:v>
                </c:pt>
                <c:pt idx="184">
                  <c:v>34</c:v>
                </c:pt>
                <c:pt idx="185">
                  <c:v>34</c:v>
                </c:pt>
                <c:pt idx="186">
                  <c:v>34</c:v>
                </c:pt>
                <c:pt idx="187">
                  <c:v>34</c:v>
                </c:pt>
                <c:pt idx="188">
                  <c:v>34</c:v>
                </c:pt>
                <c:pt idx="189">
                  <c:v>34</c:v>
                </c:pt>
                <c:pt idx="190">
                  <c:v>34</c:v>
                </c:pt>
                <c:pt idx="191">
                  <c:v>34</c:v>
                </c:pt>
                <c:pt idx="192">
                  <c:v>35</c:v>
                </c:pt>
                <c:pt idx="193">
                  <c:v>35</c:v>
                </c:pt>
                <c:pt idx="194">
                  <c:v>36</c:v>
                </c:pt>
                <c:pt idx="195">
                  <c:v>36</c:v>
                </c:pt>
                <c:pt idx="196">
                  <c:v>37</c:v>
                </c:pt>
                <c:pt idx="197">
                  <c:v>37</c:v>
                </c:pt>
                <c:pt idx="198">
                  <c:v>37</c:v>
                </c:pt>
                <c:pt idx="199">
                  <c:v>37</c:v>
                </c:pt>
                <c:pt idx="200">
                  <c:v>38</c:v>
                </c:pt>
                <c:pt idx="201">
                  <c:v>38</c:v>
                </c:pt>
                <c:pt idx="202">
                  <c:v>38</c:v>
                </c:pt>
                <c:pt idx="203">
                  <c:v>38</c:v>
                </c:pt>
                <c:pt idx="204">
                  <c:v>38</c:v>
                </c:pt>
                <c:pt idx="205">
                  <c:v>38</c:v>
                </c:pt>
                <c:pt idx="206">
                  <c:v>38</c:v>
                </c:pt>
                <c:pt idx="207">
                  <c:v>38</c:v>
                </c:pt>
                <c:pt idx="208">
                  <c:v>39</c:v>
                </c:pt>
                <c:pt idx="209">
                  <c:v>39</c:v>
                </c:pt>
                <c:pt idx="210">
                  <c:v>39</c:v>
                </c:pt>
                <c:pt idx="211">
                  <c:v>39</c:v>
                </c:pt>
                <c:pt idx="212">
                  <c:v>39</c:v>
                </c:pt>
                <c:pt idx="213">
                  <c:v>39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41</c:v>
                </c:pt>
                <c:pt idx="222">
                  <c:v>41</c:v>
                </c:pt>
                <c:pt idx="223">
                  <c:v>42</c:v>
                </c:pt>
                <c:pt idx="224">
                  <c:v>42</c:v>
                </c:pt>
                <c:pt idx="225">
                  <c:v>42</c:v>
                </c:pt>
                <c:pt idx="226">
                  <c:v>42</c:v>
                </c:pt>
                <c:pt idx="227">
                  <c:v>42</c:v>
                </c:pt>
                <c:pt idx="228">
                  <c:v>42</c:v>
                </c:pt>
                <c:pt idx="229">
                  <c:v>43</c:v>
                </c:pt>
                <c:pt idx="230">
                  <c:v>43</c:v>
                </c:pt>
                <c:pt idx="231">
                  <c:v>44</c:v>
                </c:pt>
                <c:pt idx="232">
                  <c:v>44</c:v>
                </c:pt>
                <c:pt idx="233">
                  <c:v>44</c:v>
                </c:pt>
                <c:pt idx="234">
                  <c:v>44</c:v>
                </c:pt>
                <c:pt idx="235">
                  <c:v>44</c:v>
                </c:pt>
                <c:pt idx="236">
                  <c:v>44</c:v>
                </c:pt>
                <c:pt idx="237">
                  <c:v>44</c:v>
                </c:pt>
                <c:pt idx="238">
                  <c:v>45</c:v>
                </c:pt>
                <c:pt idx="239">
                  <c:v>46</c:v>
                </c:pt>
                <c:pt idx="240">
                  <c:v>46</c:v>
                </c:pt>
                <c:pt idx="241">
                  <c:v>46</c:v>
                </c:pt>
                <c:pt idx="242">
                  <c:v>46</c:v>
                </c:pt>
                <c:pt idx="243">
                  <c:v>47</c:v>
                </c:pt>
                <c:pt idx="244">
                  <c:v>47</c:v>
                </c:pt>
                <c:pt idx="245">
                  <c:v>47</c:v>
                </c:pt>
                <c:pt idx="246">
                  <c:v>47</c:v>
                </c:pt>
                <c:pt idx="247">
                  <c:v>47</c:v>
                </c:pt>
                <c:pt idx="248">
                  <c:v>47</c:v>
                </c:pt>
                <c:pt idx="249">
                  <c:v>48</c:v>
                </c:pt>
                <c:pt idx="250">
                  <c:v>48</c:v>
                </c:pt>
                <c:pt idx="251">
                  <c:v>48</c:v>
                </c:pt>
                <c:pt idx="252">
                  <c:v>49</c:v>
                </c:pt>
                <c:pt idx="253">
                  <c:v>49</c:v>
                </c:pt>
                <c:pt idx="254">
                  <c:v>49</c:v>
                </c:pt>
                <c:pt idx="255">
                  <c:v>49</c:v>
                </c:pt>
                <c:pt idx="256">
                  <c:v>49</c:v>
                </c:pt>
                <c:pt idx="257">
                  <c:v>49</c:v>
                </c:pt>
                <c:pt idx="258">
                  <c:v>49</c:v>
                </c:pt>
                <c:pt idx="259">
                  <c:v>49</c:v>
                </c:pt>
                <c:pt idx="260">
                  <c:v>49</c:v>
                </c:pt>
                <c:pt idx="261">
                  <c:v>50</c:v>
                </c:pt>
                <c:pt idx="262">
                  <c:v>50</c:v>
                </c:pt>
                <c:pt idx="263">
                  <c:v>51</c:v>
                </c:pt>
                <c:pt idx="264">
                  <c:v>51</c:v>
                </c:pt>
                <c:pt idx="265">
                  <c:v>51</c:v>
                </c:pt>
                <c:pt idx="266">
                  <c:v>51</c:v>
                </c:pt>
                <c:pt idx="267">
                  <c:v>51</c:v>
                </c:pt>
                <c:pt idx="268">
                  <c:v>51</c:v>
                </c:pt>
                <c:pt idx="269">
                  <c:v>51</c:v>
                </c:pt>
                <c:pt idx="270">
                  <c:v>51</c:v>
                </c:pt>
                <c:pt idx="271">
                  <c:v>51</c:v>
                </c:pt>
                <c:pt idx="272">
                  <c:v>52</c:v>
                </c:pt>
                <c:pt idx="273">
                  <c:v>52</c:v>
                </c:pt>
                <c:pt idx="274">
                  <c:v>53</c:v>
                </c:pt>
                <c:pt idx="275">
                  <c:v>54</c:v>
                </c:pt>
                <c:pt idx="276">
                  <c:v>54</c:v>
                </c:pt>
                <c:pt idx="277">
                  <c:v>54</c:v>
                </c:pt>
                <c:pt idx="278">
                  <c:v>55</c:v>
                </c:pt>
                <c:pt idx="279">
                  <c:v>55</c:v>
                </c:pt>
                <c:pt idx="280">
                  <c:v>55</c:v>
                </c:pt>
                <c:pt idx="281">
                  <c:v>55</c:v>
                </c:pt>
                <c:pt idx="282">
                  <c:v>55</c:v>
                </c:pt>
                <c:pt idx="283">
                  <c:v>55</c:v>
                </c:pt>
                <c:pt idx="284">
                  <c:v>56</c:v>
                </c:pt>
                <c:pt idx="285">
                  <c:v>57</c:v>
                </c:pt>
                <c:pt idx="286">
                  <c:v>57</c:v>
                </c:pt>
                <c:pt idx="287">
                  <c:v>57</c:v>
                </c:pt>
                <c:pt idx="288">
                  <c:v>57</c:v>
                </c:pt>
                <c:pt idx="289">
                  <c:v>57</c:v>
                </c:pt>
                <c:pt idx="290">
                  <c:v>57</c:v>
                </c:pt>
                <c:pt idx="291">
                  <c:v>58</c:v>
                </c:pt>
                <c:pt idx="292">
                  <c:v>58</c:v>
                </c:pt>
                <c:pt idx="293">
                  <c:v>58</c:v>
                </c:pt>
                <c:pt idx="294">
                  <c:v>59</c:v>
                </c:pt>
                <c:pt idx="295">
                  <c:v>59</c:v>
                </c:pt>
                <c:pt idx="296">
                  <c:v>59</c:v>
                </c:pt>
                <c:pt idx="297">
                  <c:v>59</c:v>
                </c:pt>
                <c:pt idx="298">
                  <c:v>59</c:v>
                </c:pt>
                <c:pt idx="299">
                  <c:v>59</c:v>
                </c:pt>
                <c:pt idx="300">
                  <c:v>60</c:v>
                </c:pt>
                <c:pt idx="301">
                  <c:v>61</c:v>
                </c:pt>
                <c:pt idx="302">
                  <c:v>61</c:v>
                </c:pt>
                <c:pt idx="303">
                  <c:v>61</c:v>
                </c:pt>
                <c:pt idx="304">
                  <c:v>61</c:v>
                </c:pt>
                <c:pt idx="305">
                  <c:v>61</c:v>
                </c:pt>
                <c:pt idx="306">
                  <c:v>61</c:v>
                </c:pt>
                <c:pt idx="307">
                  <c:v>61</c:v>
                </c:pt>
                <c:pt idx="308">
                  <c:v>61</c:v>
                </c:pt>
                <c:pt idx="309">
                  <c:v>62</c:v>
                </c:pt>
                <c:pt idx="310">
                  <c:v>62</c:v>
                </c:pt>
                <c:pt idx="311">
                  <c:v>62</c:v>
                </c:pt>
                <c:pt idx="312">
                  <c:v>62</c:v>
                </c:pt>
                <c:pt idx="313">
                  <c:v>62</c:v>
                </c:pt>
                <c:pt idx="314">
                  <c:v>62</c:v>
                </c:pt>
                <c:pt idx="315">
                  <c:v>62</c:v>
                </c:pt>
                <c:pt idx="316">
                  <c:v>63</c:v>
                </c:pt>
                <c:pt idx="317">
                  <c:v>63</c:v>
                </c:pt>
                <c:pt idx="318">
                  <c:v>64</c:v>
                </c:pt>
                <c:pt idx="319">
                  <c:v>65</c:v>
                </c:pt>
                <c:pt idx="320">
                  <c:v>65</c:v>
                </c:pt>
                <c:pt idx="321">
                  <c:v>65</c:v>
                </c:pt>
                <c:pt idx="322">
                  <c:v>65</c:v>
                </c:pt>
                <c:pt idx="323">
                  <c:v>65</c:v>
                </c:pt>
                <c:pt idx="324">
                  <c:v>65</c:v>
                </c:pt>
                <c:pt idx="325">
                  <c:v>65</c:v>
                </c:pt>
                <c:pt idx="326">
                  <c:v>65</c:v>
                </c:pt>
                <c:pt idx="327">
                  <c:v>65</c:v>
                </c:pt>
                <c:pt idx="328">
                  <c:v>65</c:v>
                </c:pt>
                <c:pt idx="329">
                  <c:v>66</c:v>
                </c:pt>
                <c:pt idx="330">
                  <c:v>66</c:v>
                </c:pt>
                <c:pt idx="331">
                  <c:v>67</c:v>
                </c:pt>
                <c:pt idx="332">
                  <c:v>68</c:v>
                </c:pt>
                <c:pt idx="333">
                  <c:v>69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71</c:v>
                </c:pt>
                <c:pt idx="349">
                  <c:v>71</c:v>
                </c:pt>
                <c:pt idx="350">
                  <c:v>71</c:v>
                </c:pt>
                <c:pt idx="351">
                  <c:v>71</c:v>
                </c:pt>
                <c:pt idx="352">
                  <c:v>71</c:v>
                </c:pt>
                <c:pt idx="353">
                  <c:v>71</c:v>
                </c:pt>
                <c:pt idx="354">
                  <c:v>71</c:v>
                </c:pt>
                <c:pt idx="355">
                  <c:v>72</c:v>
                </c:pt>
                <c:pt idx="356">
                  <c:v>72</c:v>
                </c:pt>
                <c:pt idx="357">
                  <c:v>72</c:v>
                </c:pt>
                <c:pt idx="358">
                  <c:v>72</c:v>
                </c:pt>
                <c:pt idx="359">
                  <c:v>72</c:v>
                </c:pt>
                <c:pt idx="360">
                  <c:v>72</c:v>
                </c:pt>
                <c:pt idx="361">
                  <c:v>73</c:v>
                </c:pt>
                <c:pt idx="362">
                  <c:v>73</c:v>
                </c:pt>
                <c:pt idx="363">
                  <c:v>73</c:v>
                </c:pt>
                <c:pt idx="364">
                  <c:v>73</c:v>
                </c:pt>
                <c:pt idx="365">
                  <c:v>73</c:v>
                </c:pt>
                <c:pt idx="366">
                  <c:v>73</c:v>
                </c:pt>
                <c:pt idx="367">
                  <c:v>73</c:v>
                </c:pt>
                <c:pt idx="368">
                  <c:v>73</c:v>
                </c:pt>
                <c:pt idx="369">
                  <c:v>73</c:v>
                </c:pt>
                <c:pt idx="370">
                  <c:v>73</c:v>
                </c:pt>
                <c:pt idx="371">
                  <c:v>73</c:v>
                </c:pt>
                <c:pt idx="372">
                  <c:v>74</c:v>
                </c:pt>
                <c:pt idx="373">
                  <c:v>74</c:v>
                </c:pt>
                <c:pt idx="374">
                  <c:v>74</c:v>
                </c:pt>
                <c:pt idx="375">
                  <c:v>74</c:v>
                </c:pt>
                <c:pt idx="376">
                  <c:v>74</c:v>
                </c:pt>
                <c:pt idx="377">
                  <c:v>74</c:v>
                </c:pt>
                <c:pt idx="378">
                  <c:v>74</c:v>
                </c:pt>
                <c:pt idx="379">
                  <c:v>75</c:v>
                </c:pt>
                <c:pt idx="380">
                  <c:v>75</c:v>
                </c:pt>
                <c:pt idx="381">
                  <c:v>75</c:v>
                </c:pt>
                <c:pt idx="382">
                  <c:v>75</c:v>
                </c:pt>
                <c:pt idx="383">
                  <c:v>75</c:v>
                </c:pt>
                <c:pt idx="384">
                  <c:v>75</c:v>
                </c:pt>
                <c:pt idx="385">
                  <c:v>75</c:v>
                </c:pt>
                <c:pt idx="386">
                  <c:v>75</c:v>
                </c:pt>
                <c:pt idx="387">
                  <c:v>75</c:v>
                </c:pt>
                <c:pt idx="388">
                  <c:v>75</c:v>
                </c:pt>
                <c:pt idx="389">
                  <c:v>75</c:v>
                </c:pt>
                <c:pt idx="390">
                  <c:v>75</c:v>
                </c:pt>
                <c:pt idx="391">
                  <c:v>75</c:v>
                </c:pt>
                <c:pt idx="392">
                  <c:v>75</c:v>
                </c:pt>
                <c:pt idx="393">
                  <c:v>75</c:v>
                </c:pt>
                <c:pt idx="394">
                  <c:v>76</c:v>
                </c:pt>
                <c:pt idx="395">
                  <c:v>76</c:v>
                </c:pt>
                <c:pt idx="396">
                  <c:v>76</c:v>
                </c:pt>
                <c:pt idx="397">
                  <c:v>76</c:v>
                </c:pt>
                <c:pt idx="398">
                  <c:v>76</c:v>
                </c:pt>
                <c:pt idx="399">
                  <c:v>76</c:v>
                </c:pt>
                <c:pt idx="400">
                  <c:v>76</c:v>
                </c:pt>
                <c:pt idx="401">
                  <c:v>77</c:v>
                </c:pt>
                <c:pt idx="402">
                  <c:v>77</c:v>
                </c:pt>
                <c:pt idx="403">
                  <c:v>77</c:v>
                </c:pt>
                <c:pt idx="404">
                  <c:v>78</c:v>
                </c:pt>
                <c:pt idx="405">
                  <c:v>78</c:v>
                </c:pt>
                <c:pt idx="406">
                  <c:v>78</c:v>
                </c:pt>
                <c:pt idx="407">
                  <c:v>78</c:v>
                </c:pt>
                <c:pt idx="408">
                  <c:v>78</c:v>
                </c:pt>
                <c:pt idx="409">
                  <c:v>79</c:v>
                </c:pt>
                <c:pt idx="410">
                  <c:v>79</c:v>
                </c:pt>
                <c:pt idx="411">
                  <c:v>79</c:v>
                </c:pt>
                <c:pt idx="412">
                  <c:v>79</c:v>
                </c:pt>
                <c:pt idx="413">
                  <c:v>80</c:v>
                </c:pt>
                <c:pt idx="414">
                  <c:v>81</c:v>
                </c:pt>
                <c:pt idx="415">
                  <c:v>82</c:v>
                </c:pt>
                <c:pt idx="416">
                  <c:v>82</c:v>
                </c:pt>
                <c:pt idx="417">
                  <c:v>83</c:v>
                </c:pt>
                <c:pt idx="418">
                  <c:v>84</c:v>
                </c:pt>
                <c:pt idx="419">
                  <c:v>84</c:v>
                </c:pt>
                <c:pt idx="420">
                  <c:v>84</c:v>
                </c:pt>
                <c:pt idx="421">
                  <c:v>84</c:v>
                </c:pt>
                <c:pt idx="422">
                  <c:v>84</c:v>
                </c:pt>
                <c:pt idx="423">
                  <c:v>84</c:v>
                </c:pt>
                <c:pt idx="424">
                  <c:v>84</c:v>
                </c:pt>
                <c:pt idx="425">
                  <c:v>84</c:v>
                </c:pt>
                <c:pt idx="426">
                  <c:v>84</c:v>
                </c:pt>
                <c:pt idx="427">
                  <c:v>84</c:v>
                </c:pt>
                <c:pt idx="428">
                  <c:v>84</c:v>
                </c:pt>
                <c:pt idx="429">
                  <c:v>84</c:v>
                </c:pt>
                <c:pt idx="430">
                  <c:v>84</c:v>
                </c:pt>
                <c:pt idx="431">
                  <c:v>84</c:v>
                </c:pt>
                <c:pt idx="432">
                  <c:v>84</c:v>
                </c:pt>
                <c:pt idx="433">
                  <c:v>84</c:v>
                </c:pt>
                <c:pt idx="434">
                  <c:v>84</c:v>
                </c:pt>
                <c:pt idx="435">
                  <c:v>85</c:v>
                </c:pt>
                <c:pt idx="436">
                  <c:v>85</c:v>
                </c:pt>
                <c:pt idx="437">
                  <c:v>85</c:v>
                </c:pt>
                <c:pt idx="438">
                  <c:v>85</c:v>
                </c:pt>
                <c:pt idx="439">
                  <c:v>85</c:v>
                </c:pt>
                <c:pt idx="440">
                  <c:v>85</c:v>
                </c:pt>
                <c:pt idx="441">
                  <c:v>86</c:v>
                </c:pt>
                <c:pt idx="442">
                  <c:v>86</c:v>
                </c:pt>
                <c:pt idx="443">
                  <c:v>86</c:v>
                </c:pt>
                <c:pt idx="444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39-4005-8766-0AD3001CB528}"/>
            </c:ext>
          </c:extLst>
        </c:ser>
        <c:ser>
          <c:idx val="4"/>
          <c:order val="4"/>
          <c:tx>
            <c:strRef>
              <c:f>'Mario Party'!$F$1</c:f>
              <c:strCache>
                <c:ptCount val="1"/>
                <c:pt idx="0">
                  <c:v>currydestroyer27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'Mario Party'!$F$2:$F$446</c:f>
              <c:numCache>
                <c:formatCode>General</c:formatCode>
                <c:ptCount val="4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9</c:v>
                </c:pt>
                <c:pt idx="42">
                  <c:v>10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13</c:v>
                </c:pt>
                <c:pt idx="55">
                  <c:v>13</c:v>
                </c:pt>
                <c:pt idx="56">
                  <c:v>14</c:v>
                </c:pt>
                <c:pt idx="57">
                  <c:v>14</c:v>
                </c:pt>
                <c:pt idx="58">
                  <c:v>14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14</c:v>
                </c:pt>
                <c:pt idx="63">
                  <c:v>14</c:v>
                </c:pt>
                <c:pt idx="64">
                  <c:v>14</c:v>
                </c:pt>
                <c:pt idx="65">
                  <c:v>15</c:v>
                </c:pt>
                <c:pt idx="66">
                  <c:v>15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16</c:v>
                </c:pt>
                <c:pt idx="79">
                  <c:v>17</c:v>
                </c:pt>
                <c:pt idx="80">
                  <c:v>17</c:v>
                </c:pt>
                <c:pt idx="81">
                  <c:v>17</c:v>
                </c:pt>
                <c:pt idx="82">
                  <c:v>17</c:v>
                </c:pt>
                <c:pt idx="83">
                  <c:v>17</c:v>
                </c:pt>
                <c:pt idx="84">
                  <c:v>17</c:v>
                </c:pt>
                <c:pt idx="85">
                  <c:v>17</c:v>
                </c:pt>
                <c:pt idx="86">
                  <c:v>17</c:v>
                </c:pt>
                <c:pt idx="87">
                  <c:v>17</c:v>
                </c:pt>
                <c:pt idx="88">
                  <c:v>17</c:v>
                </c:pt>
                <c:pt idx="89">
                  <c:v>17</c:v>
                </c:pt>
                <c:pt idx="90">
                  <c:v>17</c:v>
                </c:pt>
                <c:pt idx="91">
                  <c:v>17</c:v>
                </c:pt>
                <c:pt idx="92">
                  <c:v>18</c:v>
                </c:pt>
                <c:pt idx="93">
                  <c:v>18</c:v>
                </c:pt>
                <c:pt idx="94">
                  <c:v>18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19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21</c:v>
                </c:pt>
                <c:pt idx="117">
                  <c:v>21</c:v>
                </c:pt>
                <c:pt idx="118">
                  <c:v>21</c:v>
                </c:pt>
                <c:pt idx="119">
                  <c:v>21</c:v>
                </c:pt>
                <c:pt idx="120">
                  <c:v>21</c:v>
                </c:pt>
                <c:pt idx="121">
                  <c:v>21</c:v>
                </c:pt>
                <c:pt idx="122">
                  <c:v>22</c:v>
                </c:pt>
                <c:pt idx="123">
                  <c:v>22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25</c:v>
                </c:pt>
                <c:pt idx="136">
                  <c:v>25</c:v>
                </c:pt>
                <c:pt idx="137">
                  <c:v>26</c:v>
                </c:pt>
                <c:pt idx="138">
                  <c:v>26</c:v>
                </c:pt>
                <c:pt idx="139">
                  <c:v>27</c:v>
                </c:pt>
                <c:pt idx="140">
                  <c:v>27</c:v>
                </c:pt>
                <c:pt idx="141">
                  <c:v>27</c:v>
                </c:pt>
                <c:pt idx="142">
                  <c:v>28</c:v>
                </c:pt>
                <c:pt idx="143">
                  <c:v>29</c:v>
                </c:pt>
                <c:pt idx="144">
                  <c:v>29</c:v>
                </c:pt>
                <c:pt idx="145">
                  <c:v>29</c:v>
                </c:pt>
                <c:pt idx="146">
                  <c:v>29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31</c:v>
                </c:pt>
                <c:pt idx="152">
                  <c:v>32</c:v>
                </c:pt>
                <c:pt idx="153">
                  <c:v>33</c:v>
                </c:pt>
                <c:pt idx="154">
                  <c:v>33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33</c:v>
                </c:pt>
                <c:pt idx="159">
                  <c:v>33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34</c:v>
                </c:pt>
                <c:pt idx="164">
                  <c:v>34</c:v>
                </c:pt>
                <c:pt idx="165">
                  <c:v>34</c:v>
                </c:pt>
                <c:pt idx="166">
                  <c:v>34</c:v>
                </c:pt>
                <c:pt idx="167">
                  <c:v>34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36</c:v>
                </c:pt>
                <c:pt idx="173">
                  <c:v>36</c:v>
                </c:pt>
                <c:pt idx="174">
                  <c:v>37</c:v>
                </c:pt>
                <c:pt idx="175">
                  <c:v>37</c:v>
                </c:pt>
                <c:pt idx="176">
                  <c:v>38</c:v>
                </c:pt>
                <c:pt idx="177">
                  <c:v>38</c:v>
                </c:pt>
                <c:pt idx="178">
                  <c:v>38</c:v>
                </c:pt>
                <c:pt idx="179">
                  <c:v>38</c:v>
                </c:pt>
                <c:pt idx="180">
                  <c:v>38</c:v>
                </c:pt>
                <c:pt idx="181">
                  <c:v>38</c:v>
                </c:pt>
                <c:pt idx="182">
                  <c:v>38</c:v>
                </c:pt>
                <c:pt idx="183">
                  <c:v>38</c:v>
                </c:pt>
                <c:pt idx="184">
                  <c:v>38</c:v>
                </c:pt>
                <c:pt idx="185">
                  <c:v>38</c:v>
                </c:pt>
                <c:pt idx="186">
                  <c:v>39</c:v>
                </c:pt>
                <c:pt idx="187">
                  <c:v>39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41</c:v>
                </c:pt>
                <c:pt idx="196">
                  <c:v>41</c:v>
                </c:pt>
                <c:pt idx="197">
                  <c:v>41</c:v>
                </c:pt>
                <c:pt idx="198">
                  <c:v>41</c:v>
                </c:pt>
                <c:pt idx="199">
                  <c:v>41</c:v>
                </c:pt>
                <c:pt idx="200">
                  <c:v>41</c:v>
                </c:pt>
                <c:pt idx="201">
                  <c:v>42</c:v>
                </c:pt>
                <c:pt idx="202">
                  <c:v>42</c:v>
                </c:pt>
                <c:pt idx="203">
                  <c:v>42</c:v>
                </c:pt>
                <c:pt idx="204">
                  <c:v>43</c:v>
                </c:pt>
                <c:pt idx="205">
                  <c:v>44</c:v>
                </c:pt>
                <c:pt idx="206">
                  <c:v>44</c:v>
                </c:pt>
                <c:pt idx="207">
                  <c:v>45</c:v>
                </c:pt>
                <c:pt idx="208">
                  <c:v>45</c:v>
                </c:pt>
                <c:pt idx="209">
                  <c:v>45</c:v>
                </c:pt>
                <c:pt idx="210">
                  <c:v>45</c:v>
                </c:pt>
                <c:pt idx="211">
                  <c:v>46</c:v>
                </c:pt>
                <c:pt idx="212">
                  <c:v>47</c:v>
                </c:pt>
                <c:pt idx="213">
                  <c:v>47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48</c:v>
                </c:pt>
                <c:pt idx="221">
                  <c:v>48</c:v>
                </c:pt>
                <c:pt idx="222">
                  <c:v>48</c:v>
                </c:pt>
                <c:pt idx="223">
                  <c:v>48</c:v>
                </c:pt>
                <c:pt idx="224">
                  <c:v>48</c:v>
                </c:pt>
                <c:pt idx="225">
                  <c:v>48</c:v>
                </c:pt>
                <c:pt idx="226">
                  <c:v>49</c:v>
                </c:pt>
                <c:pt idx="227">
                  <c:v>49</c:v>
                </c:pt>
                <c:pt idx="228">
                  <c:v>49</c:v>
                </c:pt>
                <c:pt idx="229">
                  <c:v>49</c:v>
                </c:pt>
                <c:pt idx="230">
                  <c:v>49</c:v>
                </c:pt>
                <c:pt idx="231">
                  <c:v>49</c:v>
                </c:pt>
                <c:pt idx="232">
                  <c:v>49</c:v>
                </c:pt>
                <c:pt idx="233">
                  <c:v>49</c:v>
                </c:pt>
                <c:pt idx="234">
                  <c:v>49</c:v>
                </c:pt>
                <c:pt idx="235">
                  <c:v>49</c:v>
                </c:pt>
                <c:pt idx="236">
                  <c:v>50</c:v>
                </c:pt>
                <c:pt idx="237">
                  <c:v>51</c:v>
                </c:pt>
                <c:pt idx="238">
                  <c:v>51</c:v>
                </c:pt>
                <c:pt idx="239">
                  <c:v>51</c:v>
                </c:pt>
                <c:pt idx="240">
                  <c:v>51</c:v>
                </c:pt>
                <c:pt idx="241">
                  <c:v>51</c:v>
                </c:pt>
                <c:pt idx="242">
                  <c:v>51</c:v>
                </c:pt>
                <c:pt idx="243">
                  <c:v>51</c:v>
                </c:pt>
                <c:pt idx="244">
                  <c:v>52</c:v>
                </c:pt>
                <c:pt idx="245">
                  <c:v>52</c:v>
                </c:pt>
                <c:pt idx="246">
                  <c:v>52</c:v>
                </c:pt>
                <c:pt idx="247">
                  <c:v>53</c:v>
                </c:pt>
                <c:pt idx="248">
                  <c:v>54</c:v>
                </c:pt>
                <c:pt idx="249">
                  <c:v>54</c:v>
                </c:pt>
                <c:pt idx="250">
                  <c:v>54</c:v>
                </c:pt>
                <c:pt idx="251">
                  <c:v>54</c:v>
                </c:pt>
                <c:pt idx="252">
                  <c:v>54</c:v>
                </c:pt>
                <c:pt idx="253">
                  <c:v>55</c:v>
                </c:pt>
                <c:pt idx="254">
                  <c:v>56</c:v>
                </c:pt>
                <c:pt idx="255">
                  <c:v>56</c:v>
                </c:pt>
                <c:pt idx="256">
                  <c:v>56</c:v>
                </c:pt>
                <c:pt idx="257">
                  <c:v>56</c:v>
                </c:pt>
                <c:pt idx="258">
                  <c:v>56</c:v>
                </c:pt>
                <c:pt idx="259">
                  <c:v>57</c:v>
                </c:pt>
                <c:pt idx="260">
                  <c:v>57</c:v>
                </c:pt>
                <c:pt idx="261">
                  <c:v>57</c:v>
                </c:pt>
                <c:pt idx="262">
                  <c:v>57</c:v>
                </c:pt>
                <c:pt idx="263">
                  <c:v>57</c:v>
                </c:pt>
                <c:pt idx="264">
                  <c:v>57</c:v>
                </c:pt>
                <c:pt idx="265">
                  <c:v>57</c:v>
                </c:pt>
                <c:pt idx="266">
                  <c:v>58</c:v>
                </c:pt>
                <c:pt idx="267">
                  <c:v>58</c:v>
                </c:pt>
                <c:pt idx="268">
                  <c:v>58</c:v>
                </c:pt>
                <c:pt idx="269">
                  <c:v>58</c:v>
                </c:pt>
                <c:pt idx="270">
                  <c:v>58</c:v>
                </c:pt>
                <c:pt idx="271">
                  <c:v>58</c:v>
                </c:pt>
                <c:pt idx="272">
                  <c:v>58</c:v>
                </c:pt>
                <c:pt idx="273">
                  <c:v>58</c:v>
                </c:pt>
                <c:pt idx="274">
                  <c:v>58</c:v>
                </c:pt>
                <c:pt idx="275">
                  <c:v>58</c:v>
                </c:pt>
                <c:pt idx="276">
                  <c:v>58</c:v>
                </c:pt>
                <c:pt idx="277">
                  <c:v>58</c:v>
                </c:pt>
                <c:pt idx="278">
                  <c:v>58</c:v>
                </c:pt>
                <c:pt idx="279">
                  <c:v>58</c:v>
                </c:pt>
                <c:pt idx="280">
                  <c:v>58</c:v>
                </c:pt>
                <c:pt idx="281">
                  <c:v>59</c:v>
                </c:pt>
                <c:pt idx="282">
                  <c:v>59</c:v>
                </c:pt>
                <c:pt idx="283">
                  <c:v>59</c:v>
                </c:pt>
                <c:pt idx="284">
                  <c:v>59</c:v>
                </c:pt>
                <c:pt idx="285">
                  <c:v>59</c:v>
                </c:pt>
                <c:pt idx="286">
                  <c:v>59</c:v>
                </c:pt>
                <c:pt idx="287">
                  <c:v>60</c:v>
                </c:pt>
                <c:pt idx="288">
                  <c:v>60</c:v>
                </c:pt>
                <c:pt idx="289">
                  <c:v>61</c:v>
                </c:pt>
                <c:pt idx="290">
                  <c:v>61</c:v>
                </c:pt>
                <c:pt idx="291">
                  <c:v>61</c:v>
                </c:pt>
                <c:pt idx="292">
                  <c:v>61</c:v>
                </c:pt>
                <c:pt idx="293">
                  <c:v>62</c:v>
                </c:pt>
                <c:pt idx="294">
                  <c:v>62</c:v>
                </c:pt>
                <c:pt idx="295">
                  <c:v>62</c:v>
                </c:pt>
                <c:pt idx="296">
                  <c:v>62</c:v>
                </c:pt>
                <c:pt idx="297">
                  <c:v>63</c:v>
                </c:pt>
                <c:pt idx="298">
                  <c:v>63</c:v>
                </c:pt>
                <c:pt idx="299">
                  <c:v>63</c:v>
                </c:pt>
                <c:pt idx="300">
                  <c:v>63</c:v>
                </c:pt>
                <c:pt idx="301">
                  <c:v>63</c:v>
                </c:pt>
                <c:pt idx="302">
                  <c:v>64</c:v>
                </c:pt>
                <c:pt idx="303">
                  <c:v>64</c:v>
                </c:pt>
                <c:pt idx="304">
                  <c:v>64</c:v>
                </c:pt>
                <c:pt idx="305">
                  <c:v>65</c:v>
                </c:pt>
                <c:pt idx="306">
                  <c:v>65</c:v>
                </c:pt>
                <c:pt idx="307">
                  <c:v>66</c:v>
                </c:pt>
                <c:pt idx="308">
                  <c:v>67</c:v>
                </c:pt>
                <c:pt idx="309">
                  <c:v>67</c:v>
                </c:pt>
                <c:pt idx="310">
                  <c:v>67</c:v>
                </c:pt>
                <c:pt idx="311">
                  <c:v>67</c:v>
                </c:pt>
                <c:pt idx="312">
                  <c:v>67</c:v>
                </c:pt>
                <c:pt idx="313">
                  <c:v>68</c:v>
                </c:pt>
                <c:pt idx="314">
                  <c:v>69</c:v>
                </c:pt>
                <c:pt idx="315">
                  <c:v>69</c:v>
                </c:pt>
                <c:pt idx="316">
                  <c:v>69</c:v>
                </c:pt>
                <c:pt idx="317">
                  <c:v>69</c:v>
                </c:pt>
                <c:pt idx="318">
                  <c:v>69</c:v>
                </c:pt>
                <c:pt idx="319">
                  <c:v>69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71</c:v>
                </c:pt>
                <c:pt idx="324">
                  <c:v>72</c:v>
                </c:pt>
                <c:pt idx="325">
                  <c:v>72</c:v>
                </c:pt>
                <c:pt idx="326">
                  <c:v>72</c:v>
                </c:pt>
                <c:pt idx="327">
                  <c:v>73</c:v>
                </c:pt>
                <c:pt idx="328">
                  <c:v>73</c:v>
                </c:pt>
                <c:pt idx="329">
                  <c:v>73</c:v>
                </c:pt>
                <c:pt idx="330">
                  <c:v>74</c:v>
                </c:pt>
                <c:pt idx="331">
                  <c:v>74</c:v>
                </c:pt>
                <c:pt idx="332">
                  <c:v>74</c:v>
                </c:pt>
                <c:pt idx="333">
                  <c:v>74</c:v>
                </c:pt>
                <c:pt idx="334">
                  <c:v>74</c:v>
                </c:pt>
                <c:pt idx="335">
                  <c:v>74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75</c:v>
                </c:pt>
                <c:pt idx="343">
                  <c:v>75</c:v>
                </c:pt>
                <c:pt idx="344">
                  <c:v>75</c:v>
                </c:pt>
                <c:pt idx="345">
                  <c:v>75</c:v>
                </c:pt>
                <c:pt idx="346">
                  <c:v>75</c:v>
                </c:pt>
                <c:pt idx="347">
                  <c:v>75</c:v>
                </c:pt>
                <c:pt idx="348">
                  <c:v>75</c:v>
                </c:pt>
                <c:pt idx="349">
                  <c:v>75</c:v>
                </c:pt>
                <c:pt idx="350">
                  <c:v>75</c:v>
                </c:pt>
                <c:pt idx="351">
                  <c:v>75</c:v>
                </c:pt>
                <c:pt idx="352">
                  <c:v>75</c:v>
                </c:pt>
                <c:pt idx="353">
                  <c:v>75</c:v>
                </c:pt>
                <c:pt idx="354">
                  <c:v>75</c:v>
                </c:pt>
                <c:pt idx="355">
                  <c:v>75</c:v>
                </c:pt>
                <c:pt idx="356">
                  <c:v>76</c:v>
                </c:pt>
                <c:pt idx="357">
                  <c:v>76</c:v>
                </c:pt>
                <c:pt idx="358">
                  <c:v>77</c:v>
                </c:pt>
                <c:pt idx="359">
                  <c:v>77</c:v>
                </c:pt>
                <c:pt idx="360">
                  <c:v>77</c:v>
                </c:pt>
                <c:pt idx="361">
                  <c:v>77</c:v>
                </c:pt>
                <c:pt idx="362">
                  <c:v>77</c:v>
                </c:pt>
                <c:pt idx="363">
                  <c:v>78</c:v>
                </c:pt>
                <c:pt idx="364">
                  <c:v>78</c:v>
                </c:pt>
                <c:pt idx="365">
                  <c:v>78</c:v>
                </c:pt>
                <c:pt idx="366">
                  <c:v>78</c:v>
                </c:pt>
                <c:pt idx="367">
                  <c:v>78</c:v>
                </c:pt>
                <c:pt idx="368">
                  <c:v>78</c:v>
                </c:pt>
                <c:pt idx="369">
                  <c:v>78</c:v>
                </c:pt>
                <c:pt idx="370">
                  <c:v>78</c:v>
                </c:pt>
                <c:pt idx="371">
                  <c:v>79</c:v>
                </c:pt>
                <c:pt idx="372">
                  <c:v>79</c:v>
                </c:pt>
                <c:pt idx="373">
                  <c:v>79</c:v>
                </c:pt>
                <c:pt idx="374">
                  <c:v>79</c:v>
                </c:pt>
                <c:pt idx="375">
                  <c:v>79</c:v>
                </c:pt>
                <c:pt idx="376">
                  <c:v>79</c:v>
                </c:pt>
                <c:pt idx="377">
                  <c:v>79</c:v>
                </c:pt>
                <c:pt idx="378">
                  <c:v>79</c:v>
                </c:pt>
                <c:pt idx="379">
                  <c:v>79</c:v>
                </c:pt>
                <c:pt idx="380">
                  <c:v>79</c:v>
                </c:pt>
                <c:pt idx="381">
                  <c:v>80</c:v>
                </c:pt>
                <c:pt idx="382">
                  <c:v>80</c:v>
                </c:pt>
                <c:pt idx="383">
                  <c:v>80</c:v>
                </c:pt>
                <c:pt idx="384">
                  <c:v>81</c:v>
                </c:pt>
                <c:pt idx="385">
                  <c:v>81</c:v>
                </c:pt>
                <c:pt idx="386">
                  <c:v>81</c:v>
                </c:pt>
                <c:pt idx="387">
                  <c:v>81</c:v>
                </c:pt>
                <c:pt idx="388">
                  <c:v>82</c:v>
                </c:pt>
                <c:pt idx="389">
                  <c:v>82</c:v>
                </c:pt>
                <c:pt idx="390">
                  <c:v>82</c:v>
                </c:pt>
                <c:pt idx="391">
                  <c:v>83</c:v>
                </c:pt>
                <c:pt idx="392">
                  <c:v>83</c:v>
                </c:pt>
                <c:pt idx="393">
                  <c:v>83</c:v>
                </c:pt>
                <c:pt idx="394">
                  <c:v>83</c:v>
                </c:pt>
                <c:pt idx="395">
                  <c:v>83</c:v>
                </c:pt>
                <c:pt idx="396">
                  <c:v>83</c:v>
                </c:pt>
                <c:pt idx="397">
                  <c:v>83</c:v>
                </c:pt>
                <c:pt idx="398">
                  <c:v>84</c:v>
                </c:pt>
                <c:pt idx="399">
                  <c:v>84</c:v>
                </c:pt>
                <c:pt idx="400">
                  <c:v>85</c:v>
                </c:pt>
                <c:pt idx="401">
                  <c:v>85</c:v>
                </c:pt>
                <c:pt idx="402">
                  <c:v>86</c:v>
                </c:pt>
                <c:pt idx="403">
                  <c:v>87</c:v>
                </c:pt>
                <c:pt idx="404">
                  <c:v>87</c:v>
                </c:pt>
                <c:pt idx="405">
                  <c:v>87</c:v>
                </c:pt>
                <c:pt idx="406">
                  <c:v>87</c:v>
                </c:pt>
                <c:pt idx="407">
                  <c:v>87</c:v>
                </c:pt>
                <c:pt idx="408">
                  <c:v>87</c:v>
                </c:pt>
                <c:pt idx="409">
                  <c:v>87</c:v>
                </c:pt>
                <c:pt idx="410">
                  <c:v>87</c:v>
                </c:pt>
                <c:pt idx="411">
                  <c:v>87</c:v>
                </c:pt>
                <c:pt idx="412">
                  <c:v>87</c:v>
                </c:pt>
                <c:pt idx="413">
                  <c:v>87</c:v>
                </c:pt>
                <c:pt idx="414">
                  <c:v>87</c:v>
                </c:pt>
                <c:pt idx="415">
                  <c:v>87</c:v>
                </c:pt>
                <c:pt idx="416">
                  <c:v>88</c:v>
                </c:pt>
                <c:pt idx="417">
                  <c:v>88</c:v>
                </c:pt>
                <c:pt idx="418">
                  <c:v>88</c:v>
                </c:pt>
                <c:pt idx="419">
                  <c:v>88</c:v>
                </c:pt>
                <c:pt idx="420">
                  <c:v>89</c:v>
                </c:pt>
                <c:pt idx="421">
                  <c:v>90</c:v>
                </c:pt>
                <c:pt idx="422">
                  <c:v>90</c:v>
                </c:pt>
                <c:pt idx="423">
                  <c:v>91</c:v>
                </c:pt>
                <c:pt idx="424">
                  <c:v>91</c:v>
                </c:pt>
                <c:pt idx="425">
                  <c:v>91</c:v>
                </c:pt>
                <c:pt idx="426">
                  <c:v>91</c:v>
                </c:pt>
                <c:pt idx="427">
                  <c:v>91</c:v>
                </c:pt>
                <c:pt idx="428">
                  <c:v>91</c:v>
                </c:pt>
                <c:pt idx="429">
                  <c:v>91</c:v>
                </c:pt>
                <c:pt idx="430">
                  <c:v>91</c:v>
                </c:pt>
                <c:pt idx="431">
                  <c:v>92</c:v>
                </c:pt>
                <c:pt idx="432">
                  <c:v>92</c:v>
                </c:pt>
                <c:pt idx="433">
                  <c:v>92</c:v>
                </c:pt>
                <c:pt idx="434">
                  <c:v>92</c:v>
                </c:pt>
                <c:pt idx="435">
                  <c:v>92</c:v>
                </c:pt>
                <c:pt idx="436">
                  <c:v>92</c:v>
                </c:pt>
                <c:pt idx="437">
                  <c:v>92</c:v>
                </c:pt>
                <c:pt idx="438">
                  <c:v>92</c:v>
                </c:pt>
                <c:pt idx="439">
                  <c:v>92</c:v>
                </c:pt>
                <c:pt idx="440">
                  <c:v>92</c:v>
                </c:pt>
                <c:pt idx="441">
                  <c:v>92</c:v>
                </c:pt>
                <c:pt idx="442">
                  <c:v>92</c:v>
                </c:pt>
                <c:pt idx="443">
                  <c:v>92</c:v>
                </c:pt>
                <c:pt idx="444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39-4005-8766-0AD3001CB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077504"/>
        <c:axId val="1972077984"/>
      </c:lineChart>
      <c:catAx>
        <c:axId val="197207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077984"/>
        <c:crosses val="autoZero"/>
        <c:auto val="1"/>
        <c:lblAlgn val="ctr"/>
        <c:lblOffset val="100"/>
        <c:noMultiLvlLbl val="0"/>
      </c:catAx>
      <c:valAx>
        <c:axId val="197207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07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Score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Graphs!$J$2</c:f>
              <c:strCache>
                <c:ptCount val="1"/>
                <c:pt idx="0">
                  <c:v>alappatjoe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Graphs!$I$19:$I$31</c:f>
              <c:strCache>
                <c:ptCount val="13"/>
                <c:pt idx="0">
                  <c:v>7/8/2024</c:v>
                </c:pt>
                <c:pt idx="1">
                  <c:v>7/9/2024</c:v>
                </c:pt>
                <c:pt idx="2">
                  <c:v>7/10/2024</c:v>
                </c:pt>
                <c:pt idx="3">
                  <c:v>7/11/2024</c:v>
                </c:pt>
                <c:pt idx="4">
                  <c:v>7/15/2024</c:v>
                </c:pt>
                <c:pt idx="5">
                  <c:v>(blank)</c:v>
                </c:pt>
                <c:pt idx="6">
                  <c:v>7/16/2024</c:v>
                </c:pt>
                <c:pt idx="7">
                  <c:v>7/17/2024</c:v>
                </c:pt>
                <c:pt idx="8">
                  <c:v>7/18/2024</c:v>
                </c:pt>
                <c:pt idx="9">
                  <c:v>7/22/2024</c:v>
                </c:pt>
                <c:pt idx="10">
                  <c:v>7/23/2024</c:v>
                </c:pt>
                <c:pt idx="11">
                  <c:v>7/24/2024</c:v>
                </c:pt>
                <c:pt idx="12">
                  <c:v>7/25/2024</c:v>
                </c:pt>
              </c:strCache>
            </c:strRef>
          </c:cat>
          <c:val>
            <c:numRef>
              <c:f>Graphs!$J$19:$J$31</c:f>
              <c:numCache>
                <c:formatCode>General</c:formatCode>
                <c:ptCount val="13"/>
                <c:pt idx="0">
                  <c:v>2.9866666666666659</c:v>
                </c:pt>
                <c:pt idx="1">
                  <c:v>3.0374999999999992</c:v>
                </c:pt>
                <c:pt idx="2">
                  <c:v>3.0588235294117641</c:v>
                </c:pt>
                <c:pt idx="3">
                  <c:v>3.0555555555555549</c:v>
                </c:pt>
                <c:pt idx="4">
                  <c:v>3.0315789473684203</c:v>
                </c:pt>
                <c:pt idx="5">
                  <c:v>3.0315789473684203</c:v>
                </c:pt>
                <c:pt idx="6">
                  <c:v>3.0399999999999996</c:v>
                </c:pt>
                <c:pt idx="7">
                  <c:v>3.0380952380952375</c:v>
                </c:pt>
                <c:pt idx="8">
                  <c:v>3.0909090909090904</c:v>
                </c:pt>
                <c:pt idx="9">
                  <c:v>3.0956521739130429</c:v>
                </c:pt>
                <c:pt idx="10">
                  <c:v>3.0749999999999993</c:v>
                </c:pt>
                <c:pt idx="11">
                  <c:v>3.0799999999999996</c:v>
                </c:pt>
                <c:pt idx="12">
                  <c:v>3.0692307692307685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2D-4589-982E-C1F9F2950D9E}"/>
            </c:ext>
          </c:extLst>
        </c:ser>
        <c:ser>
          <c:idx val="1"/>
          <c:order val="1"/>
          <c:tx>
            <c:strRef>
              <c:f>Graphs!$K$2</c:f>
              <c:strCache>
                <c:ptCount val="1"/>
                <c:pt idx="0">
                  <c:v>currydestroyer27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Graphs!$I$19:$I$31</c:f>
              <c:strCache>
                <c:ptCount val="13"/>
                <c:pt idx="0">
                  <c:v>7/8/2024</c:v>
                </c:pt>
                <c:pt idx="1">
                  <c:v>7/9/2024</c:v>
                </c:pt>
                <c:pt idx="2">
                  <c:v>7/10/2024</c:v>
                </c:pt>
                <c:pt idx="3">
                  <c:v>7/11/2024</c:v>
                </c:pt>
                <c:pt idx="4">
                  <c:v>7/15/2024</c:v>
                </c:pt>
                <c:pt idx="5">
                  <c:v>(blank)</c:v>
                </c:pt>
                <c:pt idx="6">
                  <c:v>7/16/2024</c:v>
                </c:pt>
                <c:pt idx="7">
                  <c:v>7/17/2024</c:v>
                </c:pt>
                <c:pt idx="8">
                  <c:v>7/18/2024</c:v>
                </c:pt>
                <c:pt idx="9">
                  <c:v>7/22/2024</c:v>
                </c:pt>
                <c:pt idx="10">
                  <c:v>7/23/2024</c:v>
                </c:pt>
                <c:pt idx="11">
                  <c:v>7/24/2024</c:v>
                </c:pt>
                <c:pt idx="12">
                  <c:v>7/25/2024</c:v>
                </c:pt>
              </c:strCache>
            </c:strRef>
          </c:cat>
          <c:val>
            <c:numRef>
              <c:f>Graphs!$K$19:$K$31</c:f>
              <c:numCache>
                <c:formatCode>General</c:formatCode>
                <c:ptCount val="13"/>
                <c:pt idx="0">
                  <c:v>2.9866666666666664</c:v>
                </c:pt>
                <c:pt idx="1">
                  <c:v>2.9749999999999996</c:v>
                </c:pt>
                <c:pt idx="2">
                  <c:v>2.9058823529411759</c:v>
                </c:pt>
                <c:pt idx="3">
                  <c:v>2.9333333333333327</c:v>
                </c:pt>
                <c:pt idx="4">
                  <c:v>2.873684210526315</c:v>
                </c:pt>
                <c:pt idx="5">
                  <c:v>2.873684210526315</c:v>
                </c:pt>
                <c:pt idx="6">
                  <c:v>2.8699999999999992</c:v>
                </c:pt>
                <c:pt idx="7">
                  <c:v>2.9047619047619042</c:v>
                </c:pt>
                <c:pt idx="8">
                  <c:v>2.9454545454545449</c:v>
                </c:pt>
                <c:pt idx="9">
                  <c:v>2.9391304347826077</c:v>
                </c:pt>
                <c:pt idx="10">
                  <c:v>2.899999999999999</c:v>
                </c:pt>
                <c:pt idx="11">
                  <c:v>2.9119999999999995</c:v>
                </c:pt>
                <c:pt idx="12">
                  <c:v>2.8846153846153841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2D-4589-982E-C1F9F2950D9E}"/>
            </c:ext>
          </c:extLst>
        </c:ser>
        <c:ser>
          <c:idx val="2"/>
          <c:order val="2"/>
          <c:tx>
            <c:strRef>
              <c:f>Graphs!$L$2</c:f>
              <c:strCache>
                <c:ptCount val="1"/>
                <c:pt idx="0">
                  <c:v>danram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Graphs!$I$19:$I$31</c:f>
              <c:strCache>
                <c:ptCount val="13"/>
                <c:pt idx="0">
                  <c:v>7/8/2024</c:v>
                </c:pt>
                <c:pt idx="1">
                  <c:v>7/9/2024</c:v>
                </c:pt>
                <c:pt idx="2">
                  <c:v>7/10/2024</c:v>
                </c:pt>
                <c:pt idx="3">
                  <c:v>7/11/2024</c:v>
                </c:pt>
                <c:pt idx="4">
                  <c:v>7/15/2024</c:v>
                </c:pt>
                <c:pt idx="5">
                  <c:v>(blank)</c:v>
                </c:pt>
                <c:pt idx="6">
                  <c:v>7/16/2024</c:v>
                </c:pt>
                <c:pt idx="7">
                  <c:v>7/17/2024</c:v>
                </c:pt>
                <c:pt idx="8">
                  <c:v>7/18/2024</c:v>
                </c:pt>
                <c:pt idx="9">
                  <c:v>7/22/2024</c:v>
                </c:pt>
                <c:pt idx="10">
                  <c:v>7/23/2024</c:v>
                </c:pt>
                <c:pt idx="11">
                  <c:v>7/24/2024</c:v>
                </c:pt>
                <c:pt idx="12">
                  <c:v>7/25/2024</c:v>
                </c:pt>
              </c:strCache>
            </c:strRef>
          </c:cat>
          <c:val>
            <c:numRef>
              <c:f>Graphs!$L$19:$L$31</c:f>
              <c:numCache>
                <c:formatCode>General</c:formatCode>
                <c:ptCount val="13"/>
                <c:pt idx="0">
                  <c:v>3.3466666666666667</c:v>
                </c:pt>
                <c:pt idx="1">
                  <c:v>3.3125</c:v>
                </c:pt>
                <c:pt idx="2">
                  <c:v>3.2588235294117647</c:v>
                </c:pt>
                <c:pt idx="3">
                  <c:v>3.2444444444444445</c:v>
                </c:pt>
                <c:pt idx="4">
                  <c:v>3.263157894736842</c:v>
                </c:pt>
                <c:pt idx="5">
                  <c:v>3.263157894736842</c:v>
                </c:pt>
                <c:pt idx="6">
                  <c:v>3.2700000000000005</c:v>
                </c:pt>
                <c:pt idx="7">
                  <c:v>3.2380952380952381</c:v>
                </c:pt>
                <c:pt idx="8">
                  <c:v>3.1909090909090909</c:v>
                </c:pt>
                <c:pt idx="9">
                  <c:v>3.1652173913043478</c:v>
                </c:pt>
                <c:pt idx="10">
                  <c:v>3.15</c:v>
                </c:pt>
                <c:pt idx="11">
                  <c:v>3.1279999999999997</c:v>
                </c:pt>
                <c:pt idx="12">
                  <c:v>3.092307692307692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2D-4589-982E-C1F9F2950D9E}"/>
            </c:ext>
          </c:extLst>
        </c:ser>
        <c:ser>
          <c:idx val="3"/>
          <c:order val="3"/>
          <c:tx>
            <c:strRef>
              <c:f>Graphs!$M$2</c:f>
              <c:strCache>
                <c:ptCount val="1"/>
                <c:pt idx="0">
                  <c:v>loganworsdell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Graphs!$I$19:$I$31</c:f>
              <c:strCache>
                <c:ptCount val="13"/>
                <c:pt idx="0">
                  <c:v>7/8/2024</c:v>
                </c:pt>
                <c:pt idx="1">
                  <c:v>7/9/2024</c:v>
                </c:pt>
                <c:pt idx="2">
                  <c:v>7/10/2024</c:v>
                </c:pt>
                <c:pt idx="3">
                  <c:v>7/11/2024</c:v>
                </c:pt>
                <c:pt idx="4">
                  <c:v>7/15/2024</c:v>
                </c:pt>
                <c:pt idx="5">
                  <c:v>(blank)</c:v>
                </c:pt>
                <c:pt idx="6">
                  <c:v>7/16/2024</c:v>
                </c:pt>
                <c:pt idx="7">
                  <c:v>7/17/2024</c:v>
                </c:pt>
                <c:pt idx="8">
                  <c:v>7/18/2024</c:v>
                </c:pt>
                <c:pt idx="9">
                  <c:v>7/22/2024</c:v>
                </c:pt>
                <c:pt idx="10">
                  <c:v>7/23/2024</c:v>
                </c:pt>
                <c:pt idx="11">
                  <c:v>7/24/2024</c:v>
                </c:pt>
                <c:pt idx="12">
                  <c:v>7/25/2024</c:v>
                </c:pt>
              </c:strCache>
            </c:strRef>
          </c:cat>
          <c:val>
            <c:numRef>
              <c:f>Graphs!$M$19:$M$31</c:f>
              <c:numCache>
                <c:formatCode>General</c:formatCode>
                <c:ptCount val="13"/>
                <c:pt idx="0">
                  <c:v>3.0133333333333336</c:v>
                </c:pt>
                <c:pt idx="1">
                  <c:v>2.9750000000000001</c:v>
                </c:pt>
                <c:pt idx="2">
                  <c:v>3.0235294117647058</c:v>
                </c:pt>
                <c:pt idx="3">
                  <c:v>3.0444444444444443</c:v>
                </c:pt>
                <c:pt idx="4">
                  <c:v>3.0526315789473686</c:v>
                </c:pt>
                <c:pt idx="5">
                  <c:v>3.0526315789473686</c:v>
                </c:pt>
                <c:pt idx="6">
                  <c:v>2.9699999999999998</c:v>
                </c:pt>
                <c:pt idx="7">
                  <c:v>2.9619047619047616</c:v>
                </c:pt>
                <c:pt idx="8">
                  <c:v>2.9363636363636361</c:v>
                </c:pt>
                <c:pt idx="9">
                  <c:v>2.9130434782608696</c:v>
                </c:pt>
                <c:pt idx="10">
                  <c:v>2.9416666666666664</c:v>
                </c:pt>
                <c:pt idx="11">
                  <c:v>2.9679999999999995</c:v>
                </c:pt>
                <c:pt idx="12">
                  <c:v>2.9923076923076914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2D-4589-982E-C1F9F2950D9E}"/>
            </c:ext>
          </c:extLst>
        </c:ser>
        <c:ser>
          <c:idx val="4"/>
          <c:order val="4"/>
          <c:tx>
            <c:strRef>
              <c:f>Graphs!$N$2</c:f>
              <c:strCache>
                <c:ptCount val="1"/>
                <c:pt idx="0">
                  <c:v>samuelbattista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Graphs!$I$19:$I$31</c:f>
              <c:strCache>
                <c:ptCount val="13"/>
                <c:pt idx="0">
                  <c:v>7/8/2024</c:v>
                </c:pt>
                <c:pt idx="1">
                  <c:v>7/9/2024</c:v>
                </c:pt>
                <c:pt idx="2">
                  <c:v>7/10/2024</c:v>
                </c:pt>
                <c:pt idx="3">
                  <c:v>7/11/2024</c:v>
                </c:pt>
                <c:pt idx="4">
                  <c:v>7/15/2024</c:v>
                </c:pt>
                <c:pt idx="5">
                  <c:v>(blank)</c:v>
                </c:pt>
                <c:pt idx="6">
                  <c:v>7/16/2024</c:v>
                </c:pt>
                <c:pt idx="7">
                  <c:v>7/17/2024</c:v>
                </c:pt>
                <c:pt idx="8">
                  <c:v>7/18/2024</c:v>
                </c:pt>
                <c:pt idx="9">
                  <c:v>7/22/2024</c:v>
                </c:pt>
                <c:pt idx="10">
                  <c:v>7/23/2024</c:v>
                </c:pt>
                <c:pt idx="11">
                  <c:v>7/24/2024</c:v>
                </c:pt>
                <c:pt idx="12">
                  <c:v>7/25/2024</c:v>
                </c:pt>
              </c:strCache>
            </c:strRef>
          </c:cat>
          <c:val>
            <c:numRef>
              <c:f>Graphs!$N$19:$N$31</c:f>
              <c:numCache>
                <c:formatCode>General</c:formatCode>
                <c:ptCount val="13"/>
                <c:pt idx="0">
                  <c:v>2.6666666666666665</c:v>
                </c:pt>
                <c:pt idx="1">
                  <c:v>2.7</c:v>
                </c:pt>
                <c:pt idx="2">
                  <c:v>2.7529411764705887</c:v>
                </c:pt>
                <c:pt idx="3">
                  <c:v>2.7222222222222228</c:v>
                </c:pt>
                <c:pt idx="4">
                  <c:v>2.7789473684210528</c:v>
                </c:pt>
                <c:pt idx="5">
                  <c:v>2.7789473684210528</c:v>
                </c:pt>
                <c:pt idx="6">
                  <c:v>2.8500000000000005</c:v>
                </c:pt>
                <c:pt idx="7">
                  <c:v>2.8571428571428577</c:v>
                </c:pt>
                <c:pt idx="8">
                  <c:v>2.8363636363636364</c:v>
                </c:pt>
                <c:pt idx="9">
                  <c:v>2.8869565217391306</c:v>
                </c:pt>
                <c:pt idx="10">
                  <c:v>2.9333333333333336</c:v>
                </c:pt>
                <c:pt idx="11">
                  <c:v>2.9120000000000004</c:v>
                </c:pt>
                <c:pt idx="12">
                  <c:v>2.9615384615384621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2D-4589-982E-C1F9F2950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685232"/>
        <c:axId val="720685712"/>
      </c:lineChart>
      <c:catAx>
        <c:axId val="720685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85712"/>
        <c:crosses val="autoZero"/>
        <c:auto val="1"/>
        <c:lblAlgn val="ctr"/>
        <c:lblOffset val="100"/>
        <c:noMultiLvlLbl val="1"/>
      </c:catAx>
      <c:valAx>
        <c:axId val="720685712"/>
        <c:scaling>
          <c:orientation val="minMax"/>
          <c:max val="3.4"/>
          <c:min val="2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8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open.spotify.com/playlist/4PPey8pNZ3O6tlXExEEzT7?si=ca7648edc78e41ca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521</xdr:row>
      <xdr:rowOff>0</xdr:rowOff>
    </xdr:from>
    <xdr:to>
      <xdr:col>1</xdr:col>
      <xdr:colOff>952500</xdr:colOff>
      <xdr:row>526</xdr:row>
      <xdr:rowOff>4310</xdr:rowOff>
    </xdr:to>
    <xdr:pic>
      <xdr:nvPicPr>
        <xdr:cNvPr id="131" name="Picture 97">
          <a:extLst>
            <a:ext uri="{FF2B5EF4-FFF2-40B4-BE49-F238E27FC236}">
              <a16:creationId xmlns:a16="http://schemas.microsoft.com/office/drawing/2014/main" id="{81A11684-5501-3B80-F2A1-B0E98314C0B0}"/>
            </a:ext>
            <a:ext uri="{147F2762-F138-4A5C-976F-8EAC2B608ADB}">
              <a16:predDERef xmlns:a16="http://schemas.microsoft.com/office/drawing/2014/main" pred="{4BB081E9-0C9B-EFBD-CDBF-BD4F45331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519" y="99477635"/>
          <a:ext cx="952500" cy="956810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</xdr:colOff>
      <xdr:row>1</xdr:row>
      <xdr:rowOff>9525</xdr:rowOff>
    </xdr:from>
    <xdr:to>
      <xdr:col>23</xdr:col>
      <xdr:colOff>595202</xdr:colOff>
      <xdr:row>5</xdr:row>
      <xdr:rowOff>190500</xdr:rowOff>
    </xdr:to>
    <xdr:pic>
      <xdr:nvPicPr>
        <xdr:cNvPr id="4" name="Pictur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B0ACDE-239D-4C4F-A62A-4F3AEE68D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60775" y="200025"/>
          <a:ext cx="1195277" cy="9565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1</xdr:row>
      <xdr:rowOff>19050</xdr:rowOff>
    </xdr:from>
    <xdr:to>
      <xdr:col>24</xdr:col>
      <xdr:colOff>180975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614E30-31C9-D129-B390-F3C6FACFA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2</xdr:row>
      <xdr:rowOff>4762</xdr:rowOff>
    </xdr:from>
    <xdr:to>
      <xdr:col>17</xdr:col>
      <xdr:colOff>742950</xdr:colOff>
      <xdr:row>16</xdr:row>
      <xdr:rowOff>80962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97BDE9D-197D-42FF-9604-56C84A7A1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Ramirez, Daniel A (US)" id="{DA9267A0-0274-45A3-B295-1DAB29D4B055}" userId="S::e444268@us.lmco.com::d7774194-c77e-4436-bf78-f1faf0b1cce7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504.536692013891" createdVersion="8" refreshedVersion="8" minRefreshableVersion="3" recordCount="155" xr:uid="{CE489467-BAB3-4861-BDAC-0ADA441A4E30}">
  <cacheSource type="worksheet">
    <worksheetSource ref="D1:P1048576" sheet="Rankings"/>
  </cacheSource>
  <cacheFields count="12">
    <cacheField name="Date (copy)" numFmtId="0">
      <sharedItems containsNonDate="0" containsDate="1" containsString="0" containsBlank="1" minDate="2024-06-12T00:00:00" maxDate="2024-08-02T00:00:00" count="34">
        <d v="2024-06-12T00:00:00"/>
        <d v="2024-06-13T00:00:00"/>
        <d v="2024-06-17T00:00:00"/>
        <d v="2024-06-18T00:00:00"/>
        <d v="2024-06-19T00:00:00"/>
        <d v="2024-06-20T00:00:00"/>
        <d v="2024-06-24T00:00:00"/>
        <d v="2024-06-25T00:00:00"/>
        <d v="2024-06-26T00:00:00"/>
        <d v="2024-06-27T00:00:00"/>
        <d v="2024-07-01T00:00:00"/>
        <d v="2024-07-02T00:00:00"/>
        <d v="2024-07-03T00:00:00"/>
        <d v="2024-07-04T00:00:00"/>
        <d v="2024-07-08T00:00:00"/>
        <d v="2024-07-09T00:00:00"/>
        <d v="2024-07-10T00:00:00"/>
        <d v="2024-07-11T00:00:00"/>
        <d v="2024-07-15T00:00:00"/>
        <d v="2024-07-16T00:00:00"/>
        <d v="2024-07-17T00:00:00"/>
        <d v="2024-07-18T00:00:00"/>
        <d v="2024-07-22T00:00:00"/>
        <d v="2024-07-23T00:00:00"/>
        <d v="2024-07-24T00:00:00"/>
        <d v="2024-07-25T00:00:00"/>
        <d v="2024-07-29T00:00:00"/>
        <d v="2024-07-30T00:00:00"/>
        <d v="2024-07-31T00:00:00"/>
        <d v="2024-08-01T00:00:00"/>
        <m/>
        <d v="2024-07-12T00:00:00" u="1"/>
        <d v="2024-07-13T00:00:00" u="1"/>
        <d v="2024-07-14T00:00:00" u="1"/>
      </sharedItems>
    </cacheField>
    <cacheField name="Poster" numFmtId="0">
      <sharedItems containsBlank="1" count="6">
        <s v="alappatjoe"/>
        <s v="danram"/>
        <s v="loganworsdell"/>
        <s v="samuelbattista"/>
        <s v="currydestroyer27"/>
        <m/>
      </sharedItems>
    </cacheField>
    <cacheField name="Average Score" numFmtId="0">
      <sharedItems containsString="0" containsBlank="1" containsNumber="1" minValue="1.4" maxValue="4.8"/>
    </cacheField>
    <cacheField name="STDEV" numFmtId="165">
      <sharedItems containsString="0" containsBlank="1" containsNumber="1" minValue="0.44721359549995715" maxValue="2.1908902300206647"/>
    </cacheField>
    <cacheField name="Song Title" numFmtId="0">
      <sharedItems containsBlank="1"/>
    </cacheField>
    <cacheField name="Artist" numFmtId="0">
      <sharedItems containsBlank="1"/>
    </cacheField>
    <cacheField name="alappatjoe" numFmtId="0">
      <sharedItems containsString="0" containsBlank="1" containsNumber="1" containsInteger="1" minValue="1" maxValue="5"/>
    </cacheField>
    <cacheField name="danram" numFmtId="0">
      <sharedItems containsString="0" containsBlank="1" containsNumber="1" containsInteger="1" minValue="1" maxValue="5"/>
    </cacheField>
    <cacheField name="loganworsdell" numFmtId="0">
      <sharedItems containsString="0" containsBlank="1" containsNumber="1" containsInteger="1" minValue="1" maxValue="5"/>
    </cacheField>
    <cacheField name="samuelbattista" numFmtId="0">
      <sharedItems containsString="0" containsBlank="1" containsNumber="1" containsInteger="1" minValue="1" maxValue="5"/>
    </cacheField>
    <cacheField name="currydestroyer27" numFmtId="0">
      <sharedItems containsString="0" containsBlank="1" containsNumber="1" containsInteger="1" minValue="1" maxValue="5"/>
    </cacheField>
    <cacheField name="Parent Gen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517.531268287035" createdVersion="8" refreshedVersion="8" minRefreshableVersion="3" recordCount="190" xr:uid="{EA06CE1C-E758-49E9-A9F6-9DF1074C47B3}">
  <cacheSource type="worksheet">
    <worksheetSource name="Data[[Date]:[Parent Genre]]"/>
  </cacheSource>
  <cacheFields count="13">
    <cacheField name="Date" numFmtId="164">
      <sharedItems containsSemiMixedTypes="0" containsNonDate="0" containsDate="1" containsString="0" minDate="2024-06-12T00:00:00" maxDate="2024-08-16T00:00:00"/>
    </cacheField>
    <cacheField name="Poster" numFmtId="0">
      <sharedItems/>
    </cacheField>
    <cacheField name="Average" numFmtId="0">
      <sharedItems containsMixedTypes="1" containsNumber="1" minValue="1.4" maxValue="4.8"/>
    </cacheField>
    <cacheField name="STDEV" numFmtId="165">
      <sharedItems containsMixedTypes="1" containsNumber="1" minValue="0.39999999999999997" maxValue="1.9595917942265424"/>
    </cacheField>
    <cacheField name="Song Title" numFmtId="0">
      <sharedItems containsBlank="1" containsMixedTypes="1" containsNumber="1" containsInteger="1" minValue="360" maxValue="360"/>
    </cacheField>
    <cacheField name="Artist" numFmtId="0">
      <sharedItems containsBlank="1"/>
    </cacheField>
    <cacheField name="alappatjoe" numFmtId="0">
      <sharedItems containsString="0" containsBlank="1" containsNumber="1" containsInteger="1" minValue="1" maxValue="5"/>
    </cacheField>
    <cacheField name="danram" numFmtId="0">
      <sharedItems containsString="0" containsBlank="1" containsNumber="1" containsInteger="1" minValue="1" maxValue="5"/>
    </cacheField>
    <cacheField name="loganworsdell" numFmtId="0">
      <sharedItems containsString="0" containsBlank="1" containsNumber="1" containsInteger="1" minValue="1" maxValue="5"/>
    </cacheField>
    <cacheField name="samuelbattista" numFmtId="0">
      <sharedItems containsString="0" containsBlank="1" containsNumber="1" containsInteger="1" minValue="1" maxValue="5"/>
    </cacheField>
    <cacheField name="currydestroyer27" numFmtId="0">
      <sharedItems containsString="0" containsBlank="1" containsNumber="1" containsInteger="1" minValue="1" maxValue="5"/>
    </cacheField>
    <cacheField name="Parent Genre" numFmtId="0">
      <sharedItems containsBlank="1" count="12">
        <s v="Pop"/>
        <s v="Electronic"/>
        <s v="Rap"/>
        <s v="Metal"/>
        <s v="International"/>
        <s v="R&amp;B"/>
        <s v="Rock"/>
        <s v="Country"/>
        <s v="Other"/>
        <s v="Jazz"/>
        <m/>
        <s v="Hip-Hop"/>
      </sharedItems>
    </cacheField>
    <cacheField name="Sub-Genre" numFmtId="0">
      <sharedItems containsBlank="1" count="89">
        <s v="Dance Pop"/>
        <s v="UK Garage"/>
        <s v="Dance/Electronic"/>
        <s v="Indie Pop"/>
        <s v="EDM"/>
        <s v="Rap"/>
        <s v="Metalcore"/>
        <s v="J-Metal"/>
        <s v="Alternative Pop"/>
        <s v="Pop"/>
        <s v="Indie soul"/>
        <s v="Hyperpop"/>
        <s v="K-Pop"/>
        <s v="J-Pop"/>
        <s v="UK Contemporary R&amp;B"/>
        <s v="Neo Soul"/>
        <s v="Korean Alternative"/>
        <s v="Purple Sound"/>
        <s v="Rock"/>
        <s v="Dance-Rock"/>
        <s v="Indietornica"/>
        <s v="Bollywood"/>
        <s v="Salsa"/>
        <s v="Complextro"/>
        <s v="Contemporary Country"/>
        <m/>
        <s v="Progressive Rock"/>
        <s v="Progressive Metal"/>
        <s v="J-Rap"/>
        <s v="Alertnative R&amp;B"/>
        <s v="Neo-Psychedelic"/>
        <s v="Big Band Jazz"/>
        <s v="Breakcore"/>
        <s v="Gym Phonk"/>
        <s v="Pop Punk"/>
        <s v="Post Pop Punk"/>
        <s v="Indie Poptimism"/>
        <s v="Modern Funk"/>
        <s v="VGM Jazz"/>
        <s v="Gym Hardstyle"/>
        <s v="Funk Rock"/>
        <s v="VGM"/>
        <s v="Samba"/>
        <s v="Houston Rap"/>
        <s v="Jazz Funk"/>
        <s v="Belgian Pop"/>
        <s v="Psychedelic Pop"/>
        <s v="Anime Rock"/>
        <s v="Pop Italiano"/>
        <s v="Jazz Pop"/>
        <s v="Indie Rock"/>
        <s v="Mandopop"/>
        <s v="Rap Rock"/>
        <s v="Japanese Alternative Rock"/>
        <s v="Indietronica"/>
        <s v="Pop Rap"/>
        <s v="Hip-Hop"/>
        <s v="Philly Rap"/>
        <s v="Alternative Metal"/>
        <s v="Alternative R&amp;B"/>
        <s v="Afro-Beat"/>
        <s v="Bedroom Pop"/>
        <s v="Funk"/>
        <s v="Trap"/>
        <s v="Post-Pop Punk"/>
        <s v="Synth Pop"/>
        <s v="Latin Pop"/>
        <s v="Lo-Fi"/>
        <s v="Hawaiian Pop"/>
        <s v="Hyper Pop"/>
        <s v="Trap Latino"/>
        <s v="Psychedelic Rock"/>
        <s v="Electro Pop"/>
        <s v="Reggaeton"/>
        <s v="Nu-Metalcore"/>
        <s v="Progressive Djent R&amp;B"/>
        <s v="Doo-Wop"/>
        <s v="Modern Indie Pop"/>
        <s v="Dream Pop"/>
        <s v="New Jersey Hip-Hop"/>
        <s v="metropopolis"/>
        <s v="Kawaii Metal"/>
        <s v="VGM Rock"/>
        <s v="Pop R&amp;B"/>
        <s v="Indie Folk"/>
        <s v="UK-Rap"/>
        <s v="Proggresive Djent R&amp;B"/>
        <s v="Bluegrass"/>
        <s v="Brazilian Fun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ppat, Joe C (US)" refreshedDate="46258.709076620369" createdVersion="8" refreshedVersion="8" minRefreshableVersion="3" recordCount="2225" xr:uid="{8E8F9142-F4E4-41B9-8CA4-3AE2FD7D37A4}">
  <cacheSource type="worksheet">
    <worksheetSource name="Data"/>
  </cacheSource>
  <cacheFields count="20">
    <cacheField name="Date" numFmtId="164">
      <sharedItems containsSemiMixedTypes="0" containsNonDate="0" containsDate="1" containsString="0" minDate="1900-01-04T00:00:00" maxDate="2026-08-28T00:00:00" count="446">
        <d v="2024-06-12T00:00:00"/>
        <d v="2024-06-13T00:00:00"/>
        <d v="2024-06-17T00:00:00"/>
        <d v="2024-06-18T00:00:00"/>
        <d v="2024-06-19T00:00:00"/>
        <d v="2024-06-20T00:00:00"/>
        <d v="2024-06-24T00:00:00"/>
        <d v="2024-06-25T00:00:00"/>
        <d v="2024-06-26T00:00:00"/>
        <d v="2024-06-27T00:00:00"/>
        <d v="2024-07-01T00:00:00"/>
        <d v="2024-07-02T00:00:00"/>
        <d v="2024-07-03T00:00:00"/>
        <d v="2024-07-04T00:00:00"/>
        <d v="2024-07-08T00:00:00"/>
        <d v="2024-07-09T00:00:00"/>
        <d v="2024-07-10T00:00:00"/>
        <d v="2024-07-11T00:00:00"/>
        <d v="2024-07-15T00:00:00"/>
        <d v="2024-07-16T00:00:00"/>
        <d v="2024-07-17T00:00:00"/>
        <d v="2024-07-18T00:00:00"/>
        <d v="2024-07-22T00:00:00"/>
        <d v="2024-07-23T00:00:00"/>
        <d v="2024-07-24T00:00:00"/>
        <d v="2024-07-25T00:00:00"/>
        <d v="2024-07-29T00:00:00"/>
        <d v="2024-07-30T00:00:00"/>
        <d v="2024-07-31T00:00:00"/>
        <d v="2024-08-01T00:00:00"/>
        <d v="2024-08-05T00:00:00"/>
        <d v="2024-08-06T00:00:00"/>
        <d v="2024-08-07T00:00:00"/>
        <d v="2024-08-08T00:00:00"/>
        <d v="2024-08-12T00:00:00"/>
        <d v="2024-08-13T00:00:00"/>
        <d v="2024-08-14T00:00:00"/>
        <d v="2024-08-15T00:00:00"/>
        <d v="2024-08-19T00:00:00"/>
        <d v="2024-08-20T00:00:00"/>
        <d v="2024-08-21T00:00:00"/>
        <d v="2024-08-22T00:00:00"/>
        <d v="2024-08-26T00:00:00"/>
        <d v="2024-08-27T00:00:00"/>
        <d v="2024-08-28T00:00:00"/>
        <d v="2024-08-29T00:00:00"/>
        <d v="2024-09-02T00:00:00"/>
        <d v="2024-09-03T00:00:00"/>
        <d v="2024-09-04T00:00:00"/>
        <d v="2024-09-05T00:00:00"/>
        <d v="2024-09-09T00:00:00"/>
        <d v="2024-09-10T00:00:00"/>
        <d v="2024-09-11T00:00:00"/>
        <d v="2024-09-12T00:00:00"/>
        <d v="2024-09-16T00:00:00"/>
        <d v="2024-09-17T00:00:00"/>
        <d v="2024-09-18T00:00:00"/>
        <d v="2024-09-19T00:00:00"/>
        <d v="2024-09-23T00:00:00"/>
        <d v="2024-09-24T00:00:00"/>
        <d v="2024-09-25T00:00:00"/>
        <d v="2024-09-26T00:00:00"/>
        <d v="2024-09-30T00:00:00"/>
        <d v="2024-10-01T00:00:00"/>
        <d v="2024-10-02T00:00:00"/>
        <d v="2024-10-03T00:00:00"/>
        <d v="2024-10-07T00:00:00"/>
        <d v="2024-10-08T00:00:00"/>
        <d v="2024-10-09T00:00:00"/>
        <d v="2024-10-10T00:00:00"/>
        <d v="2024-10-14T00:00:00"/>
        <d v="2024-10-15T00:00:00"/>
        <d v="2024-10-16T00:00:00"/>
        <d v="2024-10-17T00:00:00"/>
        <d v="2024-10-21T00:00:00"/>
        <d v="2024-10-22T00:00:00"/>
        <d v="2024-10-23T00:00:00"/>
        <d v="2024-10-24T00:00:00"/>
        <d v="2024-10-28T00:00:00"/>
        <d v="2024-10-29T00:00:00"/>
        <d v="2024-10-30T00:00:00"/>
        <d v="2024-10-31T00:00:00"/>
        <d v="2024-11-04T00:00:00"/>
        <d v="2024-11-05T00:00:00"/>
        <d v="2024-11-06T00:00:00"/>
        <d v="2024-11-07T00:00:00"/>
        <d v="2024-11-11T00:00:00"/>
        <d v="2024-11-12T00:00:00"/>
        <d v="2024-11-13T00:00:00"/>
        <d v="2024-11-14T00:00:00"/>
        <d v="2024-11-18T00:00:00"/>
        <d v="2024-11-19T00:00:00"/>
        <d v="2024-11-20T00:00:00"/>
        <d v="2024-11-21T00:00:00"/>
        <d v="2024-11-25T00:00:00"/>
        <d v="2024-11-26T00:00:00"/>
        <d v="2024-11-27T00:00:00"/>
        <d v="2024-11-28T00:00:00"/>
        <d v="2024-12-02T00:00:00"/>
        <d v="2024-12-03T00:00:00"/>
        <d v="2024-12-04T00:00:00"/>
        <d v="2024-12-05T00:00:00"/>
        <d v="2024-12-09T00:00:00"/>
        <d v="2024-12-10T00:00:00"/>
        <d v="2024-12-11T00:00:00"/>
        <d v="2024-12-12T00:00:00"/>
        <d v="2024-12-16T00:00:00"/>
        <d v="2024-12-17T00:00:00"/>
        <d v="2024-12-18T00:00:00"/>
        <d v="2024-12-19T00:00:00"/>
        <d v="2025-01-06T00:00:00"/>
        <d v="2025-01-07T00:00:00"/>
        <d v="2025-01-08T00:00:00"/>
        <d v="2025-01-09T00:00:00"/>
        <d v="2025-01-13T00:00:00"/>
        <d v="2025-01-14T00:00:00"/>
        <d v="2025-01-15T00:00:00"/>
        <d v="2025-01-16T00:00:00"/>
        <d v="2025-01-20T00:00:00"/>
        <d v="2025-01-21T00:00:00"/>
        <d v="2025-01-22T00:00:00"/>
        <d v="2025-01-23T00:00:00"/>
        <d v="2025-01-27T00:00:00"/>
        <d v="2025-01-28T00:00:00"/>
        <d v="2025-01-29T00:00:00"/>
        <d v="2025-01-30T00:00:00"/>
        <d v="2025-02-03T00:00:00"/>
        <d v="2025-02-04T00:00:00"/>
        <d v="2025-02-05T00:00:00"/>
        <d v="2025-02-06T00:00:00"/>
        <d v="2025-02-10T00:00:00"/>
        <d v="2025-02-11T00:00:00"/>
        <d v="2025-02-12T00:00:00"/>
        <d v="2025-02-13T00:00:00"/>
        <d v="2025-02-17T00:00:00"/>
        <d v="2025-02-18T00:00:00"/>
        <d v="2025-02-19T00:00:00"/>
        <d v="2025-02-20T00:00:00"/>
        <d v="2025-02-24T00:00:00"/>
        <d v="2025-02-25T00:00:00"/>
        <d v="2025-02-26T00:00:00"/>
        <d v="2025-02-27T00:00:00"/>
        <d v="2025-03-03T00:00:00"/>
        <d v="2025-03-04T00:00:00"/>
        <d v="2025-03-05T00:00:00"/>
        <d v="2025-03-06T00:00:00"/>
        <d v="2025-03-10T00:00:00"/>
        <d v="2025-03-11T00:00:00"/>
        <d v="2025-03-12T00:00:00"/>
        <d v="2025-03-13T00:00:00"/>
        <d v="2025-03-17T00:00:00"/>
        <d v="2025-03-18T00:00:00"/>
        <d v="2025-03-19T00:00:00"/>
        <d v="2025-03-20T00:00:00"/>
        <d v="2025-03-24T00:00:00"/>
        <d v="2025-03-25T00:00:00"/>
        <d v="2025-03-26T00:00:00"/>
        <d v="2025-03-27T00:00:00"/>
        <d v="2025-03-31T00:00:00"/>
        <d v="2025-04-01T00:00:00"/>
        <d v="2025-04-02T00:00:00"/>
        <d v="2025-04-03T00:00:00"/>
        <d v="2025-04-07T00:00:00"/>
        <d v="2025-04-08T00:00:00"/>
        <d v="2025-04-09T00:00:00"/>
        <d v="2025-04-10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8T00:00:00"/>
        <d v="2025-04-29T00:00:00"/>
        <d v="2025-04-30T00:00:00"/>
        <d v="2025-05-01T00:00:00"/>
        <d v="2025-05-05T00:00:00"/>
        <d v="2025-05-06T00:00:00"/>
        <d v="2025-05-07T00:00:00"/>
        <d v="2025-05-08T00:00:00"/>
        <d v="2025-05-12T00:00:00"/>
        <d v="2025-05-13T00:00:00"/>
        <d v="2025-05-14T00:00:00"/>
        <d v="2025-05-15T00:00:00"/>
        <d v="2025-05-19T00:00:00"/>
        <d v="2025-05-20T00:00:00"/>
        <d v="2025-05-21T00:00:00"/>
        <d v="2025-05-22T00:00:00"/>
        <d v="2025-05-26T00:00:00"/>
        <d v="2025-05-27T00:00:00"/>
        <d v="2025-05-28T00:00:00"/>
        <d v="2025-05-29T00:00:00"/>
        <d v="2025-06-02T00:00:00"/>
        <d v="2025-06-03T00:00:00"/>
        <d v="2025-06-04T00:00:00"/>
        <d v="2025-06-05T00:00:00"/>
        <d v="2025-06-09T00:00:00"/>
        <d v="2025-06-10T00:00:00"/>
        <d v="2025-06-11T00:00:00"/>
        <d v="2025-06-12T00:00:00"/>
        <d v="2025-06-16T00:00:00"/>
        <d v="2025-06-17T00:00:00"/>
        <d v="2025-06-18T00:00:00"/>
        <d v="2025-06-19T00:00:00"/>
        <d v="2025-06-23T00:00:00"/>
        <d v="2025-06-24T00:00:00"/>
        <d v="2025-06-25T00:00:00"/>
        <d v="2025-06-26T00:00:00"/>
        <d v="2025-06-30T00:00:00"/>
        <d v="2025-07-01T00:00:00"/>
        <d v="2025-07-02T00:00:00"/>
        <d v="2025-07-03T00:00:00"/>
        <d v="2025-07-07T00:00:00"/>
        <d v="2025-07-08T00:00:00"/>
        <d v="2025-07-09T00:00:00"/>
        <d v="2025-07-10T00:00:00"/>
        <d v="2025-07-14T00:00:00"/>
        <d v="2025-07-15T00:00:00"/>
        <d v="2025-07-16T00:00:00"/>
        <d v="2025-07-17T00:00:00"/>
        <d v="2025-07-21T00:00:00"/>
        <d v="2025-07-22T00:00:00"/>
        <d v="2025-07-23T00:00:00"/>
        <d v="2025-07-24T00:00:00"/>
        <d v="2025-07-28T00:00:00"/>
        <d v="2025-07-29T00:00:00"/>
        <d v="2025-07-30T00:00:00"/>
        <d v="2025-07-31T00:00:00"/>
        <d v="2025-08-04T00:00:00"/>
        <d v="2025-08-05T00:00:00"/>
        <d v="2025-08-06T00:00:00"/>
        <d v="2025-08-07T00:00:00"/>
        <d v="2025-08-11T00:00:00"/>
        <d v="2025-08-12T00:00:00"/>
        <d v="2025-08-13T00:00:00"/>
        <d v="2025-08-14T00:00:00"/>
        <d v="2025-08-18T00:00:00"/>
        <d v="2025-08-19T00:00:00"/>
        <d v="2025-08-20T00:00:00"/>
        <d v="2025-08-21T00:00:00"/>
        <d v="2025-08-25T00:00:00"/>
        <d v="2025-08-26T00:00:00"/>
        <d v="2025-08-27T00:00:00"/>
        <d v="2025-08-28T00:00:00"/>
        <d v="2025-09-02T00:00:00"/>
        <d v="2025-09-03T00:00:00"/>
        <d v="2025-09-04T00:00:00"/>
        <d v="2025-09-08T00:00:00"/>
        <d v="2025-09-09T00:00:00"/>
        <d v="2025-09-10T00:00:00"/>
        <d v="2025-09-11T00:00:00"/>
        <d v="2025-09-15T00:00:00"/>
        <d v="2025-09-16T00:00:00"/>
        <d v="2025-09-17T00:00:00"/>
        <d v="2025-09-18T00:00:00"/>
        <d v="2025-09-22T00:00:00"/>
        <d v="2025-09-23T00:00:00"/>
        <d v="2025-09-24T00:00:00"/>
        <d v="2025-09-25T00:00:00"/>
        <d v="2025-09-29T00:00:00"/>
        <d v="2025-09-30T00:00:00"/>
        <d v="2025-10-01T00:00:00"/>
        <d v="2025-10-02T00:00:00"/>
        <d v="2025-10-06T00:00:00"/>
        <d v="2025-10-07T00:00:00"/>
        <d v="2025-10-08T00:00:00"/>
        <d v="2025-10-09T00:00:00"/>
        <d v="2025-10-13T00:00:00"/>
        <d v="2025-10-14T00:00:00"/>
        <d v="2025-10-15T00:00:00"/>
        <d v="2025-10-16T00:00:00"/>
        <d v="2025-10-20T00:00:00"/>
        <d v="2025-10-21T00:00:00"/>
        <d v="2025-10-22T00:00:00"/>
        <d v="2025-10-23T00:00:00"/>
        <d v="2025-10-27T00:00:00"/>
        <d v="2025-10-28T00:00:00"/>
        <d v="2025-10-29T00:00:00"/>
        <d v="2025-10-30T00:00:00"/>
        <d v="2025-11-03T00:00:00"/>
        <d v="2025-11-04T00:00:00"/>
        <d v="2025-11-05T00:00:00"/>
        <d v="2025-11-06T00:00:00"/>
        <d v="2025-11-10T00:00:00"/>
        <d v="2025-11-11T00:00:00"/>
        <d v="2025-11-12T00:00:00"/>
        <d v="2025-11-13T00:00:00"/>
        <d v="2025-11-17T00:00:00"/>
        <d v="2025-11-18T00:00:00"/>
        <d v="2025-11-19T00:00:00"/>
        <d v="2025-11-20T00:00:00"/>
        <d v="2025-11-24T00:00:00"/>
        <d v="2025-11-25T00:00:00"/>
        <d v="2025-11-26T00:00:00"/>
        <d v="2025-11-27T00:00:00"/>
        <d v="2025-12-01T00:00:00"/>
        <d v="2025-12-02T00:00:00"/>
        <d v="2025-12-03T00:00:00"/>
        <d v="2025-12-04T00:00:00"/>
        <d v="2025-12-08T00:00:00"/>
        <d v="2025-12-09T00:00:00"/>
        <d v="2025-12-10T00:00:00"/>
        <d v="2025-12-11T00:00:00"/>
        <d v="2025-12-15T00:00:00"/>
        <d v="2025-12-16T00:00:00"/>
        <d v="2025-12-17T00:00:00"/>
        <d v="2025-12-18T00:00:00"/>
        <d v="2026-01-05T00:00:00"/>
        <d v="2026-01-06T00:00:00"/>
        <d v="2026-01-07T00:00:00"/>
        <d v="2026-01-08T00:00:00"/>
        <d v="2026-01-12T00:00:00"/>
        <d v="2026-01-13T00:00:00"/>
        <d v="2026-01-14T00:00:00"/>
        <d v="2026-01-15T00:00:00"/>
        <d v="2026-01-19T00:00:00"/>
        <d v="2026-01-20T00:00:00"/>
        <d v="2026-01-21T00:00:00"/>
        <d v="2026-01-22T00:00:00"/>
        <d v="2026-01-26T00:00:00"/>
        <d v="2026-01-27T00:00:00"/>
        <d v="2026-01-28T00:00:00"/>
        <d v="2026-01-29T00:00:00"/>
        <d v="2026-02-02T00:00:00"/>
        <d v="2026-02-03T00:00:00"/>
        <d v="2026-02-04T00:00:00"/>
        <d v="2026-02-05T00:00:00"/>
        <d v="2026-02-09T00:00:00"/>
        <d v="2026-02-10T00:00:00"/>
        <d v="2026-02-11T00:00:00"/>
        <d v="2026-02-12T00:00:00"/>
        <d v="2026-02-16T00:00:00"/>
        <d v="2026-02-17T00:00:00"/>
        <d v="2026-02-18T00:00:00"/>
        <d v="2026-02-19T00:00:00"/>
        <d v="2026-02-23T00:00:00"/>
        <d v="2026-02-24T00:00:00"/>
        <d v="2026-02-25T00:00:00"/>
        <d v="2026-02-26T00:00:00"/>
        <d v="2026-03-02T00:00:00"/>
        <d v="2026-03-03T00:00:00"/>
        <d v="2026-03-04T00:00:00"/>
        <d v="2026-03-05T00:00:00"/>
        <d v="2026-03-09T00:00:00"/>
        <d v="2026-03-10T00:00:00"/>
        <d v="2026-03-11T00:00:00"/>
        <d v="2026-03-12T00:00:00"/>
        <d v="2026-03-16T00:00:00"/>
        <d v="2026-03-17T00:00:00"/>
        <d v="2026-03-18T00:00:00"/>
        <d v="2026-03-19T00:00:00"/>
        <d v="2026-03-23T00:00:00"/>
        <d v="2026-03-24T00:00:00"/>
        <d v="2026-03-25T00:00:00"/>
        <d v="2026-03-26T00:00:00"/>
        <d v="2026-03-30T00:00:00"/>
        <d v="2026-03-31T00:00:00"/>
        <d v="2026-04-01T00:00:00"/>
        <d v="2026-04-02T00:00:00"/>
        <d v="2026-04-06T00:00:00"/>
        <d v="2026-04-07T00:00:00"/>
        <d v="2026-04-08T00:00:00"/>
        <d v="2026-04-09T00:00:00"/>
        <d v="2026-04-13T00:00:00"/>
        <d v="2026-04-14T00:00:00"/>
        <d v="2026-04-15T00:00:00"/>
        <d v="2026-04-16T00:00:00"/>
        <d v="2026-04-20T00:00:00"/>
        <d v="2026-04-21T00:00:00"/>
        <d v="2026-04-22T00:00:00"/>
        <d v="2026-04-23T00:00:00"/>
        <d v="2026-04-27T00:00:00"/>
        <d v="2026-04-28T00:00:00"/>
        <d v="2026-04-29T00:00:00"/>
        <d v="2026-04-30T00:00:00"/>
        <d v="2026-05-04T00:00:00"/>
        <d v="2026-05-05T00:00:00"/>
        <d v="2026-05-06T00:00:00"/>
        <d v="2026-05-07T00:00:00"/>
        <d v="2026-05-11T00:00:00"/>
        <d v="2026-05-12T00:00:00"/>
        <d v="2026-05-13T00:00:00"/>
        <d v="2026-05-14T00:00:00"/>
        <d v="2026-05-18T00:00:00"/>
        <d v="2026-05-19T00:00:00"/>
        <d v="2026-05-20T00:00:00"/>
        <d v="2026-05-21T00:00:00"/>
        <d v="2026-05-25T00:00:00"/>
        <d v="2026-05-26T00:00:00"/>
        <d v="2026-05-27T00:00:00"/>
        <d v="2026-05-28T00:00:00"/>
        <d v="2026-06-01T00:00:00"/>
        <d v="2026-06-02T00:00:00"/>
        <d v="2026-06-03T00:00:00"/>
        <d v="2026-06-04T00:00:00"/>
        <d v="2026-06-08T00:00:00"/>
        <d v="2026-06-09T00:00:00"/>
        <d v="2026-06-10T00:00:00"/>
        <d v="2026-06-11T00:00:00"/>
        <d v="2026-06-15T00:00:00"/>
        <d v="2026-06-16T00:00:00"/>
        <d v="2026-06-17T00:00:00"/>
        <d v="2026-06-18T00:00:00"/>
        <d v="2026-06-22T00:00:00"/>
        <d v="2026-06-23T00:00:00"/>
        <d v="2026-06-24T00:00:00"/>
        <d v="2026-06-25T00:00:00"/>
        <d v="2026-06-29T00:00:00"/>
        <d v="2026-06-30T00:00:00"/>
        <d v="2026-07-01T00:00:00"/>
        <d v="2026-07-02T00:00:00"/>
        <d v="2026-07-06T00:00:00"/>
        <d v="2026-07-07T00:00:00"/>
        <d v="2026-07-08T00:00:00"/>
        <d v="2026-07-09T00:00:00"/>
        <d v="2026-07-13T00:00:00"/>
        <d v="2026-07-14T00:00:00"/>
        <d v="2026-07-15T00:00:00"/>
        <d v="2026-07-16T00:00:00"/>
        <d v="2026-07-20T00:00:00"/>
        <d v="2026-07-21T00:00:00"/>
        <d v="2026-07-22T00:00:00"/>
        <d v="2026-07-23T00:00:00"/>
        <d v="2026-07-27T00:00:00"/>
        <d v="2026-07-28T00:00:00"/>
        <d v="2026-07-29T00:00:00"/>
        <d v="2026-07-30T00:00:00"/>
        <d v="2026-08-03T00:00:00"/>
        <d v="2026-08-04T00:00:00"/>
        <d v="2026-08-05T00:00:00"/>
        <d v="2026-08-06T00:00:00"/>
        <d v="2026-08-10T00:00:00"/>
        <d v="2026-08-11T00:00:00"/>
        <d v="2026-08-12T00:00:00"/>
        <d v="2026-08-13T00:00:00"/>
        <d v="2026-08-17T00:00:00"/>
        <d v="2026-08-18T00:00:00"/>
        <d v="2026-08-19T00:00:00"/>
        <d v="2026-08-20T00:00:00"/>
        <d v="2026-08-24T00:00:00"/>
        <d v="2026-08-25T00:00:00"/>
        <d v="2026-08-26T00:00:00"/>
        <d v="2026-08-27T00:00:00"/>
        <d v="1900-01-04T00:00:00" u="1"/>
      </sharedItems>
      <fieldGroup par="19"/>
    </cacheField>
    <cacheField name="Poster" numFmtId="0">
      <sharedItems/>
    </cacheField>
    <cacheField name="Average" numFmtId="0">
      <sharedItems containsMixedTypes="1" containsNumber="1" minValue="1" maxValue="5"/>
    </cacheField>
    <cacheField name="STDEV" numFmtId="165">
      <sharedItems containsMixedTypes="1" containsNumber="1" minValue="0" maxValue="2"/>
    </cacheField>
    <cacheField name="Song Title" numFmtId="0">
      <sharedItems containsBlank="1" containsMixedTypes="1" containsNumber="1" minValue="1.5" maxValue="90210"/>
    </cacheField>
    <cacheField name="Artist" numFmtId="0">
      <sharedItems containsBlank="1"/>
    </cacheField>
    <cacheField name="alappatjoe" numFmtId="0">
      <sharedItems containsString="0" containsBlank="1" containsNumber="1" containsInteger="1" minValue="1" maxValue="5"/>
    </cacheField>
    <cacheField name="danram" numFmtId="0">
      <sharedItems containsString="0" containsBlank="1" containsNumber="1" containsInteger="1" minValue="1" maxValue="5"/>
    </cacheField>
    <cacheField name="loganworsdell" numFmtId="0">
      <sharedItems containsString="0" containsBlank="1" containsNumber="1" containsInteger="1" minValue="1" maxValue="5"/>
    </cacheField>
    <cacheField name="samuelbattista" numFmtId="0">
      <sharedItems containsString="0" containsBlank="1" containsNumber="1" containsInteger="1" minValue="1" maxValue="5"/>
    </cacheField>
    <cacheField name="currydestroyer27" numFmtId="0">
      <sharedItems containsString="0" containsBlank="1" containsNumber="1" containsInteger="1" minValue="1" maxValue="5"/>
    </cacheField>
    <cacheField name="Plays" numFmtId="3">
      <sharedItems containsString="0" containsBlank="1" containsNumber="1" containsInteger="1" minValue="999" maxValue="5351958417"/>
    </cacheField>
    <cacheField name="Parent Genre" numFmtId="0">
      <sharedItems containsBlank="1"/>
    </cacheField>
    <cacheField name="Sub-Genre" numFmtId="0">
      <sharedItems containsBlank="1"/>
    </cacheField>
    <cacheField name="Day Rank" numFmtId="0">
      <sharedItems containsMixedTypes="1" containsNumber="1" containsInteger="1" minValue="1" maxValue="5"/>
    </cacheField>
    <cacheField name="W Rank" numFmtId="0">
      <sharedItems containsSemiMixedTypes="0" containsString="0" containsNumber="1" containsInteger="1" minValue="1" maxValue="5"/>
    </cacheField>
    <cacheField name="Winner" numFmtId="0">
      <sharedItems/>
    </cacheField>
    <cacheField name="Months (Date)" numFmtId="0" databaseField="0">
      <fieldGroup base="0">
        <rangePr groupBy="months" startDate="2024-06-12T00:00:00" endDate="2026-08-28T00:00:00"/>
        <groupItems count="14">
          <s v="&lt;6/1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8/2026"/>
        </groupItems>
      </fieldGroup>
    </cacheField>
    <cacheField name="Quarters (Date)" numFmtId="0" databaseField="0">
      <fieldGroup base="0">
        <rangePr groupBy="quarters" startDate="2024-06-12T00:00:00" endDate="2026-08-28T00:00:00"/>
        <groupItems count="6">
          <s v="&lt;6/12/2024"/>
          <s v="Qtr1"/>
          <s v="Qtr2"/>
          <s v="Qtr3"/>
          <s v="Qtr4"/>
          <s v="&gt;8/28/2026"/>
        </groupItems>
      </fieldGroup>
    </cacheField>
    <cacheField name="Years (Date)" numFmtId="0" databaseField="0">
      <fieldGroup base="0">
        <rangePr groupBy="years" startDate="2024-06-12T00:00:00" endDate="2026-08-28T00:00:00"/>
        <groupItems count="5">
          <s v="&lt;6/12/2024"/>
          <s v="2024"/>
          <s v="2025"/>
          <s v="2026"/>
          <s v="&gt;8/2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n v="2.8"/>
    <n v="1.4832396974191324"/>
    <s v="Training Season"/>
    <s v="Dua Lipa"/>
    <n v="1"/>
    <n v="5"/>
    <n v="3"/>
    <n v="2"/>
    <n v="3"/>
    <s v="Pop"/>
  </r>
  <r>
    <x v="0"/>
    <x v="1"/>
    <n v="2.2000000000000002"/>
    <n v="0.83666002653407567"/>
    <s v="Mosquito"/>
    <s v="PinkPantheress"/>
    <n v="3"/>
    <n v="1"/>
    <n v="2"/>
    <n v="3"/>
    <n v="2"/>
    <s v="Pop"/>
  </r>
  <r>
    <x v="0"/>
    <x v="2"/>
    <n v="3.2"/>
    <n v="1.3038404810405295"/>
    <s v="Earthquake"/>
    <s v="Ferdous"/>
    <n v="4"/>
    <n v="3"/>
    <n v="1"/>
    <n v="4"/>
    <n v="4"/>
    <s v="Electronic"/>
  </r>
  <r>
    <x v="0"/>
    <x v="3"/>
    <n v="2.8"/>
    <n v="1.6431676725154982"/>
    <s v="No Problems"/>
    <s v="Ginger Root"/>
    <n v="2"/>
    <n v="2"/>
    <n v="4"/>
    <n v="1"/>
    <n v="5"/>
    <s v="Pop"/>
  </r>
  <r>
    <x v="0"/>
    <x v="4"/>
    <n v="4"/>
    <n v="1.7320508075688772"/>
    <s v="Fly Away"/>
    <s v="TheFatRat, Anjulie"/>
    <n v="5"/>
    <n v="4"/>
    <n v="5"/>
    <n v="5"/>
    <n v="1"/>
    <s v="Electronic"/>
  </r>
  <r>
    <x v="1"/>
    <x v="0"/>
    <n v="2.2000000000000002"/>
    <n v="0.83666002653407567"/>
    <s v="Illusion - Extended"/>
    <s v="Dua Lipa"/>
    <n v="1"/>
    <n v="2"/>
    <n v="2"/>
    <n v="3"/>
    <n v="3"/>
    <s v="Pop"/>
  </r>
  <r>
    <x v="1"/>
    <x v="1"/>
    <n v="4.5999999999999996"/>
    <n v="0.8944271909999163"/>
    <s v="Took Em Down"/>
    <s v="BredGawd, LAZER DIM 700"/>
    <n v="5"/>
    <n v="3"/>
    <n v="5"/>
    <n v="5"/>
    <n v="5"/>
    <s v="Rap"/>
  </r>
  <r>
    <x v="1"/>
    <x v="2"/>
    <n v="2.2000000000000002"/>
    <n v="1.6431676725154984"/>
    <s v="Top 10 staTues tHat CriEd bloOd"/>
    <s v="Bring Me The Horizon"/>
    <n v="4"/>
    <n v="1"/>
    <n v="1"/>
    <n v="1"/>
    <n v="4"/>
    <s v="Metal"/>
  </r>
  <r>
    <x v="1"/>
    <x v="3"/>
    <n v="2.6"/>
    <n v="1.1401754250991383"/>
    <s v="RATATATA"/>
    <s v="BABYMETAL, Electric Callboy"/>
    <n v="3"/>
    <n v="4"/>
    <n v="3"/>
    <n v="2"/>
    <n v="1"/>
    <s v="International"/>
  </r>
  <r>
    <x v="1"/>
    <x v="4"/>
    <n v="3.4"/>
    <n v="1.3416407864998741"/>
    <s v="Blue Skies - Revoke Remix"/>
    <s v="Lenka, REVOKE"/>
    <n v="2"/>
    <n v="5"/>
    <n v="4"/>
    <n v="4"/>
    <n v="2"/>
    <s v="Pop"/>
  </r>
  <r>
    <x v="2"/>
    <x v="0"/>
    <n v="4"/>
    <n v="1.4142135623730951"/>
    <s v="Not My Fault"/>
    <s v="Renee Rapp, Megan Thee Stallion"/>
    <n v="2"/>
    <n v="5"/>
    <n v="5"/>
    <n v="5"/>
    <n v="3"/>
    <s v="Pop"/>
  </r>
  <r>
    <x v="2"/>
    <x v="1"/>
    <n v="2.2000000000000002"/>
    <n v="1.0954451150103324"/>
    <s v="BIRDS OF A FEATHER"/>
    <s v="Billie Eilish"/>
    <n v="1"/>
    <n v="2"/>
    <n v="4"/>
    <n v="2"/>
    <n v="2"/>
    <s v="Pop"/>
  </r>
  <r>
    <x v="2"/>
    <x v="2"/>
    <n v="3.4"/>
    <n v="1.1401754250991383"/>
    <s v="2000 chevy malibu"/>
    <s v="Channel Tres"/>
    <n v="3"/>
    <n v="4"/>
    <n v="2"/>
    <n v="3"/>
    <n v="5"/>
    <s v="R&amp;B"/>
  </r>
  <r>
    <x v="2"/>
    <x v="3"/>
    <n v="2.6"/>
    <n v="1.5165750888103104"/>
    <s v="Hollywood Baby"/>
    <s v="100 gecs"/>
    <n v="4"/>
    <n v="1"/>
    <n v="3"/>
    <n v="1"/>
    <n v="4"/>
    <s v="Pop"/>
  </r>
  <r>
    <x v="2"/>
    <x v="4"/>
    <n v="2.8"/>
    <n v="1.7888543819998315"/>
    <s v="Bandit"/>
    <s v="Don Toliver"/>
    <n v="5"/>
    <n v="3"/>
    <n v="1"/>
    <n v="4"/>
    <n v="1"/>
    <s v="Rap"/>
  </r>
  <r>
    <x v="3"/>
    <x v="0"/>
    <n v="3.4"/>
    <n v="0.8944271909999163"/>
    <s v="Standing Next to You"/>
    <s v="Jung Kook"/>
    <n v="2"/>
    <n v="4"/>
    <n v="4"/>
    <n v="4"/>
    <n v="3"/>
    <s v="International"/>
  </r>
  <r>
    <x v="3"/>
    <x v="1"/>
    <n v="3.2"/>
    <n v="1.0954451150103319"/>
    <s v="Lonely Rolling Star"/>
    <s v="Katamari Soundtrack"/>
    <n v="5"/>
    <n v="3"/>
    <n v="3"/>
    <n v="3"/>
    <n v="2"/>
    <s v="Pop"/>
  </r>
  <r>
    <x v="3"/>
    <x v="2"/>
    <n v="1.8"/>
    <n v="0.83666002653407567"/>
    <s v="Candle Flame"/>
    <s v="Jungle, Erick the Architect"/>
    <n v="3"/>
    <n v="1"/>
    <n v="2"/>
    <n v="2"/>
    <n v="1"/>
    <s v="R&amp;B"/>
  </r>
  <r>
    <x v="3"/>
    <x v="3"/>
    <n v="2"/>
    <n v="1.7320508075688772"/>
    <s v="Fly as Me"/>
    <s v="Silk Sonic"/>
    <n v="1"/>
    <n v="2"/>
    <n v="1"/>
    <n v="1"/>
    <n v="5"/>
    <s v="R&amp;B"/>
  </r>
  <r>
    <x v="3"/>
    <x v="4"/>
    <n v="4.5999999999999996"/>
    <n v="0.54772255750516674"/>
    <s v="Ill Mind of Hopsin 8"/>
    <s v="Hopsin"/>
    <n v="4"/>
    <n v="5"/>
    <n v="5"/>
    <n v="5"/>
    <n v="4"/>
    <s v="Rap"/>
  </r>
  <r>
    <x v="4"/>
    <x v="0"/>
    <n v="3"/>
    <n v="1.5811388300841898"/>
    <s v="ラブ・ドラマティック (Funky Flag Version)"/>
    <s v="Masayuki Suzuki, Rikka Ihara"/>
    <n v="1"/>
    <n v="5"/>
    <n v="2"/>
    <n v="4"/>
    <n v="3"/>
    <s v="International"/>
  </r>
  <r>
    <x v="4"/>
    <x v="1"/>
    <n v="4.2"/>
    <n v="0.83666002653407512"/>
    <s v="The Wave"/>
    <s v="SE SO NEON"/>
    <n v="4"/>
    <n v="4"/>
    <n v="5"/>
    <n v="3"/>
    <n v="5"/>
    <s v="Rock"/>
  </r>
  <r>
    <x v="4"/>
    <x v="2"/>
    <n v="4"/>
    <n v="1"/>
    <s v="Intentions"/>
    <s v="Hudson Mohawke"/>
    <n v="5"/>
    <n v="3"/>
    <n v="3"/>
    <n v="5"/>
    <n v="4"/>
    <s v="Electronic"/>
  </r>
  <r>
    <x v="4"/>
    <x v="3"/>
    <n v="2.4"/>
    <n v="1.1401754250991378"/>
    <s v="Good Luck, Babe!"/>
    <s v="Chappell Roan"/>
    <n v="3"/>
    <n v="1"/>
    <n v="4"/>
    <n v="2"/>
    <n v="2"/>
    <s v="Pop"/>
  </r>
  <r>
    <x v="4"/>
    <x v="4"/>
    <n v="1.4"/>
    <n v="0.54772255750516596"/>
    <s v="Holdin Out for a Hero"/>
    <s v="Bonnie Tyler"/>
    <n v="2"/>
    <n v="2"/>
    <n v="1"/>
    <n v="1"/>
    <n v="1"/>
    <s v="Rock"/>
  </r>
  <r>
    <x v="5"/>
    <x v="0"/>
    <n v="1.8"/>
    <n v="0.44721359549995815"/>
    <s v="Espresso"/>
    <s v="Sabrina Carpenter"/>
    <n v="1"/>
    <n v="2"/>
    <n v="2"/>
    <n v="2"/>
    <n v="2"/>
    <s v="Pop"/>
  </r>
  <r>
    <x v="5"/>
    <x v="1"/>
    <n v="3.4"/>
    <n v="1.5165750888103104"/>
    <s v="Instant Crush"/>
    <s v="Daft Punk, Julian Casablancas"/>
    <n v="4"/>
    <n v="3"/>
    <n v="5"/>
    <n v="4"/>
    <n v="1"/>
    <s v="Rock"/>
  </r>
  <r>
    <x v="5"/>
    <x v="2"/>
    <n v="3.8"/>
    <n v="1.3038404810405295"/>
    <s v="Genghis Khan"/>
    <s v="Miike Snow"/>
    <n v="2"/>
    <n v="5"/>
    <n v="4"/>
    <n v="3"/>
    <n v="5"/>
    <s v="Rock"/>
  </r>
  <r>
    <x v="5"/>
    <x v="3"/>
    <n v="2.4"/>
    <n v="1.9493588689617927"/>
    <s v="Bangarang"/>
    <s v="Skrillex"/>
    <n v="5"/>
    <n v="1"/>
    <n v="1"/>
    <n v="1"/>
    <n v="4"/>
    <s v="Electronic"/>
  </r>
  <r>
    <x v="5"/>
    <x v="4"/>
    <n v="3.6"/>
    <n v="0.8944271909999163"/>
    <s v="Spruce"/>
    <s v="Tori Kelly, Kim Chaewon"/>
    <n v="3"/>
    <n v="4"/>
    <n v="3"/>
    <n v="5"/>
    <n v="3"/>
    <s v="Pop"/>
  </r>
  <r>
    <x v="6"/>
    <x v="0"/>
    <n v="3.8"/>
    <n v="1.0954451150103319"/>
    <s v="Sher Khul Gaye"/>
    <s v="Benny Dayal, Shilpa Rao, &amp; more"/>
    <n v="2"/>
    <n v="4"/>
    <n v="4"/>
    <n v="5"/>
    <n v="4"/>
    <s v="International"/>
  </r>
  <r>
    <x v="6"/>
    <x v="1"/>
    <n v="2.6"/>
    <n v="1.5165750888103104"/>
    <s v="Virgen"/>
    <s v="Adolescent's Orquesta"/>
    <n v="1"/>
    <n v="2"/>
    <n v="5"/>
    <n v="2"/>
    <n v="3"/>
    <s v="International"/>
  </r>
  <r>
    <x v="6"/>
    <x v="2"/>
    <n v="2.2000000000000002"/>
    <n v="1.7888543819998317"/>
    <s v="Everything Goes On"/>
    <s v="Porter Robinson, League of Legends"/>
    <n v="5"/>
    <n v="1"/>
    <n v="1"/>
    <n v="3"/>
    <n v="1"/>
    <s v="Electronic"/>
  </r>
  <r>
    <x v="6"/>
    <x v="3"/>
    <n v="3"/>
    <n v="1.5811388300841898"/>
    <s v="High Horse"/>
    <s v="Kacey Musgraves"/>
    <n v="4"/>
    <n v="3"/>
    <n v="2"/>
    <n v="1"/>
    <n v="5"/>
    <s v="Country"/>
  </r>
  <r>
    <x v="6"/>
    <x v="4"/>
    <n v="3.4"/>
    <n v="1.1401754250991383"/>
    <s v="Same Old Love Remix"/>
    <s v="Selena Gomez, Fetty Wap"/>
    <n v="3"/>
    <n v="5"/>
    <n v="3"/>
    <n v="4"/>
    <n v="2"/>
    <s v="Pop"/>
  </r>
  <r>
    <x v="7"/>
    <x v="0"/>
    <n v="3.4"/>
    <n v="1.8165902124584952"/>
    <s v="Brand New World"/>
    <s v="D-51"/>
    <n v="1"/>
    <n v="4"/>
    <n v="5"/>
    <n v="5"/>
    <n v="2"/>
    <s v="International"/>
  </r>
  <r>
    <x v="7"/>
    <x v="1"/>
    <n v="3"/>
    <n v="1.4142135623730951"/>
    <s v="Psychopomp"/>
    <s v="Thank You Scientist"/>
    <n v="3"/>
    <n v="1"/>
    <n v="3"/>
    <n v="3"/>
    <n v="5"/>
    <s v="Rock"/>
  </r>
  <r>
    <x v="7"/>
    <x v="2"/>
    <n v="3"/>
    <n v="1"/>
    <s v="Really good cry"/>
    <s v="BETWEEN FRIENDS"/>
    <n v="4"/>
    <n v="2"/>
    <n v="4"/>
    <n v="2"/>
    <n v="3"/>
    <s v="Pop"/>
  </r>
  <r>
    <x v="7"/>
    <x v="3"/>
    <n v="3"/>
    <n v="1.5811388300841898"/>
    <s v="ABC"/>
    <s v="Polyphia, Sophia Black"/>
    <n v="5"/>
    <n v="3"/>
    <n v="2"/>
    <n v="1"/>
    <n v="4"/>
    <s v="Metal"/>
  </r>
  <r>
    <x v="7"/>
    <x v="4"/>
    <n v="2.6"/>
    <n v="1.8165902124584952"/>
    <s v="Right Now"/>
    <s v="New Jeans"/>
    <n v="2"/>
    <n v="5"/>
    <n v="1"/>
    <n v="4"/>
    <n v="1"/>
    <s v="International"/>
  </r>
  <r>
    <x v="8"/>
    <x v="0"/>
    <n v="3.4"/>
    <n v="1.5165750888103104"/>
    <s v="LOST IN PARADISE"/>
    <s v="ALI, AKLO"/>
    <n v="1"/>
    <n v="5"/>
    <n v="4"/>
    <n v="3"/>
    <n v="4"/>
    <s v="International"/>
  </r>
  <r>
    <x v="8"/>
    <x v="1"/>
    <n v="4.8"/>
    <n v="0.44721359549995787"/>
    <s v="Mass Critical Error"/>
    <s v="Sybyr"/>
    <n v="5"/>
    <n v="4"/>
    <n v="5"/>
    <n v="5"/>
    <n v="5"/>
    <s v="Rap"/>
  </r>
  <r>
    <x v="8"/>
    <x v="2"/>
    <n v="2"/>
    <n v="1"/>
    <s v="KLINK"/>
    <s v="Smino"/>
    <n v="3"/>
    <n v="1"/>
    <n v="3"/>
    <n v="2"/>
    <n v="1"/>
    <s v="R&amp;B"/>
  </r>
  <r>
    <x v="8"/>
    <x v="3"/>
    <n v="2.2000000000000002"/>
    <n v="1.3038404810405297"/>
    <s v="Sadie Sorceress"/>
    <s v="King Gizard &amp; The Lizard Wizard"/>
    <n v="4"/>
    <n v="2"/>
    <n v="1"/>
    <n v="1"/>
    <n v="3"/>
    <s v="Other"/>
  </r>
  <r>
    <x v="8"/>
    <x v="4"/>
    <n v="2.6"/>
    <n v="0.8944271909999163"/>
    <s v="Russian Roulette"/>
    <s v="Red Velvet"/>
    <n v="2"/>
    <n v="3"/>
    <n v="2"/>
    <n v="4"/>
    <n v="2"/>
    <s v="International"/>
  </r>
  <r>
    <x v="9"/>
    <x v="0"/>
    <n v="2.8"/>
    <n v="1.6431676725154982"/>
    <s v="Moanin'"/>
    <s v="Mingus Big Band"/>
    <n v="1"/>
    <n v="2"/>
    <n v="5"/>
    <n v="2"/>
    <n v="4"/>
    <s v="Jazz"/>
  </r>
  <r>
    <x v="9"/>
    <x v="1"/>
    <n v="2.6"/>
    <n v="2.1908902300206647"/>
    <s v="lost"/>
    <s v="hkmori"/>
    <n v="5"/>
    <n v="1"/>
    <n v="1"/>
    <n v="5"/>
    <n v="1"/>
    <s v="Other"/>
  </r>
  <r>
    <x v="9"/>
    <x v="2"/>
    <n v="4.2"/>
    <n v="0.83666002653407512"/>
    <s v="Demons Around"/>
    <s v="yatashigang"/>
    <n v="3"/>
    <n v="5"/>
    <n v="4"/>
    <n v="4"/>
    <n v="5"/>
    <s v="Pop"/>
  </r>
  <r>
    <x v="9"/>
    <x v="3"/>
    <n v="2.6"/>
    <n v="1.1401754250991383"/>
    <s v="Doritos &amp; Fritos"/>
    <s v="100 gecs"/>
    <n v="2"/>
    <n v="4"/>
    <n v="3"/>
    <n v="1"/>
    <n v="3"/>
    <s v="Pop"/>
  </r>
  <r>
    <x v="9"/>
    <x v="4"/>
    <n v="2.8"/>
    <n v="0.83666002653407512"/>
    <s v="SMOKE IT OFF!"/>
    <s v="Lumi Athena, jnhygs"/>
    <n v="4"/>
    <n v="3"/>
    <n v="2"/>
    <n v="3"/>
    <n v="2"/>
    <m/>
  </r>
  <r>
    <x v="10"/>
    <x v="0"/>
    <n v="2.6"/>
    <n v="2.1908902300206647"/>
    <s v="Spain"/>
    <s v="US Air Force Airmen of Note"/>
    <n v="1"/>
    <n v="1"/>
    <n v="5"/>
    <n v="1"/>
    <n v="5"/>
    <s v="Jazz"/>
  </r>
  <r>
    <x v="10"/>
    <x v="1"/>
    <n v="3.2"/>
    <n v="1.3038404810405295"/>
    <s v="Ski"/>
    <s v="YSL, Young Thug, Gunna"/>
    <n v="4"/>
    <n v="2"/>
    <n v="2"/>
    <n v="5"/>
    <n v="3"/>
    <s v="Rap"/>
  </r>
  <r>
    <x v="10"/>
    <x v="2"/>
    <n v="3.6"/>
    <n v="1.1401754250991383"/>
    <s v="On God"/>
    <s v="N7, Pwap"/>
    <n v="2"/>
    <n v="5"/>
    <n v="3"/>
    <n v="4"/>
    <n v="4"/>
    <s v="Rap"/>
  </r>
  <r>
    <x v="10"/>
    <x v="3"/>
    <n v="2.8"/>
    <n v="0.83666002653407512"/>
    <s v="Ignorance"/>
    <s v="Paramore"/>
    <n v="3"/>
    <n v="3"/>
    <n v="4"/>
    <n v="2"/>
    <n v="2"/>
    <s v="Pop"/>
  </r>
  <r>
    <x v="10"/>
    <x v="4"/>
    <n v="2.8"/>
    <n v="1.7888543819998315"/>
    <s v="You &amp; Me"/>
    <s v="Jennie"/>
    <n v="5"/>
    <n v="4"/>
    <n v="1"/>
    <n v="3"/>
    <n v="1"/>
    <s v="Pop"/>
  </r>
  <r>
    <x v="11"/>
    <x v="0"/>
    <n v="3.8"/>
    <n v="1.7888543819998315"/>
    <s v="Birdland"/>
    <s v="Maynard Ferguson"/>
    <n v="1"/>
    <n v="5"/>
    <n v="5"/>
    <n v="3"/>
    <n v="5"/>
    <s v="Jazz"/>
  </r>
  <r>
    <x v="11"/>
    <x v="1"/>
    <n v="2.2000000000000002"/>
    <n v="1.6431676725154984"/>
    <s v="Stop Signs are Merely Suggestions"/>
    <s v="Moving Boxes"/>
    <n v="5"/>
    <n v="2"/>
    <n v="2"/>
    <n v="1"/>
    <n v="1"/>
    <s v="Rock"/>
  </r>
  <r>
    <x v="11"/>
    <x v="2"/>
    <n v="2.6"/>
    <n v="1.8165902124584952"/>
    <s v="Throw Shade"/>
    <s v="CRUISR"/>
    <n v="2"/>
    <n v="1"/>
    <n v="1"/>
    <n v="5"/>
    <n v="4"/>
    <s v="Pop"/>
  </r>
  <r>
    <x v="11"/>
    <x v="3"/>
    <n v="3.2"/>
    <n v="0.83666002653407512"/>
    <s v="Interstellar Love"/>
    <s v="Nine Spark Riots"/>
    <n v="4"/>
    <n v="3"/>
    <n v="4"/>
    <n v="2"/>
    <n v="3"/>
    <s v="R&amp;B"/>
  </r>
  <r>
    <x v="11"/>
    <x v="4"/>
    <n v="3.2"/>
    <n v="0.83666002653407512"/>
    <s v="Who's Ready for Tomorrow"/>
    <s v="RAT BOY, IBDY"/>
    <n v="3"/>
    <n v="4"/>
    <n v="3"/>
    <n v="4"/>
    <n v="2"/>
    <s v="Pop"/>
  </r>
  <r>
    <x v="12"/>
    <x v="0"/>
    <n v="1.4"/>
    <n v="0.54772255750516596"/>
    <s v="specialist"/>
    <s v="アトラスサウンドチーム"/>
    <n v="1"/>
    <n v="2"/>
    <n v="1"/>
    <n v="2"/>
    <n v="1"/>
    <s v="Jazz"/>
  </r>
  <r>
    <x v="12"/>
    <x v="1"/>
    <n v="4.4000000000000004"/>
    <n v="0.8944271909999163"/>
    <s v="CRYING IN THE KITCHEN"/>
    <s v="Dave Blunts"/>
    <n v="5"/>
    <n v="5"/>
    <n v="4"/>
    <n v="5"/>
    <n v="3"/>
    <s v="Rap"/>
  </r>
  <r>
    <x v="12"/>
    <x v="2"/>
    <n v="4.2"/>
    <n v="0.83666002653407512"/>
    <s v="Naruto x So What"/>
    <s v="AniLifts, Mqx, ilysmoke"/>
    <n v="4"/>
    <n v="4"/>
    <n v="5"/>
    <n v="3"/>
    <n v="5"/>
    <s v="Electronic"/>
  </r>
  <r>
    <x v="12"/>
    <x v="3"/>
    <n v="2.2000000000000002"/>
    <n v="1.3038404810405297"/>
    <s v="Rapp Snitch Knishes"/>
    <s v="MF DOOM"/>
    <n v="3"/>
    <n v="1"/>
    <n v="2"/>
    <n v="1"/>
    <n v="4"/>
    <s v="Rap"/>
  </r>
  <r>
    <x v="12"/>
    <x v="4"/>
    <n v="2.8"/>
    <n v="0.83666002653407512"/>
    <s v="Last Surprise"/>
    <s v="Lyn"/>
    <n v="2"/>
    <n v="3"/>
    <n v="3"/>
    <n v="4"/>
    <n v="2"/>
    <s v="Rock"/>
  </r>
  <r>
    <x v="13"/>
    <x v="0"/>
    <n v="3.8"/>
    <n v="1.6431676725154982"/>
    <s v="Life Will Change"/>
    <s v="Lyn"/>
    <n v="1"/>
    <n v="5"/>
    <n v="4"/>
    <n v="4"/>
    <n v="5"/>
    <s v="Other"/>
  </r>
  <r>
    <x v="13"/>
    <x v="1"/>
    <n v="3.6"/>
    <n v="1.5165750888103104"/>
    <s v="Vem pra ser meu refrao"/>
    <s v="Reinaldo"/>
    <n v="5"/>
    <n v="2"/>
    <n v="5"/>
    <n v="2"/>
    <n v="4"/>
    <s v="International"/>
  </r>
  <r>
    <x v="13"/>
    <x v="2"/>
    <n v="2.4"/>
    <n v="0.89442719099991574"/>
    <s v="Otaku Hot Girl"/>
    <s v="Megan Thee Stallion"/>
    <n v="3"/>
    <n v="1"/>
    <n v="2"/>
    <n v="3"/>
    <n v="3"/>
    <s v="Rap"/>
  </r>
  <r>
    <x v="13"/>
    <x v="3"/>
    <n v="2.4"/>
    <n v="1.51657508881031"/>
    <s v="BABY SAID"/>
    <s v="Maneskin"/>
    <n v="4"/>
    <n v="4"/>
    <n v="1"/>
    <n v="1"/>
    <n v="2"/>
    <s v="Rock"/>
  </r>
  <r>
    <x v="13"/>
    <x v="4"/>
    <n v="2.8"/>
    <n v="1.4832396974191324"/>
    <s v="Number One - Bankai"/>
    <s v="Shiro Sagisu, Hazel Fernandes"/>
    <n v="2"/>
    <n v="3"/>
    <n v="3"/>
    <n v="5"/>
    <n v="1"/>
    <s v="Rock"/>
  </r>
  <r>
    <x v="14"/>
    <x v="0"/>
    <n v="2.6"/>
    <n v="1.6733200530681513"/>
    <s v="Plastic Love"/>
    <s v="Friday Night Plans"/>
    <n v="1"/>
    <n v="3"/>
    <n v="5"/>
    <n v="1"/>
    <n v="3"/>
    <s v="International"/>
  </r>
  <r>
    <x v="14"/>
    <x v="1"/>
    <n v="4"/>
    <n v="1.2247448713915889"/>
    <s v="Molasses"/>
    <s v="Hiatus Kaiyote"/>
    <n v="4"/>
    <n v="2"/>
    <n v="4"/>
    <n v="5"/>
    <n v="5"/>
    <s v="Rock"/>
  </r>
  <r>
    <x v="14"/>
    <x v="2"/>
    <n v="2.6"/>
    <n v="0.8944271909999163"/>
    <s v="Papaoutai"/>
    <s v="Stromae"/>
    <n v="2"/>
    <n v="4"/>
    <n v="2"/>
    <n v="3"/>
    <n v="2"/>
    <s v="Pop"/>
  </r>
  <r>
    <x v="14"/>
    <x v="3"/>
    <n v="3.8"/>
    <n v="1.3038404810405295"/>
    <s v="End of Beginning"/>
    <s v="Djo"/>
    <n v="5"/>
    <n v="5"/>
    <n v="3"/>
    <n v="2"/>
    <n v="4"/>
    <s v="Pop"/>
  </r>
  <r>
    <x v="14"/>
    <x v="4"/>
    <n v="2"/>
    <n v="1.4142135623730951"/>
    <s v="Chasing The Sun"/>
    <s v="The Wanted"/>
    <n v="3"/>
    <n v="1"/>
    <n v="1"/>
    <n v="4"/>
    <n v="1"/>
    <s v="Pop"/>
  </r>
  <r>
    <x v="15"/>
    <x v="0"/>
    <n v="3.8"/>
    <n v="1.0954451150103319"/>
    <s v="Kimijyanakya Damemitai"/>
    <s v="Masayoshi Oishi"/>
    <n v="2"/>
    <n v="4"/>
    <n v="4"/>
    <n v="5"/>
    <n v="4"/>
    <s v="International"/>
  </r>
  <r>
    <x v="15"/>
    <x v="1"/>
    <n v="2.8"/>
    <n v="1.4832396974191324"/>
    <s v="Impulse"/>
    <s v="An Endless Sporadic"/>
    <n v="5"/>
    <n v="1"/>
    <n v="3"/>
    <n v="2"/>
    <n v="3"/>
    <s v="Rock"/>
  </r>
  <r>
    <x v="15"/>
    <x v="2"/>
    <n v="2.4"/>
    <n v="1.6733200530681511"/>
    <s v="DNA"/>
    <s v="Ghali"/>
    <n v="1"/>
    <n v="5"/>
    <n v="1"/>
    <n v="3"/>
    <n v="2"/>
    <s v="Pop"/>
  </r>
  <r>
    <x v="15"/>
    <x v="3"/>
    <n v="3.2"/>
    <n v="1.7888543819998315"/>
    <s v="From The Start"/>
    <s v="Laufey"/>
    <n v="3"/>
    <n v="2"/>
    <n v="5"/>
    <n v="1"/>
    <n v="5"/>
    <s v="Pop"/>
  </r>
  <r>
    <x v="15"/>
    <x v="4"/>
    <n v="2.8"/>
    <n v="1.3038404810405295"/>
    <s v="Hanabi"/>
    <s v="Ikimonogakari"/>
    <n v="4"/>
    <n v="3"/>
    <n v="2"/>
    <n v="4"/>
    <n v="1"/>
    <s v="International"/>
  </r>
  <r>
    <x v="16"/>
    <x v="0"/>
    <n v="3.4"/>
    <n v="1.8165902124584952"/>
    <s v="あの空の向こうがわへ"/>
    <s v="Junk Fujiyama"/>
    <n v="1"/>
    <n v="5"/>
    <n v="4"/>
    <n v="5"/>
    <n v="2"/>
    <s v="International"/>
  </r>
  <r>
    <x v="16"/>
    <x v="1"/>
    <n v="2.4"/>
    <n v="1.6733200530681511"/>
    <s v="Electronic Girl"/>
    <s v="Chinese Football"/>
    <n v="5"/>
    <n v="1"/>
    <n v="1"/>
    <n v="2"/>
    <n v="3"/>
    <s v="International"/>
  </r>
  <r>
    <x v="16"/>
    <x v="2"/>
    <n v="3.8"/>
    <n v="0.83666002653407512"/>
    <s v="Waves Wandering"/>
    <s v="EggPlantEgg"/>
    <n v="3"/>
    <n v="3"/>
    <n v="5"/>
    <n v="4"/>
    <n v="4"/>
    <s v="Pop"/>
  </r>
  <r>
    <x v="16"/>
    <x v="3"/>
    <n v="3.6"/>
    <n v="1.1401754250991383"/>
    <s v="Punk Tactics"/>
    <s v="Joey Valence &amp; Brae"/>
    <n v="4"/>
    <n v="4"/>
    <n v="2"/>
    <n v="3"/>
    <n v="5"/>
    <s v="Rap"/>
  </r>
  <r>
    <x v="16"/>
    <x v="4"/>
    <n v="1.8"/>
    <n v="0.83666002653407567"/>
    <s v="Great Escape"/>
    <s v="Cinema Staff"/>
    <n v="2"/>
    <n v="2"/>
    <n v="3"/>
    <n v="1"/>
    <n v="1"/>
    <s v="International"/>
  </r>
  <r>
    <x v="17"/>
    <x v="0"/>
    <n v="3"/>
    <n v="2"/>
    <s v="The Greatest"/>
    <s v="Sia, Kendrick Lamar"/>
    <n v="1"/>
    <n v="5"/>
    <n v="3"/>
    <n v="5"/>
    <n v="1"/>
    <s v="Pop"/>
  </r>
  <r>
    <x v="17"/>
    <x v="1"/>
    <n v="3"/>
    <n v="1.8708286933869707"/>
    <s v="Finish Line / Drown"/>
    <s v="Chance the Rapper"/>
    <n v="2"/>
    <n v="1"/>
    <n v="5"/>
    <n v="2"/>
    <n v="5"/>
    <s v="Rap"/>
  </r>
  <r>
    <x v="17"/>
    <x v="2"/>
    <n v="3.4"/>
    <n v="0.8944271909999163"/>
    <s v="Lavender"/>
    <s v="Two Door Cinema Club"/>
    <n v="4"/>
    <n v="3"/>
    <n v="2"/>
    <n v="4"/>
    <n v="4"/>
    <s v="Rock"/>
  </r>
  <r>
    <x v="17"/>
    <x v="3"/>
    <n v="2.2000000000000002"/>
    <n v="1.6431676725154984"/>
    <s v="Congratulations"/>
    <s v="Post Malone"/>
    <n v="5"/>
    <n v="2"/>
    <n v="1"/>
    <n v="1"/>
    <n v="2"/>
    <s v="Rap"/>
  </r>
  <r>
    <x v="17"/>
    <x v="4"/>
    <n v="3.4"/>
    <n v="0.54772255750516674"/>
    <s v="Chill Bill"/>
    <s v="Rob $tone, J. DaviS, J Spooks"/>
    <n v="3"/>
    <n v="4"/>
    <n v="4"/>
    <n v="3"/>
    <n v="3"/>
    <s v="Rap"/>
  </r>
  <r>
    <x v="18"/>
    <x v="0"/>
    <n v="2.6"/>
    <n v="1.8165902124584952"/>
    <s v="Silk &amp; Cologne"/>
    <s v="EI8HT, Offset"/>
    <n v="1"/>
    <n v="1"/>
    <n v="4"/>
    <n v="5"/>
    <n v="2"/>
    <s v="Hip-Hop"/>
  </r>
  <r>
    <x v="18"/>
    <x v="1"/>
    <n v="3.6"/>
    <n v="0.8944271909999163"/>
    <s v="HAZARD DUTY PAY!"/>
    <s v="JPEGMAFIA"/>
    <n v="3"/>
    <n v="3"/>
    <n v="5"/>
    <n v="3"/>
    <n v="4"/>
    <s v="Rap"/>
  </r>
  <r>
    <x v="18"/>
    <x v="2"/>
    <n v="3.2"/>
    <n v="1.3038404810405295"/>
    <s v="Me (FWM)"/>
    <s v="Meek Mill, A$AP Ferg"/>
    <n v="4"/>
    <n v="4"/>
    <n v="1"/>
    <n v="4"/>
    <n v="3"/>
    <s v="Rap"/>
  </r>
  <r>
    <x v="18"/>
    <x v="3"/>
    <n v="3.8"/>
    <n v="1.7888543819998315"/>
    <s v="Watch The World Burn"/>
    <s v="Falling in Reverse"/>
    <n v="5"/>
    <n v="5"/>
    <n v="3"/>
    <n v="1"/>
    <n v="5"/>
    <s v="Metal"/>
  </r>
  <r>
    <x v="18"/>
    <x v="4"/>
    <n v="1.8"/>
    <n v="0.44721359549995815"/>
    <s v="Annihilate"/>
    <s v="Metro Boomin, Swae Lee, Lil Wayne"/>
    <n v="2"/>
    <n v="2"/>
    <n v="2"/>
    <n v="2"/>
    <n v="1"/>
    <s v="Rap"/>
  </r>
  <r>
    <x v="19"/>
    <x v="0"/>
    <n v="3.2"/>
    <n v="1.3038404810405295"/>
    <s v="Mona Lisa"/>
    <s v="Dominic Fike"/>
    <n v="1"/>
    <n v="4"/>
    <n v="4"/>
    <n v="4"/>
    <n v="3"/>
    <s v="R&amp;B"/>
  </r>
  <r>
    <x v="19"/>
    <x v="1"/>
    <n v="3.4"/>
    <n v="1.1401754250991383"/>
    <s v="Lonely At The Top"/>
    <s v="Asake"/>
    <n v="5"/>
    <n v="2"/>
    <n v="3"/>
    <n v="3"/>
    <n v="4"/>
    <s v="International"/>
  </r>
  <r>
    <x v="19"/>
    <x v="2"/>
    <n v="1.4"/>
    <n v="0.89442719099991574"/>
    <s v="Feel It"/>
    <s v="d4vd"/>
    <n v="3"/>
    <n v="1"/>
    <n v="1"/>
    <n v="1"/>
    <n v="1"/>
    <s v="Pop"/>
  </r>
  <r>
    <x v="19"/>
    <x v="3"/>
    <n v="4.2"/>
    <n v="1.3038404810405295"/>
    <s v="Them Changes"/>
    <s v="Thundercat"/>
    <n v="4"/>
    <n v="5"/>
    <n v="5"/>
    <n v="2"/>
    <n v="5"/>
    <s v="R&amp;B"/>
  </r>
  <r>
    <x v="19"/>
    <x v="4"/>
    <n v="2.8"/>
    <n v="1.3038404810405295"/>
    <s v="Mona Lisa"/>
    <s v="Lil Wayne, Kendrick Lamar"/>
    <n v="2"/>
    <n v="3"/>
    <n v="2"/>
    <n v="5"/>
    <n v="2"/>
    <s v="Rap"/>
  </r>
  <r>
    <x v="20"/>
    <x v="0"/>
    <n v="3"/>
    <n v="1.4142135623730951"/>
    <s v="Comedy"/>
    <s v="Gen Hoshino"/>
    <n v="1"/>
    <n v="4"/>
    <n v="4"/>
    <n v="4"/>
    <n v="2"/>
    <s v="International"/>
  </r>
  <r>
    <x v="20"/>
    <x v="1"/>
    <n v="2.6"/>
    <n v="2.1908902300206647"/>
    <s v="F.C.P.R.E.M.I.X"/>
    <s v="The Fall of Troy"/>
    <n v="5"/>
    <n v="1"/>
    <n v="1"/>
    <n v="1"/>
    <n v="5"/>
    <s v="Rock"/>
  </r>
  <r>
    <x v="20"/>
    <x v="2"/>
    <n v="2.8"/>
    <n v="0.44721359549995715"/>
    <s v="Nomu"/>
    <s v="Good Kid"/>
    <n v="3"/>
    <n v="3"/>
    <n v="2"/>
    <n v="3"/>
    <n v="3"/>
    <s v="Rock"/>
  </r>
  <r>
    <x v="20"/>
    <x v="3"/>
    <n v="3"/>
    <n v="1"/>
    <s v="BEST INTEREST"/>
    <s v="Tyler, The Creator"/>
    <n v="4"/>
    <n v="2"/>
    <n v="3"/>
    <n v="2"/>
    <n v="4"/>
    <s v="R&amp;B"/>
  </r>
  <r>
    <x v="20"/>
    <x v="4"/>
    <n v="3.6"/>
    <n v="1.9493588689617929"/>
    <s v="Nobody"/>
    <s v="OneRepublic"/>
    <n v="2"/>
    <n v="5"/>
    <n v="5"/>
    <n v="5"/>
    <n v="1"/>
    <s v="Pop"/>
  </r>
  <r>
    <x v="21"/>
    <x v="0"/>
    <n v="4.2"/>
    <n v="1.7888543819998315"/>
    <s v="I Don't Do Drugs"/>
    <s v="Doja Cat, Ariana Grande"/>
    <n v="1"/>
    <n v="5"/>
    <n v="5"/>
    <n v="5"/>
    <n v="5"/>
    <s v="Pop"/>
  </r>
  <r>
    <x v="21"/>
    <x v="1"/>
    <n v="2.2000000000000002"/>
    <n v="1.3038404810405297"/>
    <s v="Otro Atardecer"/>
    <s v="Bad Bunny, The Marias"/>
    <n v="3"/>
    <n v="1"/>
    <n v="1"/>
    <n v="2"/>
    <n v="4"/>
    <s v="Pop"/>
  </r>
  <r>
    <x v="21"/>
    <x v="2"/>
    <n v="2.4"/>
    <n v="0.89442719099991574"/>
    <s v="I Main Samus Now"/>
    <s v="Sleepy Fish"/>
    <n v="2"/>
    <n v="3"/>
    <n v="3"/>
    <n v="3"/>
    <n v="1"/>
    <s v="Other"/>
  </r>
  <r>
    <x v="21"/>
    <x v="3"/>
    <n v="2.4"/>
    <n v="1.1401754250991378"/>
    <s v="Over the Rainbow"/>
    <s v="Israel Kamakawiwo'ole"/>
    <n v="4"/>
    <n v="2"/>
    <n v="2"/>
    <n v="1"/>
    <n v="3"/>
    <s v="Pop"/>
  </r>
  <r>
    <x v="21"/>
    <x v="4"/>
    <n v="3.8"/>
    <n v="1.0954451150103319"/>
    <s v="Suzume"/>
    <s v="RADWIMPS, Toaka"/>
    <n v="5"/>
    <n v="4"/>
    <n v="4"/>
    <n v="4"/>
    <n v="2"/>
    <s v="Pop"/>
  </r>
  <r>
    <x v="22"/>
    <x v="0"/>
    <n v="3.2"/>
    <n v="1.6431676725154982"/>
    <s v="Demeanor"/>
    <s v="Pop Smoke, Dua Lipa"/>
    <n v="1"/>
    <n v="5"/>
    <n v="4"/>
    <n v="4"/>
    <n v="2"/>
    <s v="Rap"/>
  </r>
  <r>
    <x v="22"/>
    <x v="1"/>
    <n v="2.6"/>
    <n v="0.8944271909999163"/>
    <s v="Kill V. Maim"/>
    <s v="Grimes"/>
    <n v="3"/>
    <n v="2"/>
    <n v="2"/>
    <n v="2"/>
    <n v="4"/>
    <s v="Pop"/>
  </r>
  <r>
    <x v="22"/>
    <x v="2"/>
    <n v="2.4"/>
    <n v="0.89442719099991574"/>
    <s v="princess peach"/>
    <s v="Young Miko"/>
    <n v="2"/>
    <n v="1"/>
    <n v="3"/>
    <n v="3"/>
    <n v="3"/>
    <s v="International"/>
  </r>
  <r>
    <x v="22"/>
    <x v="3"/>
    <n v="4"/>
    <n v="1.7320508075688772"/>
    <s v="Maggot Brain"/>
    <s v="Funkadelic"/>
    <n v="5"/>
    <n v="4"/>
    <n v="5"/>
    <n v="1"/>
    <n v="5"/>
    <s v="Rock"/>
  </r>
  <r>
    <x v="22"/>
    <x v="4"/>
    <n v="2.8"/>
    <n v="1.7888543819998315"/>
    <s v="I really want to stay at your house"/>
    <s v="Rosa Walton, Hallie Coginns "/>
    <n v="4"/>
    <n v="3"/>
    <n v="1"/>
    <n v="5"/>
    <n v="1"/>
    <s v="Pop"/>
  </r>
  <r>
    <x v="23"/>
    <x v="0"/>
    <n v="2.6"/>
    <n v="1.5165750888103104"/>
    <s v="Caught Up"/>
    <s v="Usher"/>
    <n v="1"/>
    <n v="2"/>
    <n v="2"/>
    <n v="3"/>
    <n v="5"/>
    <s v="R&amp;B"/>
  </r>
  <r>
    <x v="23"/>
    <x v="1"/>
    <n v="2.8"/>
    <n v="1.4832396974191324"/>
    <s v="Brookyln Bridge To Chorus"/>
    <s v="The Strokes"/>
    <n v="3"/>
    <n v="1"/>
    <n v="3"/>
    <n v="5"/>
    <n v="2"/>
    <s v="Rock"/>
  </r>
  <r>
    <x v="23"/>
    <x v="2"/>
    <n v="3.6"/>
    <n v="1.1401754250991383"/>
    <s v="Wonderful"/>
    <s v="Mullally"/>
    <n v="2"/>
    <n v="5"/>
    <n v="4"/>
    <n v="4"/>
    <n v="3"/>
    <s v="R&amp;B"/>
  </r>
  <r>
    <x v="23"/>
    <x v="3"/>
    <n v="4"/>
    <n v="1.2247448713915889"/>
    <s v="CEO OF MY ASS"/>
    <s v="Dev Lemons"/>
    <n v="5"/>
    <n v="4"/>
    <n v="5"/>
    <n v="2"/>
    <n v="4"/>
    <s v="Pop"/>
  </r>
  <r>
    <x v="23"/>
    <x v="4"/>
    <n v="2"/>
    <n v="1.4142135623730951"/>
    <s v="Boulevard of Broken Dreams"/>
    <s v="Green Day"/>
    <n v="4"/>
    <n v="3"/>
    <n v="1"/>
    <n v="1"/>
    <n v="1"/>
    <m/>
  </r>
  <r>
    <x v="24"/>
    <x v="0"/>
    <n v="3.2"/>
    <n v="1.7888543819998315"/>
    <s v="Corazón"/>
    <s v="Maluma, Nego de Borel"/>
    <n v="1"/>
    <n v="2"/>
    <n v="5"/>
    <n v="5"/>
    <n v="3"/>
    <s v="International"/>
  </r>
  <r>
    <x v="24"/>
    <x v="1"/>
    <n v="2.6"/>
    <n v="1.1401754250991383"/>
    <s v="Neverita"/>
    <s v="Bad Bunny"/>
    <n v="2"/>
    <n v="1"/>
    <n v="3"/>
    <n v="3"/>
    <n v="4"/>
    <m/>
  </r>
  <r>
    <x v="24"/>
    <x v="2"/>
    <n v="3.6"/>
    <n v="1.1401754250991383"/>
    <s v="Bow Down"/>
    <s v="I Prevail"/>
    <n v="3"/>
    <n v="4"/>
    <n v="4"/>
    <n v="2"/>
    <n v="5"/>
    <s v="Metal"/>
  </r>
  <r>
    <x v="24"/>
    <x v="3"/>
    <n v="2.4"/>
    <n v="1.1401754250991378"/>
    <s v="Granite"/>
    <s v="Sleep Token"/>
    <n v="4"/>
    <n v="3"/>
    <n v="2"/>
    <n v="1"/>
    <n v="2"/>
    <s v="Metal"/>
  </r>
  <r>
    <x v="24"/>
    <x v="4"/>
    <n v="3.2"/>
    <n v="2.0493901531919194"/>
    <s v="Mamushi"/>
    <s v="Megan Thee Stallion, Yuki Chiba"/>
    <n v="5"/>
    <n v="5"/>
    <n v="1"/>
    <n v="4"/>
    <n v="1"/>
    <s v="Rap"/>
  </r>
  <r>
    <x v="25"/>
    <x v="0"/>
    <n v="2.8"/>
    <n v="1.3038404810405295"/>
    <s v="Wii Shop Channel - acapella"/>
    <s v="Maytree"/>
    <n v="1"/>
    <n v="4"/>
    <n v="4"/>
    <n v="2"/>
    <n v="3"/>
    <s v="Other"/>
  </r>
  <r>
    <x v="25"/>
    <x v="1"/>
    <n v="2.2000000000000002"/>
    <n v="1.0954451150103324"/>
    <s v="Don't Speak"/>
    <s v="VoicePlay, Hannah Juliano"/>
    <n v="2"/>
    <n v="2"/>
    <n v="2"/>
    <n v="4"/>
    <n v="1"/>
    <m/>
  </r>
  <r>
    <x v="25"/>
    <x v="2"/>
    <n v="3.6"/>
    <n v="0.8944271909999163"/>
    <s v="You Don't Know Nothin'"/>
    <s v="H3rizon"/>
    <n v="3"/>
    <n v="3"/>
    <n v="3"/>
    <n v="5"/>
    <n v="4"/>
    <s v="Pop"/>
  </r>
  <r>
    <x v="25"/>
    <x v="3"/>
    <n v="4.2"/>
    <n v="1.7888543819998315"/>
    <s v="Bridge Over Troubled Water"/>
    <s v="Jacob Collier, John Legend, Tori Kelly"/>
    <n v="5"/>
    <n v="5"/>
    <n v="5"/>
    <n v="1"/>
    <n v="5"/>
    <m/>
  </r>
  <r>
    <x v="25"/>
    <x v="4"/>
    <n v="2.2000000000000002"/>
    <n v="1.3038404810405297"/>
    <s v="Life Could Be A Dream"/>
    <s v="Street Corner Renaissance "/>
    <n v="4"/>
    <n v="1"/>
    <n v="1"/>
    <n v="3"/>
    <n v="2"/>
    <s v="Other"/>
  </r>
  <r>
    <x v="26"/>
    <x v="0"/>
    <n v="3.8"/>
    <n v="1.3038404810405295"/>
    <s v="Pasoori"/>
    <s v="Shae Gill, Ali Sethi"/>
    <n v="2"/>
    <n v="5"/>
    <n v="4"/>
    <n v="5"/>
    <n v="3"/>
    <s v="International"/>
  </r>
  <r>
    <x v="26"/>
    <x v="1"/>
    <n v="3.8"/>
    <n v="1.0954451150103319"/>
    <s v="Small Worlds"/>
    <s v="Mac Miller"/>
    <n v="5"/>
    <n v="3"/>
    <n v="3"/>
    <n v="3"/>
    <n v="5"/>
    <m/>
  </r>
  <r>
    <x v="26"/>
    <x v="2"/>
    <n v="1.6"/>
    <n v="1.3416407864998738"/>
    <s v="Closer"/>
    <s v="vaultboy, salem ilese"/>
    <n v="1"/>
    <n v="1"/>
    <n v="1"/>
    <n v="1"/>
    <n v="4"/>
    <s v="Pop"/>
  </r>
  <r>
    <x v="26"/>
    <x v="3"/>
    <n v="2.8"/>
    <n v="1.0954451150103319"/>
    <s v="Hash Pipe"/>
    <s v="Weezer"/>
    <n v="4"/>
    <n v="4"/>
    <n v="2"/>
    <n v="2"/>
    <n v="2"/>
    <s v="Rock"/>
  </r>
  <r>
    <x v="26"/>
    <x v="4"/>
    <n v="3"/>
    <n v="1.5811388300841898"/>
    <s v="Nothing Matters"/>
    <s v="The Last Dinner Party"/>
    <n v="3"/>
    <n v="2"/>
    <n v="5"/>
    <n v="4"/>
    <n v="1"/>
    <s v="Pop"/>
  </r>
  <r>
    <x v="27"/>
    <x v="0"/>
    <n v="3.6"/>
    <n v="1.6733200530681513"/>
    <s v="KOD"/>
    <s v="J. Cole"/>
    <n v="1"/>
    <n v="5"/>
    <n v="5"/>
    <n v="3"/>
    <n v="4"/>
    <s v="Rap"/>
  </r>
  <r>
    <x v="27"/>
    <x v="1"/>
    <n v="3.6"/>
    <n v="1.5165750888103104"/>
    <s v="Magnetic"/>
    <s v="ILLIT"/>
    <n v="2"/>
    <n v="2"/>
    <n v="4"/>
    <n v="5"/>
    <n v="5"/>
    <m/>
  </r>
  <r>
    <x v="27"/>
    <x v="2"/>
    <n v="1.8"/>
    <n v="0.83666002653407567"/>
    <s v="Bossa No Sé"/>
    <s v="Cuco, Jean Carter"/>
    <n v="3"/>
    <n v="1"/>
    <n v="2"/>
    <n v="2"/>
    <n v="1"/>
    <s v="Pop"/>
  </r>
  <r>
    <x v="27"/>
    <x v="3"/>
    <n v="2.2000000000000002"/>
    <n v="1.3038404810405297"/>
    <s v="Pink + White"/>
    <s v="Frank Ocean"/>
    <n v="4"/>
    <n v="3"/>
    <n v="1"/>
    <n v="1"/>
    <n v="2"/>
    <m/>
  </r>
  <r>
    <x v="27"/>
    <x v="4"/>
    <n v="3.8"/>
    <n v="0.83666002653407512"/>
    <s v="Lucky Girl Syndrome"/>
    <s v="ILLIT"/>
    <n v="5"/>
    <n v="4"/>
    <n v="3"/>
    <n v="4"/>
    <n v="3"/>
    <s v="Pop"/>
  </r>
  <r>
    <x v="28"/>
    <x v="0"/>
    <n v="2.4"/>
    <n v="1.51657508881031"/>
    <s v="Deja Vu"/>
    <s v="Beyoncé, Jay-Z"/>
    <n v="1"/>
    <n v="5"/>
    <n v="2"/>
    <n v="2"/>
    <n v="2"/>
    <m/>
  </r>
  <r>
    <x v="28"/>
    <x v="1"/>
    <n v="2.8"/>
    <n v="1.0954451150103319"/>
    <s v="FRONTAL LOBE MUSIK"/>
    <s v="Daniel Caesar, Pharrell Williams"/>
    <n v="4"/>
    <n v="1"/>
    <n v="3"/>
    <n v="3"/>
    <n v="3"/>
    <m/>
  </r>
  <r>
    <x v="28"/>
    <x v="2"/>
    <n v="2.6"/>
    <n v="1.8165902124584952"/>
    <s v="Guilty Conscience"/>
    <s v="070 Shake"/>
    <n v="5"/>
    <n v="2"/>
    <n v="1"/>
    <n v="4"/>
    <n v="1"/>
    <s v="Hip-Hop"/>
  </r>
  <r>
    <x v="28"/>
    <x v="3"/>
    <n v="3.2"/>
    <n v="1.4832396974191324"/>
    <s v="Steps Beach"/>
    <s v="Childish Gambino"/>
    <n v="3"/>
    <n v="3"/>
    <n v="4"/>
    <n v="1"/>
    <n v="5"/>
    <m/>
  </r>
  <r>
    <x v="28"/>
    <x v="4"/>
    <n v="4"/>
    <n v="1.2247448713915889"/>
    <s v="Hopeless Romantic"/>
    <s v="Wiz Khalifa, Swae Lee"/>
    <n v="2"/>
    <n v="4"/>
    <n v="5"/>
    <n v="5"/>
    <n v="4"/>
    <s v="R&amp;B"/>
  </r>
  <r>
    <x v="29"/>
    <x v="0"/>
    <m/>
    <m/>
    <m/>
    <m/>
    <m/>
    <m/>
    <m/>
    <m/>
    <m/>
    <m/>
  </r>
  <r>
    <x v="29"/>
    <x v="1"/>
    <m/>
    <m/>
    <m/>
    <m/>
    <m/>
    <m/>
    <m/>
    <m/>
    <m/>
    <m/>
  </r>
  <r>
    <x v="29"/>
    <x v="2"/>
    <m/>
    <m/>
    <m/>
    <m/>
    <m/>
    <m/>
    <m/>
    <m/>
    <m/>
    <m/>
  </r>
  <r>
    <x v="29"/>
    <x v="3"/>
    <m/>
    <m/>
    <m/>
    <m/>
    <m/>
    <m/>
    <m/>
    <m/>
    <m/>
    <m/>
  </r>
  <r>
    <x v="29"/>
    <x v="4"/>
    <m/>
    <m/>
    <m/>
    <m/>
    <m/>
    <m/>
    <m/>
    <m/>
    <m/>
    <m/>
  </r>
  <r>
    <x v="30"/>
    <x v="5"/>
    <m/>
    <m/>
    <m/>
    <m/>
    <m/>
    <m/>
    <m/>
    <m/>
    <m/>
    <m/>
  </r>
  <r>
    <x v="30"/>
    <x v="5"/>
    <m/>
    <m/>
    <m/>
    <m/>
    <m/>
    <m/>
    <m/>
    <m/>
    <m/>
    <m/>
  </r>
  <r>
    <x v="30"/>
    <x v="5"/>
    <m/>
    <m/>
    <m/>
    <m/>
    <m/>
    <m/>
    <m/>
    <m/>
    <m/>
    <m/>
  </r>
  <r>
    <x v="30"/>
    <x v="5"/>
    <m/>
    <m/>
    <m/>
    <m/>
    <m/>
    <m/>
    <m/>
    <m/>
    <m/>
    <m/>
  </r>
  <r>
    <x v="30"/>
    <x v="5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d v="2024-06-12T00:00:00"/>
    <s v="alappatjoe"/>
    <n v="2.8"/>
    <n v="1.3266499161421599"/>
    <s v="Training Season"/>
    <s v="Dua Lipa"/>
    <n v="1"/>
    <n v="5"/>
    <n v="3"/>
    <n v="2"/>
    <n v="3"/>
    <x v="0"/>
    <x v="0"/>
  </r>
  <r>
    <d v="2024-06-12T00:00:00"/>
    <s v="danram"/>
    <n v="2.2000000000000002"/>
    <n v="0.74833147735478833"/>
    <s v="Mosquito"/>
    <s v="PinkPantheress"/>
    <n v="3"/>
    <n v="1"/>
    <n v="2"/>
    <n v="3"/>
    <n v="2"/>
    <x v="0"/>
    <x v="1"/>
  </r>
  <r>
    <d v="2024-06-12T00:00:00"/>
    <s v="loganworsdell"/>
    <n v="3.2"/>
    <n v="1.1661903789690602"/>
    <s v="Earthquake"/>
    <s v="Ferdous"/>
    <n v="4"/>
    <n v="3"/>
    <n v="1"/>
    <n v="4"/>
    <n v="4"/>
    <x v="1"/>
    <x v="2"/>
  </r>
  <r>
    <d v="2024-06-12T00:00:00"/>
    <s v="samuelbattista"/>
    <n v="2.8"/>
    <n v="1.4696938456699069"/>
    <s v="No Problems"/>
    <s v="Ginger Root"/>
    <n v="2"/>
    <n v="2"/>
    <n v="4"/>
    <n v="1"/>
    <n v="5"/>
    <x v="0"/>
    <x v="3"/>
  </r>
  <r>
    <d v="2024-06-12T00:00:00"/>
    <s v="currydestroyer27"/>
    <n v="4"/>
    <n v="1.5491933384829668"/>
    <s v="Fly Away"/>
    <s v="TheFatRat, Anjulie"/>
    <n v="5"/>
    <n v="4"/>
    <n v="5"/>
    <n v="5"/>
    <n v="1"/>
    <x v="1"/>
    <x v="4"/>
  </r>
  <r>
    <d v="2024-06-13T00:00:00"/>
    <s v="alappatjoe"/>
    <n v="2.2000000000000002"/>
    <n v="0.74833147735478833"/>
    <s v="Illusion - Extended"/>
    <s v="Dua Lipa"/>
    <n v="1"/>
    <n v="2"/>
    <n v="2"/>
    <n v="3"/>
    <n v="3"/>
    <x v="0"/>
    <x v="0"/>
  </r>
  <r>
    <d v="2024-06-13T00:00:00"/>
    <s v="danram"/>
    <n v="4.5999999999999996"/>
    <n v="0.8"/>
    <s v="Took Em Down"/>
    <s v="BredGawd, LAZER DIM 700"/>
    <n v="5"/>
    <n v="3"/>
    <n v="5"/>
    <n v="5"/>
    <n v="5"/>
    <x v="2"/>
    <x v="5"/>
  </r>
  <r>
    <d v="2024-06-13T00:00:00"/>
    <s v="loganworsdell"/>
    <n v="2.2000000000000002"/>
    <n v="1.4696938456699069"/>
    <s v="Top 10 staTues tHat CriEd bloOd"/>
    <s v="Bring Me The Horizon"/>
    <n v="4"/>
    <n v="1"/>
    <n v="1"/>
    <n v="1"/>
    <n v="4"/>
    <x v="3"/>
    <x v="6"/>
  </r>
  <r>
    <d v="2024-06-13T00:00:00"/>
    <s v="samuelbattista"/>
    <n v="2.6"/>
    <n v="1.019803902718557"/>
    <s v="RATATATA"/>
    <s v="BABYMETAL, Electric Callboy"/>
    <n v="3"/>
    <n v="4"/>
    <n v="3"/>
    <n v="2"/>
    <n v="1"/>
    <x v="4"/>
    <x v="7"/>
  </r>
  <r>
    <d v="2024-06-13T00:00:00"/>
    <s v="currydestroyer27"/>
    <n v="3.4"/>
    <n v="1.2"/>
    <s v="Blue Skies - Revoke Remix"/>
    <s v="Lenka, REVOKE"/>
    <n v="2"/>
    <n v="5"/>
    <n v="4"/>
    <n v="4"/>
    <n v="2"/>
    <x v="0"/>
    <x v="8"/>
  </r>
  <r>
    <d v="2024-06-17T00:00:00"/>
    <s v="alappatjoe"/>
    <n v="4"/>
    <n v="1.2649110640673518"/>
    <s v="Not My Fault"/>
    <s v="Renee Rapp, Megan Thee Stallion"/>
    <n v="2"/>
    <n v="5"/>
    <n v="5"/>
    <n v="5"/>
    <n v="3"/>
    <x v="0"/>
    <x v="9"/>
  </r>
  <r>
    <d v="2024-06-17T00:00:00"/>
    <s v="danram"/>
    <n v="2.2000000000000002"/>
    <n v="0.9797958971132712"/>
    <s v="BIRDS OF A FEATHER"/>
    <s v="Billie Eilish"/>
    <n v="1"/>
    <n v="2"/>
    <n v="4"/>
    <n v="2"/>
    <n v="2"/>
    <x v="0"/>
    <x v="8"/>
  </r>
  <r>
    <d v="2024-06-17T00:00:00"/>
    <s v="loganworsdell"/>
    <n v="3.4"/>
    <n v="1.019803902718557"/>
    <s v="2000 chevy malibu"/>
    <s v="Channel Tres"/>
    <n v="3"/>
    <n v="4"/>
    <n v="2"/>
    <n v="3"/>
    <n v="5"/>
    <x v="5"/>
    <x v="10"/>
  </r>
  <r>
    <d v="2024-06-17T00:00:00"/>
    <s v="samuelbattista"/>
    <n v="2.6"/>
    <n v="1.3564659966250536"/>
    <s v="Hollywood Baby"/>
    <s v="100 gecs"/>
    <n v="4"/>
    <n v="1"/>
    <n v="3"/>
    <n v="1"/>
    <n v="4"/>
    <x v="0"/>
    <x v="11"/>
  </r>
  <r>
    <d v="2024-06-17T00:00:00"/>
    <s v="currydestroyer27"/>
    <n v="2.8"/>
    <n v="1.6"/>
    <s v="Bandit"/>
    <s v="Don Toliver"/>
    <n v="5"/>
    <n v="3"/>
    <n v="1"/>
    <n v="4"/>
    <n v="1"/>
    <x v="2"/>
    <x v="5"/>
  </r>
  <r>
    <d v="2024-06-18T00:00:00"/>
    <s v="alappatjoe"/>
    <n v="3.4"/>
    <n v="0.8"/>
    <s v="Standing Next to You"/>
    <s v="Jung Kook"/>
    <n v="2"/>
    <n v="4"/>
    <n v="4"/>
    <n v="4"/>
    <n v="3"/>
    <x v="4"/>
    <x v="12"/>
  </r>
  <r>
    <d v="2024-06-18T00:00:00"/>
    <s v="danram"/>
    <n v="3.2"/>
    <n v="0.9797958971132712"/>
    <s v="Lonely Rolling Star"/>
    <s v="Katamari Soundtrack"/>
    <n v="5"/>
    <n v="3"/>
    <n v="3"/>
    <n v="3"/>
    <n v="2"/>
    <x v="0"/>
    <x v="13"/>
  </r>
  <r>
    <d v="2024-06-18T00:00:00"/>
    <s v="loganworsdell"/>
    <n v="1.8"/>
    <n v="0.74833147735478833"/>
    <s v="Candle Flame"/>
    <s v="Jungle, Erick the Architect"/>
    <n v="3"/>
    <n v="1"/>
    <n v="2"/>
    <n v="2"/>
    <n v="1"/>
    <x v="5"/>
    <x v="14"/>
  </r>
  <r>
    <d v="2024-06-18T00:00:00"/>
    <s v="samuelbattista"/>
    <n v="2"/>
    <n v="1.5491933384829668"/>
    <s v="Fly as Me"/>
    <s v="Silk Sonic"/>
    <n v="1"/>
    <n v="2"/>
    <n v="1"/>
    <n v="1"/>
    <n v="5"/>
    <x v="5"/>
    <x v="15"/>
  </r>
  <r>
    <d v="2024-06-18T00:00:00"/>
    <s v="currydestroyer27"/>
    <n v="4.5999999999999996"/>
    <n v="0.4898979485566356"/>
    <s v="Ill Mind of Hopsin 8"/>
    <s v="Hopsin"/>
    <n v="4"/>
    <n v="5"/>
    <n v="5"/>
    <n v="5"/>
    <n v="4"/>
    <x v="2"/>
    <x v="5"/>
  </r>
  <r>
    <d v="2024-06-19T00:00:00"/>
    <s v="alappatjoe"/>
    <n v="3"/>
    <n v="1.4142135623730951"/>
    <s v="ラブ・ドラマティック (Funky Flag Version)"/>
    <s v="Masayuki Suzuki, Rikka Ihara"/>
    <n v="1"/>
    <n v="5"/>
    <n v="2"/>
    <n v="4"/>
    <n v="3"/>
    <x v="4"/>
    <x v="13"/>
  </r>
  <r>
    <d v="2024-06-19T00:00:00"/>
    <s v="danram"/>
    <n v="4.2"/>
    <n v="0.74833147735478833"/>
    <s v="The Wave"/>
    <s v="SE SO NEON"/>
    <n v="4"/>
    <n v="4"/>
    <n v="5"/>
    <n v="3"/>
    <n v="5"/>
    <x v="6"/>
    <x v="16"/>
  </r>
  <r>
    <d v="2024-06-19T00:00:00"/>
    <s v="loganworsdell"/>
    <n v="4"/>
    <n v="0.89442719099991586"/>
    <s v="Intentions"/>
    <s v="Hudson Mohawke"/>
    <n v="5"/>
    <n v="3"/>
    <n v="3"/>
    <n v="5"/>
    <n v="4"/>
    <x v="1"/>
    <x v="17"/>
  </r>
  <r>
    <d v="2024-06-19T00:00:00"/>
    <s v="samuelbattista"/>
    <n v="2.4"/>
    <n v="1.019803902718557"/>
    <s v="Good Luck, Babe!"/>
    <s v="Chappell Roan"/>
    <n v="3"/>
    <n v="1"/>
    <n v="4"/>
    <n v="2"/>
    <n v="2"/>
    <x v="0"/>
    <x v="3"/>
  </r>
  <r>
    <d v="2024-06-19T00:00:00"/>
    <s v="currydestroyer27"/>
    <n v="1.4"/>
    <n v="0.4898979485566356"/>
    <s v="Holdin Out for a Hero"/>
    <s v="Bonnie Tyler"/>
    <n v="2"/>
    <n v="2"/>
    <n v="1"/>
    <n v="1"/>
    <n v="1"/>
    <x v="6"/>
    <x v="18"/>
  </r>
  <r>
    <d v="2024-06-20T00:00:00"/>
    <s v="alappatjoe"/>
    <n v="1.8"/>
    <n v="0.4"/>
    <s v="Espresso"/>
    <s v="Sabrina Carpenter"/>
    <n v="1"/>
    <n v="2"/>
    <n v="2"/>
    <n v="2"/>
    <n v="2"/>
    <x v="0"/>
    <x v="9"/>
  </r>
  <r>
    <d v="2024-06-20T00:00:00"/>
    <s v="danram"/>
    <n v="3.4"/>
    <n v="1.3564659966250536"/>
    <s v="Instant Crush"/>
    <s v="Daft Punk, Julian Casablancas"/>
    <n v="4"/>
    <n v="3"/>
    <n v="5"/>
    <n v="4"/>
    <n v="1"/>
    <x v="6"/>
    <x v="19"/>
  </r>
  <r>
    <d v="2024-06-20T00:00:00"/>
    <s v="loganworsdell"/>
    <n v="3.8"/>
    <n v="1.1661903789690602"/>
    <s v="Genghis Khan"/>
    <s v="Miike Snow"/>
    <n v="2"/>
    <n v="5"/>
    <n v="4"/>
    <n v="3"/>
    <n v="5"/>
    <x v="6"/>
    <x v="20"/>
  </r>
  <r>
    <d v="2024-06-20T00:00:00"/>
    <s v="samuelbattista"/>
    <n v="2.4"/>
    <n v="1.7435595774162693"/>
    <s v="Bangarang"/>
    <s v="Skrillex"/>
    <n v="5"/>
    <n v="1"/>
    <n v="1"/>
    <n v="1"/>
    <n v="4"/>
    <x v="1"/>
    <x v="4"/>
  </r>
  <r>
    <d v="2024-06-20T00:00:00"/>
    <s v="currydestroyer27"/>
    <n v="3.6"/>
    <n v="0.8"/>
    <s v="Spruce"/>
    <s v="Tori Kelly, Kim Chaewon"/>
    <n v="3"/>
    <n v="4"/>
    <n v="3"/>
    <n v="5"/>
    <n v="3"/>
    <x v="0"/>
    <x v="9"/>
  </r>
  <r>
    <d v="2024-06-24T00:00:00"/>
    <s v="alappatjoe"/>
    <n v="3.8"/>
    <n v="0.9797958971132712"/>
    <s v="Sher Khul Gaye"/>
    <s v="Benny Dayal, Shilpa Rao, &amp; more"/>
    <n v="2"/>
    <n v="4"/>
    <n v="4"/>
    <n v="5"/>
    <n v="4"/>
    <x v="4"/>
    <x v="21"/>
  </r>
  <r>
    <d v="2024-06-24T00:00:00"/>
    <s v="danram"/>
    <n v="2.6"/>
    <n v="1.3564659966250536"/>
    <s v="Virgen"/>
    <s v="Adolescent's Orquesta"/>
    <n v="1"/>
    <n v="2"/>
    <n v="5"/>
    <n v="2"/>
    <n v="3"/>
    <x v="4"/>
    <x v="22"/>
  </r>
  <r>
    <d v="2024-06-24T00:00:00"/>
    <s v="loganworsdell"/>
    <n v="2.2000000000000002"/>
    <n v="1.6"/>
    <s v="Everything Goes On"/>
    <s v="Porter Robinson, League of Legends"/>
    <n v="5"/>
    <n v="1"/>
    <n v="1"/>
    <n v="3"/>
    <n v="1"/>
    <x v="1"/>
    <x v="23"/>
  </r>
  <r>
    <d v="2024-06-24T00:00:00"/>
    <s v="samuelbattista"/>
    <n v="3"/>
    <n v="1.4142135623730951"/>
    <s v="High Horse"/>
    <s v="Kacey Musgraves"/>
    <n v="4"/>
    <n v="3"/>
    <n v="2"/>
    <n v="1"/>
    <n v="5"/>
    <x v="7"/>
    <x v="24"/>
  </r>
  <r>
    <d v="2024-06-24T00:00:00"/>
    <s v="currydestroyer27"/>
    <n v="3.4"/>
    <n v="1.019803902718557"/>
    <s v="Same Old Love Remix"/>
    <s v="Selena Gomez, Fetty Wap"/>
    <n v="3"/>
    <n v="5"/>
    <n v="3"/>
    <n v="4"/>
    <n v="2"/>
    <x v="0"/>
    <x v="9"/>
  </r>
  <r>
    <d v="2024-06-25T00:00:00"/>
    <s v="alappatjoe"/>
    <n v="3.4"/>
    <n v="1.6248076809271921"/>
    <s v="Brand New World"/>
    <s v="D-51"/>
    <n v="1"/>
    <n v="4"/>
    <n v="5"/>
    <n v="5"/>
    <n v="2"/>
    <x v="4"/>
    <x v="25"/>
  </r>
  <r>
    <d v="2024-06-25T00:00:00"/>
    <s v="danram"/>
    <n v="3"/>
    <n v="1.2649110640673518"/>
    <s v="Psychopomp"/>
    <s v="Thank You Scientist"/>
    <n v="3"/>
    <n v="1"/>
    <n v="3"/>
    <n v="3"/>
    <n v="5"/>
    <x v="6"/>
    <x v="26"/>
  </r>
  <r>
    <d v="2024-06-25T00:00:00"/>
    <s v="loganworsdell"/>
    <n v="3"/>
    <n v="0.89442719099991586"/>
    <s v="Really good cry"/>
    <s v="BETWEEN FRIENDS"/>
    <n v="4"/>
    <n v="2"/>
    <n v="4"/>
    <n v="2"/>
    <n v="3"/>
    <x v="0"/>
    <x v="3"/>
  </r>
  <r>
    <d v="2024-06-25T00:00:00"/>
    <s v="samuelbattista"/>
    <n v="3"/>
    <n v="1.4142135623730951"/>
    <s v="ABC"/>
    <s v="Polyphia, Sophia Black"/>
    <n v="5"/>
    <n v="3"/>
    <n v="2"/>
    <n v="1"/>
    <n v="4"/>
    <x v="3"/>
    <x v="27"/>
  </r>
  <r>
    <d v="2024-06-25T00:00:00"/>
    <s v="currydestroyer27"/>
    <n v="2.6"/>
    <n v="1.6248076809271921"/>
    <s v="Right Now"/>
    <s v="New Jeans"/>
    <n v="2"/>
    <n v="5"/>
    <n v="1"/>
    <n v="4"/>
    <n v="1"/>
    <x v="4"/>
    <x v="13"/>
  </r>
  <r>
    <d v="2024-06-26T00:00:00"/>
    <s v="alappatjoe"/>
    <n v="3.4"/>
    <n v="1.3564659966250536"/>
    <s v="LOST IN PARADISE"/>
    <s v="ALI, AKLO"/>
    <n v="1"/>
    <n v="5"/>
    <n v="4"/>
    <n v="3"/>
    <n v="4"/>
    <x v="4"/>
    <x v="28"/>
  </r>
  <r>
    <d v="2024-06-26T00:00:00"/>
    <s v="danram"/>
    <n v="4.8"/>
    <n v="0.39999999999999997"/>
    <s v="Mass Critical Error"/>
    <s v="Sybyr"/>
    <n v="5"/>
    <n v="4"/>
    <n v="5"/>
    <n v="5"/>
    <n v="5"/>
    <x v="2"/>
    <x v="5"/>
  </r>
  <r>
    <d v="2024-06-26T00:00:00"/>
    <s v="loganworsdell"/>
    <n v="2"/>
    <n v="0.89442719099991586"/>
    <s v="KLINK"/>
    <s v="Smino"/>
    <n v="3"/>
    <n v="1"/>
    <n v="3"/>
    <n v="2"/>
    <n v="1"/>
    <x v="5"/>
    <x v="29"/>
  </r>
  <r>
    <d v="2024-06-26T00:00:00"/>
    <s v="samuelbattista"/>
    <n v="2.2000000000000002"/>
    <n v="1.1661903789690602"/>
    <s v="Sadie Sorceress"/>
    <s v="King Gizard &amp; The Lizard Wizard"/>
    <n v="4"/>
    <n v="2"/>
    <n v="1"/>
    <n v="1"/>
    <n v="3"/>
    <x v="8"/>
    <x v="30"/>
  </r>
  <r>
    <d v="2024-06-26T00:00:00"/>
    <s v="currydestroyer27"/>
    <n v="2.6"/>
    <n v="0.8"/>
    <s v="Russian Roulette"/>
    <s v="Red Velvet"/>
    <n v="2"/>
    <n v="3"/>
    <n v="2"/>
    <n v="4"/>
    <n v="2"/>
    <x v="4"/>
    <x v="12"/>
  </r>
  <r>
    <d v="2024-06-27T00:00:00"/>
    <s v="alappatjoe"/>
    <n v="2.8"/>
    <n v="1.4696938456699069"/>
    <s v="Moanin'"/>
    <s v="Mingus Big Band"/>
    <n v="1"/>
    <n v="2"/>
    <n v="5"/>
    <n v="2"/>
    <n v="4"/>
    <x v="9"/>
    <x v="31"/>
  </r>
  <r>
    <d v="2024-06-27T00:00:00"/>
    <s v="danram"/>
    <n v="2.6"/>
    <n v="1.9595917942265424"/>
    <s v="lost"/>
    <s v="hkmori"/>
    <n v="5"/>
    <n v="1"/>
    <n v="1"/>
    <n v="5"/>
    <n v="1"/>
    <x v="8"/>
    <x v="32"/>
  </r>
  <r>
    <d v="2024-06-27T00:00:00"/>
    <s v="loganworsdell"/>
    <n v="4.2"/>
    <n v="0.74833147735478833"/>
    <s v="Demons Around"/>
    <s v="yatashigang"/>
    <n v="3"/>
    <n v="5"/>
    <n v="4"/>
    <n v="4"/>
    <n v="5"/>
    <x v="0"/>
    <x v="33"/>
  </r>
  <r>
    <d v="2024-06-27T00:00:00"/>
    <s v="samuelbattista"/>
    <n v="2.6"/>
    <n v="1.019803902718557"/>
    <s v="Doritos &amp; Fritos"/>
    <s v="100 gecs"/>
    <n v="2"/>
    <n v="4"/>
    <n v="3"/>
    <n v="1"/>
    <n v="3"/>
    <x v="0"/>
    <x v="11"/>
  </r>
  <r>
    <d v="2024-06-27T00:00:00"/>
    <s v="currydestroyer27"/>
    <n v="2.8"/>
    <n v="0.74833147735478833"/>
    <s v="SMOKE IT OFF!"/>
    <s v="Lumi Athena, jnhygs"/>
    <n v="4"/>
    <n v="3"/>
    <n v="2"/>
    <n v="3"/>
    <n v="2"/>
    <x v="10"/>
    <x v="25"/>
  </r>
  <r>
    <d v="2024-07-01T00:00:00"/>
    <s v="alappatjoe"/>
    <n v="2.6"/>
    <n v="1.9595917942265424"/>
    <s v="Spain"/>
    <s v="US Air Force Airmen of Note"/>
    <n v="1"/>
    <n v="1"/>
    <n v="5"/>
    <n v="1"/>
    <n v="5"/>
    <x v="9"/>
    <x v="31"/>
  </r>
  <r>
    <d v="2024-07-01T00:00:00"/>
    <s v="danram"/>
    <n v="3.2"/>
    <n v="1.1661903789690602"/>
    <s v="Ski"/>
    <s v="YSL, Young Thug, Gunna"/>
    <n v="4"/>
    <n v="2"/>
    <n v="2"/>
    <n v="5"/>
    <n v="3"/>
    <x v="2"/>
    <x v="5"/>
  </r>
  <r>
    <d v="2024-07-01T00:00:00"/>
    <s v="loganworsdell"/>
    <n v="3.6"/>
    <n v="1.019803902718557"/>
    <s v="On God"/>
    <s v="N7, Pwap"/>
    <n v="2"/>
    <n v="5"/>
    <n v="3"/>
    <n v="4"/>
    <n v="4"/>
    <x v="2"/>
    <x v="5"/>
  </r>
  <r>
    <d v="2024-07-01T00:00:00"/>
    <s v="samuelbattista"/>
    <n v="2.8"/>
    <n v="0.74833147735478833"/>
    <s v="Ignorance"/>
    <s v="Paramore"/>
    <n v="3"/>
    <n v="3"/>
    <n v="4"/>
    <n v="2"/>
    <n v="2"/>
    <x v="0"/>
    <x v="34"/>
  </r>
  <r>
    <d v="2024-07-01T00:00:00"/>
    <s v="currydestroyer27"/>
    <n v="2.8"/>
    <n v="1.6"/>
    <s v="You &amp; Me"/>
    <s v="Jennie"/>
    <n v="5"/>
    <n v="4"/>
    <n v="1"/>
    <n v="3"/>
    <n v="1"/>
    <x v="0"/>
    <x v="9"/>
  </r>
  <r>
    <d v="2024-07-02T00:00:00"/>
    <s v="alappatjoe"/>
    <n v="3.8"/>
    <n v="1.6"/>
    <s v="Birdland"/>
    <s v="Maynard Ferguson"/>
    <n v="1"/>
    <n v="5"/>
    <n v="5"/>
    <n v="3"/>
    <n v="5"/>
    <x v="9"/>
    <x v="31"/>
  </r>
  <r>
    <d v="2024-07-02T00:00:00"/>
    <s v="danram"/>
    <n v="2.2000000000000002"/>
    <n v="1.4696938456699069"/>
    <s v="Stop Signs are Merely Suggestions"/>
    <s v="Moving Boxes"/>
    <n v="5"/>
    <n v="2"/>
    <n v="2"/>
    <n v="1"/>
    <n v="1"/>
    <x v="6"/>
    <x v="35"/>
  </r>
  <r>
    <d v="2024-07-02T00:00:00"/>
    <s v="loganworsdell"/>
    <n v="2.6"/>
    <n v="1.6248076809271921"/>
    <s v="Throw Shade"/>
    <s v="CRUISR"/>
    <n v="2"/>
    <n v="1"/>
    <n v="1"/>
    <n v="5"/>
    <n v="4"/>
    <x v="0"/>
    <x v="36"/>
  </r>
  <r>
    <d v="2024-07-02T00:00:00"/>
    <s v="samuelbattista"/>
    <n v="3.2"/>
    <n v="0.74833147735478833"/>
    <s v="Interstellar Love"/>
    <s v="Nine Spark Riots"/>
    <n v="4"/>
    <n v="3"/>
    <n v="4"/>
    <n v="2"/>
    <n v="3"/>
    <x v="5"/>
    <x v="37"/>
  </r>
  <r>
    <d v="2024-07-02T00:00:00"/>
    <s v="currydestroyer27"/>
    <n v="3.2"/>
    <n v="0.74833147735478833"/>
    <s v="Who's Ready for Tomorrow"/>
    <s v="RAT BOY, IBDY"/>
    <n v="3"/>
    <n v="4"/>
    <n v="3"/>
    <n v="4"/>
    <n v="2"/>
    <x v="0"/>
    <x v="8"/>
  </r>
  <r>
    <d v="2024-07-03T00:00:00"/>
    <s v="alappatjoe"/>
    <n v="1.4"/>
    <n v="0.4898979485566356"/>
    <s v="specialist"/>
    <s v="アトラスサウンドチーム"/>
    <n v="1"/>
    <n v="2"/>
    <n v="1"/>
    <n v="2"/>
    <n v="1"/>
    <x v="9"/>
    <x v="38"/>
  </r>
  <r>
    <d v="2024-07-03T00:00:00"/>
    <s v="danram"/>
    <n v="4.4000000000000004"/>
    <n v="0.8"/>
    <s v="CRYING IN THE KITCHEN"/>
    <s v="Dave Blunts"/>
    <n v="5"/>
    <n v="5"/>
    <n v="4"/>
    <n v="5"/>
    <n v="3"/>
    <x v="2"/>
    <x v="5"/>
  </r>
  <r>
    <d v="2024-07-03T00:00:00"/>
    <s v="loganworsdell"/>
    <n v="4.2"/>
    <n v="0.74833147735478833"/>
    <s v="Naruto x So What"/>
    <s v="AniLifts, Mqx, ilysmoke"/>
    <n v="4"/>
    <n v="4"/>
    <n v="5"/>
    <n v="3"/>
    <n v="5"/>
    <x v="1"/>
    <x v="39"/>
  </r>
  <r>
    <d v="2024-07-03T00:00:00"/>
    <s v="samuelbattista"/>
    <n v="2.2000000000000002"/>
    <n v="1.1661903789690602"/>
    <s v="Rapp Snitch Knishes"/>
    <s v="MF DOOM"/>
    <n v="3"/>
    <n v="1"/>
    <n v="2"/>
    <n v="1"/>
    <n v="4"/>
    <x v="2"/>
    <x v="5"/>
  </r>
  <r>
    <d v="2024-07-03T00:00:00"/>
    <s v="currydestroyer27"/>
    <n v="2.8"/>
    <n v="0.74833147735478833"/>
    <s v="Last Surprise"/>
    <s v="Lyn"/>
    <n v="2"/>
    <n v="3"/>
    <n v="3"/>
    <n v="4"/>
    <n v="2"/>
    <x v="6"/>
    <x v="40"/>
  </r>
  <r>
    <d v="2024-07-04T00:00:00"/>
    <s v="alappatjoe"/>
    <n v="3.8"/>
    <n v="1.4696938456699069"/>
    <s v="Life Will Change"/>
    <s v="Lyn"/>
    <n v="1"/>
    <n v="5"/>
    <n v="4"/>
    <n v="4"/>
    <n v="5"/>
    <x v="8"/>
    <x v="41"/>
  </r>
  <r>
    <d v="2024-07-04T00:00:00"/>
    <s v="danram"/>
    <n v="3.6"/>
    <n v="1.3564659966250536"/>
    <s v="Vem pra ser meu refrao"/>
    <s v="Reinaldo"/>
    <n v="5"/>
    <n v="2"/>
    <n v="5"/>
    <n v="2"/>
    <n v="4"/>
    <x v="4"/>
    <x v="42"/>
  </r>
  <r>
    <d v="2024-07-04T00:00:00"/>
    <s v="loganworsdell"/>
    <n v="2.4"/>
    <n v="0.8"/>
    <s v="Otaku Hot Girl"/>
    <s v="Megan Thee Stallion"/>
    <n v="3"/>
    <n v="1"/>
    <n v="2"/>
    <n v="3"/>
    <n v="3"/>
    <x v="2"/>
    <x v="43"/>
  </r>
  <r>
    <d v="2024-07-04T00:00:00"/>
    <s v="samuelbattista"/>
    <n v="2.4"/>
    <n v="1.3564659966250536"/>
    <s v="BABY SAID"/>
    <s v="Maneskin"/>
    <n v="4"/>
    <n v="4"/>
    <n v="1"/>
    <n v="1"/>
    <n v="2"/>
    <x v="6"/>
    <x v="18"/>
  </r>
  <r>
    <d v="2024-07-04T00:00:00"/>
    <s v="currydestroyer27"/>
    <n v="2.8"/>
    <n v="1.3266499161421599"/>
    <s v="Number One - Bankai"/>
    <s v="Shiro Sagisu, Hazel Fernandes"/>
    <n v="2"/>
    <n v="3"/>
    <n v="3"/>
    <n v="5"/>
    <n v="1"/>
    <x v="6"/>
    <x v="40"/>
  </r>
  <r>
    <d v="2024-07-08T00:00:00"/>
    <s v="alappatjoe"/>
    <n v="2.6"/>
    <n v="1.4966629547095767"/>
    <s v="Plastic Love"/>
    <s v="Friday Night Plans"/>
    <n v="1"/>
    <n v="3"/>
    <n v="5"/>
    <n v="1"/>
    <n v="3"/>
    <x v="4"/>
    <x v="13"/>
  </r>
  <r>
    <d v="2024-07-08T00:00:00"/>
    <s v="danram"/>
    <n v="4"/>
    <n v="1.0954451150103321"/>
    <s v="Molasses"/>
    <s v="Hiatus Kaiyote"/>
    <n v="4"/>
    <n v="2"/>
    <n v="4"/>
    <n v="5"/>
    <n v="5"/>
    <x v="6"/>
    <x v="44"/>
  </r>
  <r>
    <d v="2024-07-08T00:00:00"/>
    <s v="loganworsdell"/>
    <n v="2.6"/>
    <n v="0.8"/>
    <s v="Papaoutai"/>
    <s v="Stromae"/>
    <n v="2"/>
    <n v="4"/>
    <n v="2"/>
    <n v="3"/>
    <n v="2"/>
    <x v="0"/>
    <x v="45"/>
  </r>
  <r>
    <d v="2024-07-08T00:00:00"/>
    <s v="samuelbattista"/>
    <n v="3.8"/>
    <n v="1.1661903789690602"/>
    <s v="End of Beginning"/>
    <s v="Djo"/>
    <n v="5"/>
    <n v="5"/>
    <n v="3"/>
    <n v="2"/>
    <n v="4"/>
    <x v="0"/>
    <x v="46"/>
  </r>
  <r>
    <d v="2024-07-08T00:00:00"/>
    <s v="currydestroyer27"/>
    <n v="2"/>
    <n v="1.2649110640673518"/>
    <s v="Chasing The Sun"/>
    <s v="The Wanted"/>
    <n v="3"/>
    <n v="1"/>
    <n v="1"/>
    <n v="4"/>
    <n v="1"/>
    <x v="0"/>
    <x v="9"/>
  </r>
  <r>
    <d v="2024-07-09T00:00:00"/>
    <s v="alappatjoe"/>
    <n v="3.8"/>
    <n v="0.9797958971132712"/>
    <s v="Kimijyanakya Damemitai"/>
    <s v="Masayoshi Oishi"/>
    <n v="2"/>
    <n v="4"/>
    <n v="4"/>
    <n v="5"/>
    <n v="4"/>
    <x v="4"/>
    <x v="47"/>
  </r>
  <r>
    <d v="2024-07-09T00:00:00"/>
    <s v="danram"/>
    <n v="2.8"/>
    <n v="1.3266499161421599"/>
    <s v="Impulse"/>
    <s v="An Endless Sporadic"/>
    <n v="5"/>
    <n v="1"/>
    <n v="3"/>
    <n v="2"/>
    <n v="3"/>
    <x v="6"/>
    <x v="27"/>
  </r>
  <r>
    <d v="2024-07-09T00:00:00"/>
    <s v="loganworsdell"/>
    <n v="2.4"/>
    <n v="1.4966629547095767"/>
    <s v="DNA"/>
    <s v="Ghali"/>
    <n v="1"/>
    <n v="5"/>
    <n v="1"/>
    <n v="3"/>
    <n v="2"/>
    <x v="0"/>
    <x v="48"/>
  </r>
  <r>
    <d v="2024-07-09T00:00:00"/>
    <s v="samuelbattista"/>
    <n v="3.2"/>
    <n v="1.6"/>
    <s v="From The Start"/>
    <s v="Laufey"/>
    <n v="3"/>
    <n v="2"/>
    <n v="5"/>
    <n v="1"/>
    <n v="5"/>
    <x v="0"/>
    <x v="49"/>
  </r>
  <r>
    <d v="2024-07-09T00:00:00"/>
    <s v="currydestroyer27"/>
    <n v="2.8"/>
    <n v="1.1661903789690602"/>
    <s v="Hanabi"/>
    <s v="Ikimonogakari"/>
    <n v="4"/>
    <n v="3"/>
    <n v="2"/>
    <n v="4"/>
    <n v="1"/>
    <x v="4"/>
    <x v="13"/>
  </r>
  <r>
    <d v="2024-07-10T00:00:00"/>
    <s v="alappatjoe"/>
    <n v="3.4"/>
    <n v="1.6248076809271921"/>
    <s v="あの空の向こうがわへ"/>
    <s v="Junk Fujiyama"/>
    <n v="1"/>
    <n v="5"/>
    <n v="4"/>
    <n v="5"/>
    <n v="2"/>
    <x v="4"/>
    <x v="13"/>
  </r>
  <r>
    <d v="2024-07-10T00:00:00"/>
    <s v="danram"/>
    <n v="2.4"/>
    <n v="1.4966629547095767"/>
    <s v="Electronic Girl"/>
    <s v="Chinese Football"/>
    <n v="5"/>
    <n v="1"/>
    <n v="1"/>
    <n v="2"/>
    <n v="3"/>
    <x v="4"/>
    <x v="50"/>
  </r>
  <r>
    <d v="2024-07-10T00:00:00"/>
    <s v="loganworsdell"/>
    <n v="3.8"/>
    <n v="0.74833147735478833"/>
    <s v="Waves Wandering"/>
    <s v="EggPlantEgg"/>
    <n v="3"/>
    <n v="3"/>
    <n v="5"/>
    <n v="4"/>
    <n v="4"/>
    <x v="0"/>
    <x v="51"/>
  </r>
  <r>
    <d v="2024-07-10T00:00:00"/>
    <s v="samuelbattista"/>
    <n v="3.6"/>
    <n v="1.019803902718557"/>
    <s v="Punk Tactics"/>
    <s v="Joey Valence &amp; Brae"/>
    <n v="4"/>
    <n v="4"/>
    <n v="2"/>
    <n v="3"/>
    <n v="5"/>
    <x v="2"/>
    <x v="52"/>
  </r>
  <r>
    <d v="2024-07-10T00:00:00"/>
    <s v="currydestroyer27"/>
    <n v="1.8"/>
    <n v="0.74833147735478833"/>
    <s v="Great Escape"/>
    <s v="Cinema Staff"/>
    <n v="2"/>
    <n v="2"/>
    <n v="3"/>
    <n v="1"/>
    <n v="1"/>
    <x v="4"/>
    <x v="53"/>
  </r>
  <r>
    <d v="2024-07-11T00:00:00"/>
    <s v="alappatjoe"/>
    <n v="3"/>
    <n v="1.7888543819998317"/>
    <s v="The Greatest"/>
    <s v="Sia, Kendrick Lamar"/>
    <n v="1"/>
    <n v="5"/>
    <n v="3"/>
    <n v="5"/>
    <n v="1"/>
    <x v="0"/>
    <x v="9"/>
  </r>
  <r>
    <d v="2024-07-11T00:00:00"/>
    <s v="danram"/>
    <n v="3"/>
    <n v="1.6733200530681511"/>
    <s v="Finish Line / Drown"/>
    <s v="Chance the Rapper"/>
    <n v="2"/>
    <n v="1"/>
    <n v="5"/>
    <n v="2"/>
    <n v="5"/>
    <x v="2"/>
    <x v="5"/>
  </r>
  <r>
    <d v="2024-07-11T00:00:00"/>
    <s v="loganworsdell"/>
    <n v="3.4"/>
    <n v="0.8"/>
    <s v="Lavender"/>
    <s v="Two Door Cinema Club"/>
    <n v="4"/>
    <n v="3"/>
    <n v="2"/>
    <n v="4"/>
    <n v="4"/>
    <x v="6"/>
    <x v="54"/>
  </r>
  <r>
    <d v="2024-07-11T00:00:00"/>
    <s v="samuelbattista"/>
    <n v="2.2000000000000002"/>
    <n v="1.4696938456699069"/>
    <s v="Congratulations"/>
    <s v="Post Malone"/>
    <n v="5"/>
    <n v="2"/>
    <n v="1"/>
    <n v="1"/>
    <n v="2"/>
    <x v="2"/>
    <x v="5"/>
  </r>
  <r>
    <d v="2024-07-11T00:00:00"/>
    <s v="currydestroyer27"/>
    <n v="3.4"/>
    <n v="0.4898979485566356"/>
    <s v="Chill Bill"/>
    <s v="Rob $tone, J. DaviS, J Spooks"/>
    <n v="3"/>
    <n v="4"/>
    <n v="4"/>
    <n v="3"/>
    <n v="3"/>
    <x v="2"/>
    <x v="55"/>
  </r>
  <r>
    <d v="2024-07-15T00:00:00"/>
    <s v="alappatjoe"/>
    <n v="2.6"/>
    <n v="1.6248076809271921"/>
    <s v="Silk &amp; Cologne"/>
    <s v="EI8HT, Offset"/>
    <n v="1"/>
    <n v="1"/>
    <n v="4"/>
    <n v="5"/>
    <n v="2"/>
    <x v="11"/>
    <x v="56"/>
  </r>
  <r>
    <d v="2024-07-15T00:00:00"/>
    <s v="danram"/>
    <n v="3.6"/>
    <n v="0.8"/>
    <s v="HAZARD DUTY PAY!"/>
    <s v="JPEGMAFIA"/>
    <n v="3"/>
    <n v="3"/>
    <n v="5"/>
    <n v="3"/>
    <n v="4"/>
    <x v="2"/>
    <x v="52"/>
  </r>
  <r>
    <d v="2024-07-15T00:00:00"/>
    <s v="loganworsdell"/>
    <n v="3.2"/>
    <n v="1.1661903789690602"/>
    <s v="Me (FWM)"/>
    <s v="Meek Mill, A$AP Ferg"/>
    <n v="4"/>
    <n v="4"/>
    <n v="1"/>
    <n v="4"/>
    <n v="3"/>
    <x v="2"/>
    <x v="57"/>
  </r>
  <r>
    <d v="2024-07-15T00:00:00"/>
    <s v="samuelbattista"/>
    <n v="3.8"/>
    <n v="1.6"/>
    <s v="Watch The World Burn"/>
    <s v="Falling in Reverse"/>
    <n v="5"/>
    <n v="5"/>
    <n v="3"/>
    <n v="1"/>
    <n v="5"/>
    <x v="3"/>
    <x v="58"/>
  </r>
  <r>
    <d v="2024-07-15T00:00:00"/>
    <s v="currydestroyer27"/>
    <n v="1.8"/>
    <n v="0.4"/>
    <s v="Annihilate"/>
    <s v="Metro Boomin, Swae Lee, Lil Wayne"/>
    <n v="2"/>
    <n v="2"/>
    <n v="2"/>
    <n v="2"/>
    <n v="1"/>
    <x v="2"/>
    <x v="5"/>
  </r>
  <r>
    <d v="2024-07-16T00:00:00"/>
    <s v="alappatjoe"/>
    <n v="3.2"/>
    <n v="1.1661903789690602"/>
    <s v="Mona Lisa"/>
    <s v="Dominic Fike"/>
    <n v="1"/>
    <n v="4"/>
    <n v="4"/>
    <n v="4"/>
    <n v="3"/>
    <x v="5"/>
    <x v="59"/>
  </r>
  <r>
    <d v="2024-07-16T00:00:00"/>
    <s v="danram"/>
    <n v="3.4"/>
    <n v="1.019803902718557"/>
    <s v="Lonely At The Top"/>
    <s v="Asake"/>
    <n v="5"/>
    <n v="2"/>
    <n v="3"/>
    <n v="3"/>
    <n v="4"/>
    <x v="4"/>
    <x v="60"/>
  </r>
  <r>
    <d v="2024-07-16T00:00:00"/>
    <s v="loganworsdell"/>
    <n v="1.4"/>
    <n v="0.8"/>
    <s v="Feel It"/>
    <s v="d4vd"/>
    <n v="3"/>
    <n v="1"/>
    <n v="1"/>
    <n v="1"/>
    <n v="1"/>
    <x v="0"/>
    <x v="61"/>
  </r>
  <r>
    <d v="2024-07-16T00:00:00"/>
    <s v="samuelbattista"/>
    <n v="4.2"/>
    <n v="1.1661903789690602"/>
    <s v="Them Changes"/>
    <s v="Thundercat"/>
    <n v="4"/>
    <n v="5"/>
    <n v="5"/>
    <n v="2"/>
    <n v="5"/>
    <x v="5"/>
    <x v="62"/>
  </r>
  <r>
    <d v="2024-07-16T00:00:00"/>
    <s v="currydestroyer27"/>
    <n v="2.8"/>
    <n v="1.1661903789690602"/>
    <s v="Mona Lisa"/>
    <s v="Lil Wayne, Kendrick Lamar"/>
    <n v="2"/>
    <n v="3"/>
    <n v="2"/>
    <n v="5"/>
    <n v="2"/>
    <x v="2"/>
    <x v="63"/>
  </r>
  <r>
    <d v="2024-07-17T00:00:00"/>
    <s v="alappatjoe"/>
    <n v="3"/>
    <n v="1.2649110640673518"/>
    <s v="Comedy"/>
    <s v="Gen Hoshino"/>
    <n v="1"/>
    <n v="4"/>
    <n v="4"/>
    <n v="4"/>
    <n v="2"/>
    <x v="4"/>
    <x v="13"/>
  </r>
  <r>
    <d v="2024-07-17T00:00:00"/>
    <s v="danram"/>
    <n v="2.6"/>
    <n v="1.9595917942265424"/>
    <s v="F.C.P.R.E.M.I.X"/>
    <s v="The Fall of Troy"/>
    <n v="5"/>
    <n v="1"/>
    <n v="1"/>
    <n v="1"/>
    <n v="5"/>
    <x v="6"/>
    <x v="64"/>
  </r>
  <r>
    <d v="2024-07-17T00:00:00"/>
    <s v="loganworsdell"/>
    <n v="2.8"/>
    <n v="0.4"/>
    <s v="Nomu"/>
    <s v="Good Kid"/>
    <n v="3"/>
    <n v="3"/>
    <n v="2"/>
    <n v="3"/>
    <n v="3"/>
    <x v="6"/>
    <x v="50"/>
  </r>
  <r>
    <d v="2024-07-17T00:00:00"/>
    <s v="samuelbattista"/>
    <n v="3"/>
    <n v="0.89442719099991586"/>
    <s v="BEST INTEREST"/>
    <s v="Tyler, The Creator"/>
    <n v="4"/>
    <n v="2"/>
    <n v="3"/>
    <n v="2"/>
    <n v="4"/>
    <x v="5"/>
    <x v="59"/>
  </r>
  <r>
    <d v="2024-07-17T00:00:00"/>
    <s v="currydestroyer27"/>
    <n v="3.6"/>
    <n v="1.7435595774162693"/>
    <s v="Nobody"/>
    <s v="OneRepublic"/>
    <n v="2"/>
    <n v="5"/>
    <n v="5"/>
    <n v="5"/>
    <n v="1"/>
    <x v="0"/>
    <x v="65"/>
  </r>
  <r>
    <d v="2024-07-18T00:00:00"/>
    <s v="alappatjoe"/>
    <n v="4.2"/>
    <n v="1.6"/>
    <s v="I Don't Do Drugs"/>
    <s v="Doja Cat, Ariana Grande"/>
    <n v="1"/>
    <n v="5"/>
    <n v="5"/>
    <n v="5"/>
    <n v="5"/>
    <x v="0"/>
    <x v="9"/>
  </r>
  <r>
    <d v="2024-07-18T00:00:00"/>
    <s v="danram"/>
    <n v="2.2000000000000002"/>
    <n v="1.1661903789690602"/>
    <s v="Otro Atardecer"/>
    <s v="Bad Bunny, The Marias"/>
    <n v="3"/>
    <n v="1"/>
    <n v="1"/>
    <n v="2"/>
    <n v="4"/>
    <x v="0"/>
    <x v="66"/>
  </r>
  <r>
    <d v="2024-07-18T00:00:00"/>
    <s v="loganworsdell"/>
    <n v="2.4"/>
    <n v="0.8"/>
    <s v="I Main Samus Now"/>
    <s v="Sleepy Fish"/>
    <n v="2"/>
    <n v="3"/>
    <n v="3"/>
    <n v="3"/>
    <n v="1"/>
    <x v="8"/>
    <x v="67"/>
  </r>
  <r>
    <d v="2024-07-18T00:00:00"/>
    <s v="samuelbattista"/>
    <n v="2.4"/>
    <n v="1.019803902718557"/>
    <s v="Over the Rainbow"/>
    <s v="Israel Kamakawiwo'ole"/>
    <n v="4"/>
    <n v="2"/>
    <n v="2"/>
    <n v="1"/>
    <n v="3"/>
    <x v="0"/>
    <x v="68"/>
  </r>
  <r>
    <d v="2024-07-18T00:00:00"/>
    <s v="currydestroyer27"/>
    <n v="3.8"/>
    <n v="0.9797958971132712"/>
    <s v="Suzume"/>
    <s v="RADWIMPS, Toaka"/>
    <n v="5"/>
    <n v="4"/>
    <n v="4"/>
    <n v="4"/>
    <n v="2"/>
    <x v="0"/>
    <x v="13"/>
  </r>
  <r>
    <d v="2024-07-22T00:00:00"/>
    <s v="alappatjoe"/>
    <n v="3.2"/>
    <n v="1.4696938456699069"/>
    <s v="Demeanor"/>
    <s v="Pop Smoke, Dua Lipa"/>
    <n v="1"/>
    <n v="5"/>
    <n v="4"/>
    <n v="4"/>
    <n v="2"/>
    <x v="2"/>
    <x v="55"/>
  </r>
  <r>
    <d v="2024-07-22T00:00:00"/>
    <s v="danram"/>
    <n v="2.6"/>
    <n v="0.8"/>
    <s v="Kill V. Maim"/>
    <s v="Grimes"/>
    <n v="3"/>
    <n v="2"/>
    <n v="2"/>
    <n v="2"/>
    <n v="4"/>
    <x v="0"/>
    <x v="69"/>
  </r>
  <r>
    <d v="2024-07-22T00:00:00"/>
    <s v="loganworsdell"/>
    <n v="2.4"/>
    <n v="0.8"/>
    <s v="princess peach"/>
    <s v="Young Miko"/>
    <n v="2"/>
    <n v="1"/>
    <n v="3"/>
    <n v="3"/>
    <n v="3"/>
    <x v="4"/>
    <x v="70"/>
  </r>
  <r>
    <d v="2024-07-22T00:00:00"/>
    <s v="samuelbattista"/>
    <n v="4"/>
    <n v="1.5491933384829668"/>
    <s v="Maggot Brain"/>
    <s v="Funkadelic"/>
    <n v="5"/>
    <n v="4"/>
    <n v="5"/>
    <n v="1"/>
    <n v="5"/>
    <x v="6"/>
    <x v="71"/>
  </r>
  <r>
    <d v="2024-07-22T00:00:00"/>
    <s v="currydestroyer27"/>
    <n v="2.8"/>
    <n v="1.6"/>
    <s v="I really want to stay at your house"/>
    <s v="Rosa Walton, Hallie Coginns "/>
    <n v="4"/>
    <n v="3"/>
    <n v="1"/>
    <n v="5"/>
    <n v="1"/>
    <x v="0"/>
    <x v="72"/>
  </r>
  <r>
    <d v="2024-07-23T00:00:00"/>
    <s v="alappatjoe"/>
    <n v="2.6"/>
    <n v="1.3564659966250536"/>
    <s v="Caught Up"/>
    <s v="Usher"/>
    <n v="1"/>
    <n v="2"/>
    <n v="2"/>
    <n v="3"/>
    <n v="5"/>
    <x v="5"/>
    <x v="15"/>
  </r>
  <r>
    <d v="2024-07-23T00:00:00"/>
    <s v="danram"/>
    <n v="2.8"/>
    <n v="1.3266499161421599"/>
    <s v="Brookyln Bridge To Chorus"/>
    <s v="The Strokes"/>
    <n v="3"/>
    <n v="1"/>
    <n v="3"/>
    <n v="5"/>
    <n v="2"/>
    <x v="6"/>
    <x v="50"/>
  </r>
  <r>
    <d v="2024-07-23T00:00:00"/>
    <s v="loganworsdell"/>
    <n v="3.6"/>
    <n v="1.019803902718557"/>
    <s v="Wonderful"/>
    <s v="Mullally"/>
    <n v="2"/>
    <n v="5"/>
    <n v="4"/>
    <n v="4"/>
    <n v="3"/>
    <x v="5"/>
    <x v="14"/>
  </r>
  <r>
    <d v="2024-07-23T00:00:00"/>
    <s v="samuelbattista"/>
    <n v="4"/>
    <n v="1.0954451150103321"/>
    <s v="CEO OF MY ASS"/>
    <s v="Dev Lemons"/>
    <n v="5"/>
    <n v="4"/>
    <n v="5"/>
    <n v="2"/>
    <n v="4"/>
    <x v="0"/>
    <x v="69"/>
  </r>
  <r>
    <d v="2024-07-23T00:00:00"/>
    <s v="currydestroyer27"/>
    <n v="2"/>
    <n v="1.2649110640673518"/>
    <s v="Boulevard of Broken Dreams"/>
    <s v="Green Day"/>
    <n v="4"/>
    <n v="3"/>
    <n v="1"/>
    <n v="1"/>
    <n v="1"/>
    <x v="10"/>
    <x v="25"/>
  </r>
  <r>
    <d v="2024-07-24T00:00:00"/>
    <s v="alappatjoe"/>
    <n v="3.2"/>
    <n v="1.6"/>
    <s v="Corazón"/>
    <s v="Maluma, Nego de Borel"/>
    <n v="1"/>
    <n v="2"/>
    <n v="5"/>
    <n v="5"/>
    <n v="3"/>
    <x v="4"/>
    <x v="73"/>
  </r>
  <r>
    <d v="2024-07-24T00:00:00"/>
    <s v="danram"/>
    <n v="2.6"/>
    <n v="1.019803902718557"/>
    <s v="Neverita"/>
    <s v="Bad Bunny"/>
    <n v="2"/>
    <n v="1"/>
    <n v="3"/>
    <n v="3"/>
    <n v="4"/>
    <x v="10"/>
    <x v="25"/>
  </r>
  <r>
    <d v="2024-07-24T00:00:00"/>
    <s v="loganworsdell"/>
    <n v="3.6"/>
    <n v="1.019803902718557"/>
    <s v="Bow Down"/>
    <s v="I Prevail"/>
    <n v="3"/>
    <n v="4"/>
    <n v="4"/>
    <n v="2"/>
    <n v="5"/>
    <x v="3"/>
    <x v="74"/>
  </r>
  <r>
    <d v="2024-07-24T00:00:00"/>
    <s v="samuelbattista"/>
    <n v="2.4"/>
    <n v="1.019803902718557"/>
    <s v="Granite"/>
    <s v="Sleep Token"/>
    <n v="4"/>
    <n v="3"/>
    <n v="2"/>
    <n v="1"/>
    <n v="2"/>
    <x v="3"/>
    <x v="75"/>
  </r>
  <r>
    <d v="2024-07-24T00:00:00"/>
    <s v="currydestroyer27"/>
    <n v="3.2"/>
    <n v="1.833030277982336"/>
    <s v="Mamushi"/>
    <s v="Megan Thee Stallion, Yuki Chiba"/>
    <n v="5"/>
    <n v="5"/>
    <n v="1"/>
    <n v="4"/>
    <n v="1"/>
    <x v="2"/>
    <x v="28"/>
  </r>
  <r>
    <d v="2024-07-25T00:00:00"/>
    <s v="alappatjoe"/>
    <n v="2.8"/>
    <n v="1.1661903789690602"/>
    <s v="Wii Shop Channel - acapella"/>
    <s v="Maytree"/>
    <n v="1"/>
    <n v="4"/>
    <n v="4"/>
    <n v="2"/>
    <n v="3"/>
    <x v="8"/>
    <x v="41"/>
  </r>
  <r>
    <d v="2024-07-25T00:00:00"/>
    <s v="danram"/>
    <n v="2.2000000000000002"/>
    <n v="0.9797958971132712"/>
    <s v="Don't Speak"/>
    <s v="VoicePlay, Hannah Juliano"/>
    <n v="2"/>
    <n v="2"/>
    <n v="2"/>
    <n v="4"/>
    <n v="1"/>
    <x v="10"/>
    <x v="25"/>
  </r>
  <r>
    <d v="2024-07-25T00:00:00"/>
    <s v="loganworsdell"/>
    <n v="3.6"/>
    <n v="0.8"/>
    <s v="You Don't Know Nothin'"/>
    <s v="H3rizon"/>
    <n v="3"/>
    <n v="3"/>
    <n v="3"/>
    <n v="5"/>
    <n v="4"/>
    <x v="0"/>
    <x v="9"/>
  </r>
  <r>
    <d v="2024-07-25T00:00:00"/>
    <s v="samuelbattista"/>
    <n v="4.2"/>
    <n v="1.6"/>
    <s v="Bridge Over Troubled Water"/>
    <s v="Jacob Collier, John Legend, Tori Kelly"/>
    <n v="5"/>
    <n v="5"/>
    <n v="5"/>
    <n v="1"/>
    <n v="5"/>
    <x v="10"/>
    <x v="25"/>
  </r>
  <r>
    <d v="2024-07-25T00:00:00"/>
    <s v="currydestroyer27"/>
    <n v="2.2000000000000002"/>
    <n v="1.1661903789690602"/>
    <s v="Life Could Be A Dream"/>
    <s v="Street Corner Renaissance "/>
    <n v="4"/>
    <n v="1"/>
    <n v="1"/>
    <n v="3"/>
    <n v="2"/>
    <x v="8"/>
    <x v="76"/>
  </r>
  <r>
    <d v="2024-07-29T00:00:00"/>
    <s v="alappatjoe"/>
    <n v="3.8"/>
    <n v="1.1661903789690602"/>
    <s v="Pasoori"/>
    <s v="Shae Gill, Ali Sethi"/>
    <n v="2"/>
    <n v="5"/>
    <n v="4"/>
    <n v="5"/>
    <n v="3"/>
    <x v="4"/>
    <x v="21"/>
  </r>
  <r>
    <d v="2024-07-29T00:00:00"/>
    <s v="danram"/>
    <n v="3.8"/>
    <n v="0.9797958971132712"/>
    <s v="Small Worlds"/>
    <s v="Mac Miller"/>
    <n v="5"/>
    <n v="3"/>
    <n v="3"/>
    <n v="3"/>
    <n v="5"/>
    <x v="10"/>
    <x v="25"/>
  </r>
  <r>
    <d v="2024-07-29T00:00:00"/>
    <s v="loganworsdell"/>
    <n v="1.6"/>
    <n v="1.2"/>
    <s v="Closer"/>
    <s v="vaultboy, salem ilese"/>
    <n v="1"/>
    <n v="1"/>
    <n v="1"/>
    <n v="1"/>
    <n v="4"/>
    <x v="0"/>
    <x v="77"/>
  </r>
  <r>
    <d v="2024-07-29T00:00:00"/>
    <s v="samuelbattista"/>
    <n v="2.8"/>
    <n v="0.9797958971132712"/>
    <s v="Hash Pipe"/>
    <s v="Weezer"/>
    <n v="4"/>
    <n v="4"/>
    <n v="2"/>
    <n v="2"/>
    <n v="2"/>
    <x v="6"/>
    <x v="50"/>
  </r>
  <r>
    <d v="2024-07-29T00:00:00"/>
    <s v="currydestroyer27"/>
    <n v="3"/>
    <n v="1.4142135623730951"/>
    <s v="Nothing Matters"/>
    <s v="The Last Dinner Party"/>
    <n v="3"/>
    <n v="2"/>
    <n v="5"/>
    <n v="4"/>
    <n v="1"/>
    <x v="0"/>
    <x v="3"/>
  </r>
  <r>
    <d v="2024-07-30T00:00:00"/>
    <s v="alappatjoe"/>
    <n v="3.6"/>
    <n v="1.4966629547095767"/>
    <s v="KOD"/>
    <s v="J. Cole"/>
    <n v="1"/>
    <n v="5"/>
    <n v="5"/>
    <n v="3"/>
    <n v="4"/>
    <x v="2"/>
    <x v="63"/>
  </r>
  <r>
    <d v="2024-07-30T00:00:00"/>
    <s v="danram"/>
    <n v="3.6"/>
    <n v="1.3564659966250536"/>
    <s v="Magnetic"/>
    <s v="ILLIT"/>
    <n v="2"/>
    <n v="2"/>
    <n v="4"/>
    <n v="5"/>
    <n v="5"/>
    <x v="10"/>
    <x v="25"/>
  </r>
  <r>
    <d v="2024-07-30T00:00:00"/>
    <s v="loganworsdell"/>
    <n v="1.8"/>
    <n v="0.74833147735478833"/>
    <s v="Bossa No Sé"/>
    <s v="Cuco, Jean Carter"/>
    <n v="3"/>
    <n v="1"/>
    <n v="2"/>
    <n v="2"/>
    <n v="1"/>
    <x v="0"/>
    <x v="78"/>
  </r>
  <r>
    <d v="2024-07-30T00:00:00"/>
    <s v="samuelbattista"/>
    <n v="2.2000000000000002"/>
    <n v="1.1661903789690602"/>
    <s v="Pink + White"/>
    <s v="Frank Ocean"/>
    <n v="4"/>
    <n v="3"/>
    <n v="1"/>
    <n v="1"/>
    <n v="2"/>
    <x v="10"/>
    <x v="25"/>
  </r>
  <r>
    <d v="2024-07-30T00:00:00"/>
    <s v="currydestroyer27"/>
    <n v="3.8"/>
    <n v="0.74833147735478833"/>
    <s v="Lucky Girl Syndrome"/>
    <s v="ILLIT"/>
    <n v="5"/>
    <n v="4"/>
    <n v="3"/>
    <n v="4"/>
    <n v="3"/>
    <x v="0"/>
    <x v="12"/>
  </r>
  <r>
    <d v="2024-07-31T00:00:00"/>
    <s v="alappatjoe"/>
    <n v="2.4"/>
    <n v="1.3564659966250536"/>
    <s v="Deja Vu"/>
    <s v="Beyoncé, Jay-Z"/>
    <n v="1"/>
    <n v="5"/>
    <n v="2"/>
    <n v="2"/>
    <n v="2"/>
    <x v="10"/>
    <x v="25"/>
  </r>
  <r>
    <d v="2024-07-31T00:00:00"/>
    <s v="danram"/>
    <n v="2.8"/>
    <n v="0.9797958971132712"/>
    <s v="FRONTAL LOBE MUSIK"/>
    <s v="Daniel Caesar, Pharrell Williams"/>
    <n v="4"/>
    <n v="1"/>
    <n v="3"/>
    <n v="3"/>
    <n v="3"/>
    <x v="5"/>
    <x v="25"/>
  </r>
  <r>
    <d v="2024-07-31T00:00:00"/>
    <s v="loganworsdell"/>
    <n v="2.6"/>
    <n v="1.6248076809271921"/>
    <s v="Guilty Conscience"/>
    <s v="070 Shake"/>
    <n v="5"/>
    <n v="2"/>
    <n v="1"/>
    <n v="4"/>
    <n v="1"/>
    <x v="11"/>
    <x v="79"/>
  </r>
  <r>
    <d v="2024-07-31T00:00:00"/>
    <s v="samuelbattista"/>
    <n v="3.2"/>
    <n v="1.3266499161421599"/>
    <s v="Steps Beach"/>
    <s v="Childish Gambino"/>
    <n v="3"/>
    <n v="3"/>
    <n v="4"/>
    <n v="1"/>
    <n v="5"/>
    <x v="10"/>
    <x v="25"/>
  </r>
  <r>
    <d v="2024-07-31T00:00:00"/>
    <s v="currydestroyer27"/>
    <n v="4"/>
    <n v="1.0954451150103321"/>
    <s v="Hopeless Romantic"/>
    <s v="Wiz Khalifa, Swae Lee"/>
    <n v="2"/>
    <n v="4"/>
    <n v="5"/>
    <n v="5"/>
    <n v="4"/>
    <x v="5"/>
    <x v="5"/>
  </r>
  <r>
    <d v="2024-08-01T00:00:00"/>
    <s v="alappatjoe"/>
    <n v="3.4"/>
    <n v="1.3564659966250536"/>
    <s v="The Disaster of Passion"/>
    <s v="AISHA, Arc System Works"/>
    <n v="1"/>
    <n v="4"/>
    <n v="5"/>
    <n v="4"/>
    <n v="3"/>
    <x v="10"/>
    <x v="25"/>
  </r>
  <r>
    <d v="2024-08-01T00:00:00"/>
    <s v="danram"/>
    <n v="2.6"/>
    <n v="1.019803902718557"/>
    <s v="Super Bass"/>
    <s v="Nicki Minaj"/>
    <n v="3"/>
    <n v="1"/>
    <n v="2"/>
    <n v="3"/>
    <n v="4"/>
    <x v="10"/>
    <x v="25"/>
  </r>
  <r>
    <d v="2024-08-01T00:00:00"/>
    <s v="loganworsdell"/>
    <n v="4.2"/>
    <n v="0.74833147735478833"/>
    <s v="Disco Tits"/>
    <s v="Tove Lo"/>
    <n v="4"/>
    <n v="3"/>
    <n v="4"/>
    <n v="5"/>
    <n v="5"/>
    <x v="0"/>
    <x v="80"/>
  </r>
  <r>
    <d v="2024-08-01T00:00:00"/>
    <s v="samuelbattista"/>
    <n v="3.4"/>
    <n v="1.3564659966250536"/>
    <s v="Gimme Chocolate!!"/>
    <s v="BABYMETAL"/>
    <n v="5"/>
    <n v="5"/>
    <n v="3"/>
    <n v="2"/>
    <n v="2"/>
    <x v="3"/>
    <x v="81"/>
  </r>
  <r>
    <d v="2024-08-01T00:00:00"/>
    <s v="currydestroyer27"/>
    <n v="1.4"/>
    <n v="0.4898979485566356"/>
    <s v="Only Girl (In The World)"/>
    <s v="Rihanna"/>
    <n v="2"/>
    <n v="2"/>
    <n v="1"/>
    <n v="1"/>
    <n v="1"/>
    <x v="0"/>
    <x v="9"/>
  </r>
  <r>
    <d v="2024-08-05T00:00:00"/>
    <s v="alappatjoe"/>
    <n v="3.2"/>
    <n v="1.833030277982336"/>
    <s v="Drumhead Pulsation"/>
    <s v="Arc System Works"/>
    <n v="1"/>
    <n v="5"/>
    <n v="4"/>
    <n v="5"/>
    <n v="1"/>
    <x v="6"/>
    <x v="82"/>
  </r>
  <r>
    <d v="2024-08-05T00:00:00"/>
    <s v="danram"/>
    <n v="3"/>
    <n v="0.63245553203367588"/>
    <s v="Pressure"/>
    <s v="Rushy"/>
    <n v="4"/>
    <n v="2"/>
    <n v="3"/>
    <n v="3"/>
    <n v="3"/>
    <x v="10"/>
    <x v="25"/>
  </r>
  <r>
    <d v="2024-08-05T00:00:00"/>
    <s v="loganworsdell"/>
    <n v="2"/>
    <n v="1.0954451150103321"/>
    <s v="Please Don't Fall In Love With Me"/>
    <s v="Khalid"/>
    <n v="2"/>
    <n v="1"/>
    <n v="1"/>
    <n v="2"/>
    <n v="4"/>
    <x v="5"/>
    <x v="83"/>
  </r>
  <r>
    <d v="2024-08-05T00:00:00"/>
    <s v="samuelbattista"/>
    <n v="4"/>
    <n v="1.5491933384829668"/>
    <s v="Let The Light In"/>
    <s v="Lana Del Rey"/>
    <n v="5"/>
    <n v="4"/>
    <n v="5"/>
    <n v="1"/>
    <n v="5"/>
    <x v="8"/>
    <x v="84"/>
  </r>
  <r>
    <d v="2024-08-05T00:00:00"/>
    <s v="currydestroyer27"/>
    <n v="2.8"/>
    <n v="0.74833147735478833"/>
    <s v="Rain"/>
    <s v="Aitch, AJ Tracey, Tay Keith"/>
    <n v="3"/>
    <n v="3"/>
    <n v="2"/>
    <n v="4"/>
    <n v="2"/>
    <x v="2"/>
    <x v="85"/>
  </r>
  <r>
    <d v="2024-08-06T00:00:00"/>
    <s v="alappatjoe"/>
    <n v="3.8"/>
    <n v="1.4696938456699069"/>
    <s v="Jack-a-Dandy"/>
    <s v="Daisuke Ishiwatari"/>
    <n v="1"/>
    <n v="5"/>
    <n v="5"/>
    <n v="4"/>
    <n v="4"/>
    <x v="6"/>
    <x v="82"/>
  </r>
  <r>
    <d v="2024-08-06T00:00:00"/>
    <s v="danram"/>
    <n v="2"/>
    <n v="0.89442719099991586"/>
    <s v="Scar Tissue"/>
    <s v="Red Hot Chili Peppers"/>
    <n v="3"/>
    <n v="1"/>
    <n v="1"/>
    <n v="2"/>
    <n v="3"/>
    <x v="10"/>
    <x v="25"/>
  </r>
  <r>
    <d v="2024-08-06T00:00:00"/>
    <s v="loganworsdell"/>
    <n v="4.2"/>
    <n v="0.74833147735478833"/>
    <s v="The Hammer"/>
    <s v="Kublai Khan TX"/>
    <n v="5"/>
    <n v="4"/>
    <n v="4"/>
    <n v="3"/>
    <n v="5"/>
    <x v="10"/>
    <x v="25"/>
  </r>
  <r>
    <d v="2024-08-06T00:00:00"/>
    <s v="samuelbattista"/>
    <n v="2.2000000000000002"/>
    <n v="0.9797958971132712"/>
    <s v="Rain"/>
    <s v="Sleep Token"/>
    <n v="4"/>
    <n v="2"/>
    <n v="2"/>
    <n v="1"/>
    <n v="2"/>
    <x v="3"/>
    <x v="86"/>
  </r>
  <r>
    <d v="2024-08-06T00:00:00"/>
    <s v="currydestroyer27"/>
    <n v="2.8"/>
    <n v="1.3266499161421599"/>
    <s v="Love the Subhuman Self"/>
    <s v="AISHA, Jamison Boaz, Arc System Works"/>
    <n v="2"/>
    <n v="3"/>
    <n v="3"/>
    <n v="5"/>
    <n v="1"/>
    <x v="6"/>
    <x v="82"/>
  </r>
  <r>
    <d v="2024-08-07T00:00:00"/>
    <s v="alappatjoe"/>
    <n v="3.4"/>
    <n v="1.6248076809271921"/>
    <s v="Kanzuki Beach"/>
    <s v="Keiki Kobayashi"/>
    <n v="1"/>
    <n v="5"/>
    <n v="2"/>
    <n v="4"/>
    <n v="5"/>
    <x v="8"/>
    <x v="41"/>
  </r>
  <r>
    <d v="2024-08-07T00:00:00"/>
    <s v="danram"/>
    <n v="3"/>
    <n v="0.89442719099991586"/>
    <s v="Acting"/>
    <s v="Sweet Trip"/>
    <n v="2"/>
    <n v="3"/>
    <n v="4"/>
    <n v="2"/>
    <n v="4"/>
    <x v="10"/>
    <x v="25"/>
  </r>
  <r>
    <d v="2024-08-07T00:00:00"/>
    <s v="loganworsdell"/>
    <n v="2"/>
    <n v="0.89442719099991586"/>
    <s v="shy girl"/>
    <s v="wilo wilde"/>
    <n v="3"/>
    <n v="1"/>
    <n v="1"/>
    <n v="3"/>
    <n v="2"/>
    <x v="10"/>
    <x v="25"/>
  </r>
  <r>
    <d v="2024-08-07T00:00:00"/>
    <s v="samuelbattista"/>
    <n v="3.6"/>
    <n v="1.4966629547095767"/>
    <s v="Time/Breath Reprise"/>
    <s v="Greensky Bluegrass"/>
    <n v="5"/>
    <n v="4"/>
    <n v="5"/>
    <n v="1"/>
    <n v="3"/>
    <x v="7"/>
    <x v="87"/>
  </r>
  <r>
    <d v="2024-08-07T00:00:00"/>
    <s v="currydestroyer27"/>
    <n v="3"/>
    <n v="1.4142135623730951"/>
    <s v="Parado no Bailao"/>
    <s v="MC L da Vinte, MC Gury"/>
    <n v="4"/>
    <n v="2"/>
    <n v="3"/>
    <n v="5"/>
    <n v="1"/>
    <x v="11"/>
    <x v="88"/>
  </r>
  <r>
    <d v="2024-08-08T00:00:00"/>
    <s v="alappatjoe"/>
    <n v="2.8"/>
    <n v="1.3266499161421599"/>
    <s v="奇術師のバイレ"/>
    <s v="Yoshihisa Hirano"/>
    <n v="1"/>
    <n v="3"/>
    <n v="5"/>
    <n v="3"/>
    <n v="2"/>
    <x v="10"/>
    <x v="25"/>
  </r>
  <r>
    <d v="2024-08-08T00:00:00"/>
    <s v="danram"/>
    <n v="2.8"/>
    <n v="1.3266499161421599"/>
    <s v="The Woven Web"/>
    <s v="Animals As Leaders"/>
    <n v="5"/>
    <n v="1"/>
    <n v="3"/>
    <n v="2"/>
    <n v="3"/>
    <x v="10"/>
    <x v="25"/>
  </r>
  <r>
    <d v="2024-08-08T00:00:00"/>
    <s v="loganworsdell"/>
    <n v="3.4"/>
    <n v="1.3564659966250536"/>
    <s v="Funk for Your Life"/>
    <s v="Dominic Glover, Gary Crockett, Jason Glover"/>
    <n v="3"/>
    <n v="4"/>
    <n v="1"/>
    <n v="4"/>
    <n v="5"/>
    <x v="10"/>
    <x v="25"/>
  </r>
  <r>
    <d v="2024-08-08T00:00:00"/>
    <s v="samuelbattista"/>
    <n v="3"/>
    <n v="1.2649110640673518"/>
    <s v="Lingus"/>
    <s v="Snarky Puppy"/>
    <n v="4"/>
    <n v="2"/>
    <n v="4"/>
    <n v="1"/>
    <n v="4"/>
    <x v="10"/>
    <x v="25"/>
  </r>
  <r>
    <d v="2024-08-08T00:00:00"/>
    <s v="currydestroyer27"/>
    <n v="3"/>
    <n v="1.6733200530681511"/>
    <s v="clavar la espada"/>
    <s v="Shiro Sagisu"/>
    <n v="2"/>
    <n v="5"/>
    <n v="2"/>
    <n v="5"/>
    <n v="1"/>
    <x v="10"/>
    <x v="25"/>
  </r>
  <r>
    <d v="2024-08-12T00:00:00"/>
    <s v="alappatjoe"/>
    <n v="4.4000000000000004"/>
    <n v="0.8"/>
    <s v="Guess"/>
    <s v="Charli xcx, Billie Eilish"/>
    <n v="3"/>
    <n v="5"/>
    <n v="4"/>
    <n v="5"/>
    <n v="5"/>
    <x v="0"/>
    <x v="25"/>
  </r>
  <r>
    <d v="2024-08-12T00:00:00"/>
    <s v="danram"/>
    <n v="2"/>
    <n v="0.89442719099991586"/>
    <n v="360"/>
    <s v="Charli xcx"/>
    <n v="1"/>
    <n v="1"/>
    <n v="3"/>
    <n v="2"/>
    <n v="3"/>
    <x v="10"/>
    <x v="25"/>
  </r>
  <r>
    <d v="2024-08-12T00:00:00"/>
    <s v="loganworsdell"/>
    <n v="3.4"/>
    <n v="0.8"/>
    <s v="No Trends"/>
    <s v="Mike Dimes"/>
    <n v="4"/>
    <n v="3"/>
    <n v="2"/>
    <n v="4"/>
    <n v="4"/>
    <x v="10"/>
    <x v="25"/>
  </r>
  <r>
    <d v="2024-08-12T00:00:00"/>
    <s v="samuelbattista"/>
    <n v="2.2000000000000002"/>
    <n v="1.4696938456699069"/>
    <s v="The Reason"/>
    <s v="Hoobastank"/>
    <n v="5"/>
    <n v="2"/>
    <n v="1"/>
    <n v="1"/>
    <n v="2"/>
    <x v="10"/>
    <x v="25"/>
  </r>
  <r>
    <d v="2024-08-12T00:00:00"/>
    <s v="currydestroyer27"/>
    <n v="3"/>
    <n v="1.4142135623730951"/>
    <s v="Disparate Youth"/>
    <s v="Santigold"/>
    <n v="2"/>
    <n v="4"/>
    <n v="5"/>
    <n v="3"/>
    <n v="1"/>
    <x v="10"/>
    <x v="25"/>
  </r>
  <r>
    <d v="2024-08-13T00:00:00"/>
    <s v="alappatjoe"/>
    <n v="1.8"/>
    <n v="0.4"/>
    <s v="Greedy"/>
    <s v="Ariana Grande"/>
    <n v="1"/>
    <n v="2"/>
    <n v="2"/>
    <n v="2"/>
    <n v="2"/>
    <x v="0"/>
    <x v="25"/>
  </r>
  <r>
    <d v="2024-08-13T00:00:00"/>
    <s v="danram"/>
    <n v="4"/>
    <n v="0.89442719099991586"/>
    <s v="Atrevete-Te-Te"/>
    <s v="Calle 13"/>
    <n v="5"/>
    <n v="4"/>
    <n v="5"/>
    <n v="3"/>
    <n v="3"/>
    <x v="10"/>
    <x v="25"/>
  </r>
  <r>
    <d v="2024-08-13T00:00:00"/>
    <s v="loganworsdell"/>
    <n v="4"/>
    <n v="1.5491933384829668"/>
    <s v="Touch It - Remix"/>
    <s v="Busta Rhymes, Mary J. Blige, Missy Elliott, DMX, Rah Digga, Lloyd Banks, Papoose"/>
    <n v="4"/>
    <n v="5"/>
    <n v="1"/>
    <n v="5"/>
    <n v="5"/>
    <x v="10"/>
    <x v="25"/>
  </r>
  <r>
    <d v="2024-08-13T00:00:00"/>
    <s v="samuelbattista"/>
    <n v="3"/>
    <n v="1.0954451150103321"/>
    <s v="Modern Girl"/>
    <s v="Bleachers"/>
    <n v="3"/>
    <n v="3"/>
    <n v="4"/>
    <n v="1"/>
    <n v="4"/>
    <x v="10"/>
    <x v="25"/>
  </r>
  <r>
    <d v="2024-08-13T00:00:00"/>
    <s v="currydestroyer27"/>
    <n v="2.2000000000000002"/>
    <n v="1.1661903789690602"/>
    <s v="Ali in The Jungle"/>
    <s v="The Hours"/>
    <n v="2"/>
    <n v="1"/>
    <n v="3"/>
    <n v="4"/>
    <n v="1"/>
    <x v="10"/>
    <x v="25"/>
  </r>
  <r>
    <d v="2024-08-14T00:00:00"/>
    <s v="alappatjoe"/>
    <s v="TBD"/>
    <s v="TBD"/>
    <m/>
    <m/>
    <m/>
    <m/>
    <m/>
    <m/>
    <m/>
    <x v="10"/>
    <x v="25"/>
  </r>
  <r>
    <d v="2024-08-14T00:00:00"/>
    <s v="danram"/>
    <s v="TBD"/>
    <s v="TBD"/>
    <m/>
    <m/>
    <m/>
    <m/>
    <m/>
    <m/>
    <m/>
    <x v="10"/>
    <x v="25"/>
  </r>
  <r>
    <d v="2024-08-14T00:00:00"/>
    <s v="loganworsdell"/>
    <s v="TBD"/>
    <s v="TBD"/>
    <m/>
    <m/>
    <m/>
    <m/>
    <m/>
    <m/>
    <m/>
    <x v="10"/>
    <x v="25"/>
  </r>
  <r>
    <d v="2024-08-14T00:00:00"/>
    <s v="samuelbattista"/>
    <s v="TBD"/>
    <s v="TBD"/>
    <m/>
    <m/>
    <m/>
    <m/>
    <m/>
    <m/>
    <m/>
    <x v="10"/>
    <x v="25"/>
  </r>
  <r>
    <d v="2024-08-14T00:00:00"/>
    <s v="currydestroyer27"/>
    <s v="TBD"/>
    <s v="TBD"/>
    <m/>
    <m/>
    <m/>
    <m/>
    <m/>
    <m/>
    <m/>
    <x v="10"/>
    <x v="25"/>
  </r>
  <r>
    <d v="2024-08-15T00:00:00"/>
    <s v="alappatjoe"/>
    <s v="TBD"/>
    <s v="TBD"/>
    <m/>
    <m/>
    <m/>
    <m/>
    <m/>
    <m/>
    <m/>
    <x v="10"/>
    <x v="25"/>
  </r>
  <r>
    <d v="2024-08-15T00:00:00"/>
    <s v="danram"/>
    <s v="TBD"/>
    <s v="TBD"/>
    <m/>
    <m/>
    <m/>
    <m/>
    <m/>
    <m/>
    <m/>
    <x v="10"/>
    <x v="25"/>
  </r>
  <r>
    <d v="2024-08-15T00:00:00"/>
    <s v="loganworsdell"/>
    <s v="TBD"/>
    <s v="TBD"/>
    <m/>
    <m/>
    <m/>
    <m/>
    <m/>
    <m/>
    <m/>
    <x v="10"/>
    <x v="25"/>
  </r>
  <r>
    <d v="2024-08-15T00:00:00"/>
    <s v="samuelbattista"/>
    <s v="TBD"/>
    <s v="TBD"/>
    <m/>
    <m/>
    <m/>
    <m/>
    <m/>
    <m/>
    <m/>
    <x v="10"/>
    <x v="25"/>
  </r>
  <r>
    <d v="2024-08-15T00:00:00"/>
    <s v="currydestroyer27"/>
    <s v="TBD"/>
    <s v="TBD"/>
    <m/>
    <m/>
    <m/>
    <m/>
    <m/>
    <m/>
    <m/>
    <x v="10"/>
    <x v="2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5">
  <r>
    <x v="0"/>
    <s v="alappatjoe"/>
    <n v="2.8"/>
    <n v="1.3266499161421599"/>
    <s v="Training Season"/>
    <s v="Dua Lipa"/>
    <n v="1"/>
    <n v="5"/>
    <n v="3"/>
    <n v="2"/>
    <n v="3"/>
    <m/>
    <s v="Pop"/>
    <s v="Dance Pop"/>
    <n v="2"/>
    <n v="1"/>
    <b v="0"/>
  </r>
  <r>
    <x v="0"/>
    <s v="danram"/>
    <n v="2.2000000000000002"/>
    <n v="0.74833147735478833"/>
    <s v="Mosquito"/>
    <s v="PinkPantheress"/>
    <n v="3"/>
    <n v="1"/>
    <n v="2"/>
    <n v="3"/>
    <n v="2"/>
    <m/>
    <s v="Pop"/>
    <s v="UK Garage"/>
    <n v="1"/>
    <n v="1"/>
    <b v="1"/>
  </r>
  <r>
    <x v="0"/>
    <s v="loganworsdell"/>
    <n v="3.2"/>
    <n v="1.1661903789690602"/>
    <s v="Earthquake"/>
    <s v="Ferdous"/>
    <n v="4"/>
    <n v="3"/>
    <n v="1"/>
    <n v="4"/>
    <n v="4"/>
    <m/>
    <s v="Electronic"/>
    <s v="Dance/Electronic"/>
    <n v="4"/>
    <n v="1"/>
    <b v="0"/>
  </r>
  <r>
    <x v="0"/>
    <s v="samuelbattista"/>
    <n v="2.8"/>
    <n v="1.4696938456699069"/>
    <s v="No Problems"/>
    <s v="Ginger Root"/>
    <n v="2"/>
    <n v="2"/>
    <n v="4"/>
    <n v="1"/>
    <n v="5"/>
    <m/>
    <s v="Pop"/>
    <s v="Indie Pop"/>
    <n v="3"/>
    <n v="1"/>
    <b v="0"/>
  </r>
  <r>
    <x v="0"/>
    <s v="currydestroyer27"/>
    <n v="4"/>
    <n v="1.5491933384829668"/>
    <s v="Fly Away"/>
    <s v="TheFatRat, Anjulie"/>
    <n v="5"/>
    <n v="4"/>
    <n v="5"/>
    <n v="5"/>
    <n v="1"/>
    <m/>
    <s v="Electronic"/>
    <s v="EDM"/>
    <n v="5"/>
    <n v="1"/>
    <b v="0"/>
  </r>
  <r>
    <x v="1"/>
    <s v="alappatjoe"/>
    <n v="2.2000000000000002"/>
    <n v="0.74833147735478833"/>
    <s v="Illusion - Extended"/>
    <s v="Dua Lipa"/>
    <n v="1"/>
    <n v="2"/>
    <n v="2"/>
    <n v="3"/>
    <n v="3"/>
    <m/>
    <s v="Pop"/>
    <s v="Dance Pop"/>
    <n v="1"/>
    <n v="1"/>
    <b v="1"/>
  </r>
  <r>
    <x v="1"/>
    <s v="danram"/>
    <n v="4.5999999999999996"/>
    <n v="0.8"/>
    <s v="Took Em Down"/>
    <s v="BredGawd, LAZER DIM 700"/>
    <n v="5"/>
    <n v="3"/>
    <n v="5"/>
    <n v="5"/>
    <n v="5"/>
    <m/>
    <s v="Rap"/>
    <s v="Rap"/>
    <n v="5"/>
    <n v="1"/>
    <b v="0"/>
  </r>
  <r>
    <x v="1"/>
    <s v="loganworsdell"/>
    <n v="2.2000000000000002"/>
    <n v="1.4696938456699069"/>
    <s v="Top 10 staTues tHat CriEd bloOd"/>
    <s v="Bring Me The Horizon"/>
    <n v="4"/>
    <n v="1"/>
    <n v="1"/>
    <n v="1"/>
    <n v="4"/>
    <m/>
    <s v="Metal"/>
    <s v="Metalcore"/>
    <n v="2"/>
    <n v="1"/>
    <b v="0"/>
  </r>
  <r>
    <x v="1"/>
    <s v="samuelbattista"/>
    <n v="2.6"/>
    <n v="1.019803902718557"/>
    <s v="RATATATA"/>
    <s v="BABYMETAL, Electric Callboy"/>
    <n v="3"/>
    <n v="4"/>
    <n v="3"/>
    <n v="2"/>
    <n v="1"/>
    <m/>
    <s v="International"/>
    <s v="J-Metal"/>
    <n v="3"/>
    <n v="1"/>
    <b v="0"/>
  </r>
  <r>
    <x v="1"/>
    <s v="currydestroyer27"/>
    <n v="3.4"/>
    <n v="1.2"/>
    <s v="Blue Skies - Revoke Remix"/>
    <s v="Lenka, REVOKE"/>
    <n v="2"/>
    <n v="5"/>
    <n v="4"/>
    <n v="4"/>
    <n v="2"/>
    <m/>
    <s v="Pop"/>
    <s v="Alternative Pop"/>
    <n v="4"/>
    <n v="1"/>
    <b v="0"/>
  </r>
  <r>
    <x v="2"/>
    <s v="alappatjoe"/>
    <n v="4"/>
    <n v="1.2649110640673518"/>
    <s v="Not My Fault"/>
    <s v="Renee Rapp, Megan Thee Stallion"/>
    <n v="2"/>
    <n v="5"/>
    <n v="5"/>
    <n v="5"/>
    <n v="3"/>
    <m/>
    <s v="Pop"/>
    <s v="Pop"/>
    <n v="5"/>
    <n v="1"/>
    <b v="0"/>
  </r>
  <r>
    <x v="2"/>
    <s v="danram"/>
    <n v="2.2000000000000002"/>
    <n v="0.9797958971132712"/>
    <s v="BIRDS OF A FEATHER"/>
    <s v="Billie Eilish"/>
    <n v="1"/>
    <n v="2"/>
    <n v="4"/>
    <n v="2"/>
    <n v="2"/>
    <m/>
    <s v="Pop"/>
    <s v="Alternative Pop"/>
    <n v="1"/>
    <n v="1"/>
    <b v="1"/>
  </r>
  <r>
    <x v="2"/>
    <s v="loganworsdell"/>
    <n v="3.4"/>
    <n v="1.019803902718557"/>
    <s v="2000 chevy malibu"/>
    <s v="Channel Tres"/>
    <n v="3"/>
    <n v="4"/>
    <n v="2"/>
    <n v="3"/>
    <n v="5"/>
    <m/>
    <s v="R&amp;B"/>
    <s v="Indie soul"/>
    <n v="4"/>
    <n v="1"/>
    <b v="0"/>
  </r>
  <r>
    <x v="2"/>
    <s v="samuelbattista"/>
    <n v="2.6"/>
    <n v="1.3564659966250536"/>
    <s v="Hollywood Baby"/>
    <s v="100 gecs"/>
    <n v="4"/>
    <n v="1"/>
    <n v="3"/>
    <n v="1"/>
    <n v="4"/>
    <m/>
    <s v="Pop"/>
    <s v="Hyperpop"/>
    <n v="2"/>
    <n v="1"/>
    <b v="0"/>
  </r>
  <r>
    <x v="2"/>
    <s v="currydestroyer27"/>
    <n v="2.8"/>
    <n v="1.6"/>
    <s v="Bandit"/>
    <s v="Don Toliver"/>
    <n v="5"/>
    <n v="3"/>
    <n v="1"/>
    <n v="4"/>
    <n v="1"/>
    <m/>
    <s v="Rap"/>
    <s v="Rap"/>
    <n v="3"/>
    <n v="1"/>
    <b v="0"/>
  </r>
  <r>
    <x v="3"/>
    <s v="alappatjoe"/>
    <n v="3.4"/>
    <n v="0.8"/>
    <s v="Standing Next to You"/>
    <s v="Jung Kook"/>
    <n v="2"/>
    <n v="4"/>
    <n v="4"/>
    <n v="4"/>
    <n v="3"/>
    <m/>
    <s v="International"/>
    <s v="K-Pop"/>
    <n v="4"/>
    <n v="1"/>
    <b v="0"/>
  </r>
  <r>
    <x v="3"/>
    <s v="danram"/>
    <n v="3.2"/>
    <n v="0.9797958971132712"/>
    <s v="Lonely Rolling Star"/>
    <s v="Katamari Soundtrack"/>
    <n v="5"/>
    <n v="3"/>
    <n v="3"/>
    <n v="3"/>
    <n v="2"/>
    <m/>
    <s v="International"/>
    <s v="J-Pop"/>
    <n v="3"/>
    <n v="1"/>
    <b v="0"/>
  </r>
  <r>
    <x v="3"/>
    <s v="loganworsdell"/>
    <n v="1.8"/>
    <n v="0.74833147735478833"/>
    <s v="Candle Flame"/>
    <s v="Jungle, Erick the Architect"/>
    <n v="3"/>
    <n v="1"/>
    <n v="2"/>
    <n v="2"/>
    <n v="1"/>
    <m/>
    <s v="R&amp;B"/>
    <s v="UK Contemporary R&amp;B"/>
    <n v="1"/>
    <n v="1"/>
    <b v="1"/>
  </r>
  <r>
    <x v="3"/>
    <s v="samuelbattista"/>
    <n v="2"/>
    <n v="1.5491933384829668"/>
    <s v="Fly as Me"/>
    <s v="Silk Sonic"/>
    <n v="1"/>
    <n v="2"/>
    <n v="1"/>
    <n v="1"/>
    <n v="5"/>
    <m/>
    <s v="R&amp;B"/>
    <s v="Neo Soul"/>
    <n v="2"/>
    <n v="1"/>
    <b v="0"/>
  </r>
  <r>
    <x v="3"/>
    <s v="currydestroyer27"/>
    <n v="4.5999999999999996"/>
    <n v="0.4898979485566356"/>
    <s v="Ill Mind of Hopsin 8"/>
    <s v="Hopsin"/>
    <n v="4"/>
    <n v="5"/>
    <n v="5"/>
    <n v="5"/>
    <n v="4"/>
    <m/>
    <s v="Rap"/>
    <s v="Rap"/>
    <n v="5"/>
    <n v="1"/>
    <b v="0"/>
  </r>
  <r>
    <x v="4"/>
    <s v="alappatjoe"/>
    <n v="3"/>
    <n v="1.4142135623730951"/>
    <s v="ラブ・ドラマティック (Funky Flag Version)"/>
    <s v="Masayuki Suzuki, Rikka Ihara"/>
    <n v="1"/>
    <n v="5"/>
    <n v="2"/>
    <n v="4"/>
    <n v="3"/>
    <m/>
    <s v="International"/>
    <s v="J-Pop"/>
    <n v="3"/>
    <n v="1"/>
    <b v="0"/>
  </r>
  <r>
    <x v="4"/>
    <s v="danram"/>
    <n v="4.2"/>
    <n v="0.74833147735478833"/>
    <s v="The Wave"/>
    <s v="SE SO NEON"/>
    <n v="4"/>
    <n v="4"/>
    <n v="5"/>
    <n v="3"/>
    <n v="5"/>
    <m/>
    <s v="International"/>
    <s v="Korean Alternative"/>
    <n v="5"/>
    <n v="1"/>
    <b v="0"/>
  </r>
  <r>
    <x v="4"/>
    <s v="loganworsdell"/>
    <n v="4"/>
    <n v="0.89442719099991586"/>
    <s v="Intentions"/>
    <s v="Hudson Mohawke"/>
    <n v="5"/>
    <n v="3"/>
    <n v="3"/>
    <n v="5"/>
    <n v="4"/>
    <m/>
    <s v="Electronic"/>
    <s v="Purple Sound"/>
    <n v="4"/>
    <n v="1"/>
    <b v="0"/>
  </r>
  <r>
    <x v="4"/>
    <s v="samuelbattista"/>
    <n v="2.4"/>
    <n v="1.019803902718557"/>
    <s v="Good Luck, Babe!"/>
    <s v="Chappell Roan"/>
    <n v="3"/>
    <n v="1"/>
    <n v="4"/>
    <n v="2"/>
    <n v="2"/>
    <m/>
    <s v="Pop"/>
    <s v="Indie Pop"/>
    <n v="2"/>
    <n v="1"/>
    <b v="0"/>
  </r>
  <r>
    <x v="4"/>
    <s v="currydestroyer27"/>
    <n v="1.4"/>
    <n v="0.4898979485566356"/>
    <s v="Holdin Out for a Hero"/>
    <s v="Bonnie Tyler"/>
    <n v="2"/>
    <n v="2"/>
    <n v="1"/>
    <n v="1"/>
    <n v="1"/>
    <m/>
    <s v="Rock"/>
    <s v="Rock"/>
    <n v="1"/>
    <n v="1"/>
    <b v="1"/>
  </r>
  <r>
    <x v="5"/>
    <s v="alappatjoe"/>
    <n v="1.8"/>
    <n v="0.4"/>
    <s v="Espresso"/>
    <s v="Sabrina Carpenter"/>
    <n v="1"/>
    <n v="2"/>
    <n v="2"/>
    <n v="2"/>
    <n v="2"/>
    <m/>
    <s v="Pop"/>
    <s v="Pop"/>
    <n v="1"/>
    <n v="1"/>
    <b v="1"/>
  </r>
  <r>
    <x v="5"/>
    <s v="danram"/>
    <n v="3.4"/>
    <n v="1.3564659966250536"/>
    <s v="Instant Crush"/>
    <s v="Daft Punk, Julian Casablancas"/>
    <n v="4"/>
    <n v="3"/>
    <n v="5"/>
    <n v="4"/>
    <n v="1"/>
    <m/>
    <s v="Rock"/>
    <s v="Dance-Rock"/>
    <n v="3"/>
    <n v="1"/>
    <b v="0"/>
  </r>
  <r>
    <x v="5"/>
    <s v="loganworsdell"/>
    <n v="3.8"/>
    <n v="1.1661903789690602"/>
    <s v="Genghis Khan"/>
    <s v="Miike Snow"/>
    <n v="2"/>
    <n v="5"/>
    <n v="4"/>
    <n v="3"/>
    <n v="5"/>
    <m/>
    <s v="Rock"/>
    <s v="Indietornica"/>
    <n v="5"/>
    <n v="1"/>
    <b v="0"/>
  </r>
  <r>
    <x v="5"/>
    <s v="samuelbattista"/>
    <n v="2.4"/>
    <n v="1.7435595774162693"/>
    <s v="Bangarang"/>
    <s v="Skrillex"/>
    <n v="5"/>
    <n v="1"/>
    <n v="1"/>
    <n v="1"/>
    <n v="4"/>
    <m/>
    <s v="Electronic"/>
    <s v="EDM"/>
    <n v="2"/>
    <n v="1"/>
    <b v="0"/>
  </r>
  <r>
    <x v="5"/>
    <s v="currydestroyer27"/>
    <n v="3.6"/>
    <n v="0.8"/>
    <s v="Spruce"/>
    <s v="Tori Kelly, Kim Chaewon"/>
    <n v="3"/>
    <n v="4"/>
    <n v="3"/>
    <n v="5"/>
    <n v="3"/>
    <m/>
    <s v="Pop"/>
    <s v="Pop"/>
    <n v="4"/>
    <n v="1"/>
    <b v="0"/>
  </r>
  <r>
    <x v="6"/>
    <s v="alappatjoe"/>
    <n v="3.8"/>
    <n v="0.9797958971132712"/>
    <s v="Sher Khul Gaye"/>
    <s v="Benny Dayal, Shilpa Rao, &amp; more"/>
    <n v="2"/>
    <n v="4"/>
    <n v="4"/>
    <n v="5"/>
    <n v="4"/>
    <m/>
    <s v="International"/>
    <s v="Bollywood"/>
    <n v="5"/>
    <n v="1"/>
    <b v="0"/>
  </r>
  <r>
    <x v="6"/>
    <s v="danram"/>
    <n v="2.6"/>
    <n v="1.3564659966250536"/>
    <s v="Virgen"/>
    <s v="Adolescent's Orquesta"/>
    <n v="1"/>
    <n v="2"/>
    <n v="5"/>
    <n v="2"/>
    <n v="3"/>
    <m/>
    <s v="International"/>
    <s v="Salsa"/>
    <n v="2"/>
    <n v="1"/>
    <b v="0"/>
  </r>
  <r>
    <x v="6"/>
    <s v="loganworsdell"/>
    <n v="2.2000000000000002"/>
    <n v="1.6"/>
    <s v="Everything Goes On"/>
    <s v="Porter Robinson, League of Legends"/>
    <n v="5"/>
    <n v="1"/>
    <n v="1"/>
    <n v="3"/>
    <n v="1"/>
    <m/>
    <s v="Electronic"/>
    <s v="Complextro"/>
    <n v="1"/>
    <n v="1"/>
    <b v="1"/>
  </r>
  <r>
    <x v="6"/>
    <s v="samuelbattista"/>
    <n v="3"/>
    <n v="1.4142135623730951"/>
    <s v="High Horse"/>
    <s v="Kacey Musgraves"/>
    <n v="4"/>
    <n v="3"/>
    <n v="2"/>
    <n v="1"/>
    <n v="5"/>
    <m/>
    <s v="Country"/>
    <s v="Contemporary Country"/>
    <n v="3"/>
    <n v="1"/>
    <b v="0"/>
  </r>
  <r>
    <x v="6"/>
    <s v="currydestroyer27"/>
    <n v="3.4"/>
    <n v="1.019803902718557"/>
    <s v="Same Old Love Remix"/>
    <s v="Selena Gomez, Fetty Wap"/>
    <n v="3"/>
    <n v="5"/>
    <n v="3"/>
    <n v="4"/>
    <n v="2"/>
    <m/>
    <s v="Pop"/>
    <s v="Pop"/>
    <n v="4"/>
    <n v="1"/>
    <b v="0"/>
  </r>
  <r>
    <x v="7"/>
    <s v="alappatjoe"/>
    <n v="3.4"/>
    <n v="1.6248076809271921"/>
    <s v="Brand New World"/>
    <s v="D-51"/>
    <n v="1"/>
    <n v="4"/>
    <n v="5"/>
    <n v="5"/>
    <n v="2"/>
    <m/>
    <s v="International"/>
    <m/>
    <n v="5"/>
    <n v="1"/>
    <b v="0"/>
  </r>
  <r>
    <x v="7"/>
    <s v="danram"/>
    <n v="3"/>
    <n v="1.2649110640673518"/>
    <s v="Psychopomp"/>
    <s v="Thank You Scientist"/>
    <n v="3"/>
    <n v="1"/>
    <n v="3"/>
    <n v="3"/>
    <n v="5"/>
    <m/>
    <s v="Rock"/>
    <s v="Progressive Rock"/>
    <n v="3"/>
    <n v="1"/>
    <b v="0"/>
  </r>
  <r>
    <x v="7"/>
    <s v="loganworsdell"/>
    <n v="3"/>
    <n v="0.89442719099991586"/>
    <s v="Really good cry"/>
    <s v="BETWEEN FRIENDS"/>
    <n v="4"/>
    <n v="2"/>
    <n v="4"/>
    <n v="2"/>
    <n v="3"/>
    <m/>
    <s v="Pop"/>
    <s v="Indie Pop"/>
    <n v="2"/>
    <n v="1"/>
    <b v="0"/>
  </r>
  <r>
    <x v="7"/>
    <s v="samuelbattista"/>
    <n v="3"/>
    <n v="1.4142135623730951"/>
    <s v="ABC"/>
    <s v="Polyphia, Sophia Black"/>
    <n v="5"/>
    <n v="3"/>
    <n v="2"/>
    <n v="1"/>
    <n v="4"/>
    <m/>
    <s v="Metal"/>
    <s v="Progressive Metal"/>
    <n v="4"/>
    <n v="1"/>
    <b v="0"/>
  </r>
  <r>
    <x v="7"/>
    <s v="currydestroyer27"/>
    <n v="2.6"/>
    <n v="1.6248076809271921"/>
    <s v="Right Now"/>
    <s v="New Jeans"/>
    <n v="2"/>
    <n v="5"/>
    <n v="1"/>
    <n v="4"/>
    <n v="1"/>
    <m/>
    <s v="International"/>
    <s v="J-Pop"/>
    <n v="1"/>
    <n v="1"/>
    <b v="1"/>
  </r>
  <r>
    <x v="8"/>
    <s v="alappatjoe"/>
    <n v="3.4"/>
    <n v="1.3564659966250536"/>
    <s v="LOST IN PARADISE"/>
    <s v="ALI, AKLO"/>
    <n v="1"/>
    <n v="5"/>
    <n v="4"/>
    <n v="3"/>
    <n v="4"/>
    <m/>
    <s v="International"/>
    <s v="J-Rap"/>
    <n v="4"/>
    <n v="1"/>
    <b v="0"/>
  </r>
  <r>
    <x v="8"/>
    <s v="danram"/>
    <n v="4.8"/>
    <n v="0.39999999999999997"/>
    <s v="Mass Critical Error"/>
    <s v="Sybyr"/>
    <n v="5"/>
    <n v="4"/>
    <n v="5"/>
    <n v="5"/>
    <n v="5"/>
    <m/>
    <s v="Rap"/>
    <s v="Rap"/>
    <n v="5"/>
    <n v="1"/>
    <b v="0"/>
  </r>
  <r>
    <x v="8"/>
    <s v="loganworsdell"/>
    <n v="2"/>
    <n v="0.89442719099991586"/>
    <s v="KLINK"/>
    <s v="Smino"/>
    <n v="3"/>
    <n v="1"/>
    <n v="3"/>
    <n v="2"/>
    <n v="1"/>
    <m/>
    <s v="R&amp;B"/>
    <s v="Alertnative R&amp;B"/>
    <n v="1"/>
    <n v="1"/>
    <b v="1"/>
  </r>
  <r>
    <x v="8"/>
    <s v="samuelbattista"/>
    <n v="2.2000000000000002"/>
    <n v="1.1661903789690602"/>
    <s v="Sadie Sorceress"/>
    <s v="King Gizard &amp; The Lizard Wizard"/>
    <n v="4"/>
    <n v="2"/>
    <n v="1"/>
    <n v="1"/>
    <n v="3"/>
    <m/>
    <s v="Other"/>
    <s v="Neo-Psychedelic"/>
    <n v="2"/>
    <n v="1"/>
    <b v="0"/>
  </r>
  <r>
    <x v="8"/>
    <s v="currydestroyer27"/>
    <n v="2.6"/>
    <n v="0.8"/>
    <s v="Russian Roulette"/>
    <s v="Red Velvet"/>
    <n v="2"/>
    <n v="3"/>
    <n v="2"/>
    <n v="4"/>
    <n v="2"/>
    <m/>
    <s v="International"/>
    <s v="K-Pop"/>
    <n v="3"/>
    <n v="1"/>
    <b v="0"/>
  </r>
  <r>
    <x v="9"/>
    <s v="alappatjoe"/>
    <n v="2.8"/>
    <n v="1.4696938456699069"/>
    <s v="Moanin'"/>
    <s v="Mingus Big Band"/>
    <n v="1"/>
    <n v="2"/>
    <n v="5"/>
    <n v="2"/>
    <n v="4"/>
    <m/>
    <s v="Jazz"/>
    <s v="Big Band Jazz"/>
    <n v="4"/>
    <n v="1"/>
    <b v="0"/>
  </r>
  <r>
    <x v="9"/>
    <s v="danram"/>
    <n v="2.6"/>
    <n v="1.9595917942265424"/>
    <s v="lost"/>
    <s v="hkmori"/>
    <n v="5"/>
    <n v="1"/>
    <n v="1"/>
    <n v="5"/>
    <n v="1"/>
    <m/>
    <s v="Other"/>
    <s v="Breakcore"/>
    <n v="2"/>
    <n v="1"/>
    <b v="0"/>
  </r>
  <r>
    <x v="9"/>
    <s v="loganworsdell"/>
    <n v="4.2"/>
    <n v="0.74833147735478833"/>
    <s v="Demons Around"/>
    <s v="yatashigang"/>
    <n v="3"/>
    <n v="5"/>
    <n v="4"/>
    <n v="4"/>
    <n v="5"/>
    <m/>
    <s v="Pop"/>
    <s v="Gym Phonk"/>
    <n v="5"/>
    <n v="1"/>
    <b v="0"/>
  </r>
  <r>
    <x v="9"/>
    <s v="samuelbattista"/>
    <n v="2.6"/>
    <n v="1.019803902718557"/>
    <s v="Doritos &amp; Fritos"/>
    <s v="100 gecs"/>
    <n v="2"/>
    <n v="4"/>
    <n v="3"/>
    <n v="1"/>
    <n v="3"/>
    <m/>
    <s v="Pop"/>
    <s v="Hyperpop"/>
    <n v="1"/>
    <n v="1"/>
    <b v="1"/>
  </r>
  <r>
    <x v="9"/>
    <s v="currydestroyer27"/>
    <n v="2.8"/>
    <n v="0.74833147735478833"/>
    <s v="SMOKE IT OFF!"/>
    <s v="Lumi Athena, jnhygs"/>
    <n v="4"/>
    <n v="3"/>
    <n v="2"/>
    <n v="3"/>
    <n v="2"/>
    <m/>
    <s v="Other"/>
    <s v="Breakcore"/>
    <n v="3"/>
    <n v="1"/>
    <b v="0"/>
  </r>
  <r>
    <x v="10"/>
    <s v="alappatjoe"/>
    <n v="2.6"/>
    <n v="1.9595917942265424"/>
    <s v="Spain"/>
    <s v="US Air Force Airmen of Note"/>
    <n v="1"/>
    <n v="1"/>
    <n v="5"/>
    <n v="1"/>
    <n v="5"/>
    <m/>
    <s v="Jazz"/>
    <s v="Big Band Jazz"/>
    <n v="1"/>
    <n v="1"/>
    <b v="1"/>
  </r>
  <r>
    <x v="10"/>
    <s v="danram"/>
    <n v="3.2"/>
    <n v="1.1661903789690602"/>
    <s v="Ski"/>
    <s v="YSL, Young Thug, Gunna"/>
    <n v="4"/>
    <n v="2"/>
    <n v="2"/>
    <n v="5"/>
    <n v="3"/>
    <m/>
    <s v="Rap"/>
    <s v="Rap"/>
    <n v="4"/>
    <n v="1"/>
    <b v="0"/>
  </r>
  <r>
    <x v="10"/>
    <s v="loganworsdell"/>
    <n v="3.6"/>
    <n v="1.019803902718557"/>
    <s v="On God"/>
    <s v="N7, Pwap"/>
    <n v="2"/>
    <n v="5"/>
    <n v="3"/>
    <n v="4"/>
    <n v="4"/>
    <m/>
    <s v="Rap"/>
    <s v="Rap"/>
    <n v="5"/>
    <n v="1"/>
    <b v="0"/>
  </r>
  <r>
    <x v="10"/>
    <s v="samuelbattista"/>
    <n v="2.8"/>
    <n v="0.74833147735478833"/>
    <s v="Ignorance"/>
    <s v="Paramore"/>
    <n v="3"/>
    <n v="3"/>
    <n v="4"/>
    <n v="2"/>
    <n v="2"/>
    <m/>
    <s v="Pop"/>
    <s v="Pop Punk"/>
    <n v="2"/>
    <n v="1"/>
    <b v="0"/>
  </r>
  <r>
    <x v="10"/>
    <s v="currydestroyer27"/>
    <n v="2.8"/>
    <n v="1.6"/>
    <s v="You &amp; Me"/>
    <s v="Jennie"/>
    <n v="5"/>
    <n v="4"/>
    <n v="1"/>
    <n v="3"/>
    <n v="1"/>
    <m/>
    <s v="Pop"/>
    <s v="Pop"/>
    <n v="3"/>
    <n v="1"/>
    <b v="0"/>
  </r>
  <r>
    <x v="11"/>
    <s v="alappatjoe"/>
    <n v="3.8"/>
    <n v="1.6"/>
    <s v="Birdland"/>
    <s v="Maynard Ferguson"/>
    <n v="1"/>
    <n v="5"/>
    <n v="5"/>
    <n v="3"/>
    <n v="5"/>
    <m/>
    <s v="Jazz"/>
    <s v="Big Band Jazz"/>
    <n v="5"/>
    <n v="1"/>
    <b v="0"/>
  </r>
  <r>
    <x v="11"/>
    <s v="danram"/>
    <n v="2.2000000000000002"/>
    <n v="1.4696938456699069"/>
    <s v="Stop Signs are Merely Suggestions"/>
    <s v="Moving Boxes"/>
    <n v="5"/>
    <n v="2"/>
    <n v="2"/>
    <n v="1"/>
    <n v="1"/>
    <m/>
    <s v="Rock"/>
    <s v="Post Pop Punk"/>
    <n v="1"/>
    <n v="1"/>
    <b v="1"/>
  </r>
  <r>
    <x v="11"/>
    <s v="loganworsdell"/>
    <n v="2.6"/>
    <n v="1.6248076809271921"/>
    <s v="Throw Shade"/>
    <s v="CRUISR"/>
    <n v="2"/>
    <n v="1"/>
    <n v="1"/>
    <n v="5"/>
    <n v="4"/>
    <m/>
    <s v="Pop"/>
    <s v="Indie Poptimism"/>
    <n v="2"/>
    <n v="1"/>
    <b v="0"/>
  </r>
  <r>
    <x v="11"/>
    <s v="samuelbattista"/>
    <n v="3.2"/>
    <n v="0.74833147735478833"/>
    <s v="Interstellar Love"/>
    <s v="Nine Spark Riots"/>
    <n v="4"/>
    <n v="3"/>
    <n v="4"/>
    <n v="2"/>
    <n v="3"/>
    <m/>
    <s v="R&amp;B"/>
    <s v="Modern Funk"/>
    <n v="3"/>
    <n v="1"/>
    <b v="0"/>
  </r>
  <r>
    <x v="11"/>
    <s v="currydestroyer27"/>
    <n v="3.2"/>
    <n v="0.74833147735478833"/>
    <s v="Who's Ready for Tomorrow"/>
    <s v="RAT BOY, IBDY"/>
    <n v="3"/>
    <n v="4"/>
    <n v="3"/>
    <n v="4"/>
    <n v="2"/>
    <m/>
    <s v="Pop"/>
    <s v="Alternative Pop"/>
    <n v="3"/>
    <n v="1"/>
    <b v="0"/>
  </r>
  <r>
    <x v="12"/>
    <s v="alappatjoe"/>
    <n v="1.4"/>
    <n v="0.4898979485566356"/>
    <s v="specialist"/>
    <s v="アトラスサウンドチーム"/>
    <n v="1"/>
    <n v="2"/>
    <n v="1"/>
    <n v="2"/>
    <n v="1"/>
    <m/>
    <s v="Jazz"/>
    <s v="VGM Jazz"/>
    <n v="1"/>
    <n v="1"/>
    <b v="1"/>
  </r>
  <r>
    <x v="12"/>
    <s v="danram"/>
    <n v="4.4000000000000004"/>
    <n v="0.8"/>
    <s v="CRYING IN THE KITCHEN"/>
    <s v="Dave Blunts"/>
    <n v="5"/>
    <n v="5"/>
    <n v="4"/>
    <n v="5"/>
    <n v="3"/>
    <m/>
    <s v="Rap"/>
    <s v="Rap"/>
    <n v="5"/>
    <n v="1"/>
    <b v="0"/>
  </r>
  <r>
    <x v="12"/>
    <s v="loganworsdell"/>
    <n v="4.2"/>
    <n v="0.74833147735478833"/>
    <s v="Naruto x So What"/>
    <s v="AniLifts, Mqx, ilysmoke"/>
    <n v="4"/>
    <n v="4"/>
    <n v="5"/>
    <n v="3"/>
    <n v="5"/>
    <m/>
    <s v="Electronic"/>
    <s v="Gym Hardstyle"/>
    <n v="4"/>
    <n v="1"/>
    <b v="0"/>
  </r>
  <r>
    <x v="12"/>
    <s v="samuelbattista"/>
    <n v="2.2000000000000002"/>
    <n v="1.1661903789690602"/>
    <s v="Rapp Snitch Knishes"/>
    <s v="MF DOOM"/>
    <n v="3"/>
    <n v="1"/>
    <n v="2"/>
    <n v="1"/>
    <n v="4"/>
    <m/>
    <s v="Rap"/>
    <s v="Rap"/>
    <n v="2"/>
    <n v="1"/>
    <b v="0"/>
  </r>
  <r>
    <x v="12"/>
    <s v="currydestroyer27"/>
    <n v="2.8"/>
    <n v="0.74833147735478833"/>
    <s v="Last Surprise"/>
    <s v="Lyn"/>
    <n v="2"/>
    <n v="3"/>
    <n v="3"/>
    <n v="4"/>
    <n v="2"/>
    <m/>
    <s v="Rock"/>
    <s v="Funk Rock"/>
    <n v="3"/>
    <n v="1"/>
    <b v="0"/>
  </r>
  <r>
    <x v="13"/>
    <s v="alappatjoe"/>
    <n v="3.8"/>
    <n v="1.4696938456699069"/>
    <s v="Life Will Change"/>
    <s v="Lyn"/>
    <n v="1"/>
    <n v="5"/>
    <n v="4"/>
    <n v="4"/>
    <n v="5"/>
    <m/>
    <s v="Other"/>
    <s v="VGM"/>
    <n v="5"/>
    <n v="1"/>
    <b v="0"/>
  </r>
  <r>
    <x v="13"/>
    <s v="danram"/>
    <n v="3.6"/>
    <n v="1.3564659966250536"/>
    <s v="Vem pra ser meu refrao"/>
    <s v="Reinaldo"/>
    <n v="5"/>
    <n v="2"/>
    <n v="5"/>
    <n v="2"/>
    <n v="4"/>
    <m/>
    <s v="International"/>
    <s v="Samba"/>
    <n v="4"/>
    <n v="1"/>
    <b v="0"/>
  </r>
  <r>
    <x v="13"/>
    <s v="loganworsdell"/>
    <n v="2.4"/>
    <n v="0.8"/>
    <s v="Otaku Hot Girl"/>
    <s v="Megan Thee Stallion"/>
    <n v="3"/>
    <n v="1"/>
    <n v="2"/>
    <n v="3"/>
    <n v="3"/>
    <m/>
    <s v="Rap"/>
    <s v="Houston Rap"/>
    <n v="1"/>
    <n v="1"/>
    <b v="1"/>
  </r>
  <r>
    <x v="13"/>
    <s v="samuelbattista"/>
    <n v="2.4"/>
    <n v="1.3564659966250536"/>
    <s v="BABY SAID"/>
    <s v="Maneskin"/>
    <n v="4"/>
    <n v="4"/>
    <n v="1"/>
    <n v="1"/>
    <n v="2"/>
    <m/>
    <s v="Rock"/>
    <s v="Rock"/>
    <n v="2"/>
    <n v="1"/>
    <b v="0"/>
  </r>
  <r>
    <x v="13"/>
    <s v="currydestroyer27"/>
    <n v="2.8"/>
    <n v="1.3266499161421599"/>
    <s v="Number One - Bankai"/>
    <s v="Shiro Sagisu, Hazel Fernandes"/>
    <n v="2"/>
    <n v="3"/>
    <n v="3"/>
    <n v="5"/>
    <n v="1"/>
    <m/>
    <s v="Rock"/>
    <s v="Funk Rock"/>
    <n v="3"/>
    <n v="1"/>
    <b v="0"/>
  </r>
  <r>
    <x v="14"/>
    <s v="alappatjoe"/>
    <n v="2.6"/>
    <n v="1.4966629547095767"/>
    <s v="Plastic Love"/>
    <s v="Friday Night Plans"/>
    <n v="1"/>
    <n v="3"/>
    <n v="5"/>
    <n v="1"/>
    <n v="3"/>
    <m/>
    <s v="International"/>
    <s v="J-Pop"/>
    <n v="3"/>
    <n v="1"/>
    <b v="0"/>
  </r>
  <r>
    <x v="14"/>
    <s v="danram"/>
    <n v="4"/>
    <n v="1.0954451150103321"/>
    <s v="Molasses"/>
    <s v="Hiatus Kaiyote"/>
    <n v="4"/>
    <n v="2"/>
    <n v="4"/>
    <n v="5"/>
    <n v="5"/>
    <m/>
    <s v="Rock"/>
    <s v="Jazz Funk"/>
    <n v="5"/>
    <n v="1"/>
    <b v="0"/>
  </r>
  <r>
    <x v="14"/>
    <s v="loganworsdell"/>
    <n v="2.6"/>
    <n v="0.8"/>
    <s v="Papaoutai"/>
    <s v="Stromae"/>
    <n v="2"/>
    <n v="4"/>
    <n v="2"/>
    <n v="3"/>
    <n v="2"/>
    <m/>
    <s v="International"/>
    <s v="Belgian Pop"/>
    <n v="2"/>
    <n v="1"/>
    <b v="0"/>
  </r>
  <r>
    <x v="14"/>
    <s v="samuelbattista"/>
    <n v="3.8"/>
    <n v="1.1661903789690602"/>
    <s v="End of Beginning"/>
    <s v="Djo"/>
    <n v="5"/>
    <n v="5"/>
    <n v="3"/>
    <n v="2"/>
    <n v="4"/>
    <m/>
    <s v="Pop"/>
    <s v="Psychedelic Pop"/>
    <n v="4"/>
    <n v="1"/>
    <b v="0"/>
  </r>
  <r>
    <x v="14"/>
    <s v="currydestroyer27"/>
    <n v="2"/>
    <n v="1.2649110640673518"/>
    <s v="Chasing The Sun"/>
    <s v="The Wanted"/>
    <n v="3"/>
    <n v="1"/>
    <n v="1"/>
    <n v="4"/>
    <n v="1"/>
    <m/>
    <s v="Pop"/>
    <s v="Pop"/>
    <n v="1"/>
    <n v="1"/>
    <b v="1"/>
  </r>
  <r>
    <x v="15"/>
    <s v="alappatjoe"/>
    <n v="3.8"/>
    <n v="0.9797958971132712"/>
    <s v="Kimijyanakya Damemitai"/>
    <s v="Masayoshi Oishi"/>
    <n v="2"/>
    <n v="4"/>
    <n v="4"/>
    <n v="5"/>
    <n v="4"/>
    <m/>
    <s v="International"/>
    <s v="Anime Rock"/>
    <n v="5"/>
    <n v="1"/>
    <b v="0"/>
  </r>
  <r>
    <x v="15"/>
    <s v="danram"/>
    <n v="2.8"/>
    <n v="1.3266499161421599"/>
    <s v="Impulse"/>
    <s v="An Endless Sporadic"/>
    <n v="5"/>
    <n v="1"/>
    <n v="3"/>
    <n v="2"/>
    <n v="3"/>
    <m/>
    <s v="Rock"/>
    <s v="Progressive Metal"/>
    <n v="3"/>
    <n v="1"/>
    <b v="0"/>
  </r>
  <r>
    <x v="15"/>
    <s v="loganworsdell"/>
    <n v="2.4"/>
    <n v="1.4966629547095767"/>
    <s v="DNA"/>
    <s v="Ghali"/>
    <n v="1"/>
    <n v="5"/>
    <n v="1"/>
    <n v="3"/>
    <n v="2"/>
    <m/>
    <s v="International"/>
    <s v="Pop Italiano"/>
    <n v="1"/>
    <n v="1"/>
    <b v="1"/>
  </r>
  <r>
    <x v="15"/>
    <s v="samuelbattista"/>
    <n v="3.2"/>
    <n v="1.6"/>
    <s v="From The Start"/>
    <s v="Laufey"/>
    <n v="3"/>
    <n v="2"/>
    <n v="5"/>
    <n v="1"/>
    <n v="5"/>
    <m/>
    <s v="Pop"/>
    <s v="Jazz Pop"/>
    <n v="4"/>
    <n v="1"/>
    <b v="0"/>
  </r>
  <r>
    <x v="15"/>
    <s v="currydestroyer27"/>
    <n v="2.8"/>
    <n v="1.1661903789690602"/>
    <s v="Hanabi"/>
    <s v="Ikimonogakari"/>
    <n v="4"/>
    <n v="3"/>
    <n v="2"/>
    <n v="4"/>
    <n v="1"/>
    <m/>
    <s v="International"/>
    <s v="J-Pop"/>
    <n v="2"/>
    <n v="1"/>
    <b v="0"/>
  </r>
  <r>
    <x v="16"/>
    <s v="alappatjoe"/>
    <n v="3.4"/>
    <n v="1.6248076809271921"/>
    <s v="あの空の向こうがわへ"/>
    <s v="Junk Fujiyama"/>
    <n v="1"/>
    <n v="5"/>
    <n v="4"/>
    <n v="5"/>
    <n v="2"/>
    <m/>
    <s v="International"/>
    <s v="J-Pop"/>
    <n v="3"/>
    <n v="1"/>
    <b v="0"/>
  </r>
  <r>
    <x v="16"/>
    <s v="danram"/>
    <n v="2.4"/>
    <n v="1.4966629547095767"/>
    <s v="Electronic Girl"/>
    <s v="Chinese Football"/>
    <n v="5"/>
    <n v="1"/>
    <n v="1"/>
    <n v="2"/>
    <n v="3"/>
    <m/>
    <s v="International"/>
    <s v="Indie Rock"/>
    <n v="2"/>
    <n v="1"/>
    <b v="0"/>
  </r>
  <r>
    <x v="16"/>
    <s v="loganworsdell"/>
    <n v="3.8"/>
    <n v="0.74833147735478833"/>
    <s v="Waves Wandering"/>
    <s v="EggPlantEgg"/>
    <n v="3"/>
    <n v="3"/>
    <n v="5"/>
    <n v="4"/>
    <n v="4"/>
    <m/>
    <s v="International"/>
    <s v="Mandopop"/>
    <n v="5"/>
    <n v="1"/>
    <b v="0"/>
  </r>
  <r>
    <x v="16"/>
    <s v="samuelbattista"/>
    <n v="3.6"/>
    <n v="1.019803902718557"/>
    <s v="Punk Tactics"/>
    <s v="Joey Valence &amp; Brae"/>
    <n v="4"/>
    <n v="4"/>
    <n v="2"/>
    <n v="3"/>
    <n v="5"/>
    <m/>
    <s v="Rap"/>
    <s v="Rap Rock"/>
    <n v="4"/>
    <n v="1"/>
    <b v="0"/>
  </r>
  <r>
    <x v="16"/>
    <s v="currydestroyer27"/>
    <n v="1.8"/>
    <n v="0.74833147735478833"/>
    <s v="Great Escape"/>
    <s v="Cinema Staff"/>
    <n v="2"/>
    <n v="2"/>
    <n v="3"/>
    <n v="1"/>
    <n v="1"/>
    <m/>
    <s v="International"/>
    <s v="Japanese Alternative Rock"/>
    <n v="1"/>
    <n v="1"/>
    <b v="1"/>
  </r>
  <r>
    <x v="17"/>
    <s v="alappatjoe"/>
    <n v="3"/>
    <n v="1.7888543819998317"/>
    <s v="The Greatest"/>
    <s v="Sia, Kendrick Lamar"/>
    <n v="1"/>
    <n v="5"/>
    <n v="3"/>
    <n v="5"/>
    <n v="1"/>
    <m/>
    <s v="Pop"/>
    <s v="Pop"/>
    <n v="3"/>
    <n v="1"/>
    <b v="0"/>
  </r>
  <r>
    <x v="17"/>
    <s v="danram"/>
    <n v="3"/>
    <n v="1.6733200530681511"/>
    <s v="Finish Line / Drown"/>
    <s v="Chance the Rapper"/>
    <n v="2"/>
    <n v="1"/>
    <n v="5"/>
    <n v="2"/>
    <n v="5"/>
    <m/>
    <s v="Rap"/>
    <s v="Rap"/>
    <n v="2"/>
    <n v="1"/>
    <b v="0"/>
  </r>
  <r>
    <x v="17"/>
    <s v="loganworsdell"/>
    <n v="3.4"/>
    <n v="0.8"/>
    <s v="Lavender"/>
    <s v="Two Door Cinema Club"/>
    <n v="4"/>
    <n v="3"/>
    <n v="2"/>
    <n v="4"/>
    <n v="4"/>
    <m/>
    <s v="Rock"/>
    <s v="Indietronica"/>
    <n v="5"/>
    <n v="1"/>
    <b v="0"/>
  </r>
  <r>
    <x v="17"/>
    <s v="samuelbattista"/>
    <n v="2.2000000000000002"/>
    <n v="1.4696938456699069"/>
    <s v="Congratulations"/>
    <s v="Post Malone"/>
    <n v="5"/>
    <n v="2"/>
    <n v="1"/>
    <n v="1"/>
    <n v="2"/>
    <m/>
    <s v="Rap"/>
    <s v="Rap"/>
    <n v="1"/>
    <n v="1"/>
    <b v="1"/>
  </r>
  <r>
    <x v="17"/>
    <s v="currydestroyer27"/>
    <n v="3.4"/>
    <n v="0.4898979485566356"/>
    <s v="Chill Bill"/>
    <s v="Rob $tone, J. DaviS, J Spooks"/>
    <n v="3"/>
    <n v="4"/>
    <n v="4"/>
    <n v="3"/>
    <n v="3"/>
    <m/>
    <s v="Rap"/>
    <s v="Pop Rap"/>
    <n v="4"/>
    <n v="1"/>
    <b v="0"/>
  </r>
  <r>
    <x v="18"/>
    <s v="alappatjoe"/>
    <n v="2.6"/>
    <n v="1.6248076809271921"/>
    <s v="Silk &amp; Cologne"/>
    <s v="EI8HT, Offset"/>
    <n v="1"/>
    <n v="1"/>
    <n v="4"/>
    <n v="5"/>
    <n v="2"/>
    <m/>
    <s v="Hip-Hop"/>
    <s v="Hip-Hop"/>
    <n v="2"/>
    <n v="1"/>
    <b v="0"/>
  </r>
  <r>
    <x v="18"/>
    <s v="danram"/>
    <n v="3.6"/>
    <n v="0.8"/>
    <s v="HAZARD DUTY PAY!"/>
    <s v="JPEGMAFIA"/>
    <n v="3"/>
    <n v="3"/>
    <n v="5"/>
    <n v="3"/>
    <n v="4"/>
    <m/>
    <s v="Rap"/>
    <s v="Rap Rock"/>
    <n v="4"/>
    <n v="1"/>
    <b v="0"/>
  </r>
  <r>
    <x v="18"/>
    <s v="loganworsdell"/>
    <n v="3.2"/>
    <n v="1.1661903789690602"/>
    <s v="Me (FWM)"/>
    <s v="Meek Mill, A$AP Ferg"/>
    <n v="4"/>
    <n v="4"/>
    <n v="1"/>
    <n v="4"/>
    <n v="3"/>
    <m/>
    <s v="Rap"/>
    <s v="Philly Rap"/>
    <n v="3"/>
    <n v="1"/>
    <b v="0"/>
  </r>
  <r>
    <x v="18"/>
    <s v="samuelbattista"/>
    <n v="3.8"/>
    <n v="1.6"/>
    <s v="Watch The World Burn"/>
    <s v="Falling in Reverse"/>
    <n v="5"/>
    <n v="5"/>
    <n v="3"/>
    <n v="1"/>
    <n v="5"/>
    <m/>
    <s v="Metal"/>
    <s v="Alternative Metal"/>
    <n v="5"/>
    <n v="1"/>
    <b v="0"/>
  </r>
  <r>
    <x v="18"/>
    <s v="currydestroyer27"/>
    <n v="1.8"/>
    <n v="0.4"/>
    <s v="Annihilate"/>
    <s v="Metro Boomin, Swae Lee, Lil Wayne"/>
    <n v="2"/>
    <n v="2"/>
    <n v="2"/>
    <n v="2"/>
    <n v="1"/>
    <m/>
    <s v="Rap"/>
    <s v="Rap"/>
    <n v="1"/>
    <n v="1"/>
    <b v="1"/>
  </r>
  <r>
    <x v="19"/>
    <s v="alappatjoe"/>
    <n v="3.2"/>
    <n v="1.1661903789690602"/>
    <s v="Mona Lisa"/>
    <s v="Dominic Fike"/>
    <n v="1"/>
    <n v="4"/>
    <n v="4"/>
    <n v="4"/>
    <n v="3"/>
    <m/>
    <s v="R&amp;B"/>
    <s v="Alternative R&amp;B"/>
    <n v="3"/>
    <n v="1"/>
    <b v="0"/>
  </r>
  <r>
    <x v="19"/>
    <s v="danram"/>
    <n v="3.4"/>
    <n v="1.019803902718557"/>
    <s v="Lonely At The Top"/>
    <s v="Asake"/>
    <n v="5"/>
    <n v="2"/>
    <n v="3"/>
    <n v="3"/>
    <n v="4"/>
    <m/>
    <s v="International"/>
    <s v="Afro-Beat"/>
    <n v="4"/>
    <n v="1"/>
    <b v="0"/>
  </r>
  <r>
    <x v="19"/>
    <s v="loganworsdell"/>
    <n v="1.4"/>
    <n v="0.8"/>
    <s v="Feel It"/>
    <s v="d4vd"/>
    <n v="3"/>
    <n v="1"/>
    <n v="1"/>
    <n v="1"/>
    <n v="1"/>
    <m/>
    <s v="Pop"/>
    <s v="Bedroom Pop"/>
    <n v="1"/>
    <n v="1"/>
    <b v="1"/>
  </r>
  <r>
    <x v="19"/>
    <s v="samuelbattista"/>
    <n v="4.2"/>
    <n v="1.1661903789690602"/>
    <s v="Them Changes"/>
    <s v="Thundercat"/>
    <n v="4"/>
    <n v="5"/>
    <n v="5"/>
    <n v="2"/>
    <n v="5"/>
    <m/>
    <s v="R&amp;B"/>
    <s v="Funk"/>
    <n v="5"/>
    <n v="1"/>
    <b v="0"/>
  </r>
  <r>
    <x v="19"/>
    <s v="currydestroyer27"/>
    <n v="2.8"/>
    <n v="1.1661903789690602"/>
    <s v="Mona Lisa"/>
    <s v="Lil Wayne, Kendrick Lamar"/>
    <n v="2"/>
    <n v="3"/>
    <n v="2"/>
    <n v="5"/>
    <n v="2"/>
    <m/>
    <s v="Rap"/>
    <s v="Trap"/>
    <n v="2"/>
    <n v="1"/>
    <b v="0"/>
  </r>
  <r>
    <x v="20"/>
    <s v="alappatjoe"/>
    <n v="3"/>
    <n v="1.2649110640673518"/>
    <s v="Comedy"/>
    <s v="Gen Hoshino"/>
    <n v="1"/>
    <n v="4"/>
    <n v="4"/>
    <n v="4"/>
    <n v="2"/>
    <m/>
    <s v="International"/>
    <s v="J-Pop"/>
    <n v="4"/>
    <n v="1"/>
    <b v="0"/>
  </r>
  <r>
    <x v="20"/>
    <s v="danram"/>
    <n v="2.6"/>
    <n v="1.9595917942265424"/>
    <s v="F.C.P.R.E.M.I.X"/>
    <s v="The Fall of Troy"/>
    <n v="5"/>
    <n v="1"/>
    <n v="1"/>
    <n v="1"/>
    <n v="5"/>
    <m/>
    <s v="Rock"/>
    <s v="Post-Pop Punk"/>
    <n v="1"/>
    <n v="1"/>
    <b v="1"/>
  </r>
  <r>
    <x v="20"/>
    <s v="loganworsdell"/>
    <n v="2.8"/>
    <n v="0.4"/>
    <s v="Nomu"/>
    <s v="Good Kid"/>
    <n v="3"/>
    <n v="3"/>
    <n v="2"/>
    <n v="3"/>
    <n v="3"/>
    <m/>
    <s v="Rock"/>
    <s v="Indie Rock"/>
    <n v="2"/>
    <n v="1"/>
    <b v="0"/>
  </r>
  <r>
    <x v="20"/>
    <s v="samuelbattista"/>
    <n v="3"/>
    <n v="0.89442719099991586"/>
    <s v="BEST INTEREST"/>
    <s v="Tyler, The Creator"/>
    <n v="4"/>
    <n v="2"/>
    <n v="3"/>
    <n v="2"/>
    <n v="4"/>
    <m/>
    <s v="R&amp;B"/>
    <s v="Alternative R&amp;B"/>
    <n v="3"/>
    <n v="1"/>
    <b v="0"/>
  </r>
  <r>
    <x v="20"/>
    <s v="currydestroyer27"/>
    <n v="3.6"/>
    <n v="1.7435595774162693"/>
    <s v="Nobody"/>
    <s v="OneRepublic"/>
    <n v="2"/>
    <n v="5"/>
    <n v="5"/>
    <n v="5"/>
    <n v="1"/>
    <m/>
    <s v="Pop"/>
    <s v="Synth Pop"/>
    <n v="5"/>
    <n v="1"/>
    <b v="0"/>
  </r>
  <r>
    <x v="21"/>
    <s v="alappatjoe"/>
    <n v="4.2"/>
    <n v="1.6"/>
    <s v="I Don't Do Drugs"/>
    <s v="Doja Cat, Ariana Grande"/>
    <n v="1"/>
    <n v="5"/>
    <n v="5"/>
    <n v="5"/>
    <n v="5"/>
    <m/>
    <s v="Pop"/>
    <s v="Pop"/>
    <n v="5"/>
    <n v="1"/>
    <b v="0"/>
  </r>
  <r>
    <x v="21"/>
    <s v="danram"/>
    <n v="2.2000000000000002"/>
    <n v="1.1661903789690602"/>
    <s v="Otro Atardecer"/>
    <s v="Bad Bunny, The Marias"/>
    <n v="3"/>
    <n v="1"/>
    <n v="1"/>
    <n v="2"/>
    <n v="4"/>
    <m/>
    <s v="International"/>
    <s v="Latin Pop"/>
    <n v="1"/>
    <n v="1"/>
    <b v="1"/>
  </r>
  <r>
    <x v="21"/>
    <s v="loganworsdell"/>
    <n v="2.4"/>
    <n v="0.8"/>
    <s v="I Main Samus Now"/>
    <s v="Sleepy Fish"/>
    <n v="2"/>
    <n v="3"/>
    <n v="3"/>
    <n v="3"/>
    <n v="1"/>
    <m/>
    <s v="Other"/>
    <s v="Lo-Fi"/>
    <n v="2"/>
    <n v="1"/>
    <b v="0"/>
  </r>
  <r>
    <x v="21"/>
    <s v="samuelbattista"/>
    <n v="2.4"/>
    <n v="1.019803902718557"/>
    <s v="Over the Rainbow"/>
    <s v="Israel Kamakawiwo'ole"/>
    <n v="4"/>
    <n v="2"/>
    <n v="2"/>
    <n v="1"/>
    <n v="3"/>
    <m/>
    <s v="Pop"/>
    <s v="Hawaiian Pop"/>
    <n v="3"/>
    <n v="1"/>
    <b v="0"/>
  </r>
  <r>
    <x v="21"/>
    <s v="currydestroyer27"/>
    <n v="3.8"/>
    <n v="0.9797958971132712"/>
    <s v="Suzume"/>
    <s v="RADWIMPS, Toaka"/>
    <n v="5"/>
    <n v="4"/>
    <n v="4"/>
    <n v="4"/>
    <n v="2"/>
    <m/>
    <s v="International"/>
    <s v="J-Pop"/>
    <n v="4"/>
    <n v="1"/>
    <b v="0"/>
  </r>
  <r>
    <x v="22"/>
    <s v="alappatjoe"/>
    <n v="3.2"/>
    <n v="1.4696938456699069"/>
    <s v="Demeanor"/>
    <s v="Pop Smoke, Dua Lipa"/>
    <n v="1"/>
    <n v="5"/>
    <n v="4"/>
    <n v="4"/>
    <n v="2"/>
    <m/>
    <s v="Rap"/>
    <s v="Pop Rap"/>
    <n v="4"/>
    <n v="1"/>
    <b v="0"/>
  </r>
  <r>
    <x v="22"/>
    <s v="danram"/>
    <n v="2.6"/>
    <n v="0.8"/>
    <s v="Kill V. Maim"/>
    <s v="Grimes"/>
    <n v="3"/>
    <n v="2"/>
    <n v="2"/>
    <n v="2"/>
    <n v="4"/>
    <m/>
    <s v="Pop"/>
    <s v="Hyper Pop"/>
    <n v="2"/>
    <n v="1"/>
    <b v="0"/>
  </r>
  <r>
    <x v="22"/>
    <s v="loganworsdell"/>
    <n v="2.4"/>
    <n v="0.8"/>
    <s v="princess peach"/>
    <s v="Young Miko"/>
    <n v="2"/>
    <n v="1"/>
    <n v="3"/>
    <n v="3"/>
    <n v="3"/>
    <m/>
    <s v="International"/>
    <s v="Trap Latino"/>
    <n v="1"/>
    <n v="1"/>
    <b v="1"/>
  </r>
  <r>
    <x v="22"/>
    <s v="samuelbattista"/>
    <n v="4"/>
    <n v="1.5491933384829668"/>
    <s v="Maggot Brain"/>
    <s v="Funkadelic"/>
    <n v="5"/>
    <n v="4"/>
    <n v="5"/>
    <n v="1"/>
    <n v="5"/>
    <m/>
    <s v="Rock"/>
    <s v="Psychedelic Rock"/>
    <n v="5"/>
    <n v="1"/>
    <b v="0"/>
  </r>
  <r>
    <x v="22"/>
    <s v="currydestroyer27"/>
    <n v="2.8"/>
    <n v="1.6"/>
    <s v="I really want to stay at your house"/>
    <s v="Rosa Walton, Hallie Coginns "/>
    <n v="4"/>
    <n v="3"/>
    <n v="1"/>
    <n v="5"/>
    <n v="1"/>
    <m/>
    <s v="Pop"/>
    <s v="Electro Pop"/>
    <n v="3"/>
    <n v="1"/>
    <b v="0"/>
  </r>
  <r>
    <x v="23"/>
    <s v="alappatjoe"/>
    <n v="2.6"/>
    <n v="1.3564659966250536"/>
    <s v="Caught Up"/>
    <s v="Usher"/>
    <n v="1"/>
    <n v="2"/>
    <n v="2"/>
    <n v="3"/>
    <n v="5"/>
    <m/>
    <s v="R&amp;B"/>
    <s v="Neo Soul"/>
    <n v="2"/>
    <n v="1"/>
    <b v="0"/>
  </r>
  <r>
    <x v="23"/>
    <s v="danram"/>
    <n v="2.8"/>
    <n v="1.3266499161421599"/>
    <s v="Brookyln Bridge To Chorus"/>
    <s v="The Strokes"/>
    <n v="3"/>
    <n v="1"/>
    <n v="3"/>
    <n v="5"/>
    <n v="2"/>
    <m/>
    <s v="Rock"/>
    <s v="Indie Rock"/>
    <n v="3"/>
    <n v="1"/>
    <b v="0"/>
  </r>
  <r>
    <x v="23"/>
    <s v="loganworsdell"/>
    <n v="3.6"/>
    <n v="1.019803902718557"/>
    <s v="Wonderful"/>
    <s v="Mullally"/>
    <n v="2"/>
    <n v="5"/>
    <n v="4"/>
    <n v="4"/>
    <n v="3"/>
    <m/>
    <s v="R&amp;B"/>
    <s v="UK Contemporary R&amp;B"/>
    <n v="4"/>
    <n v="1"/>
    <b v="0"/>
  </r>
  <r>
    <x v="23"/>
    <s v="samuelbattista"/>
    <n v="4"/>
    <n v="1.0954451150103321"/>
    <s v="CEO OF MY ASS"/>
    <s v="Dev Lemons"/>
    <n v="5"/>
    <n v="4"/>
    <n v="5"/>
    <n v="2"/>
    <n v="4"/>
    <m/>
    <s v="Pop"/>
    <s v="Hyper Pop"/>
    <n v="5"/>
    <n v="1"/>
    <b v="0"/>
  </r>
  <r>
    <x v="23"/>
    <s v="currydestroyer27"/>
    <n v="2"/>
    <n v="1.2649110640673518"/>
    <s v="Boulevard of Broken Dreams"/>
    <s v="Green Day"/>
    <n v="4"/>
    <n v="3"/>
    <n v="1"/>
    <n v="1"/>
    <n v="1"/>
    <m/>
    <s v="Rock"/>
    <s v="Alternative Rock"/>
    <n v="1"/>
    <n v="1"/>
    <b v="1"/>
  </r>
  <r>
    <x v="24"/>
    <s v="alappatjoe"/>
    <n v="3.2"/>
    <n v="1.6"/>
    <s v="Corazón"/>
    <s v="Maluma, Nego de Borel"/>
    <n v="1"/>
    <n v="2"/>
    <n v="5"/>
    <n v="5"/>
    <n v="3"/>
    <m/>
    <s v="International"/>
    <s v="Reggaeton"/>
    <n v="3"/>
    <n v="1"/>
    <b v="0"/>
  </r>
  <r>
    <x v="24"/>
    <s v="danram"/>
    <n v="2.6"/>
    <n v="1.019803902718557"/>
    <s v="Neverita"/>
    <s v="Bad Bunny"/>
    <n v="2"/>
    <n v="1"/>
    <n v="3"/>
    <n v="3"/>
    <n v="4"/>
    <m/>
    <s v="International"/>
    <s v="Latin-Pop"/>
    <n v="2"/>
    <n v="1"/>
    <b v="0"/>
  </r>
  <r>
    <x v="24"/>
    <s v="loganworsdell"/>
    <n v="3.6"/>
    <n v="1.019803902718557"/>
    <s v="Bow Down"/>
    <s v="I Prevail"/>
    <n v="3"/>
    <n v="4"/>
    <n v="4"/>
    <n v="2"/>
    <n v="5"/>
    <m/>
    <s v="Metal"/>
    <s v="Nu-Metalcore"/>
    <n v="5"/>
    <n v="1"/>
    <b v="0"/>
  </r>
  <r>
    <x v="24"/>
    <s v="samuelbattista"/>
    <n v="2.4"/>
    <n v="1.019803902718557"/>
    <s v="Granite"/>
    <s v="Sleep Token"/>
    <n v="4"/>
    <n v="3"/>
    <n v="2"/>
    <n v="1"/>
    <n v="2"/>
    <m/>
    <s v="Metal"/>
    <s v="Progressive Djent R&amp;B"/>
    <n v="1"/>
    <n v="1"/>
    <b v="1"/>
  </r>
  <r>
    <x v="24"/>
    <s v="currydestroyer27"/>
    <n v="3.2"/>
    <n v="1.833030277982336"/>
    <s v="Mamushi"/>
    <s v="Megan Thee Stallion, Yuki Chiba"/>
    <n v="5"/>
    <n v="5"/>
    <n v="1"/>
    <n v="4"/>
    <n v="1"/>
    <m/>
    <s v="Rap"/>
    <s v="Trap"/>
    <n v="4"/>
    <n v="1"/>
    <b v="0"/>
  </r>
  <r>
    <x v="25"/>
    <s v="alappatjoe"/>
    <n v="2.8"/>
    <n v="1.1661903789690602"/>
    <s v="Wii Shop Channel - acapella"/>
    <s v="Maytree"/>
    <n v="1"/>
    <n v="4"/>
    <n v="4"/>
    <n v="2"/>
    <n v="3"/>
    <m/>
    <s v="Other"/>
    <s v="VGM"/>
    <n v="3"/>
    <n v="1"/>
    <b v="0"/>
  </r>
  <r>
    <x v="25"/>
    <s v="danram"/>
    <n v="2.2000000000000002"/>
    <n v="0.9797958971132712"/>
    <s v="Don't Speak"/>
    <s v="VoicePlay, Hannah Juliano"/>
    <n v="2"/>
    <n v="2"/>
    <n v="2"/>
    <n v="4"/>
    <n v="1"/>
    <m/>
    <s v="Pop"/>
    <s v="Pop"/>
    <n v="1"/>
    <n v="1"/>
    <b v="1"/>
  </r>
  <r>
    <x v="25"/>
    <s v="loganworsdell"/>
    <n v="3.6"/>
    <n v="0.8"/>
    <s v="You Don't Know Nothin'"/>
    <s v="H3rizon"/>
    <n v="3"/>
    <n v="3"/>
    <n v="3"/>
    <n v="5"/>
    <n v="4"/>
    <m/>
    <s v="Pop"/>
    <s v="Pop"/>
    <n v="4"/>
    <n v="1"/>
    <b v="0"/>
  </r>
  <r>
    <x v="25"/>
    <s v="samuelbattista"/>
    <n v="4.2"/>
    <n v="1.6"/>
    <s v="Bridge Over Troubled Water"/>
    <s v="Jacob Collier, John Legend, Tori Kelly"/>
    <n v="5"/>
    <n v="5"/>
    <n v="5"/>
    <n v="1"/>
    <n v="5"/>
    <m/>
    <s v="R&amp;B"/>
    <s v="Pop R&amp;B"/>
    <n v="5"/>
    <n v="1"/>
    <b v="0"/>
  </r>
  <r>
    <x v="25"/>
    <s v="currydestroyer27"/>
    <n v="2.2000000000000002"/>
    <n v="1.1661903789690602"/>
    <s v="Life Could Be A Dream"/>
    <s v="Street Corner Renaissance "/>
    <n v="4"/>
    <n v="1"/>
    <n v="1"/>
    <n v="3"/>
    <n v="2"/>
    <m/>
    <s v="Other"/>
    <s v="Doo-Wop"/>
    <n v="2"/>
    <n v="1"/>
    <b v="0"/>
  </r>
  <r>
    <x v="26"/>
    <s v="alappatjoe"/>
    <n v="3.8"/>
    <n v="1.1661903789690602"/>
    <s v="Pasoori"/>
    <s v="Shae Gill, Ali Sethi"/>
    <n v="2"/>
    <n v="5"/>
    <n v="4"/>
    <n v="5"/>
    <n v="3"/>
    <m/>
    <s v="International"/>
    <s v="Bollywood"/>
    <n v="5"/>
    <n v="1"/>
    <b v="0"/>
  </r>
  <r>
    <x v="26"/>
    <s v="danram"/>
    <n v="3.8"/>
    <n v="0.9797958971132712"/>
    <s v="Small Worlds"/>
    <s v="Mac Miller"/>
    <n v="5"/>
    <n v="3"/>
    <n v="3"/>
    <n v="3"/>
    <n v="5"/>
    <m/>
    <s v="R&amp;B"/>
    <s v="Rap"/>
    <n v="4"/>
    <n v="1"/>
    <b v="0"/>
  </r>
  <r>
    <x v="26"/>
    <s v="loganworsdell"/>
    <n v="1.6"/>
    <n v="1.2"/>
    <s v="Closer"/>
    <s v="vaultboy, salem ilese"/>
    <n v="1"/>
    <n v="1"/>
    <n v="1"/>
    <n v="1"/>
    <n v="4"/>
    <m/>
    <s v="Pop"/>
    <s v="Modern Indie Pop"/>
    <n v="1"/>
    <n v="1"/>
    <b v="1"/>
  </r>
  <r>
    <x v="26"/>
    <s v="samuelbattista"/>
    <n v="2.8"/>
    <n v="0.9797958971132712"/>
    <s v="Hash Pipe"/>
    <s v="Weezer"/>
    <n v="4"/>
    <n v="4"/>
    <n v="2"/>
    <n v="2"/>
    <n v="2"/>
    <m/>
    <s v="Rock"/>
    <s v="Indie Rock"/>
    <n v="2"/>
    <n v="1"/>
    <b v="0"/>
  </r>
  <r>
    <x v="26"/>
    <s v="currydestroyer27"/>
    <n v="3"/>
    <n v="1.4142135623730951"/>
    <s v="Nothing Matters"/>
    <s v="The Last Dinner Party"/>
    <n v="3"/>
    <n v="2"/>
    <n v="5"/>
    <n v="4"/>
    <n v="1"/>
    <m/>
    <s v="Pop"/>
    <s v="Indie Pop"/>
    <n v="3"/>
    <n v="1"/>
    <b v="0"/>
  </r>
  <r>
    <x v="27"/>
    <s v="alappatjoe"/>
    <n v="3.6"/>
    <n v="1.4966629547095767"/>
    <s v="KOD"/>
    <s v="J. Cole"/>
    <n v="1"/>
    <n v="5"/>
    <n v="5"/>
    <n v="3"/>
    <n v="4"/>
    <m/>
    <s v="Rap"/>
    <s v="Trap"/>
    <n v="4"/>
    <n v="1"/>
    <b v="0"/>
  </r>
  <r>
    <x v="27"/>
    <s v="danram"/>
    <n v="3.6"/>
    <n v="1.3564659966250536"/>
    <s v="Magnetic"/>
    <s v="ILLIT"/>
    <n v="2"/>
    <n v="2"/>
    <n v="4"/>
    <n v="5"/>
    <n v="5"/>
    <m/>
    <s v="International"/>
    <s v="K-Pop"/>
    <n v="3"/>
    <n v="1"/>
    <b v="0"/>
  </r>
  <r>
    <x v="27"/>
    <s v="loganworsdell"/>
    <n v="1.8"/>
    <n v="0.74833147735478833"/>
    <s v="Bossa No Sé"/>
    <s v="Cuco, Jean Carter"/>
    <n v="3"/>
    <n v="1"/>
    <n v="2"/>
    <n v="2"/>
    <n v="1"/>
    <m/>
    <s v="Pop"/>
    <s v="Dream Pop"/>
    <n v="1"/>
    <n v="1"/>
    <b v="1"/>
  </r>
  <r>
    <x v="27"/>
    <s v="samuelbattista"/>
    <n v="2.2000000000000002"/>
    <n v="1.1661903789690602"/>
    <s v="Pink + White"/>
    <s v="Frank Ocean"/>
    <n v="4"/>
    <n v="3"/>
    <n v="1"/>
    <n v="1"/>
    <n v="2"/>
    <m/>
    <s v="Pop"/>
    <s v="R&amp;B"/>
    <n v="2"/>
    <n v="1"/>
    <b v="0"/>
  </r>
  <r>
    <x v="27"/>
    <s v="currydestroyer27"/>
    <n v="3.8"/>
    <n v="0.74833147735478833"/>
    <s v="Lucky Girl Syndrome"/>
    <s v="ILLIT"/>
    <n v="5"/>
    <n v="4"/>
    <n v="3"/>
    <n v="4"/>
    <n v="3"/>
    <m/>
    <s v="International"/>
    <s v="K-Pop"/>
    <n v="5"/>
    <n v="1"/>
    <b v="0"/>
  </r>
  <r>
    <x v="28"/>
    <s v="alappatjoe"/>
    <n v="2.4"/>
    <n v="1.3564659966250536"/>
    <s v="Deja Vu"/>
    <s v="Beyoncé, Jay-Z"/>
    <n v="1"/>
    <n v="5"/>
    <n v="2"/>
    <n v="2"/>
    <n v="2"/>
    <m/>
    <m/>
    <m/>
    <n v="1"/>
    <n v="1"/>
    <b v="1"/>
  </r>
  <r>
    <x v="28"/>
    <s v="danram"/>
    <n v="2.8"/>
    <n v="0.9797958971132712"/>
    <s v="FRONTAL LOBE MUSIK"/>
    <s v="Daniel Caesar, Pharrell Williams"/>
    <n v="4"/>
    <n v="1"/>
    <n v="3"/>
    <n v="3"/>
    <n v="3"/>
    <m/>
    <s v="R&amp;B"/>
    <s v="R&amp;B"/>
    <n v="3"/>
    <n v="1"/>
    <b v="0"/>
  </r>
  <r>
    <x v="28"/>
    <s v="loganworsdell"/>
    <n v="2.6"/>
    <n v="1.6248076809271921"/>
    <s v="Guilty Conscience"/>
    <s v="070 Shake"/>
    <n v="5"/>
    <n v="2"/>
    <n v="1"/>
    <n v="4"/>
    <n v="1"/>
    <m/>
    <s v="Hip-Hop"/>
    <s v="New Jersey Hip-Hop"/>
    <n v="2"/>
    <n v="1"/>
    <b v="0"/>
  </r>
  <r>
    <x v="28"/>
    <s v="samuelbattista"/>
    <n v="3.2"/>
    <n v="1.3266499161421599"/>
    <s v="Steps Beach"/>
    <s v="Childish Gambino"/>
    <n v="3"/>
    <n v="3"/>
    <n v="4"/>
    <n v="1"/>
    <n v="5"/>
    <m/>
    <s v="R&amp;B"/>
    <s v="R&amp;B"/>
    <n v="4"/>
    <n v="1"/>
    <b v="0"/>
  </r>
  <r>
    <x v="28"/>
    <s v="currydestroyer27"/>
    <n v="4"/>
    <n v="1.0954451150103321"/>
    <s v="Hopeless Romantic"/>
    <s v="Wiz Khalifa, Swae Lee"/>
    <n v="2"/>
    <n v="4"/>
    <n v="5"/>
    <n v="5"/>
    <n v="4"/>
    <m/>
    <s v="R&amp;B"/>
    <s v="Rap"/>
    <n v="5"/>
    <n v="1"/>
    <b v="0"/>
  </r>
  <r>
    <x v="29"/>
    <s v="alappatjoe"/>
    <n v="3.4"/>
    <n v="1.3564659966250536"/>
    <s v="The Disaster of Passion"/>
    <s v="AISHA, Arc System Works"/>
    <n v="1"/>
    <n v="4"/>
    <n v="5"/>
    <n v="4"/>
    <n v="3"/>
    <m/>
    <m/>
    <m/>
    <n v="3"/>
    <n v="1"/>
    <b v="0"/>
  </r>
  <r>
    <x v="29"/>
    <s v="danram"/>
    <n v="2.6"/>
    <n v="1.019803902718557"/>
    <s v="Super Bass"/>
    <s v="Nicki Minaj"/>
    <n v="3"/>
    <n v="1"/>
    <n v="2"/>
    <n v="3"/>
    <n v="4"/>
    <m/>
    <m/>
    <m/>
    <n v="2"/>
    <n v="1"/>
    <b v="0"/>
  </r>
  <r>
    <x v="29"/>
    <s v="loganworsdell"/>
    <n v="4.2"/>
    <n v="0.74833147735478833"/>
    <s v="Disco Tits"/>
    <s v="Tove Lo"/>
    <n v="4"/>
    <n v="3"/>
    <n v="4"/>
    <n v="5"/>
    <n v="5"/>
    <m/>
    <s v="Pop"/>
    <s v="metropopolis"/>
    <n v="5"/>
    <n v="1"/>
    <b v="0"/>
  </r>
  <r>
    <x v="29"/>
    <s v="samuelbattista"/>
    <n v="3.4"/>
    <n v="1.3564659966250536"/>
    <s v="Gimme Chocolate!!"/>
    <s v="BABYMETAL"/>
    <n v="5"/>
    <n v="5"/>
    <n v="3"/>
    <n v="2"/>
    <n v="2"/>
    <m/>
    <s v="International"/>
    <s v="Kawaii Metal"/>
    <n v="3"/>
    <n v="1"/>
    <b v="0"/>
  </r>
  <r>
    <x v="29"/>
    <s v="currydestroyer27"/>
    <n v="1.4"/>
    <n v="0.4898979485566356"/>
    <s v="Only Girl (In The World)"/>
    <s v="Rihanna"/>
    <n v="2"/>
    <n v="2"/>
    <n v="1"/>
    <n v="1"/>
    <n v="1"/>
    <m/>
    <s v="Pop"/>
    <s v="Pop"/>
    <n v="1"/>
    <n v="1"/>
    <b v="1"/>
  </r>
  <r>
    <x v="30"/>
    <s v="alappatjoe"/>
    <n v="3.2"/>
    <n v="1.833030277982336"/>
    <s v="Drumhead Pulsation"/>
    <s v="Arc System Works"/>
    <n v="1"/>
    <n v="5"/>
    <n v="4"/>
    <n v="5"/>
    <n v="1"/>
    <m/>
    <s v="Rock"/>
    <s v="VGM Rock"/>
    <n v="4"/>
    <n v="1"/>
    <b v="0"/>
  </r>
  <r>
    <x v="30"/>
    <s v="danram"/>
    <n v="3"/>
    <n v="0.63245553203367588"/>
    <s v="Pressure"/>
    <s v="Rushy"/>
    <n v="4"/>
    <n v="2"/>
    <n v="3"/>
    <n v="3"/>
    <n v="3"/>
    <m/>
    <s v="Rap"/>
    <s v="UK-Rap"/>
    <n v="3"/>
    <n v="1"/>
    <b v="0"/>
  </r>
  <r>
    <x v="30"/>
    <s v="loganworsdell"/>
    <n v="2"/>
    <n v="1.0954451150103321"/>
    <s v="Please Don't Fall In Love With Me"/>
    <s v="Khalid"/>
    <n v="2"/>
    <n v="1"/>
    <n v="1"/>
    <n v="2"/>
    <n v="4"/>
    <m/>
    <s v="R&amp;B"/>
    <s v="Pop R&amp;B"/>
    <n v="1"/>
    <n v="1"/>
    <b v="1"/>
  </r>
  <r>
    <x v="30"/>
    <s v="samuelbattista"/>
    <n v="4"/>
    <n v="1.5491933384829668"/>
    <s v="Let The Light In"/>
    <s v="Lana Del Rey"/>
    <n v="5"/>
    <n v="4"/>
    <n v="5"/>
    <n v="1"/>
    <n v="5"/>
    <m/>
    <s v="Other"/>
    <s v="Indie Folk"/>
    <n v="5"/>
    <n v="1"/>
    <b v="0"/>
  </r>
  <r>
    <x v="30"/>
    <s v="currydestroyer27"/>
    <n v="2.8"/>
    <n v="0.74833147735478833"/>
    <s v="Rain"/>
    <s v="Aitch, AJ Tracey, Tay Keith"/>
    <n v="3"/>
    <n v="3"/>
    <n v="2"/>
    <n v="4"/>
    <n v="2"/>
    <m/>
    <s v="Rap"/>
    <s v="UK-Rap"/>
    <n v="2"/>
    <n v="1"/>
    <b v="0"/>
  </r>
  <r>
    <x v="31"/>
    <s v="alappatjoe"/>
    <n v="3.8"/>
    <n v="1.4696938456699069"/>
    <s v="Jack-a-Dandy"/>
    <s v="Daisuke Ishiwatari"/>
    <n v="1"/>
    <n v="5"/>
    <n v="5"/>
    <n v="4"/>
    <n v="4"/>
    <m/>
    <s v="Rock"/>
    <s v="VGM Rock"/>
    <n v="4"/>
    <n v="1"/>
    <b v="0"/>
  </r>
  <r>
    <x v="31"/>
    <s v="danram"/>
    <n v="2"/>
    <n v="0.89442719099991586"/>
    <s v="Scar Tissue"/>
    <s v="Red Hot Chili Peppers"/>
    <n v="3"/>
    <n v="1"/>
    <n v="1"/>
    <n v="2"/>
    <n v="3"/>
    <m/>
    <s v="Rock"/>
    <s v="Rock"/>
    <n v="1"/>
    <n v="1"/>
    <b v="1"/>
  </r>
  <r>
    <x v="31"/>
    <s v="loganworsdell"/>
    <n v="4.2"/>
    <n v="0.74833147735478833"/>
    <s v="The Hammer"/>
    <s v="Kublai Khan TX"/>
    <n v="5"/>
    <n v="4"/>
    <n v="4"/>
    <n v="3"/>
    <n v="5"/>
    <m/>
    <s v="Metal"/>
    <s v="Metallic Hardcore"/>
    <n v="5"/>
    <n v="1"/>
    <b v="0"/>
  </r>
  <r>
    <x v="31"/>
    <s v="samuelbattista"/>
    <n v="2.2000000000000002"/>
    <n v="0.9797958971132712"/>
    <s v="Rain"/>
    <s v="Sleep Token"/>
    <n v="4"/>
    <n v="2"/>
    <n v="2"/>
    <n v="1"/>
    <n v="2"/>
    <m/>
    <s v="Metal"/>
    <s v="Proggresive Djent R&amp;B"/>
    <n v="2"/>
    <n v="1"/>
    <b v="0"/>
  </r>
  <r>
    <x v="31"/>
    <s v="currydestroyer27"/>
    <n v="2.8"/>
    <n v="1.3266499161421599"/>
    <s v="Love the Subhuman Self"/>
    <s v="AISHA, Jamison Boaz, Arc System Works"/>
    <n v="2"/>
    <n v="3"/>
    <n v="3"/>
    <n v="5"/>
    <n v="1"/>
    <m/>
    <s v="Rock"/>
    <s v="VGM Rock"/>
    <n v="3"/>
    <n v="1"/>
    <b v="0"/>
  </r>
  <r>
    <x v="32"/>
    <s v="alappatjoe"/>
    <n v="3.4"/>
    <n v="1.6248076809271921"/>
    <s v="Kanzuki Beach"/>
    <s v="Keiki Kobayashi"/>
    <n v="1"/>
    <n v="5"/>
    <n v="2"/>
    <n v="4"/>
    <n v="5"/>
    <m/>
    <s v="Other"/>
    <s v="VGM"/>
    <n v="4"/>
    <n v="1"/>
    <b v="0"/>
  </r>
  <r>
    <x v="32"/>
    <s v="danram"/>
    <n v="3"/>
    <n v="0.89442719099991586"/>
    <s v="Acting"/>
    <s v="Sweet Trip"/>
    <n v="2"/>
    <n v="3"/>
    <n v="4"/>
    <n v="2"/>
    <n v="4"/>
    <m/>
    <s v="Rock"/>
    <s v="Indie Rock"/>
    <n v="2"/>
    <n v="1"/>
    <b v="0"/>
  </r>
  <r>
    <x v="32"/>
    <s v="loganworsdell"/>
    <n v="2"/>
    <n v="0.89442719099991586"/>
    <s v="shy girl"/>
    <s v="wilo wilde"/>
    <n v="3"/>
    <n v="1"/>
    <n v="1"/>
    <n v="3"/>
    <n v="2"/>
    <m/>
    <s v="Electronic"/>
    <s v="Bedroom Electronic"/>
    <n v="1"/>
    <n v="1"/>
    <b v="1"/>
  </r>
  <r>
    <x v="32"/>
    <s v="samuelbattista"/>
    <n v="3.6"/>
    <n v="1.4966629547095767"/>
    <s v="Time/Breath Reprise"/>
    <s v="Greensky Bluegrass"/>
    <n v="5"/>
    <n v="4"/>
    <n v="5"/>
    <n v="1"/>
    <n v="3"/>
    <m/>
    <s v="Country"/>
    <s v="Bluegrass"/>
    <n v="5"/>
    <n v="1"/>
    <b v="0"/>
  </r>
  <r>
    <x v="32"/>
    <s v="currydestroyer27"/>
    <n v="3"/>
    <n v="1.4142135623730951"/>
    <s v="Parado no Bailao"/>
    <s v="MC L da Vinte, MC Gury"/>
    <n v="4"/>
    <n v="2"/>
    <n v="3"/>
    <n v="5"/>
    <n v="1"/>
    <m/>
    <s v="International"/>
    <s v="Brazilian Funk"/>
    <n v="3"/>
    <n v="1"/>
    <b v="0"/>
  </r>
  <r>
    <x v="33"/>
    <s v="alappatjoe"/>
    <n v="2.8"/>
    <n v="1.3266499161421599"/>
    <s v="奇術師のバイレ"/>
    <s v="Yoshihisa Hirano"/>
    <n v="1"/>
    <n v="3"/>
    <n v="5"/>
    <n v="3"/>
    <n v="2"/>
    <m/>
    <m/>
    <m/>
    <n v="1"/>
    <n v="2"/>
    <b v="0"/>
  </r>
  <r>
    <x v="33"/>
    <s v="danram"/>
    <n v="2.8"/>
    <n v="1.3266499161421599"/>
    <s v="The Woven Web"/>
    <s v="Animals As Leaders"/>
    <n v="5"/>
    <n v="1"/>
    <n v="3"/>
    <n v="2"/>
    <n v="3"/>
    <m/>
    <s v="Metal"/>
    <s v="Progressive Rock"/>
    <n v="1"/>
    <n v="1"/>
    <b v="1"/>
  </r>
  <r>
    <x v="33"/>
    <s v="loganworsdell"/>
    <n v="3.4"/>
    <n v="1.3564659966250536"/>
    <s v="Funk for Your Life"/>
    <s v="Dominic Glover, Gary Crockett, Jason Glover"/>
    <n v="3"/>
    <n v="4"/>
    <n v="1"/>
    <n v="4"/>
    <n v="5"/>
    <m/>
    <s v="Jazz"/>
    <s v="Jazz-Funk"/>
    <n v="5"/>
    <n v="1"/>
    <b v="0"/>
  </r>
  <r>
    <x v="33"/>
    <s v="samuelbattista"/>
    <n v="3"/>
    <n v="1.2649110640673518"/>
    <s v="Lingus"/>
    <s v="Snarky Puppy"/>
    <n v="4"/>
    <n v="2"/>
    <n v="4"/>
    <n v="1"/>
    <n v="4"/>
    <m/>
    <s v="Jazz"/>
    <s v="Fusion"/>
    <n v="3"/>
    <n v="1"/>
    <b v="0"/>
  </r>
  <r>
    <x v="33"/>
    <s v="currydestroyer27"/>
    <n v="3"/>
    <n v="1.6733200530681511"/>
    <s v="clavar la espada"/>
    <s v="Shiro Sagisu"/>
    <n v="2"/>
    <n v="5"/>
    <n v="2"/>
    <n v="5"/>
    <n v="1"/>
    <m/>
    <s v="Pop"/>
    <s v="Instrumental"/>
    <n v="4"/>
    <n v="1"/>
    <b v="0"/>
  </r>
  <r>
    <x v="34"/>
    <s v="alappatjoe"/>
    <n v="4.4000000000000004"/>
    <n v="0.8"/>
    <s v="Guess"/>
    <s v="Charli xcx, Billie Eilish"/>
    <n v="3"/>
    <n v="5"/>
    <n v="4"/>
    <n v="5"/>
    <n v="5"/>
    <m/>
    <s v="Pop"/>
    <m/>
    <n v="5"/>
    <n v="1"/>
    <b v="0"/>
  </r>
  <r>
    <x v="34"/>
    <s v="danram"/>
    <n v="2"/>
    <n v="0.89442719099991586"/>
    <n v="360"/>
    <s v="Charli xcx"/>
    <n v="1"/>
    <n v="1"/>
    <n v="3"/>
    <n v="2"/>
    <n v="3"/>
    <m/>
    <s v="Pop"/>
    <s v="Dance EDM"/>
    <n v="1"/>
    <n v="1"/>
    <b v="1"/>
  </r>
  <r>
    <x v="34"/>
    <s v="loganworsdell"/>
    <n v="3.4"/>
    <n v="0.8"/>
    <s v="No Trends"/>
    <s v="Mike Dimes"/>
    <n v="4"/>
    <n v="3"/>
    <n v="2"/>
    <n v="4"/>
    <n v="4"/>
    <m/>
    <s v="Hip-Hop"/>
    <s v="Southern Hip Hop"/>
    <n v="4"/>
    <n v="1"/>
    <b v="0"/>
  </r>
  <r>
    <x v="34"/>
    <s v="samuelbattista"/>
    <n v="2.2000000000000002"/>
    <n v="1.4696938456699069"/>
    <s v="The Reason"/>
    <s v="Hoobastank"/>
    <n v="5"/>
    <n v="2"/>
    <n v="1"/>
    <n v="1"/>
    <n v="2"/>
    <m/>
    <s v="Rock"/>
    <s v="Alt Rock"/>
    <n v="2"/>
    <n v="1"/>
    <b v="0"/>
  </r>
  <r>
    <x v="34"/>
    <s v="currydestroyer27"/>
    <n v="3"/>
    <n v="1.4142135623730951"/>
    <s v="Disparate Youth"/>
    <s v="Santigold"/>
    <n v="2"/>
    <n v="4"/>
    <n v="5"/>
    <n v="3"/>
    <n v="1"/>
    <m/>
    <s v="Rock"/>
    <s v="Rock"/>
    <n v="3"/>
    <n v="1"/>
    <b v="0"/>
  </r>
  <r>
    <x v="35"/>
    <s v="alappatjoe"/>
    <n v="1.8"/>
    <n v="0.4"/>
    <s v="Greedy"/>
    <s v="Ariana Grande"/>
    <n v="1"/>
    <n v="2"/>
    <n v="2"/>
    <n v="2"/>
    <n v="2"/>
    <m/>
    <s v="Pop"/>
    <m/>
    <n v="1"/>
    <n v="1"/>
    <b v="1"/>
  </r>
  <r>
    <x v="35"/>
    <s v="danram"/>
    <n v="4"/>
    <n v="0.89442719099991586"/>
    <s v="Atrevete-Te-Te"/>
    <s v="Calle 13"/>
    <n v="5"/>
    <n v="4"/>
    <n v="5"/>
    <n v="3"/>
    <n v="3"/>
    <m/>
    <s v="International"/>
    <s v="Reggaeton"/>
    <n v="4"/>
    <n v="1"/>
    <b v="0"/>
  </r>
  <r>
    <x v="35"/>
    <s v="loganworsdell"/>
    <n v="4"/>
    <n v="1.5491933384829668"/>
    <s v="Touch It - Remix"/>
    <s v="Busta Rhymes, Mary J. Blige, Missy Elliott, DMX, Rah Digga, Lloyd Banks, Papoose"/>
    <n v="4"/>
    <n v="5"/>
    <n v="1"/>
    <n v="5"/>
    <n v="5"/>
    <m/>
    <s v="Hip-Hop"/>
    <s v="East Coast Hip Hop"/>
    <n v="5"/>
    <n v="1"/>
    <b v="0"/>
  </r>
  <r>
    <x v="35"/>
    <s v="samuelbattista"/>
    <n v="3"/>
    <n v="1.0954451150103321"/>
    <s v="Modern Girl"/>
    <s v="Bleachers"/>
    <n v="3"/>
    <n v="3"/>
    <n v="4"/>
    <n v="1"/>
    <n v="4"/>
    <m/>
    <s v="Rock"/>
    <s v="Pop Rock"/>
    <n v="3"/>
    <n v="1"/>
    <b v="0"/>
  </r>
  <r>
    <x v="35"/>
    <s v="currydestroyer27"/>
    <n v="2.2000000000000002"/>
    <n v="1.1661903789690602"/>
    <s v="Ali in The Jungle"/>
    <s v="The Hours"/>
    <n v="2"/>
    <n v="1"/>
    <n v="3"/>
    <n v="4"/>
    <n v="1"/>
    <m/>
    <s v="Rock"/>
    <s v="Rock"/>
    <n v="2"/>
    <n v="1"/>
    <b v="0"/>
  </r>
  <r>
    <x v="36"/>
    <s v="alappatjoe"/>
    <n v="2"/>
    <n v="0.63245553203367588"/>
    <s v="Alchemy"/>
    <s v="Jake Kaufman, Dale North"/>
    <n v="1"/>
    <n v="2"/>
    <n v="2"/>
    <n v="3"/>
    <n v="2"/>
    <m/>
    <m/>
    <m/>
    <n v="1"/>
    <n v="1"/>
    <b v="1"/>
  </r>
  <r>
    <x v="36"/>
    <s v="danram"/>
    <n v="2.8"/>
    <n v="1.6"/>
    <s v="Lithonia"/>
    <s v="Childish Gambino"/>
    <n v="4"/>
    <n v="1"/>
    <n v="3"/>
    <n v="1"/>
    <n v="5"/>
    <m/>
    <s v="Rock"/>
    <s v="Rock"/>
    <n v="2"/>
    <n v="1"/>
    <b v="0"/>
  </r>
  <r>
    <x v="36"/>
    <s v="loganworsdell"/>
    <n v="3.6"/>
    <n v="0.8"/>
    <s v="Wonder"/>
    <s v="Jay Prince"/>
    <n v="2"/>
    <n v="4"/>
    <n v="4"/>
    <n v="4"/>
    <n v="4"/>
    <m/>
    <s v="Hip-Hop"/>
    <s v="uk alternative hip hop"/>
    <n v="4"/>
    <n v="1"/>
    <b v="0"/>
  </r>
  <r>
    <x v="36"/>
    <s v="samuelbattista"/>
    <n v="3.6"/>
    <n v="1.2"/>
    <s v="Brown's Ferry Blues"/>
    <s v="Tony Trischka, Billy Strings"/>
    <n v="5"/>
    <n v="3"/>
    <n v="5"/>
    <n v="2"/>
    <n v="3"/>
    <m/>
    <s v="Country"/>
    <s v="Bluegrass"/>
    <n v="5"/>
    <n v="1"/>
    <b v="0"/>
  </r>
  <r>
    <x v="36"/>
    <s v="currydestroyer27"/>
    <n v="3"/>
    <n v="1.7888543819998317"/>
    <s v="Going On"/>
    <s v="Gnarls Barkley"/>
    <n v="3"/>
    <n v="5"/>
    <n v="1"/>
    <n v="5"/>
    <n v="1"/>
    <m/>
    <s v="R&amp;B"/>
    <s v="Psychedelic Soul"/>
    <n v="3"/>
    <n v="1"/>
    <b v="0"/>
  </r>
  <r>
    <x v="37"/>
    <s v="alappatjoe"/>
    <n v="2.8"/>
    <n v="1.1661903789690602"/>
    <s v="Classical Gangsta"/>
    <s v="Ryze Hendricks, G-Rome"/>
    <n v="2"/>
    <n v="4"/>
    <n v="4"/>
    <n v="1"/>
    <n v="3"/>
    <m/>
    <m/>
    <m/>
    <n v="3"/>
    <n v="5"/>
    <b v="0"/>
  </r>
  <r>
    <x v="37"/>
    <s v="danram"/>
    <n v="4.4000000000000004"/>
    <n v="0.8"/>
    <s v="Put The Money In The Bag"/>
    <s v="Yuno Miles"/>
    <n v="3"/>
    <n v="5"/>
    <n v="5"/>
    <n v="4"/>
    <n v="5"/>
    <m/>
    <s v="Rap"/>
    <s v="Progressive Rap"/>
    <n v="5"/>
    <n v="5"/>
    <b v="1"/>
  </r>
  <r>
    <x v="37"/>
    <s v="loganworsdell"/>
    <n v="2"/>
    <n v="0.89442719099991586"/>
    <s v="Not There Yet"/>
    <s v="Pardison Fontaine"/>
    <n v="1"/>
    <n v="2"/>
    <n v="3"/>
    <n v="3"/>
    <n v="1"/>
    <m/>
    <s v="Rap"/>
    <s v="upstate ny rap"/>
    <n v="1"/>
    <n v="5"/>
    <b v="0"/>
  </r>
  <r>
    <x v="37"/>
    <s v="samuelbattista"/>
    <n v="2.4"/>
    <n v="1.3564659966250536"/>
    <s v="money machine - A.G. Cook Remix"/>
    <s v="100 gecs, A.G. Cook"/>
    <n v="5"/>
    <n v="1"/>
    <n v="2"/>
    <n v="2"/>
    <n v="2"/>
    <m/>
    <s v="Electronic"/>
    <s v="Hyper Pop"/>
    <n v="2"/>
    <n v="5"/>
    <b v="0"/>
  </r>
  <r>
    <x v="37"/>
    <s v="currydestroyer27"/>
    <n v="3.4"/>
    <n v="1.3564659966250536"/>
    <s v="Приютил свинью"/>
    <s v="LOX333 AND IDIOT666"/>
    <n v="4"/>
    <n v="3"/>
    <n v="1"/>
    <n v="5"/>
    <n v="4"/>
    <m/>
    <s v="International"/>
    <s v="Breakcore"/>
    <n v="4"/>
    <n v="5"/>
    <b v="0"/>
  </r>
  <r>
    <x v="38"/>
    <s v="alappatjoe"/>
    <n v="2.8"/>
    <n v="1.4696938456699069"/>
    <s v="Ric Flair Drip"/>
    <s v="Offset, Metro Boomin"/>
    <n v="1"/>
    <n v="4"/>
    <n v="1"/>
    <n v="4"/>
    <n v="4"/>
    <m/>
    <m/>
    <m/>
    <n v="3"/>
    <n v="1"/>
    <b v="0"/>
  </r>
  <r>
    <x v="38"/>
    <s v="danram"/>
    <n v="4.4000000000000004"/>
    <n v="1.2"/>
    <s v="Becane - A COLORS SHOW"/>
    <s v="Yame"/>
    <n v="5"/>
    <n v="2"/>
    <n v="5"/>
    <n v="5"/>
    <n v="5"/>
    <m/>
    <s v="International"/>
    <s v="French R&amp;B"/>
    <n v="5"/>
    <n v="1"/>
    <b v="0"/>
  </r>
  <r>
    <x v="38"/>
    <s v="loganworsdell"/>
    <n v="3"/>
    <n v="1.0954451150103321"/>
    <s v="Ruined Me"/>
    <s v="Muni Long"/>
    <n v="2"/>
    <n v="5"/>
    <n v="3"/>
    <n v="3"/>
    <n v="2"/>
    <m/>
    <s v="R&amp;B"/>
    <s v="_x0009_indie r&amp;b"/>
    <n v="4"/>
    <n v="1"/>
    <b v="0"/>
  </r>
  <r>
    <x v="38"/>
    <s v="samuelbattista"/>
    <n v="2.6"/>
    <n v="1.3564659966250536"/>
    <s v="Missin' You Like This"/>
    <s v="Post Malone, Luke Combs"/>
    <n v="4"/>
    <n v="1"/>
    <n v="4"/>
    <n v="1"/>
    <n v="3"/>
    <m/>
    <s v="Country"/>
    <s v="Pop Country"/>
    <n v="2"/>
    <n v="1"/>
    <b v="0"/>
  </r>
  <r>
    <x v="38"/>
    <s v="currydestroyer27"/>
    <n v="2.2000000000000002"/>
    <n v="0.74833147735478833"/>
    <s v="Mystery Lady"/>
    <s v="Masego, Don Toliver"/>
    <n v="3"/>
    <n v="3"/>
    <n v="2"/>
    <n v="2"/>
    <n v="1"/>
    <m/>
    <s v="Rap"/>
    <s v="R&amp;B"/>
    <n v="1"/>
    <n v="1"/>
    <b v="1"/>
  </r>
  <r>
    <x v="39"/>
    <s v="alappatjoe"/>
    <n v="2.8"/>
    <n v="1.1661903789690602"/>
    <s v="Ardent Rhythm"/>
    <s v="Kenji Ito"/>
    <n v="1"/>
    <n v="3"/>
    <n v="4"/>
    <n v="4"/>
    <n v="2"/>
    <m/>
    <m/>
    <m/>
    <n v="2"/>
    <n v="1"/>
    <b v="0"/>
  </r>
  <r>
    <x v="39"/>
    <s v="danram"/>
    <n v="2.8"/>
    <n v="1.4696938456699069"/>
    <s v="Mammagammaguchi"/>
    <s v="EX-LYD"/>
    <n v="4"/>
    <n v="1"/>
    <n v="2"/>
    <n v="2"/>
    <n v="5"/>
    <m/>
    <s v="Electronic"/>
    <s v="Electronic Rock"/>
    <n v="3"/>
    <n v="1"/>
    <b v="0"/>
  </r>
  <r>
    <x v="39"/>
    <s v="loganworsdell"/>
    <n v="2.6"/>
    <n v="1.019803902718557"/>
    <s v="Lotus Flower Bomb"/>
    <s v="Wale, Miguel"/>
    <n v="3"/>
    <n v="2"/>
    <n v="1"/>
    <n v="3"/>
    <n v="4"/>
    <m/>
    <s v="R&amp;B"/>
    <s v="urban contemporary"/>
    <n v="1"/>
    <n v="1"/>
    <b v="1"/>
  </r>
  <r>
    <x v="39"/>
    <s v="samuelbattista"/>
    <n v="3.6"/>
    <n v="1.4966629547095767"/>
    <s v="Before The Next Teardrop Falls"/>
    <s v="Freddy Fender"/>
    <n v="5"/>
    <n v="4"/>
    <n v="5"/>
    <n v="1"/>
    <n v="3"/>
    <m/>
    <s v="Country"/>
    <s v="Tejano"/>
    <n v="5"/>
    <n v="1"/>
    <b v="0"/>
  </r>
  <r>
    <x v="39"/>
    <s v="currydestroyer27"/>
    <n v="3.2"/>
    <n v="1.6"/>
    <s v="Shove It"/>
    <s v="Santigold, Spank Rock"/>
    <n v="2"/>
    <n v="5"/>
    <n v="3"/>
    <n v="5"/>
    <n v="1"/>
    <m/>
    <s v="Rock"/>
    <s v="Indietronica"/>
    <n v="4"/>
    <n v="1"/>
    <b v="0"/>
  </r>
  <r>
    <x v="40"/>
    <s v="alappatjoe"/>
    <n v="2.8"/>
    <n v="1.4696938456699069"/>
    <s v="Never Too Much"/>
    <s v="Luther Vandross"/>
    <n v="1"/>
    <n v="2"/>
    <n v="5"/>
    <n v="4"/>
    <n v="2"/>
    <m/>
    <m/>
    <m/>
    <n v="3"/>
    <n v="1"/>
    <b v="0"/>
  </r>
  <r>
    <x v="40"/>
    <s v="danram"/>
    <n v="1.8"/>
    <n v="1.1661903789690602"/>
    <s v="FAMJAM40000"/>
    <s v="Jordan Ward"/>
    <n v="4"/>
    <n v="1"/>
    <n v="1"/>
    <n v="2"/>
    <n v="1"/>
    <m/>
    <s v="R&amp;B"/>
    <s v="Dance/R&amp;B"/>
    <n v="1"/>
    <n v="1"/>
    <b v="1"/>
  </r>
  <r>
    <x v="40"/>
    <s v="loganworsdell"/>
    <n v="2.8"/>
    <n v="0.4"/>
    <s v="Never Ask"/>
    <s v="Shayhan"/>
    <n v="3"/>
    <n v="3"/>
    <n v="2"/>
    <n v="3"/>
    <n v="3"/>
    <m/>
    <s v="Electronic"/>
    <s v="Alt-Electronic"/>
    <n v="2"/>
    <n v="1"/>
    <b v="0"/>
  </r>
  <r>
    <x v="40"/>
    <s v="samuelbattista"/>
    <n v="3.2"/>
    <n v="1.4696938456699069"/>
    <s v="Sing Along"/>
    <s v="Sturgill Simpson"/>
    <n v="2"/>
    <n v="4"/>
    <n v="4"/>
    <n v="1"/>
    <n v="5"/>
    <m/>
    <s v="Country"/>
    <s v="Alternative Country"/>
    <n v="4"/>
    <n v="1"/>
    <b v="0"/>
  </r>
  <r>
    <x v="40"/>
    <s v="currydestroyer27"/>
    <n v="4.4000000000000004"/>
    <n v="0.8"/>
    <s v="Rolled up"/>
    <s v="Shinzou"/>
    <n v="5"/>
    <n v="5"/>
    <n v="3"/>
    <n v="5"/>
    <n v="4"/>
    <m/>
    <s v="Rap"/>
    <s v="Rap"/>
    <n v="5"/>
    <n v="1"/>
    <b v="0"/>
  </r>
  <r>
    <x v="41"/>
    <s v="alappatjoe"/>
    <n v="3.4"/>
    <n v="1.3564659966250536"/>
    <s v="Arid Sands - Night"/>
    <s v="SEGA SOUND TEAM, Kenichi Tokoi"/>
    <n v="1"/>
    <n v="4"/>
    <n v="4"/>
    <n v="3"/>
    <n v="5"/>
    <m/>
    <m/>
    <m/>
    <n v="4"/>
    <n v="3"/>
    <b v="0"/>
  </r>
  <r>
    <x v="41"/>
    <s v="danram"/>
    <n v="3.6"/>
    <n v="1.3564659966250536"/>
    <s v="Lazy Boy"/>
    <s v="The Voidz"/>
    <n v="5"/>
    <n v="2"/>
    <n v="5"/>
    <n v="2"/>
    <n v="4"/>
    <m/>
    <s v="Rock"/>
    <s v="Progressive Rock"/>
    <n v="5"/>
    <n v="3"/>
    <b v="0"/>
  </r>
  <r>
    <x v="41"/>
    <s v="loganworsdell"/>
    <n v="3"/>
    <n v="0.63245553203367588"/>
    <s v="The Flux"/>
    <s v="Trayce Chapman"/>
    <n v="2"/>
    <n v="3"/>
    <n v="3"/>
    <n v="4"/>
    <n v="3"/>
    <m/>
    <s v="Rap"/>
    <s v="denver rap"/>
    <n v="2"/>
    <n v="3"/>
    <b v="0"/>
  </r>
  <r>
    <x v="41"/>
    <s v="samuelbattista"/>
    <n v="1.8"/>
    <n v="0.74833147735478833"/>
    <s v="Like A Drug"/>
    <s v="BRKN LOVE"/>
    <n v="3"/>
    <n v="1"/>
    <n v="2"/>
    <n v="1"/>
    <n v="2"/>
    <m/>
    <s v="Rock"/>
    <s v="Alternative Rock"/>
    <n v="1"/>
    <n v="3"/>
    <b v="0"/>
  </r>
  <r>
    <x v="41"/>
    <s v="currydestroyer27"/>
    <n v="3.2"/>
    <n v="1.833030277982336"/>
    <s v="STYX HELIX"/>
    <s v="MYTH &amp; ROID"/>
    <n v="4"/>
    <n v="5"/>
    <n v="1"/>
    <n v="5"/>
    <n v="1"/>
    <m/>
    <s v="International"/>
    <s v="J-Rock"/>
    <n v="3"/>
    <n v="3"/>
    <b v="1"/>
  </r>
  <r>
    <x v="42"/>
    <s v="alappatjoe"/>
    <n v="3"/>
    <n v="1.6733200530681511"/>
    <s v="Fighting Animals"/>
    <s v="Satoru Kosaki"/>
    <n v="1"/>
    <n v="5"/>
    <n v="5"/>
    <n v="2"/>
    <n v="2"/>
    <m/>
    <m/>
    <m/>
    <n v="3"/>
    <n v="1"/>
    <b v="0"/>
  </r>
  <r>
    <x v="42"/>
    <s v="danram"/>
    <n v="3.4"/>
    <n v="1.019803902718557"/>
    <s v="Floaty Boaty"/>
    <s v="House Tours"/>
    <n v="3"/>
    <n v="2"/>
    <n v="4"/>
    <n v="3"/>
    <n v="5"/>
    <m/>
    <s v="Rock"/>
    <s v="Progessive Punk"/>
    <n v="4"/>
    <n v="1"/>
    <b v="0"/>
  </r>
  <r>
    <x v="42"/>
    <s v="loganworsdell"/>
    <n v="4"/>
    <n v="1.0954451150103321"/>
    <s v="Close Your Eyes(And Count to Fuck)"/>
    <s v="Run the Jewelz, EI-P, Killer Mike, Zack De La Rocha"/>
    <n v="5"/>
    <n v="4"/>
    <n v="2"/>
    <n v="5"/>
    <n v="4"/>
    <m/>
    <m/>
    <m/>
    <n v="5"/>
    <n v="1"/>
    <b v="0"/>
  </r>
  <r>
    <x v="42"/>
    <s v="samuelbattista"/>
    <n v="2.4"/>
    <n v="1.2"/>
    <s v="NEW MAGIC WAND"/>
    <s v="Tyler the Creator"/>
    <n v="4"/>
    <n v="3"/>
    <n v="3"/>
    <n v="1"/>
    <n v="1"/>
    <m/>
    <s v="Rap"/>
    <s v="Alternative R&amp;B"/>
    <n v="2"/>
    <n v="1"/>
    <b v="0"/>
  </r>
  <r>
    <x v="42"/>
    <s v="currydestroyer27"/>
    <n v="2.2000000000000002"/>
    <n v="1.1661903789690602"/>
    <s v="The Walker"/>
    <s v="Fitz and The Tantrums"/>
    <n v="2"/>
    <n v="1"/>
    <n v="1"/>
    <n v="4"/>
    <n v="3"/>
    <m/>
    <s v="Pop"/>
    <s v="Neo-Soul"/>
    <n v="1"/>
    <n v="1"/>
    <b v="1"/>
  </r>
  <r>
    <x v="43"/>
    <s v="alappatjoe"/>
    <n v="3.4"/>
    <n v="1.3564659966250536"/>
    <s v="Monster"/>
    <s v="Kanye West, Jay-Z, Rick Ross, Nicki Minaj, Bon Iver"/>
    <n v="1"/>
    <n v="5"/>
    <n v="4"/>
    <n v="4"/>
    <n v="3"/>
    <m/>
    <s v="Rap"/>
    <s v="Rap"/>
    <n v="4"/>
    <n v="1"/>
    <b v="0"/>
  </r>
  <r>
    <x v="43"/>
    <s v="danram"/>
    <n v="3"/>
    <n v="1.4142135623730951"/>
    <s v="Slide"/>
    <s v="Calvin Harris, Frank Ocean, Migos, Funk Wav"/>
    <n v="2"/>
    <n v="1"/>
    <n v="5"/>
    <n v="3"/>
    <n v="4"/>
    <m/>
    <s v="Pop"/>
    <s v="Dance"/>
    <n v="3"/>
    <n v="1"/>
    <b v="0"/>
  </r>
  <r>
    <x v="43"/>
    <s v="loganworsdell"/>
    <n v="3.4"/>
    <n v="1.3564659966250536"/>
    <s v="No Hands"/>
    <s v="Waka Flocka Flame, Roscoe Dash, Wale"/>
    <n v="5"/>
    <n v="2"/>
    <n v="3"/>
    <n v="5"/>
    <n v="2"/>
    <m/>
    <m/>
    <m/>
    <n v="4"/>
    <n v="1"/>
    <b v="0"/>
  </r>
  <r>
    <x v="43"/>
    <s v="samuelbattista"/>
    <n v="3"/>
    <n v="1.0954451150103321"/>
    <s v="Gold Digger"/>
    <s v="Kanye West, Jaime Foxx"/>
    <n v="3"/>
    <n v="3"/>
    <n v="2"/>
    <n v="2"/>
    <n v="5"/>
    <m/>
    <s v="Rap"/>
    <s v="Rap"/>
    <n v="2"/>
    <n v="1"/>
    <b v="0"/>
  </r>
  <r>
    <x v="43"/>
    <s v="currydestroyer27"/>
    <n v="2.2000000000000002"/>
    <n v="1.4696938456699069"/>
    <s v="3005"/>
    <s v="Childish Gambino"/>
    <n v="4"/>
    <n v="4"/>
    <n v="1"/>
    <n v="1"/>
    <n v="1"/>
    <m/>
    <s v="R&amp;B"/>
    <s v="Contemporary R&amp;B"/>
    <n v="1"/>
    <n v="1"/>
    <b v="1"/>
  </r>
  <r>
    <x v="44"/>
    <s v="alappatjoe"/>
    <n v="2.6"/>
    <n v="1.9595917942265424"/>
    <s v="IV. Sweatpants"/>
    <s v="Childish Gambino"/>
    <n v="1"/>
    <n v="5"/>
    <n v="1"/>
    <n v="1"/>
    <n v="5"/>
    <m/>
    <m/>
    <m/>
    <n v="3"/>
    <n v="1"/>
    <b v="0"/>
  </r>
  <r>
    <x v="44"/>
    <s v="danram"/>
    <n v="4.4000000000000004"/>
    <n v="0.4898979485566356"/>
    <s v="Family Business"/>
    <s v="Kanye West"/>
    <n v="4"/>
    <n v="4"/>
    <n v="5"/>
    <n v="5"/>
    <n v="4"/>
    <m/>
    <s v="Rap"/>
    <s v="Rap"/>
    <n v="5"/>
    <n v="1"/>
    <b v="0"/>
  </r>
  <r>
    <x v="44"/>
    <s v="loganworsdell"/>
    <n v="3.6"/>
    <n v="1.019803902718557"/>
    <s v="Red Lights"/>
    <s v="Dirty Heads"/>
    <n v="5"/>
    <n v="2"/>
    <n v="4"/>
    <n v="4"/>
    <n v="3"/>
    <m/>
    <m/>
    <m/>
    <n v="4"/>
    <n v="1"/>
    <b v="0"/>
  </r>
  <r>
    <x v="44"/>
    <s v="samuelbattista"/>
    <n v="2.2000000000000002"/>
    <n v="0.4"/>
    <s v="Blinding Lights"/>
    <s v="The Weekend"/>
    <n v="2"/>
    <n v="3"/>
    <n v="2"/>
    <n v="2"/>
    <n v="2"/>
    <n v="5351958417"/>
    <s v="Pop"/>
    <m/>
    <n v="1"/>
    <n v="1"/>
    <b v="1"/>
  </r>
  <r>
    <x v="44"/>
    <s v="currydestroyer27"/>
    <n v="2.2000000000000002"/>
    <n v="0.9797958971132712"/>
    <s v="Heartless"/>
    <s v="Kanye West"/>
    <n v="3"/>
    <n v="1"/>
    <n v="3"/>
    <n v="3"/>
    <n v="1"/>
    <m/>
    <s v="Rap"/>
    <s v="Pop-Rap"/>
    <n v="2"/>
    <n v="1"/>
    <b v="0"/>
  </r>
  <r>
    <x v="45"/>
    <s v="alappatjoe"/>
    <n v="2.2000000000000002"/>
    <n v="1.1661903789690602"/>
    <s v="Go-Getters"/>
    <s v="Mori Calliope"/>
    <n v="1"/>
    <n v="1"/>
    <n v="3"/>
    <n v="4"/>
    <n v="2"/>
    <m/>
    <m/>
    <m/>
    <n v="1"/>
    <n v="1"/>
    <b v="1"/>
  </r>
  <r>
    <x v="45"/>
    <s v="danram"/>
    <n v="3.4"/>
    <n v="0.8"/>
    <s v="Devil Town"/>
    <s v="Cavetown"/>
    <n v="3"/>
    <n v="3"/>
    <n v="5"/>
    <n v="3"/>
    <n v="3"/>
    <m/>
    <s v="Rock"/>
    <s v="Indie Rock"/>
    <n v="3"/>
    <n v="1"/>
    <b v="0"/>
  </r>
  <r>
    <x v="45"/>
    <s v="loganworsdell"/>
    <n v="3.4"/>
    <n v="1.6248076809271921"/>
    <s v="Eeniee Meenie"/>
    <s v="Justin Bieber, Sean Kingston"/>
    <n v="5"/>
    <n v="5"/>
    <n v="1"/>
    <n v="2"/>
    <n v="4"/>
    <m/>
    <m/>
    <m/>
    <n v="4"/>
    <n v="1"/>
    <b v="0"/>
  </r>
  <r>
    <x v="45"/>
    <s v="samuelbattista"/>
    <n v="2.4"/>
    <n v="1.3564659966250536"/>
    <s v="You'll Be Back"/>
    <s v="Jonathan Groff"/>
    <n v="2"/>
    <n v="2"/>
    <n v="2"/>
    <n v="1"/>
    <n v="5"/>
    <m/>
    <s v="Other"/>
    <s v="Musical"/>
    <n v="2"/>
    <n v="1"/>
    <b v="0"/>
  </r>
  <r>
    <x v="45"/>
    <s v="currydestroyer27"/>
    <n v="3.6"/>
    <n v="1.3564659966250536"/>
    <s v="Don't Say &quot;Lazy&quot;"/>
    <s v="Sakurakou (Ho-Kago Tea Time)"/>
    <n v="4"/>
    <n v="4"/>
    <n v="4"/>
    <n v="5"/>
    <n v="1"/>
    <m/>
    <s v="International"/>
    <s v="J-Rock"/>
    <n v="5"/>
    <n v="1"/>
    <b v="0"/>
  </r>
  <r>
    <x v="46"/>
    <s v="alappatjoe"/>
    <n v="3.4"/>
    <n v="1.3564659966250536"/>
    <s v="Go Crazy"/>
    <s v="Chris Brown, Young Thug"/>
    <n v="1"/>
    <n v="3"/>
    <n v="4"/>
    <n v="5"/>
    <n v="4"/>
    <m/>
    <m/>
    <m/>
    <n v="4"/>
    <n v="1"/>
    <b v="0"/>
  </r>
  <r>
    <x v="46"/>
    <s v="danram"/>
    <n v="3.4"/>
    <n v="1.6248076809271921"/>
    <s v="Agosto"/>
    <s v="Bad Bunny"/>
    <n v="2"/>
    <n v="1"/>
    <n v="5"/>
    <n v="4"/>
    <n v="5"/>
    <m/>
    <s v="International"/>
    <s v="Latin R&amp;B"/>
    <n v="5"/>
    <n v="1"/>
    <b v="0"/>
  </r>
  <r>
    <x v="46"/>
    <s v="loganworsdell"/>
    <n v="2.4"/>
    <n v="0.4898979485566356"/>
    <s v="Single Again"/>
    <s v="Big Sean"/>
    <n v="3"/>
    <n v="2"/>
    <n v="2"/>
    <n v="2"/>
    <n v="3"/>
    <m/>
    <m/>
    <m/>
    <n v="1"/>
    <n v="1"/>
    <b v="1"/>
  </r>
  <r>
    <x v="46"/>
    <s v="samuelbattista"/>
    <n v="3.2"/>
    <n v="1.6"/>
    <s v="Every Time We Touch - TEKKNO Version"/>
    <s v="Electric Callboy"/>
    <n v="5"/>
    <n v="5"/>
    <n v="3"/>
    <n v="1"/>
    <n v="2"/>
    <m/>
    <m/>
    <m/>
    <n v="3"/>
    <n v="1"/>
    <b v="0"/>
  </r>
  <r>
    <x v="46"/>
    <s v="currydestroyer27"/>
    <n v="2.6"/>
    <n v="1.3564659966250536"/>
    <s v="Dark Crow"/>
    <s v="Man With A Mission"/>
    <n v="4"/>
    <n v="4"/>
    <n v="1"/>
    <n v="3"/>
    <n v="1"/>
    <m/>
    <s v="International"/>
    <s v="J-Rock"/>
    <n v="2"/>
    <n v="1"/>
    <b v="0"/>
  </r>
  <r>
    <x v="47"/>
    <s v="alappatjoe"/>
    <n v="2.4"/>
    <n v="1.4966629547095767"/>
    <s v="Lady Writer"/>
    <s v="Dire Straits"/>
    <n v="1"/>
    <n v="2"/>
    <n v="5"/>
    <n v="3"/>
    <n v="1"/>
    <m/>
    <m/>
    <m/>
    <n v="1"/>
    <n v="1"/>
    <b v="1"/>
  </r>
  <r>
    <x v="47"/>
    <s v="danram"/>
    <n v="3.2"/>
    <n v="1.4696938456699069"/>
    <s v="You Only Live Once"/>
    <s v="The Strokes"/>
    <n v="4"/>
    <n v="1"/>
    <n v="4"/>
    <n v="2"/>
    <n v="5"/>
    <m/>
    <s v="Rock"/>
    <s v="Rock"/>
    <n v="4"/>
    <n v="1"/>
    <b v="0"/>
  </r>
  <r>
    <x v="47"/>
    <s v="loganworsdell"/>
    <n v="3"/>
    <n v="1.2649110640673518"/>
    <s v="Talking Body"/>
    <s v="Tove Lo"/>
    <n v="2"/>
    <n v="4"/>
    <n v="2"/>
    <n v="5"/>
    <n v="2"/>
    <m/>
    <m/>
    <m/>
    <n v="2"/>
    <n v="1"/>
    <b v="0"/>
  </r>
  <r>
    <x v="47"/>
    <s v="samuelbattista"/>
    <n v="3"/>
    <n v="1.2649110640673518"/>
    <s v="Chimera"/>
    <s v="Polyphia, Lil West"/>
    <n v="3"/>
    <n v="5"/>
    <n v="3"/>
    <n v="1"/>
    <n v="3"/>
    <m/>
    <s v="Metal"/>
    <m/>
    <n v="2"/>
    <n v="1"/>
    <b v="0"/>
  </r>
  <r>
    <x v="47"/>
    <s v="currydestroyer27"/>
    <n v="3.4"/>
    <n v="1.3564659966250536"/>
    <s v="Clint Eastwood"/>
    <s v="Gorillaz"/>
    <n v="5"/>
    <n v="3"/>
    <n v="1"/>
    <n v="4"/>
    <n v="4"/>
    <m/>
    <s v="Rock"/>
    <s v="Funk Rock"/>
    <n v="5"/>
    <n v="1"/>
    <b v="0"/>
  </r>
  <r>
    <x v="48"/>
    <s v="alappatjoe"/>
    <n v="2.8"/>
    <n v="1.3266499161421599"/>
    <s v="RED OUT"/>
    <s v="Kenshi Yonezu"/>
    <n v="1"/>
    <n v="5"/>
    <n v="3"/>
    <n v="3"/>
    <n v="2"/>
    <m/>
    <m/>
    <m/>
    <n v="3"/>
    <n v="1"/>
    <b v="0"/>
  </r>
  <r>
    <x v="48"/>
    <s v="danram"/>
    <n v="2.6"/>
    <n v="1.3564659966250536"/>
    <s v="SORRY 4 THAT MUCH"/>
    <s v="Feid"/>
    <n v="2"/>
    <n v="1"/>
    <n v="5"/>
    <n v="2"/>
    <n v="3"/>
    <m/>
    <s v="International"/>
    <s v="Reggaeton"/>
    <n v="2"/>
    <n v="1"/>
    <b v="0"/>
  </r>
  <r>
    <x v="48"/>
    <s v="loganworsdell"/>
    <n v="3.4"/>
    <n v="1.6248076809271921"/>
    <s v="Got Me Started"/>
    <s v="Troye Sivan"/>
    <n v="5"/>
    <n v="2"/>
    <n v="1"/>
    <n v="4"/>
    <n v="5"/>
    <m/>
    <m/>
    <m/>
    <n v="4"/>
    <n v="1"/>
    <b v="0"/>
  </r>
  <r>
    <x v="48"/>
    <s v="samuelbattista"/>
    <n v="2.6"/>
    <n v="1.019803902718557"/>
    <s v="Real Love Baby"/>
    <s v="Father John Misty"/>
    <n v="3"/>
    <n v="3"/>
    <n v="2"/>
    <n v="1"/>
    <n v="4"/>
    <m/>
    <s v="Country"/>
    <s v="Indie"/>
    <n v="1"/>
    <n v="1"/>
    <b v="1"/>
  </r>
  <r>
    <x v="48"/>
    <s v="currydestroyer27"/>
    <n v="3.6"/>
    <n v="1.3564659966250536"/>
    <s v="Find Your Love"/>
    <s v="Drake"/>
    <n v="4"/>
    <n v="4"/>
    <n v="4"/>
    <n v="5"/>
    <n v="1"/>
    <m/>
    <s v="R&amp;B"/>
    <s v="Pop-R&amp;B"/>
    <n v="5"/>
    <n v="1"/>
    <b v="0"/>
  </r>
  <r>
    <x v="49"/>
    <s v="alappatjoe"/>
    <n v="3.4"/>
    <n v="1.3564659966250536"/>
    <s v="SOS"/>
    <s v="Rihanna"/>
    <n v="1"/>
    <n v="3"/>
    <n v="4"/>
    <n v="5"/>
    <n v="4"/>
    <m/>
    <m/>
    <m/>
    <n v="4"/>
    <n v="1"/>
    <b v="0"/>
  </r>
  <r>
    <x v="49"/>
    <s v="danram"/>
    <n v="2.4"/>
    <n v="1.4966629547095767"/>
    <s v="S&amp;M"/>
    <s v="Rihanna"/>
    <n v="3"/>
    <n v="1"/>
    <n v="5"/>
    <n v="2"/>
    <n v="1"/>
    <m/>
    <s v="Pop"/>
    <s v="Pop"/>
    <n v="2"/>
    <n v="1"/>
    <b v="0"/>
  </r>
  <r>
    <x v="49"/>
    <s v="loganworsdell"/>
    <n v="3.6"/>
    <n v="1.4966629547095767"/>
    <s v="Hate That I Love You"/>
    <s v="Rihanna"/>
    <n v="5"/>
    <n v="4"/>
    <n v="1"/>
    <n v="3"/>
    <n v="5"/>
    <m/>
    <m/>
    <m/>
    <n v="5"/>
    <n v="1"/>
    <b v="0"/>
  </r>
  <r>
    <x v="49"/>
    <s v="samuelbattista"/>
    <n v="3.2"/>
    <n v="1.3266499161421599"/>
    <s v="Where Have You Been"/>
    <s v="Rihanna"/>
    <n v="4"/>
    <n v="5"/>
    <n v="3"/>
    <n v="1"/>
    <n v="3"/>
    <m/>
    <s v="R&amp;B"/>
    <m/>
    <n v="3"/>
    <n v="1"/>
    <b v="0"/>
  </r>
  <r>
    <x v="49"/>
    <s v="currydestroyer27"/>
    <n v="2.4"/>
    <n v="0.8"/>
    <s v="Don't Stop The Music"/>
    <s v="Rihanna"/>
    <n v="2"/>
    <n v="2"/>
    <n v="2"/>
    <n v="4"/>
    <n v="2"/>
    <m/>
    <s v="R&amp;B"/>
    <s v="Nu Disco"/>
    <n v="1"/>
    <n v="1"/>
    <b v="1"/>
  </r>
  <r>
    <x v="50"/>
    <s v="alappatjoe"/>
    <n v="3.4"/>
    <n v="1.3564659966250536"/>
    <s v="FREEDOM"/>
    <s v="Home Made Kazoku"/>
    <n v="1"/>
    <n v="5"/>
    <n v="4"/>
    <n v="4"/>
    <n v="3"/>
    <m/>
    <m/>
    <m/>
    <n v="4"/>
    <n v="1"/>
    <b v="0"/>
  </r>
  <r>
    <x v="50"/>
    <s v="danram"/>
    <n v="2.8"/>
    <n v="1.6"/>
    <s v="El Amor De Su Vida"/>
    <s v="Grupo Frontera, Grupo Firme"/>
    <n v="3"/>
    <n v="1"/>
    <n v="5"/>
    <n v="1"/>
    <n v="4"/>
    <m/>
    <s v="International"/>
    <s v="Regional Mexican"/>
    <n v="3"/>
    <n v="1"/>
    <b v="0"/>
  </r>
  <r>
    <x v="50"/>
    <s v="loganworsdell"/>
    <n v="2.8"/>
    <n v="1.3266499161421599"/>
    <s v="CIVIL WAR - Bonus"/>
    <s v="Russ"/>
    <n v="2"/>
    <n v="3"/>
    <n v="1"/>
    <n v="3"/>
    <n v="5"/>
    <m/>
    <m/>
    <m/>
    <n v="2"/>
    <n v="1"/>
    <b v="0"/>
  </r>
  <r>
    <x v="50"/>
    <s v="samuelbattista"/>
    <n v="2.6"/>
    <n v="0.8"/>
    <s v="Seventh Heaven"/>
    <s v="INOHA"/>
    <n v="4"/>
    <n v="2"/>
    <n v="3"/>
    <n v="2"/>
    <n v="2"/>
    <m/>
    <s v="Rock"/>
    <s v="Indie"/>
    <n v="1"/>
    <n v="1"/>
    <b v="1"/>
  </r>
  <r>
    <x v="50"/>
    <s v="currydestroyer27"/>
    <n v="3.4"/>
    <n v="1.6248076809271921"/>
    <s v="Kehlani (Remix)"/>
    <s v="Jordan Adetunji, Kehlani"/>
    <n v="5"/>
    <n v="4"/>
    <n v="2"/>
    <n v="5"/>
    <n v="1"/>
    <m/>
    <s v="International"/>
    <s v="Irish Drill"/>
    <n v="5"/>
    <n v="1"/>
    <b v="0"/>
  </r>
  <r>
    <x v="51"/>
    <s v="alappatjoe"/>
    <n v="3"/>
    <n v="1.4142135623730951"/>
    <s v="Murdergram Deux"/>
    <s v="LL COOL J, Eminem"/>
    <n v="1"/>
    <n v="3"/>
    <n v="4"/>
    <n v="2"/>
    <n v="5"/>
    <m/>
    <m/>
    <m/>
    <n v="3"/>
    <n v="1"/>
    <b v="0"/>
  </r>
  <r>
    <x v="51"/>
    <s v="danram"/>
    <n v="1.8"/>
    <n v="0.9797958971132712"/>
    <s v="Feel the Fiyaaaaah"/>
    <s v="Metro Boomin, A$AP Rocky, Takeoff"/>
    <n v="3"/>
    <n v="1"/>
    <n v="1"/>
    <n v="3"/>
    <n v="1"/>
    <m/>
    <s v="Rap"/>
    <s v="Rap"/>
    <n v="1"/>
    <n v="1"/>
    <b v="1"/>
  </r>
  <r>
    <x v="51"/>
    <s v="loganworsdell"/>
    <n v="3.6"/>
    <n v="1.019803902718557"/>
    <s v="Plaksteris"/>
    <s v="Singapuras Satins, Samanta Tina"/>
    <n v="4"/>
    <n v="4"/>
    <n v="2"/>
    <n v="5"/>
    <n v="3"/>
    <m/>
    <m/>
    <m/>
    <n v="4"/>
    <n v="1"/>
    <b v="0"/>
  </r>
  <r>
    <x v="51"/>
    <s v="samuelbattista"/>
    <n v="2.4"/>
    <n v="1.019803902718557"/>
    <s v="What's Going On"/>
    <s v="Marvin Gaye"/>
    <n v="2"/>
    <n v="2"/>
    <n v="3"/>
    <n v="1"/>
    <n v="4"/>
    <m/>
    <s v="R&amp;B"/>
    <m/>
    <n v="2"/>
    <n v="1"/>
    <b v="0"/>
  </r>
  <r>
    <x v="51"/>
    <s v="currydestroyer27"/>
    <n v="4.2"/>
    <n v="1.1661903789690602"/>
    <s v="Fragili"/>
    <s v="Club Dogo, Arisa"/>
    <n v="5"/>
    <n v="5"/>
    <n v="5"/>
    <n v="4"/>
    <n v="2"/>
    <m/>
    <s v="International"/>
    <s v="Rap Italiano"/>
    <n v="5"/>
    <n v="1"/>
    <b v="0"/>
  </r>
  <r>
    <x v="52"/>
    <s v="alappatjoe"/>
    <n v="3.4"/>
    <n v="1.2"/>
    <s v="勇者"/>
    <s v="Yoasobi"/>
    <n v="2"/>
    <n v="4"/>
    <n v="4"/>
    <n v="5"/>
    <n v="2"/>
    <m/>
    <m/>
    <m/>
    <n v="4"/>
    <n v="1"/>
    <b v="0"/>
  </r>
  <r>
    <x v="52"/>
    <s v="danram"/>
    <n v="1.8"/>
    <n v="0.9797958971132712"/>
    <s v="夜に駆ける"/>
    <s v="Yoasobi"/>
    <n v="1"/>
    <n v="1"/>
    <n v="3"/>
    <n v="3"/>
    <n v="1"/>
    <m/>
    <s v="International"/>
    <s v="J-Pop"/>
    <n v="1"/>
    <n v="1"/>
    <b v="1"/>
  </r>
  <r>
    <x v="52"/>
    <s v="loganworsdell"/>
    <n v="3.2"/>
    <n v="1.6"/>
    <s v="祝福"/>
    <s v="Yoasobi"/>
    <n v="3"/>
    <n v="5"/>
    <n v="2"/>
    <n v="1"/>
    <n v="5"/>
    <m/>
    <m/>
    <m/>
    <n v="3"/>
    <n v="1"/>
    <b v="0"/>
  </r>
  <r>
    <x v="52"/>
    <s v="samuelbattista"/>
    <n v="3.2"/>
    <n v="1.3266499161421599"/>
    <s v="怪物"/>
    <s v="Yoasobi"/>
    <n v="5"/>
    <n v="3"/>
    <n v="1"/>
    <n v="4"/>
    <n v="3"/>
    <m/>
    <s v="International"/>
    <s v="J-Pop"/>
    <n v="2"/>
    <n v="1"/>
    <b v="0"/>
  </r>
  <r>
    <x v="52"/>
    <s v="currydestroyer27"/>
    <n v="3.4"/>
    <n v="1.2"/>
    <s v="Romance"/>
    <s v="Yoasobi"/>
    <n v="4"/>
    <n v="2"/>
    <n v="5"/>
    <n v="2"/>
    <n v="4"/>
    <m/>
    <s v="International"/>
    <s v="J-Pop"/>
    <n v="4"/>
    <n v="1"/>
    <b v="0"/>
  </r>
  <r>
    <x v="53"/>
    <s v="alappatjoe"/>
    <n v="3.2"/>
    <n v="0.74833147735478833"/>
    <s v="Say Nada (JME Remix)"/>
    <s v="Shakka, Jme"/>
    <n v="3"/>
    <n v="4"/>
    <n v="4"/>
    <n v="3"/>
    <n v="2"/>
    <m/>
    <m/>
    <m/>
    <n v="3"/>
    <n v="1"/>
    <b v="0"/>
  </r>
  <r>
    <x v="53"/>
    <s v="danram"/>
    <n v="4.2"/>
    <n v="0.74833147735478833"/>
    <s v="Kill the Director"/>
    <s v="The Wombats"/>
    <n v="4"/>
    <n v="3"/>
    <n v="5"/>
    <n v="4"/>
    <n v="5"/>
    <m/>
    <s v="Rock"/>
    <s v="Indie Rock"/>
    <n v="4"/>
    <n v="1"/>
    <b v="0"/>
  </r>
  <r>
    <x v="53"/>
    <s v="loganworsdell"/>
    <n v="2"/>
    <n v="1.0954451150103321"/>
    <s v="She's A 10 But..."/>
    <s v="ARTAN, Spencer Elmer"/>
    <n v="1"/>
    <n v="2"/>
    <n v="1"/>
    <n v="2"/>
    <n v="4"/>
    <m/>
    <m/>
    <m/>
    <n v="2"/>
    <n v="1"/>
    <b v="0"/>
  </r>
  <r>
    <x v="53"/>
    <s v="samuelbattista"/>
    <n v="1.4"/>
    <n v="0.4898979485566356"/>
    <s v="Sprinter"/>
    <s v="Dave, Central Cee"/>
    <n v="2"/>
    <n v="1"/>
    <n v="2"/>
    <n v="1"/>
    <n v="1"/>
    <m/>
    <s v="Rap"/>
    <s v="Drill Rap"/>
    <n v="1"/>
    <n v="1"/>
    <b v="1"/>
  </r>
  <r>
    <x v="53"/>
    <s v="currydestroyer27"/>
    <n v="4.2"/>
    <n v="0.9797958971132712"/>
    <s v="Sweet Dreams (Are Made Of This)"/>
    <s v="Eurythmics, Annie Lennox, Dave Stewart"/>
    <n v="5"/>
    <n v="5"/>
    <n v="3"/>
    <n v="5"/>
    <n v="3"/>
    <m/>
    <s v="International"/>
    <s v="Synth-Pop"/>
    <n v="5"/>
    <n v="1"/>
    <b v="0"/>
  </r>
  <r>
    <x v="54"/>
    <s v="alappatjoe"/>
    <n v="2.8"/>
    <n v="1.1661903789690602"/>
    <s v="New Woman"/>
    <s v="LISA, ROSALÍA"/>
    <n v="1"/>
    <n v="4"/>
    <n v="2"/>
    <n v="4"/>
    <n v="3"/>
    <m/>
    <m/>
    <m/>
    <n v="3"/>
    <n v="1"/>
    <b v="0"/>
  </r>
  <r>
    <x v="54"/>
    <s v="danram"/>
    <n v="3.6"/>
    <n v="1.3564659966250536"/>
    <s v="Cienciaficcion"/>
    <s v="Nsqk"/>
    <n v="4"/>
    <n v="1"/>
    <n v="4"/>
    <n v="5"/>
    <n v="4"/>
    <m/>
    <s v="International"/>
    <s v="Mexican Pop"/>
    <n v="4"/>
    <n v="1"/>
    <b v="0"/>
  </r>
  <r>
    <x v="54"/>
    <s v="loganworsdell"/>
    <n v="2.2000000000000002"/>
    <n v="0.74833147735478833"/>
    <s v="Keep Yappin"/>
    <s v="Cantrell"/>
    <n v="3"/>
    <n v="3"/>
    <n v="1"/>
    <n v="2"/>
    <n v="2"/>
    <m/>
    <m/>
    <m/>
    <n v="1"/>
    <n v="2"/>
    <b v="0"/>
  </r>
  <r>
    <x v="54"/>
    <s v="samuelbattista"/>
    <n v="4.2"/>
    <n v="1.6"/>
    <s v="Ur Mum"/>
    <s v="Wet Leg"/>
    <n v="5"/>
    <n v="5"/>
    <n v="5"/>
    <n v="1"/>
    <n v="5"/>
    <m/>
    <m/>
    <m/>
    <n v="5"/>
    <n v="1"/>
    <b v="0"/>
  </r>
  <r>
    <x v="54"/>
    <s v="currydestroyer27"/>
    <n v="2.2000000000000002"/>
    <n v="0.74833147735478833"/>
    <s v="Raindrops"/>
    <s v="Metro Boomin, Travis Scott"/>
    <n v="2"/>
    <n v="2"/>
    <n v="3"/>
    <n v="3"/>
    <n v="1"/>
    <m/>
    <s v="Rap"/>
    <s v="Trap"/>
    <n v="1"/>
    <n v="1"/>
    <b v="1"/>
  </r>
  <r>
    <x v="55"/>
    <s v="alappatjoe"/>
    <n v="3"/>
    <n v="1.7888543819998317"/>
    <s v="よふかしのうた"/>
    <s v="Creepy Nuts"/>
    <n v="1"/>
    <n v="5"/>
    <n v="5"/>
    <n v="3"/>
    <n v="1"/>
    <m/>
    <m/>
    <m/>
    <n v="3"/>
    <n v="1"/>
    <b v="0"/>
  </r>
  <r>
    <x v="55"/>
    <s v="danram"/>
    <n v="3.8"/>
    <n v="0.4"/>
    <s v="Agora Hills"/>
    <s v="Doja Cat"/>
    <n v="4"/>
    <n v="3"/>
    <n v="4"/>
    <n v="4"/>
    <n v="4"/>
    <m/>
    <s v="Pop"/>
    <s v="Pop"/>
    <n v="4"/>
    <n v="1"/>
    <b v="0"/>
  </r>
  <r>
    <x v="55"/>
    <s v="loganworsdell"/>
    <n v="4.2"/>
    <n v="1.1661903789690602"/>
    <s v="I'M HIS, HE'S MINE"/>
    <s v="Katy Perry, Doechii"/>
    <n v="5"/>
    <n v="4"/>
    <n v="2"/>
    <n v="5"/>
    <n v="5"/>
    <m/>
    <m/>
    <m/>
    <n v="5"/>
    <n v="1"/>
    <b v="0"/>
  </r>
  <r>
    <x v="55"/>
    <s v="samuelbattista"/>
    <n v="1.8"/>
    <n v="0.74833147735478833"/>
    <s v="Edge of Seventeen"/>
    <s v="Stevie Nicks"/>
    <n v="2"/>
    <n v="2"/>
    <n v="1"/>
    <n v="1"/>
    <n v="3"/>
    <m/>
    <m/>
    <m/>
    <n v="1"/>
    <n v="1"/>
    <b v="1"/>
  </r>
  <r>
    <x v="55"/>
    <s v="currydestroyer27"/>
    <n v="2.2000000000000002"/>
    <n v="0.74833147735478833"/>
    <s v="Duvet"/>
    <s v="Boa"/>
    <n v="3"/>
    <n v="1"/>
    <n v="3"/>
    <n v="2"/>
    <n v="2"/>
    <m/>
    <s v="International"/>
    <s v="UK-Rock"/>
    <n v="2"/>
    <n v="1"/>
    <b v="0"/>
  </r>
  <r>
    <x v="56"/>
    <s v="alappatjoe"/>
    <n v="3.2"/>
    <n v="1.1661903789690602"/>
    <s v="King's Dead"/>
    <s v="Jay Rock, Kendrick Lamar, Future, James Blake"/>
    <n v="1"/>
    <n v="4"/>
    <n v="4"/>
    <n v="3"/>
    <n v="4"/>
    <m/>
    <m/>
    <m/>
    <n v="4"/>
    <n v="1"/>
    <b v="0"/>
  </r>
  <r>
    <x v="56"/>
    <s v="danram"/>
    <n v="2.8"/>
    <n v="1.3266499161421599"/>
    <s v="Heard 'Em Say"/>
    <s v="Kanye West, Adam Levine"/>
    <n v="3"/>
    <n v="1"/>
    <n v="5"/>
    <n v="2"/>
    <n v="3"/>
    <m/>
    <s v="R&amp;B"/>
    <s v="R&amp;B"/>
    <n v="3"/>
    <n v="1"/>
    <b v="0"/>
  </r>
  <r>
    <x v="56"/>
    <s v="loganworsdell"/>
    <n v="4"/>
    <n v="1.5491933384829668"/>
    <s v="Mirror"/>
    <s v="Lil Wayne, Bruno Mars"/>
    <n v="4"/>
    <n v="5"/>
    <n v="1"/>
    <n v="5"/>
    <n v="5"/>
    <m/>
    <m/>
    <m/>
    <n v="5"/>
    <n v="1"/>
    <b v="0"/>
  </r>
  <r>
    <x v="56"/>
    <s v="samuelbattista"/>
    <n v="2.6"/>
    <n v="1.3564659966250536"/>
    <s v="Prayer Of The Refugee"/>
    <s v="Rise Against"/>
    <n v="5"/>
    <n v="3"/>
    <n v="2"/>
    <n v="1"/>
    <n v="2"/>
    <m/>
    <m/>
    <m/>
    <n v="2"/>
    <n v="1"/>
    <b v="0"/>
  </r>
  <r>
    <x v="56"/>
    <s v="currydestroyer27"/>
    <n v="2.4"/>
    <n v="1.019803902718557"/>
    <s v="Party Monster"/>
    <s v="The Weeknd"/>
    <n v="2"/>
    <n v="2"/>
    <n v="3"/>
    <n v="4"/>
    <n v="1"/>
    <m/>
    <s v="R&amp;B"/>
    <s v="Trap"/>
    <n v="1"/>
    <n v="1"/>
    <b v="1"/>
  </r>
  <r>
    <x v="57"/>
    <s v="alappatjoe"/>
    <n v="1.8"/>
    <n v="1.1661903789690602"/>
    <s v="Ping Pong Phase"/>
    <s v="Kensuke Ushio"/>
    <n v="1"/>
    <n v="1"/>
    <n v="2"/>
    <n v="4"/>
    <n v="1"/>
    <m/>
    <m/>
    <m/>
    <n v="1"/>
    <n v="1"/>
    <b v="1"/>
  </r>
  <r>
    <x v="57"/>
    <s v="danram"/>
    <n v="3"/>
    <n v="0.89442719099991586"/>
    <s v="Oncle Jazz"/>
    <s v="Men I Trust"/>
    <n v="4"/>
    <n v="3"/>
    <n v="4"/>
    <n v="2"/>
    <n v="2"/>
    <m/>
    <s v="R&amp;B"/>
    <s v="Jazz R&amp;B"/>
    <n v="3"/>
    <n v="1"/>
    <b v="0"/>
  </r>
  <r>
    <x v="57"/>
    <s v="loganworsdell"/>
    <n v="2.4"/>
    <n v="1.019803902718557"/>
    <s v="キュートアグレッション - Leaks From His Laptop"/>
    <s v="Tatsuya Kitani"/>
    <n v="2"/>
    <n v="2"/>
    <n v="1"/>
    <n v="3"/>
    <n v="4"/>
    <m/>
    <m/>
    <m/>
    <n v="2"/>
    <n v="1"/>
    <b v="0"/>
  </r>
  <r>
    <x v="57"/>
    <s v="samuelbattista"/>
    <n v="3.6"/>
    <n v="1.4966629547095767"/>
    <s v="Bezos I"/>
    <s v="Bo Burnham"/>
    <n v="5"/>
    <n v="4"/>
    <n v="3"/>
    <n v="1"/>
    <n v="5"/>
    <m/>
    <m/>
    <m/>
    <n v="4"/>
    <n v="1"/>
    <b v="0"/>
  </r>
  <r>
    <x v="57"/>
    <s v="currydestroyer27"/>
    <n v="4.2"/>
    <n v="0.9797958971132712"/>
    <s v="Galactic Mermaid"/>
    <s v="Will Stetson"/>
    <n v="3"/>
    <n v="5"/>
    <n v="5"/>
    <n v="5"/>
    <n v="3"/>
    <m/>
    <s v="Other"/>
    <s v="Acapella"/>
    <n v="5"/>
    <n v="1"/>
    <b v="0"/>
  </r>
  <r>
    <x v="58"/>
    <s v="alappatjoe"/>
    <n v="3.6"/>
    <n v="1.3564659966250536"/>
    <s v="Neva Play"/>
    <s v="Megan Thee Stallion, RM"/>
    <n v="1"/>
    <n v="4"/>
    <n v="4"/>
    <n v="4"/>
    <n v="5"/>
    <m/>
    <m/>
    <m/>
    <n v="4"/>
    <n v="1"/>
    <b v="0"/>
  </r>
  <r>
    <x v="58"/>
    <s v="danram"/>
    <n v="3.2"/>
    <n v="1.1661903789690602"/>
    <s v="Si Veo A Tu Mama"/>
    <s v="Bad Bunny"/>
    <n v="3"/>
    <n v="2"/>
    <n v="5"/>
    <n v="2"/>
    <n v="4"/>
    <m/>
    <s v="International"/>
    <s v="Latin Pop"/>
    <n v="3"/>
    <n v="1"/>
    <b v="0"/>
  </r>
  <r>
    <x v="58"/>
    <s v="loganworsdell"/>
    <n v="2.6"/>
    <n v="1.019803902718557"/>
    <s v="Goin Up"/>
    <s v="Deorro, DyCy"/>
    <n v="4"/>
    <n v="3"/>
    <n v="2"/>
    <n v="3"/>
    <n v="1"/>
    <m/>
    <m/>
    <m/>
    <n v="2"/>
    <n v="1"/>
    <b v="0"/>
  </r>
  <r>
    <x v="58"/>
    <s v="samuelbattista"/>
    <n v="1.4"/>
    <n v="0.4898979485566356"/>
    <s v="Sunday Morning "/>
    <s v="Maroon 5"/>
    <n v="2"/>
    <n v="1"/>
    <n v="1"/>
    <n v="1"/>
    <n v="2"/>
    <m/>
    <m/>
    <m/>
    <n v="1"/>
    <n v="1"/>
    <b v="1"/>
  </r>
  <r>
    <x v="58"/>
    <s v="currydestroyer27"/>
    <n v="4.2"/>
    <n v="0.9797958971132712"/>
    <s v="Breathe"/>
    <s v="Yeat"/>
    <n v="5"/>
    <n v="5"/>
    <n v="3"/>
    <n v="5"/>
    <n v="3"/>
    <m/>
    <s v="Rap"/>
    <s v="Alternative Rap"/>
    <n v="5"/>
    <n v="1"/>
    <b v="0"/>
  </r>
  <r>
    <x v="59"/>
    <s v="alappatjoe"/>
    <n v="2.2000000000000002"/>
    <n v="1.4696938456699069"/>
    <s v="m.A.A.d city"/>
    <s v="Kendrick Lamar, MC Eiht"/>
    <n v="1"/>
    <n v="5"/>
    <n v="2"/>
    <n v="2"/>
    <n v="1"/>
    <m/>
    <m/>
    <m/>
    <n v="2"/>
    <n v="1"/>
    <b v="0"/>
  </r>
  <r>
    <x v="59"/>
    <s v="danram"/>
    <n v="4.2"/>
    <n v="1.6"/>
    <s v="Marsupial Superstars"/>
    <s v="SahBabii, T3"/>
    <n v="5"/>
    <n v="1"/>
    <n v="5"/>
    <n v="5"/>
    <n v="5"/>
    <m/>
    <s v="Rap"/>
    <s v="Rap"/>
    <n v="5"/>
    <n v="1"/>
    <b v="0"/>
  </r>
  <r>
    <x v="59"/>
    <s v="loganworsdell"/>
    <n v="3.4"/>
    <n v="0.8"/>
    <s v="Anime World"/>
    <s v="SahBabii"/>
    <n v="4"/>
    <n v="2"/>
    <n v="3"/>
    <n v="4"/>
    <n v="4"/>
    <m/>
    <m/>
    <m/>
    <n v="4"/>
    <n v="1"/>
    <b v="0"/>
  </r>
  <r>
    <x v="59"/>
    <s v="samuelbattista"/>
    <n v="2"/>
    <n v="0.89442719099991586"/>
    <s v="Alright"/>
    <s v="Kendrick Lamar"/>
    <n v="2"/>
    <n v="3"/>
    <n v="1"/>
    <n v="1"/>
    <n v="3"/>
    <m/>
    <m/>
    <m/>
    <n v="1"/>
    <n v="1"/>
    <b v="1"/>
  </r>
  <r>
    <x v="59"/>
    <s v="currydestroyer27"/>
    <n v="3.2"/>
    <n v="0.74833147735478833"/>
    <s v="Ishq Wala Love"/>
    <s v="Vishal-Shekhar, Salim Merchant, Neeti Mohan,  Shekhar Ravjiani"/>
    <n v="3"/>
    <n v="4"/>
    <n v="4"/>
    <n v="3"/>
    <n v="2"/>
    <m/>
    <s v="International"/>
    <s v="Pop"/>
    <n v="3"/>
    <n v="1"/>
    <b v="0"/>
  </r>
  <r>
    <x v="60"/>
    <s v="alappatjoe"/>
    <n v="3"/>
    <n v="1.6733200530681511"/>
    <s v="Borderline"/>
    <s v="Tove Lo"/>
    <n v="1"/>
    <n v="4"/>
    <n v="4"/>
    <n v="5"/>
    <n v="1"/>
    <m/>
    <m/>
    <m/>
    <n v="3"/>
    <n v="1"/>
    <b v="0"/>
  </r>
  <r>
    <x v="60"/>
    <s v="danram"/>
    <n v="2"/>
    <n v="0.63245553203367588"/>
    <s v="Leave Before You Love Me"/>
    <s v="Marshmello, Jonas Brothers"/>
    <n v="2"/>
    <n v="1"/>
    <n v="3"/>
    <n v="2"/>
    <n v="2"/>
    <m/>
    <s v="Pop"/>
    <s v="Pop"/>
    <n v="1"/>
    <n v="1"/>
    <b v="1"/>
  </r>
  <r>
    <x v="60"/>
    <s v="loganworsdell"/>
    <n v="3.2"/>
    <n v="1.6"/>
    <s v="VEINS"/>
    <s v="WesGhost"/>
    <n v="5"/>
    <n v="2"/>
    <n v="1"/>
    <n v="3"/>
    <n v="5"/>
    <m/>
    <m/>
    <m/>
    <n v="4"/>
    <n v="1"/>
    <b v="0"/>
  </r>
  <r>
    <x v="60"/>
    <s v="samuelbattista"/>
    <n v="3"/>
    <n v="1.4142135623730951"/>
    <s v="Disco Man"/>
    <s v="Remi Wolf"/>
    <n v="3"/>
    <n v="5"/>
    <n v="2"/>
    <n v="1"/>
    <n v="4"/>
    <m/>
    <m/>
    <m/>
    <n v="2"/>
    <n v="1"/>
    <b v="0"/>
  </r>
  <r>
    <x v="60"/>
    <s v="currydestroyer27"/>
    <n v="3.8"/>
    <n v="0.74833147735478833"/>
    <s v="Skeleton Boy"/>
    <s v="Friendly Fires"/>
    <n v="4"/>
    <n v="3"/>
    <n v="5"/>
    <n v="4"/>
    <n v="3"/>
    <m/>
    <s v="Pop"/>
    <s v="Pop"/>
    <n v="5"/>
    <n v="1"/>
    <b v="0"/>
  </r>
  <r>
    <x v="61"/>
    <s v="alappatjoe"/>
    <n v="2.2000000000000002"/>
    <n v="0.9797958971132712"/>
    <s v="Nobody's Business"/>
    <s v="Rihanna, Chris Brown"/>
    <n v="1"/>
    <n v="1"/>
    <n v="3"/>
    <n v="3"/>
    <n v="3"/>
    <m/>
    <m/>
    <m/>
    <n v="1"/>
    <n v="1"/>
    <b v="1"/>
  </r>
  <r>
    <x v="61"/>
    <s v="danram"/>
    <n v="3.6"/>
    <n v="1.3564659966250536"/>
    <s v="fukumean"/>
    <s v="Gunna"/>
    <n v="5"/>
    <n v="2"/>
    <n v="4"/>
    <n v="5"/>
    <n v="2"/>
    <m/>
    <s v="Rap"/>
    <s v="Rap"/>
    <n v="4"/>
    <n v="1"/>
    <b v="0"/>
  </r>
  <r>
    <x v="61"/>
    <s v="loganworsdell"/>
    <n v="2.8"/>
    <n v="1.1661903789690602"/>
    <s v="I Am Happy"/>
    <s v="AWOLNATION, Del The Funky Homosapien"/>
    <n v="3"/>
    <n v="4"/>
    <n v="1"/>
    <n v="2"/>
    <n v="4"/>
    <m/>
    <m/>
    <m/>
    <n v="3"/>
    <n v="1"/>
    <b v="0"/>
  </r>
  <r>
    <x v="61"/>
    <s v="samuelbattista"/>
    <n v="2.6"/>
    <n v="1.3564659966250536"/>
    <s v="What about me?"/>
    <s v="Snarky Puppy"/>
    <n v="2"/>
    <n v="3"/>
    <n v="2"/>
    <n v="1"/>
    <n v="5"/>
    <m/>
    <s v="Jazz"/>
    <s v="Fusion"/>
    <n v="2"/>
    <n v="1"/>
    <b v="0"/>
  </r>
  <r>
    <x v="61"/>
    <s v="currydestroyer27"/>
    <n v="3.8"/>
    <n v="1.4696938456699069"/>
    <s v="Wild Boy"/>
    <s v="MA55IVE THE RAMPAGE"/>
    <n v="4"/>
    <n v="5"/>
    <n v="5"/>
    <n v="4"/>
    <n v="1"/>
    <m/>
    <s v="International"/>
    <s v="J-Pop"/>
    <n v="5"/>
    <n v="1"/>
    <b v="0"/>
  </r>
  <r>
    <x v="62"/>
    <s v="alappatjoe"/>
    <n v="2.8"/>
    <n v="1.3266499161421599"/>
    <s v="SOS"/>
    <s v="FIFTY FIFTY"/>
    <n v="1"/>
    <n v="5"/>
    <n v="2"/>
    <n v="3"/>
    <n v="3"/>
    <m/>
    <m/>
    <m/>
    <n v="3"/>
    <n v="1"/>
    <b v="0"/>
  </r>
  <r>
    <x v="62"/>
    <s v="danram"/>
    <n v="3.8"/>
    <n v="1.1661903789690602"/>
    <s v="Dancing In The Flames"/>
    <s v="The Weeknd"/>
    <n v="3"/>
    <n v="2"/>
    <n v="4"/>
    <n v="5"/>
    <n v="5"/>
    <m/>
    <m/>
    <m/>
    <n v="5"/>
    <n v="1"/>
    <b v="0"/>
  </r>
  <r>
    <x v="62"/>
    <s v="loganworsdell"/>
    <n v="2.8"/>
    <n v="1.1661903789690602"/>
    <s v="cloud 11"/>
    <s v="thủy"/>
    <n v="2"/>
    <n v="3"/>
    <n v="1"/>
    <n v="4"/>
    <n v="4"/>
    <m/>
    <m/>
    <m/>
    <n v="1"/>
    <n v="1"/>
    <b v="1"/>
  </r>
  <r>
    <x v="62"/>
    <s v="samuelbattista"/>
    <n v="2.8"/>
    <n v="1.1661903789690602"/>
    <s v="the perfect pair"/>
    <s v="beabadoobee"/>
    <n v="4"/>
    <n v="4"/>
    <n v="3"/>
    <n v="1"/>
    <n v="2"/>
    <m/>
    <m/>
    <m/>
    <n v="1"/>
    <n v="2"/>
    <b v="0"/>
  </r>
  <r>
    <x v="62"/>
    <s v="currydestroyer27"/>
    <n v="2.8"/>
    <n v="1.833030277982336"/>
    <s v="Love You Like A Love Song"/>
    <s v="Selena Gomez &amp; The Scene"/>
    <n v="5"/>
    <n v="1"/>
    <n v="5"/>
    <n v="2"/>
    <n v="1"/>
    <m/>
    <s v="Pop"/>
    <s v="Dance-Pop"/>
    <n v="4"/>
    <n v="1"/>
    <b v="0"/>
  </r>
  <r>
    <x v="63"/>
    <s v="alappatjoe"/>
    <n v="4"/>
    <n v="1.5491933384829668"/>
    <s v="NA"/>
    <s v="HWASA"/>
    <n v="1"/>
    <n v="5"/>
    <n v="4"/>
    <n v="5"/>
    <n v="5"/>
    <m/>
    <m/>
    <m/>
    <n v="5"/>
    <n v="1"/>
    <b v="0"/>
  </r>
  <r>
    <x v="63"/>
    <s v="danram"/>
    <n v="2.8"/>
    <n v="1.1661903789690602"/>
    <s v="Nunca Es Suficiente"/>
    <s v="Los Angeles Azules, Natalia Lafourcade"/>
    <n v="3"/>
    <n v="2"/>
    <n v="5"/>
    <n v="2"/>
    <n v="2"/>
    <m/>
    <m/>
    <m/>
    <n v="3"/>
    <n v="1"/>
    <b v="0"/>
  </r>
  <r>
    <x v="63"/>
    <s v="loganworsdell"/>
    <n v="2.8"/>
    <n v="0.74833147735478833"/>
    <s v="WIN OR LOSE"/>
    <s v="Kid Cudi, Chip Tha Ripper"/>
    <n v="2"/>
    <n v="3"/>
    <n v="2"/>
    <n v="3"/>
    <n v="4"/>
    <m/>
    <m/>
    <m/>
    <n v="2"/>
    <n v="1"/>
    <b v="0"/>
  </r>
  <r>
    <x v="63"/>
    <s v="samuelbattista"/>
    <n v="2.2000000000000002"/>
    <n v="1.6"/>
    <s v="Teenage Dirtbag"/>
    <s v="Wheatus"/>
    <n v="5"/>
    <n v="1"/>
    <n v="1"/>
    <n v="1"/>
    <n v="3"/>
    <m/>
    <m/>
    <m/>
    <n v="1"/>
    <n v="1"/>
    <b v="1"/>
  </r>
  <r>
    <x v="63"/>
    <s v="currydestroyer27"/>
    <n v="3.2"/>
    <n v="1.1661903789690602"/>
    <s v="Hymn for the Weekend"/>
    <s v="Coldplay"/>
    <n v="4"/>
    <n v="4"/>
    <n v="3"/>
    <n v="4"/>
    <n v="1"/>
    <m/>
    <s v="R&amp;B"/>
    <s v="Alternative R&amp;B"/>
    <n v="4"/>
    <n v="1"/>
    <b v="0"/>
  </r>
  <r>
    <x v="64"/>
    <s v="alappatjoe"/>
    <n v="3"/>
    <n v="1.4142135623730951"/>
    <s v="The Door"/>
    <s v="Teddy Swims"/>
    <n v="1"/>
    <n v="5"/>
    <n v="2"/>
    <n v="3"/>
    <n v="4"/>
    <m/>
    <m/>
    <m/>
    <n v="3"/>
    <n v="1"/>
    <b v="0"/>
  </r>
  <r>
    <x v="64"/>
    <s v="danram"/>
    <n v="3.6"/>
    <n v="1.019803902718557"/>
    <s v="On Melancholy Hill"/>
    <s v="Gorillaz"/>
    <n v="4"/>
    <n v="3"/>
    <n v="4"/>
    <n v="2"/>
    <n v="5"/>
    <m/>
    <m/>
    <m/>
    <n v="5"/>
    <n v="1"/>
    <b v="0"/>
  </r>
  <r>
    <x v="64"/>
    <s v="loganworsdell"/>
    <n v="2.8"/>
    <n v="1.3266499161421599"/>
    <s v="Clarity"/>
    <s v="24kGoldn"/>
    <n v="3"/>
    <n v="2"/>
    <n v="1"/>
    <n v="5"/>
    <n v="3"/>
    <m/>
    <m/>
    <m/>
    <n v="2"/>
    <n v="1"/>
    <b v="0"/>
  </r>
  <r>
    <x v="64"/>
    <s v="samuelbattista"/>
    <n v="2.2000000000000002"/>
    <n v="1.4696938456699069"/>
    <s v="Juna"/>
    <s v="Clairo"/>
    <n v="2"/>
    <n v="1"/>
    <n v="5"/>
    <n v="1"/>
    <n v="2"/>
    <m/>
    <m/>
    <m/>
    <n v="1"/>
    <n v="1"/>
    <b v="1"/>
  </r>
  <r>
    <x v="64"/>
    <s v="currydestroyer27"/>
    <n v="3.4"/>
    <n v="1.3564659966250536"/>
    <s v="Son Of A Gun"/>
    <s v="Key Glock"/>
    <n v="5"/>
    <n v="4"/>
    <n v="3"/>
    <n v="4"/>
    <n v="1"/>
    <m/>
    <s v="Rap"/>
    <s v="Memphis Rap"/>
    <n v="4"/>
    <n v="1"/>
    <b v="0"/>
  </r>
  <r>
    <x v="65"/>
    <s v="alappatjoe"/>
    <n v="3.8"/>
    <n v="1.6"/>
    <s v="Don't Stop Believin'"/>
    <s v="Journey"/>
    <n v="1"/>
    <n v="5"/>
    <n v="3"/>
    <n v="5"/>
    <n v="5"/>
    <m/>
    <m/>
    <m/>
    <n v="5"/>
    <n v="1"/>
    <b v="0"/>
  </r>
  <r>
    <x v="65"/>
    <s v="danram"/>
    <n v="3.4"/>
    <n v="1.6248076809271921"/>
    <s v="My Way"/>
    <s v="Frank Sinatra"/>
    <n v="5"/>
    <n v="1"/>
    <n v="5"/>
    <n v="4"/>
    <n v="2"/>
    <m/>
    <m/>
    <m/>
    <n v="4"/>
    <n v="1"/>
    <b v="0"/>
  </r>
  <r>
    <x v="65"/>
    <s v="loganworsdell"/>
    <n v="3"/>
    <n v="1.0954451150103321"/>
    <s v="I Write Sins Not Tragedies"/>
    <s v="Panic! At The Disco"/>
    <n v="3"/>
    <n v="4"/>
    <n v="1"/>
    <n v="3"/>
    <n v="4"/>
    <m/>
    <m/>
    <m/>
    <n v="2"/>
    <n v="1"/>
    <b v="0"/>
  </r>
  <r>
    <x v="65"/>
    <s v="samuelbattista"/>
    <n v="3"/>
    <n v="1.0954451150103321"/>
    <s v="Your Man"/>
    <s v="Josh Turner"/>
    <n v="4"/>
    <n v="3"/>
    <n v="4"/>
    <n v="1"/>
    <n v="3"/>
    <m/>
    <m/>
    <m/>
    <n v="2"/>
    <n v="1"/>
    <b v="0"/>
  </r>
  <r>
    <x v="65"/>
    <s v="currydestroyer27"/>
    <n v="1.8"/>
    <n v="0.4"/>
    <s v="Kiss Me Thru The Phone"/>
    <s v="Soulja Boy, Sammie"/>
    <n v="2"/>
    <n v="2"/>
    <n v="2"/>
    <n v="2"/>
    <n v="1"/>
    <m/>
    <s v="R&amp;B"/>
    <s v="Southern Rap"/>
    <n v="1"/>
    <n v="1"/>
    <b v="1"/>
  </r>
  <r>
    <x v="66"/>
    <s v="alappatjoe"/>
    <n v="3.8"/>
    <n v="1.4696938456699069"/>
    <s v="C'est La Vie"/>
    <s v="Yung Gravy, bbno$, Rich Brian"/>
    <n v="1"/>
    <n v="5"/>
    <n v="5"/>
    <n v="4"/>
    <n v="4"/>
    <m/>
    <m/>
    <m/>
    <n v="5"/>
    <n v="1"/>
    <b v="0"/>
  </r>
  <r>
    <x v="66"/>
    <s v="danram"/>
    <n v="2.2000000000000002"/>
    <n v="0.74833147735478833"/>
    <s v="Someday"/>
    <s v="The Strokes"/>
    <n v="3"/>
    <n v="1"/>
    <n v="2"/>
    <n v="2"/>
    <n v="3"/>
    <m/>
    <m/>
    <m/>
    <n v="1"/>
    <n v="1"/>
    <b v="1"/>
  </r>
  <r>
    <x v="66"/>
    <s v="loganworsdell"/>
    <n v="2.8"/>
    <n v="1.4696938456699069"/>
    <s v="sex money feelings die"/>
    <s v="Lykke Li"/>
    <n v="4"/>
    <n v="2"/>
    <n v="1"/>
    <n v="5"/>
    <n v="2"/>
    <m/>
    <s v="Pop"/>
    <s v="Art Pop"/>
    <n v="2"/>
    <n v="1"/>
    <b v="0"/>
  </r>
  <r>
    <x v="66"/>
    <s v="samuelbattista"/>
    <n v="3"/>
    <n v="1.4142135623730951"/>
    <s v="If I Ain't Got You"/>
    <s v="Alicia Keys"/>
    <n v="2"/>
    <n v="3"/>
    <n v="4"/>
    <n v="1"/>
    <n v="5"/>
    <m/>
    <m/>
    <m/>
    <n v="3"/>
    <n v="1"/>
    <b v="0"/>
  </r>
  <r>
    <x v="66"/>
    <s v="currydestroyer27"/>
    <n v="3.2"/>
    <n v="1.3266499161421599"/>
    <s v="Hate Bein' Sober"/>
    <s v="Chief Keef, 50 Cent, Wiz Khalifa"/>
    <n v="5"/>
    <n v="4"/>
    <n v="3"/>
    <n v="3"/>
    <n v="1"/>
    <m/>
    <s v="Rap"/>
    <s v="Trap"/>
    <n v="4"/>
    <n v="1"/>
    <b v="0"/>
  </r>
  <r>
    <x v="67"/>
    <s v="alappatjoe"/>
    <n v="2.4"/>
    <n v="1.019803902718557"/>
    <s v="Otonoke"/>
    <s v="Creepy Nuts"/>
    <n v="1"/>
    <n v="2"/>
    <n v="3"/>
    <n v="4"/>
    <n v="2"/>
    <m/>
    <m/>
    <m/>
    <n v="3"/>
    <n v="1"/>
    <b v="0"/>
  </r>
  <r>
    <x v="67"/>
    <s v="danram"/>
    <n v="4.8"/>
    <n v="0.39999999999999997"/>
    <s v="Tomioka"/>
    <s v="Jay Eazy"/>
    <n v="5"/>
    <n v="4"/>
    <n v="5"/>
    <n v="5"/>
    <n v="5"/>
    <m/>
    <m/>
    <m/>
    <n v="5"/>
    <n v="1"/>
    <b v="0"/>
  </r>
  <r>
    <x v="67"/>
    <s v="loganworsdell"/>
    <n v="2.2000000000000002"/>
    <n v="1.1661903789690602"/>
    <s v="Ballad of a Badman"/>
    <s v="Tory Lanez"/>
    <n v="2"/>
    <n v="3"/>
    <n v="1"/>
    <n v="1"/>
    <n v="4"/>
    <m/>
    <s v="Hip-Hop"/>
    <s v="Meliodic Rap"/>
    <n v="2"/>
    <n v="1"/>
    <b v="0"/>
  </r>
  <r>
    <x v="67"/>
    <s v="samuelbattista"/>
    <n v="3.8"/>
    <n v="0.74833147735478833"/>
    <s v="4K"/>
    <s v="El Alfa, Darell, Noriel"/>
    <n v="4"/>
    <n v="5"/>
    <n v="4"/>
    <n v="3"/>
    <n v="3"/>
    <m/>
    <m/>
    <m/>
    <n v="4"/>
    <n v="1"/>
    <b v="0"/>
  </r>
  <r>
    <x v="67"/>
    <s v="currydestroyer27"/>
    <n v="1.8"/>
    <n v="0.74833147735478833"/>
    <s v="What You Know"/>
    <s v="Two Door Cinema Club"/>
    <n v="3"/>
    <n v="1"/>
    <n v="2"/>
    <n v="2"/>
    <n v="1"/>
    <m/>
    <s v="Rock"/>
    <s v="Indie-Rock"/>
    <n v="1"/>
    <n v="1"/>
    <b v="1"/>
  </r>
  <r>
    <x v="68"/>
    <s v="alappatjoe"/>
    <n v="3.2"/>
    <n v="1.3266499161421599"/>
    <s v="TAIDADA"/>
    <s v="ZUTOMAYO"/>
    <n v="1"/>
    <n v="5"/>
    <n v="4"/>
    <n v="3"/>
    <n v="3"/>
    <m/>
    <m/>
    <m/>
    <n v="3"/>
    <n v="1"/>
    <b v="0"/>
  </r>
  <r>
    <x v="68"/>
    <s v="danram"/>
    <n v="1.8"/>
    <n v="0.74833147735478833"/>
    <s v="遙か彼方"/>
    <s v="Asian Kung-Fu Generation"/>
    <n v="3"/>
    <n v="1"/>
    <n v="1"/>
    <n v="2"/>
    <n v="2"/>
    <m/>
    <m/>
    <m/>
    <n v="1"/>
    <n v="1"/>
    <b v="1"/>
  </r>
  <r>
    <x v="68"/>
    <s v="loganworsdell"/>
    <n v="3.8"/>
    <n v="0.9797958971132712"/>
    <s v="Indica"/>
    <s v="Son Kuma"/>
    <n v="4"/>
    <n v="4"/>
    <n v="2"/>
    <n v="4"/>
    <n v="5"/>
    <m/>
    <m/>
    <m/>
    <n v="5"/>
    <n v="1"/>
    <b v="0"/>
  </r>
  <r>
    <x v="68"/>
    <s v="samuelbattista"/>
    <n v="3.2"/>
    <n v="1.3266499161421599"/>
    <s v="Better Days"/>
    <s v="Currents"/>
    <n v="5"/>
    <n v="3"/>
    <n v="3"/>
    <n v="1"/>
    <n v="4"/>
    <m/>
    <m/>
    <m/>
    <n v="3"/>
    <n v="1"/>
    <b v="0"/>
  </r>
  <r>
    <x v="68"/>
    <s v="currydestroyer27"/>
    <n v="3"/>
    <n v="1.6733200530681511"/>
    <s v="Pray"/>
    <s v="Tommy heavenly6"/>
    <n v="2"/>
    <n v="2"/>
    <n v="5"/>
    <n v="5"/>
    <n v="1"/>
    <m/>
    <s v="International"/>
    <s v="J-Pop"/>
    <n v="2"/>
    <n v="1"/>
    <b v="0"/>
  </r>
  <r>
    <x v="69"/>
    <s v="alappatjoe"/>
    <n v="3.2"/>
    <n v="1.6"/>
    <s v="Kitsch"/>
    <s v="Namco Sounds"/>
    <n v="1"/>
    <n v="2"/>
    <n v="5"/>
    <n v="5"/>
    <n v="3"/>
    <m/>
    <m/>
    <m/>
    <n v="5"/>
    <n v="1"/>
    <b v="0"/>
  </r>
  <r>
    <x v="69"/>
    <s v="danram"/>
    <n v="3"/>
    <n v="1.2649110640673518"/>
    <s v="Veridis Quo"/>
    <s v="Daft Punk"/>
    <n v="2"/>
    <n v="1"/>
    <n v="4"/>
    <n v="4"/>
    <n v="4"/>
    <m/>
    <m/>
    <m/>
    <n v="2"/>
    <n v="1"/>
    <b v="0"/>
  </r>
  <r>
    <x v="69"/>
    <s v="loganworsdell"/>
    <n v="3"/>
    <n v="1.4142135623730951"/>
    <s v="Stress"/>
    <s v="Justice"/>
    <n v="3"/>
    <n v="4"/>
    <n v="1"/>
    <n v="2"/>
    <n v="5"/>
    <m/>
    <m/>
    <m/>
    <n v="3"/>
    <n v="1"/>
    <b v="0"/>
  </r>
  <r>
    <x v="69"/>
    <s v="samuelbattista"/>
    <n v="2.6"/>
    <n v="1.3564659966250536"/>
    <s v="Noddin'"/>
    <s v="Millennial Trash"/>
    <n v="5"/>
    <n v="3"/>
    <n v="2"/>
    <n v="1"/>
    <n v="2"/>
    <m/>
    <m/>
    <m/>
    <n v="1"/>
    <n v="1"/>
    <b v="1"/>
  </r>
  <r>
    <x v="69"/>
    <s v="currydestroyer27"/>
    <n v="3.2"/>
    <n v="1.3266499161421599"/>
    <s v="Whisper Whisper Whisper"/>
    <s v="Azari"/>
    <n v="4"/>
    <n v="5"/>
    <n v="3"/>
    <n v="3"/>
    <n v="1"/>
    <m/>
    <s v="International"/>
    <s v="Vocaloid"/>
    <n v="4"/>
    <n v="1"/>
    <b v="0"/>
  </r>
  <r>
    <x v="70"/>
    <s v="alappatjoe"/>
    <n v="3.6"/>
    <n v="1.3564659966250536"/>
    <s v="Die With a Smile"/>
    <s v="Lady Gaga, Bruno Mars"/>
    <n v="1"/>
    <n v="4"/>
    <n v="5"/>
    <n v="4"/>
    <n v="4"/>
    <m/>
    <m/>
    <m/>
    <n v="5"/>
    <n v="1"/>
    <b v="0"/>
  </r>
  <r>
    <x v="70"/>
    <s v="danram"/>
    <n v="3.6"/>
    <n v="1.019803902718557"/>
    <n v="18"/>
    <s v="Kris Wu, Rich Brian, Trippie Redd, Baauer, Joji"/>
    <n v="4"/>
    <n v="2"/>
    <n v="4"/>
    <n v="5"/>
    <n v="3"/>
    <m/>
    <m/>
    <m/>
    <n v="4"/>
    <n v="1"/>
    <b v="0"/>
  </r>
  <r>
    <x v="70"/>
    <s v="loganworsdell"/>
    <n v="1.8"/>
    <n v="0.4"/>
    <s v="The Number You Have Dialed Is Not in Service"/>
    <s v="$uicideboy$"/>
    <n v="2"/>
    <n v="1"/>
    <n v="2"/>
    <n v="2"/>
    <n v="2"/>
    <m/>
    <m/>
    <m/>
    <n v="1"/>
    <n v="1"/>
    <b v="1"/>
  </r>
  <r>
    <x v="70"/>
    <s v="samuelbattista"/>
    <n v="3"/>
    <n v="1.7888543819998317"/>
    <s v="I Hate Everything About You"/>
    <s v="Three Days Grace"/>
    <n v="5"/>
    <n v="3"/>
    <n v="1"/>
    <n v="1"/>
    <n v="5"/>
    <m/>
    <m/>
    <m/>
    <n v="3"/>
    <n v="1"/>
    <b v="0"/>
  </r>
  <r>
    <x v="70"/>
    <s v="currydestroyer27"/>
    <n v="3"/>
    <n v="1.2649110640673518"/>
    <s v="Dreamcatcher"/>
    <s v="Metro Boomin, Swae Lee, Travis Scott"/>
    <n v="3"/>
    <n v="5"/>
    <n v="3"/>
    <n v="3"/>
    <n v="1"/>
    <m/>
    <s v="Rap"/>
    <s v="Trap"/>
    <n v="2"/>
    <n v="1"/>
    <b v="0"/>
  </r>
  <r>
    <x v="71"/>
    <s v="alappatjoe"/>
    <n v="3"/>
    <n v="1.4142135623730951"/>
    <s v="Moonlit Floor"/>
    <s v="LISA"/>
    <n v="1"/>
    <n v="2"/>
    <n v="3"/>
    <n v="5"/>
    <n v="4"/>
    <m/>
    <m/>
    <m/>
    <n v="4"/>
    <n v="1"/>
    <b v="0"/>
  </r>
  <r>
    <x v="71"/>
    <s v="danram"/>
    <n v="2.2000000000000002"/>
    <n v="1.1661903789690602"/>
    <s v="A Little Respect"/>
    <s v="Erasure"/>
    <n v="3"/>
    <n v="1"/>
    <n v="1"/>
    <n v="4"/>
    <n v="2"/>
    <m/>
    <m/>
    <m/>
    <n v="1"/>
    <n v="1"/>
    <b v="1"/>
  </r>
  <r>
    <x v="71"/>
    <s v="loganworsdell"/>
    <n v="3"/>
    <n v="0.63245553203367588"/>
    <s v="GUMMY"/>
    <s v="BROCKHAMPTON"/>
    <n v="4"/>
    <n v="3"/>
    <n v="2"/>
    <n v="3"/>
    <n v="3"/>
    <m/>
    <m/>
    <m/>
    <n v="3"/>
    <n v="1"/>
    <b v="0"/>
  </r>
  <r>
    <x v="71"/>
    <s v="samuelbattista"/>
    <n v="4.2"/>
    <n v="1.6"/>
    <s v="Blue Eyes Crying In The Rain"/>
    <s v="Willie Nelson"/>
    <n v="5"/>
    <n v="5"/>
    <n v="5"/>
    <n v="1"/>
    <n v="5"/>
    <m/>
    <m/>
    <m/>
    <n v="5"/>
    <n v="1"/>
    <b v="0"/>
  </r>
  <r>
    <x v="71"/>
    <s v="currydestroyer27"/>
    <n v="2.6"/>
    <n v="1.2"/>
    <s v="Familia"/>
    <s v="Nicki Minaj, Anuel AA, Bantu"/>
    <n v="2"/>
    <n v="4"/>
    <n v="4"/>
    <n v="2"/>
    <n v="1"/>
    <m/>
    <m/>
    <m/>
    <n v="2"/>
    <n v="1"/>
    <b v="0"/>
  </r>
  <r>
    <x v="72"/>
    <s v="alappatjoe"/>
    <n v="3.2"/>
    <n v="1.3266499161421599"/>
    <s v="Reweave"/>
    <s v="Konomi Suzuki"/>
    <n v="1"/>
    <n v="5"/>
    <n v="3"/>
    <n v="4"/>
    <n v="3"/>
    <m/>
    <m/>
    <m/>
    <n v="3"/>
    <n v="1"/>
    <b v="0"/>
  </r>
  <r>
    <x v="72"/>
    <s v="danram"/>
    <n v="3.8"/>
    <n v="1.4696938456699069"/>
    <s v="Love On"/>
    <s v="Selena Gomez"/>
    <n v="4"/>
    <n v="1"/>
    <n v="5"/>
    <n v="5"/>
    <n v="4"/>
    <m/>
    <m/>
    <m/>
    <n v="5"/>
    <n v="1"/>
    <b v="0"/>
  </r>
  <r>
    <x v="72"/>
    <s v="loganworsdell"/>
    <n v="2"/>
    <n v="0.63245553203367588"/>
    <s v="places to be"/>
    <s v="Fred again.., Anderson. Paak, CHIKA"/>
    <n v="2"/>
    <n v="2"/>
    <n v="1"/>
    <n v="3"/>
    <n v="2"/>
    <m/>
    <m/>
    <m/>
    <n v="1"/>
    <n v="1"/>
    <b v="1"/>
  </r>
  <r>
    <x v="72"/>
    <s v="samuelbattista"/>
    <n v="3.2"/>
    <n v="1.6"/>
    <s v="Creep"/>
    <s v="Radiohead"/>
    <n v="5"/>
    <n v="3"/>
    <n v="2"/>
    <n v="1"/>
    <n v="5"/>
    <m/>
    <m/>
    <m/>
    <n v="4"/>
    <n v="1"/>
    <b v="0"/>
  </r>
  <r>
    <x v="72"/>
    <s v="currydestroyer27"/>
    <n v="2.8"/>
    <n v="1.1661903789690602"/>
    <s v="Hyakki Yakou"/>
    <s v="Hello Sleepwalkers"/>
    <n v="3"/>
    <n v="4"/>
    <n v="4"/>
    <n v="2"/>
    <n v="1"/>
    <m/>
    <m/>
    <m/>
    <n v="2"/>
    <n v="1"/>
    <b v="0"/>
  </r>
  <r>
    <x v="73"/>
    <s v="alappatjoe"/>
    <n v="2.8"/>
    <n v="1.1661903789690602"/>
    <s v="Shake That (Remix)"/>
    <s v="Nate Dogg, Eminem, Obie Trice, Bobby Creekwater"/>
    <n v="1"/>
    <n v="4"/>
    <n v="2"/>
    <n v="4"/>
    <n v="3"/>
    <m/>
    <m/>
    <m/>
    <n v="3"/>
    <n v="1"/>
    <b v="0"/>
  </r>
  <r>
    <x v="73"/>
    <s v="danram"/>
    <n v="2.2000000000000002"/>
    <n v="0.74833147735478833"/>
    <s v="Mon Amour - Remix"/>
    <s v="zzoilo, Aitana"/>
    <n v="2"/>
    <n v="1"/>
    <n v="3"/>
    <n v="3"/>
    <n v="2"/>
    <m/>
    <m/>
    <m/>
    <n v="1"/>
    <n v="1"/>
    <b v="1"/>
  </r>
  <r>
    <x v="73"/>
    <s v="loganworsdell"/>
    <n v="4.2"/>
    <n v="1.1661903789690602"/>
    <s v="Thriller (Steve Aoki Midnight Hour Remix)"/>
    <s v="Michael Jackson, Steve Aoki"/>
    <n v="5"/>
    <n v="5"/>
    <n v="4"/>
    <n v="2"/>
    <n v="5"/>
    <m/>
    <m/>
    <m/>
    <n v="5"/>
    <n v="1"/>
    <b v="0"/>
  </r>
  <r>
    <x v="73"/>
    <s v="samuelbattista"/>
    <n v="2.4"/>
    <n v="1.3564659966250536"/>
    <s v="Pump It Louder"/>
    <s v="Tiesto, Black Eyed Peas"/>
    <n v="4"/>
    <n v="2"/>
    <n v="1"/>
    <n v="1"/>
    <n v="4"/>
    <m/>
    <m/>
    <m/>
    <n v="2"/>
    <n v="1"/>
    <b v="0"/>
  </r>
  <r>
    <x v="73"/>
    <s v="currydestroyer27"/>
    <n v="3.4"/>
    <n v="1.4966629547095767"/>
    <s v="Young Dumb &amp; Broke REMIX"/>
    <s v="Khalid, Rae Sremmurd, Lil Yachty"/>
    <n v="3"/>
    <n v="3"/>
    <n v="5"/>
    <n v="5"/>
    <n v="1"/>
    <m/>
    <m/>
    <m/>
    <n v="4"/>
    <n v="1"/>
    <b v="0"/>
  </r>
  <r>
    <x v="74"/>
    <s v="alappatjoe"/>
    <n v="4.5999999999999996"/>
    <n v="0.8"/>
    <s v="California Gurls"/>
    <s v="Katy Perry, Snoop Dog"/>
    <n v="3"/>
    <n v="5"/>
    <n v="5"/>
    <n v="5"/>
    <n v="5"/>
    <m/>
    <m/>
    <m/>
    <n v="5"/>
    <n v="1"/>
    <b v="0"/>
  </r>
  <r>
    <x v="74"/>
    <s v="danram"/>
    <n v="1.8"/>
    <n v="0.74833147735478833"/>
    <s v="QUE RICO CH**GAMOS"/>
    <s v="Rauw Alejandro"/>
    <n v="1"/>
    <n v="1"/>
    <n v="3"/>
    <n v="2"/>
    <n v="2"/>
    <m/>
    <m/>
    <m/>
    <n v="1"/>
    <n v="1"/>
    <b v="1"/>
  </r>
  <r>
    <x v="74"/>
    <s v="loganworsdell"/>
    <n v="3.6"/>
    <n v="0.8"/>
    <s v="Talk Talk featuring troye sivan"/>
    <s v="Charli xcx, Troye Sivan"/>
    <n v="5"/>
    <n v="3"/>
    <n v="4"/>
    <n v="3"/>
    <n v="3"/>
    <m/>
    <m/>
    <m/>
    <n v="4"/>
    <n v="1"/>
    <b v="0"/>
  </r>
  <r>
    <x v="74"/>
    <s v="samuelbattista"/>
    <n v="2"/>
    <n v="1.0954451150103321"/>
    <s v="Toro"/>
    <s v="Remi Wolf"/>
    <n v="2"/>
    <n v="2"/>
    <n v="1"/>
    <n v="1"/>
    <n v="4"/>
    <m/>
    <m/>
    <m/>
    <n v="2"/>
    <n v="1"/>
    <b v="0"/>
  </r>
  <r>
    <x v="74"/>
    <s v="currydestroyer27"/>
    <n v="3"/>
    <n v="1.2649110640673518"/>
    <s v="Lovin' Me"/>
    <s v="FIFTY FIFTY"/>
    <n v="4"/>
    <n v="4"/>
    <n v="2"/>
    <n v="4"/>
    <n v="1"/>
    <m/>
    <m/>
    <m/>
    <n v="3"/>
    <n v="1"/>
    <b v="0"/>
  </r>
  <r>
    <x v="75"/>
    <s v="alappatjoe"/>
    <n v="3.4"/>
    <n v="1.3564659966250536"/>
    <s v="Ventura Highway"/>
    <s v="America, George Martin"/>
    <n v="2"/>
    <n v="5"/>
    <n v="5"/>
    <n v="3"/>
    <n v="2"/>
    <m/>
    <m/>
    <m/>
    <n v="4"/>
    <n v="1"/>
    <b v="0"/>
  </r>
  <r>
    <x v="75"/>
    <s v="danram"/>
    <n v="3.6"/>
    <n v="1.019803902718557"/>
    <s v="Roxanne"/>
    <s v="The Police"/>
    <n v="3"/>
    <n v="4"/>
    <n v="4"/>
    <n v="2"/>
    <n v="5"/>
    <m/>
    <m/>
    <m/>
    <n v="5"/>
    <n v="1"/>
    <b v="0"/>
  </r>
  <r>
    <x v="75"/>
    <s v="loganworsdell"/>
    <n v="2.6"/>
    <n v="1.3564659966250536"/>
    <s v="Let's Groove"/>
    <s v="Earth, Wind &amp; Fire"/>
    <n v="1"/>
    <n v="3"/>
    <n v="1"/>
    <n v="4"/>
    <n v="4"/>
    <m/>
    <m/>
    <m/>
    <n v="1"/>
    <n v="1"/>
    <b v="1"/>
  </r>
  <r>
    <x v="75"/>
    <s v="samuelbattista"/>
    <n v="2.8"/>
    <n v="1.3266499161421599"/>
    <s v="Go Your Own Way"/>
    <s v="Fleetwood Mac"/>
    <n v="5"/>
    <n v="2"/>
    <n v="3"/>
    <n v="1"/>
    <n v="3"/>
    <m/>
    <m/>
    <m/>
    <n v="3"/>
    <n v="1"/>
    <b v="0"/>
  </r>
  <r>
    <x v="75"/>
    <s v="currydestroyer27"/>
    <n v="2.6"/>
    <n v="1.6248076809271921"/>
    <s v="What is Love"/>
    <s v="Haddaway"/>
    <n v="4"/>
    <n v="1"/>
    <n v="2"/>
    <n v="5"/>
    <n v="1"/>
    <m/>
    <m/>
    <m/>
    <n v="2"/>
    <n v="1"/>
    <b v="0"/>
  </r>
  <r>
    <x v="76"/>
    <s v="alappatjoe"/>
    <n v="3.4"/>
    <n v="1.3564659966250536"/>
    <s v="California Love"/>
    <s v="2Pac, Roger, Dr. Dre"/>
    <n v="1"/>
    <n v="4"/>
    <n v="5"/>
    <n v="4"/>
    <n v="3"/>
    <m/>
    <m/>
    <m/>
    <n v="4"/>
    <n v="1"/>
    <b v="0"/>
  </r>
  <r>
    <x v="76"/>
    <s v="danram"/>
    <n v="2.8"/>
    <n v="1.4696938456699069"/>
    <s v="King For A Day"/>
    <s v="Pierce The Veil, Kellin Quinn"/>
    <n v="5"/>
    <n v="2"/>
    <n v="1"/>
    <n v="2"/>
    <n v="4"/>
    <m/>
    <m/>
    <m/>
    <n v="2"/>
    <n v="1"/>
    <b v="0"/>
  </r>
  <r>
    <x v="76"/>
    <s v="loganworsdell"/>
    <n v="3.2"/>
    <n v="0.9797958971132712"/>
    <s v="Alien Boy"/>
    <s v="Oliver Tree"/>
    <n v="2"/>
    <n v="3"/>
    <n v="3"/>
    <n v="3"/>
    <n v="5"/>
    <m/>
    <m/>
    <m/>
    <n v="3"/>
    <n v="1"/>
    <b v="0"/>
  </r>
  <r>
    <x v="76"/>
    <s v="samuelbattista"/>
    <n v="2"/>
    <n v="1.0954451150103321"/>
    <s v="Bring Me To Life"/>
    <s v="Evanescence"/>
    <n v="4"/>
    <n v="1"/>
    <n v="2"/>
    <n v="1"/>
    <n v="2"/>
    <m/>
    <m/>
    <m/>
    <n v="1"/>
    <n v="1"/>
    <b v="1"/>
  </r>
  <r>
    <x v="76"/>
    <s v="currydestroyer27"/>
    <n v="3.6"/>
    <n v="1.4966629547095767"/>
    <s v="Dream On"/>
    <s v="Aerosmith"/>
    <n v="3"/>
    <n v="5"/>
    <n v="4"/>
    <n v="5"/>
    <n v="1"/>
    <m/>
    <m/>
    <m/>
    <n v="5"/>
    <n v="1"/>
    <b v="0"/>
  </r>
  <r>
    <x v="77"/>
    <s v="alappatjoe"/>
    <n v="3"/>
    <n v="1.6733200530681511"/>
    <s v="Hollywood Tonight"/>
    <s v="Michael Jackson"/>
    <n v="1"/>
    <n v="5"/>
    <n v="2"/>
    <n v="5"/>
    <n v="2"/>
    <m/>
    <m/>
    <m/>
    <n v="3"/>
    <n v="1"/>
    <b v="0"/>
  </r>
  <r>
    <x v="77"/>
    <s v="danram"/>
    <n v="1.6"/>
    <n v="0.8"/>
    <s v="P.Y.T.(Pretty Young Thing)"/>
    <s v="Michael Jackson"/>
    <n v="2"/>
    <n v="1"/>
    <n v="1"/>
    <n v="1"/>
    <n v="3"/>
    <m/>
    <m/>
    <m/>
    <n v="1"/>
    <n v="1"/>
    <b v="1"/>
  </r>
  <r>
    <x v="77"/>
    <s v="loganworsdell"/>
    <n v="3.8"/>
    <n v="0.74833147735478833"/>
    <s v="Behind Barz - Bonus"/>
    <s v="Drake"/>
    <n v="5"/>
    <n v="4"/>
    <n v="3"/>
    <n v="3"/>
    <n v="4"/>
    <m/>
    <m/>
    <m/>
    <n v="5"/>
    <n v="1"/>
    <b v="0"/>
  </r>
  <r>
    <x v="77"/>
    <s v="samuelbattista"/>
    <n v="3.6"/>
    <n v="1.019803902718557"/>
    <s v="Don't Matter To Me"/>
    <s v="Drake, Micheal Jackson"/>
    <n v="4"/>
    <n v="3"/>
    <n v="4"/>
    <n v="2"/>
    <n v="5"/>
    <m/>
    <m/>
    <m/>
    <n v="4"/>
    <n v="1"/>
    <b v="0"/>
  </r>
  <r>
    <x v="77"/>
    <s v="currydestroyer27"/>
    <n v="3"/>
    <n v="1.4142135623730951"/>
    <s v="Satisfy You"/>
    <s v="Diddy, R Kelly"/>
    <n v="3"/>
    <n v="2"/>
    <n v="5"/>
    <n v="4"/>
    <n v="1"/>
    <m/>
    <m/>
    <m/>
    <n v="2"/>
    <n v="1"/>
    <b v="0"/>
  </r>
  <r>
    <x v="78"/>
    <s v="alappatjoe"/>
    <n v="2"/>
    <n v="1.0954451150103321"/>
    <s v="Homecoming"/>
    <s v="Kanye West"/>
    <n v="1"/>
    <n v="1"/>
    <n v="2"/>
    <n v="2"/>
    <n v="4"/>
    <m/>
    <m/>
    <m/>
    <n v="1"/>
    <n v="1"/>
    <b v="1"/>
  </r>
  <r>
    <x v="78"/>
    <s v="danram"/>
    <n v="3.6"/>
    <n v="1.019803902718557"/>
    <s v="ANTES QUE SE ACABE"/>
    <s v="Bad Bunny"/>
    <n v="3"/>
    <n v="2"/>
    <n v="4"/>
    <n v="4"/>
    <n v="5"/>
    <m/>
    <m/>
    <m/>
    <n v="5"/>
    <n v="1"/>
    <b v="0"/>
  </r>
  <r>
    <x v="78"/>
    <s v="loganworsdell"/>
    <n v="3.2"/>
    <n v="0.9797958971132712"/>
    <s v="Skinny Dippin in the Deep End"/>
    <s v="Zak Waters"/>
    <n v="2"/>
    <n v="3"/>
    <n v="3"/>
    <n v="5"/>
    <n v="3"/>
    <m/>
    <m/>
    <m/>
    <n v="3"/>
    <n v="1"/>
    <b v="0"/>
  </r>
  <r>
    <x v="78"/>
    <s v="samuelbattista"/>
    <n v="2.8"/>
    <n v="1.833030277982336"/>
    <s v="The Emptiness Machine"/>
    <s v="Linkin Park"/>
    <n v="5"/>
    <n v="5"/>
    <n v="1"/>
    <n v="1"/>
    <n v="2"/>
    <m/>
    <m/>
    <m/>
    <n v="2"/>
    <n v="1"/>
    <b v="0"/>
  </r>
  <r>
    <x v="78"/>
    <s v="currydestroyer27"/>
    <n v="3.4"/>
    <n v="1.3564659966250536"/>
    <s v="I Was Made For Lovin' You"/>
    <s v="YUNGBLUD"/>
    <n v="4"/>
    <n v="4"/>
    <n v="5"/>
    <n v="3"/>
    <n v="1"/>
    <m/>
    <m/>
    <m/>
    <n v="4"/>
    <n v="1"/>
    <b v="0"/>
  </r>
  <r>
    <x v="79"/>
    <s v="alappatjoe"/>
    <n v="2.8"/>
    <n v="1.1661903789690602"/>
    <s v="Disease"/>
    <s v="Lady Gaga"/>
    <n v="1"/>
    <n v="4"/>
    <n v="3"/>
    <n v="4"/>
    <n v="2"/>
    <m/>
    <m/>
    <m/>
    <n v="3"/>
    <n v="1"/>
    <b v="0"/>
  </r>
  <r>
    <x v="79"/>
    <s v="danram"/>
    <n v="3.6"/>
    <n v="1.019803902718557"/>
    <s v="Apartment"/>
    <s v="Modern Baseball"/>
    <n v="4"/>
    <n v="3"/>
    <n v="4"/>
    <n v="2"/>
    <n v="5"/>
    <m/>
    <m/>
    <m/>
    <n v="5"/>
    <n v="1"/>
    <b v="0"/>
  </r>
  <r>
    <x v="79"/>
    <s v="loganworsdell"/>
    <n v="2.6"/>
    <n v="1.4966629547095767"/>
    <s v="Psychic Attack"/>
    <s v="Machine Girl"/>
    <n v="5"/>
    <n v="1"/>
    <n v="1"/>
    <n v="3"/>
    <n v="3"/>
    <m/>
    <m/>
    <m/>
    <n v="2"/>
    <n v="1"/>
    <b v="0"/>
  </r>
  <r>
    <x v="79"/>
    <s v="samuelbattista"/>
    <n v="3.4"/>
    <n v="1.6248076809271921"/>
    <s v="Watcha Want"/>
    <s v="Lawrence"/>
    <n v="2"/>
    <n v="5"/>
    <n v="5"/>
    <n v="1"/>
    <n v="4"/>
    <m/>
    <m/>
    <m/>
    <n v="4"/>
    <n v="1"/>
    <b v="0"/>
  </r>
  <r>
    <x v="79"/>
    <s v="currydestroyer27"/>
    <n v="2.6"/>
    <n v="1.3564659966250536"/>
    <s v="It's Going Down Now"/>
    <s v="ATLUS GAME MUSIC, Lotus Juice,アトラスサウンドチーム, 高橋あず美"/>
    <n v="3"/>
    <n v="2"/>
    <n v="2"/>
    <n v="5"/>
    <n v="1"/>
    <m/>
    <m/>
    <m/>
    <n v="1"/>
    <n v="1"/>
    <b v="1"/>
  </r>
  <r>
    <x v="80"/>
    <s v="alappatjoe"/>
    <n v="4.2"/>
    <n v="1.6"/>
    <s v="I'm On Everything"/>
    <s v="Bad Meets Evil, Mike Epps"/>
    <n v="1"/>
    <n v="5"/>
    <n v="5"/>
    <n v="5"/>
    <n v="5"/>
    <m/>
    <m/>
    <m/>
    <n v="5"/>
    <n v="1"/>
    <b v="0"/>
  </r>
  <r>
    <x v="80"/>
    <s v="danram"/>
    <n v="2.6"/>
    <n v="1.019803902718557"/>
    <s v="The Adults Are Talking"/>
    <s v="The Strokes"/>
    <n v="4"/>
    <n v="1"/>
    <n v="3"/>
    <n v="2"/>
    <n v="3"/>
    <m/>
    <m/>
    <m/>
    <n v="2"/>
    <n v="1"/>
    <b v="0"/>
  </r>
  <r>
    <x v="80"/>
    <s v="loganworsdell"/>
    <n v="2"/>
    <n v="0.63245553203367588"/>
    <s v="FEELING LUCKY"/>
    <s v="berryblue"/>
    <n v="2"/>
    <n v="2"/>
    <n v="1"/>
    <n v="3"/>
    <n v="2"/>
    <m/>
    <m/>
    <m/>
    <n v="1"/>
    <n v="1"/>
    <b v="1"/>
  </r>
  <r>
    <x v="80"/>
    <s v="samuelbattista"/>
    <n v="3.6"/>
    <n v="1.3564659966250536"/>
    <s v="Homesick"/>
    <s v="Noah Kahan"/>
    <n v="5"/>
    <n v="4"/>
    <n v="4"/>
    <n v="1"/>
    <n v="4"/>
    <m/>
    <m/>
    <m/>
    <n v="4"/>
    <n v="1"/>
    <b v="0"/>
  </r>
  <r>
    <x v="80"/>
    <s v="currydestroyer27"/>
    <n v="2.6"/>
    <n v="1.019803902718557"/>
    <s v="All of Me"/>
    <s v="Big Gigantic, Logic, ROZES"/>
    <n v="3"/>
    <n v="3"/>
    <n v="2"/>
    <n v="4"/>
    <n v="1"/>
    <m/>
    <m/>
    <m/>
    <n v="2"/>
    <n v="1"/>
    <b v="0"/>
  </r>
  <r>
    <x v="81"/>
    <s v="alappatjoe"/>
    <n v="2.6"/>
    <n v="1.3564659966250536"/>
    <s v="Spooky Scary Skeletons (Tombstone Remix)"/>
    <s v="Andrew Gold"/>
    <n v="1"/>
    <n v="3"/>
    <n v="4"/>
    <n v="4"/>
    <n v="1"/>
    <m/>
    <m/>
    <m/>
    <n v="1"/>
    <n v="1"/>
    <b v="1"/>
  </r>
  <r>
    <x v="81"/>
    <s v="danram"/>
    <n v="2.8"/>
    <n v="1.833030277982336"/>
    <s v="Montser Mash"/>
    <s v="Bobby &quot;Boris&quot; Pickett, the Crypt-Kickers"/>
    <n v="2"/>
    <n v="1"/>
    <n v="1"/>
    <n v="5"/>
    <n v="5"/>
    <m/>
    <m/>
    <m/>
    <n v="3"/>
    <n v="1"/>
    <b v="0"/>
  </r>
  <r>
    <x v="81"/>
    <s v="loganworsdell"/>
    <n v="3.8"/>
    <n v="1.1661903789690602"/>
    <s v="Goosebumps Theme"/>
    <s v="Retrospectre"/>
    <n v="3"/>
    <n v="5"/>
    <n v="5"/>
    <n v="2"/>
    <n v="4"/>
    <m/>
    <m/>
    <m/>
    <n v="5"/>
    <n v="1"/>
    <b v="0"/>
  </r>
  <r>
    <x v="81"/>
    <s v="samuelbattista"/>
    <n v="2.6"/>
    <n v="1.3564659966250536"/>
    <s v="Damned"/>
    <s v="Kevin Sherwood"/>
    <n v="5"/>
    <n v="2"/>
    <n v="2"/>
    <n v="1"/>
    <n v="3"/>
    <m/>
    <m/>
    <m/>
    <n v="1"/>
    <n v="2"/>
    <b v="0"/>
  </r>
  <r>
    <x v="81"/>
    <s v="currydestroyer27"/>
    <n v="3.2"/>
    <n v="0.74833147735478833"/>
    <s v="Calling All The Monsters"/>
    <s v="China Anne McClain"/>
    <n v="4"/>
    <n v="4"/>
    <n v="3"/>
    <n v="3"/>
    <n v="2"/>
    <m/>
    <m/>
    <m/>
    <n v="4"/>
    <n v="1"/>
    <b v="0"/>
  </r>
  <r>
    <x v="82"/>
    <s v="alappatjoe"/>
    <n v="2.8"/>
    <n v="1.3266499161421599"/>
    <s v="Arturo Sandoval"/>
    <s v="Arturo Sandoval, Pharrell Williams, Ariana Grande"/>
    <n v="1"/>
    <n v="5"/>
    <n v="3"/>
    <n v="3"/>
    <n v="2"/>
    <m/>
    <m/>
    <m/>
    <n v="3"/>
    <n v="1"/>
    <b v="0"/>
  </r>
  <r>
    <x v="82"/>
    <s v="danram"/>
    <n v="2.8"/>
    <n v="1.1661903789690602"/>
    <s v="Devil In A New Dress"/>
    <s v="Kanye West, Rick Ross"/>
    <n v="3"/>
    <n v="1"/>
    <n v="4"/>
    <n v="2"/>
    <n v="4"/>
    <m/>
    <m/>
    <m/>
    <n v="2"/>
    <n v="1"/>
    <b v="0"/>
  </r>
  <r>
    <x v="82"/>
    <s v="loganworsdell"/>
    <n v="3.8"/>
    <n v="1.6"/>
    <s v="BET Uncut"/>
    <s v="MadeinTYO, Chance the Rapper, Smino"/>
    <n v="5"/>
    <n v="3"/>
    <n v="1"/>
    <n v="5"/>
    <n v="5"/>
    <m/>
    <m/>
    <m/>
    <n v="5"/>
    <n v="1"/>
    <b v="0"/>
  </r>
  <r>
    <x v="82"/>
    <s v="samuelbattista"/>
    <n v="2.6"/>
    <n v="1.3564659966250536"/>
    <s v="Phantom Island"/>
    <s v="King Gizzard &amp; The Lizard Wizard"/>
    <n v="2"/>
    <n v="2"/>
    <n v="5"/>
    <n v="1"/>
    <n v="3"/>
    <m/>
    <m/>
    <m/>
    <n v="1"/>
    <n v="1"/>
    <b v="1"/>
  </r>
  <r>
    <x v="82"/>
    <s v="currydestroyer27"/>
    <n v="3"/>
    <n v="1.2649110640673518"/>
    <s v="Timeless"/>
    <s v="The Weeknd, Playboi Carti"/>
    <n v="4"/>
    <n v="4"/>
    <n v="2"/>
    <n v="4"/>
    <n v="1"/>
    <m/>
    <m/>
    <m/>
    <n v="4"/>
    <n v="1"/>
    <b v="0"/>
  </r>
  <r>
    <x v="83"/>
    <s v="alappatjoe"/>
    <n v="3.8"/>
    <n v="1.6"/>
    <s v="Get Up"/>
    <s v="Ciara, Chamillionare"/>
    <n v="1"/>
    <n v="5"/>
    <n v="3"/>
    <n v="5"/>
    <n v="5"/>
    <m/>
    <m/>
    <m/>
    <n v="5"/>
    <n v="1"/>
    <b v="0"/>
  </r>
  <r>
    <x v="83"/>
    <s v="danram"/>
    <n v="3.4"/>
    <n v="1.2"/>
    <s v="unravel"/>
    <s v="TK from Ling tosite sigure"/>
    <n v="5"/>
    <n v="2"/>
    <n v="4"/>
    <n v="4"/>
    <n v="2"/>
    <m/>
    <m/>
    <m/>
    <n v="4"/>
    <n v="1"/>
    <b v="0"/>
  </r>
  <r>
    <x v="83"/>
    <s v="loganworsdell"/>
    <n v="3.4"/>
    <n v="0.8"/>
    <n v="24"/>
    <s v="IDK"/>
    <n v="4"/>
    <n v="4"/>
    <n v="2"/>
    <n v="3"/>
    <n v="4"/>
    <m/>
    <m/>
    <m/>
    <n v="3"/>
    <n v="1"/>
    <b v="0"/>
  </r>
  <r>
    <x v="83"/>
    <s v="samuelbattista"/>
    <n v="1.8"/>
    <n v="0.9797958971132712"/>
    <s v="In the Party"/>
    <s v="Dev Lemons, Billy Lemos"/>
    <n v="3"/>
    <n v="1"/>
    <n v="1"/>
    <n v="1"/>
    <n v="3"/>
    <m/>
    <m/>
    <m/>
    <n v="1"/>
    <n v="1"/>
    <b v="1"/>
  </r>
  <r>
    <x v="83"/>
    <s v="currydestroyer27"/>
    <n v="2.6"/>
    <n v="1.3564659966250536"/>
    <s v="Baku"/>
    <s v="Ikimonogakari"/>
    <n v="2"/>
    <n v="3"/>
    <n v="5"/>
    <n v="2"/>
    <n v="1"/>
    <m/>
    <m/>
    <m/>
    <n v="2"/>
    <n v="1"/>
    <b v="0"/>
  </r>
  <r>
    <x v="84"/>
    <s v="alappatjoe"/>
    <n v="4"/>
    <n v="1.5491933384829668"/>
    <s v="PUSH 2 START"/>
    <s v="Tyla"/>
    <n v="1"/>
    <n v="5"/>
    <n v="5"/>
    <n v="5"/>
    <n v="4"/>
    <m/>
    <m/>
    <m/>
    <n v="5"/>
    <n v="1"/>
    <b v="0"/>
  </r>
  <r>
    <x v="84"/>
    <s v="danram"/>
    <n v="1.8"/>
    <n v="0.74833147735478833"/>
    <s v="Next Exit"/>
    <s v="Vacations"/>
    <n v="2"/>
    <n v="1"/>
    <n v="3"/>
    <n v="1"/>
    <n v="2"/>
    <m/>
    <m/>
    <m/>
    <n v="1"/>
    <n v="1"/>
    <b v="1"/>
  </r>
  <r>
    <x v="84"/>
    <s v="loganworsdell"/>
    <n v="3.4"/>
    <n v="1.019803902718557"/>
    <s v="Billabong Babe"/>
    <s v="Royce Fisherman"/>
    <n v="3"/>
    <n v="3"/>
    <n v="2"/>
    <n v="4"/>
    <n v="5"/>
    <m/>
    <m/>
    <m/>
    <n v="3"/>
    <n v="1"/>
    <b v="0"/>
  </r>
  <r>
    <x v="84"/>
    <s v="samuelbattista"/>
    <n v="3.6"/>
    <n v="0.4898979485566356"/>
    <s v="Little Chaos"/>
    <s v="Orla Gartland"/>
    <n v="4"/>
    <n v="4"/>
    <n v="4"/>
    <n v="3"/>
    <n v="3"/>
    <m/>
    <m/>
    <m/>
    <n v="4"/>
    <n v="1"/>
    <b v="0"/>
  </r>
  <r>
    <x v="84"/>
    <s v="currydestroyer27"/>
    <n v="2.2000000000000002"/>
    <n v="1.4696938456699069"/>
    <s v="Kingdom Hearts Key"/>
    <s v="JPEGMAFIA, Danny Brown, redveil"/>
    <n v="5"/>
    <n v="2"/>
    <n v="1"/>
    <n v="2"/>
    <n v="1"/>
    <m/>
    <m/>
    <m/>
    <n v="2"/>
    <n v="1"/>
    <b v="0"/>
  </r>
  <r>
    <x v="85"/>
    <s v="alappatjoe"/>
    <n v="3.2"/>
    <n v="1.1661903789690602"/>
    <s v="The Stars and Stripes Forever"/>
    <s v="John Philip Sousa, United States Marine Band"/>
    <n v="1"/>
    <n v="4"/>
    <n v="4"/>
    <n v="3"/>
    <n v="4"/>
    <m/>
    <m/>
    <m/>
    <n v="4"/>
    <n v="1"/>
    <b v="0"/>
  </r>
  <r>
    <x v="85"/>
    <s v="danram"/>
    <n v="2"/>
    <n v="1.0954451150103321"/>
    <s v="Free Bird"/>
    <s v="Lynyrd Skynyrd"/>
    <n v="4"/>
    <n v="1"/>
    <n v="2"/>
    <n v="1"/>
    <n v="2"/>
    <m/>
    <m/>
    <m/>
    <n v="1"/>
    <n v="1"/>
    <b v="1"/>
  </r>
  <r>
    <x v="85"/>
    <s v="loganworsdell"/>
    <n v="2.2000000000000002"/>
    <n v="0.74833147735478833"/>
    <s v="Fortunate Son"/>
    <s v="Creedance Clearwater Revival"/>
    <n v="3"/>
    <n v="2"/>
    <n v="1"/>
    <n v="2"/>
    <n v="3"/>
    <m/>
    <m/>
    <m/>
    <n v="2"/>
    <n v="1"/>
    <b v="0"/>
  </r>
  <r>
    <x v="85"/>
    <s v="samuelbattista"/>
    <n v="5"/>
    <n v="0"/>
    <s v="Electric Pow Wow Drum"/>
    <s v="The Halluci Nation"/>
    <n v="5"/>
    <n v="5"/>
    <n v="5"/>
    <n v="5"/>
    <n v="5"/>
    <m/>
    <m/>
    <m/>
    <n v="5"/>
    <n v="1"/>
    <b v="0"/>
  </r>
  <r>
    <x v="85"/>
    <s v="currydestroyer27"/>
    <n v="2.6"/>
    <n v="1.019803902718557"/>
    <s v="Sweet Child O' Mine"/>
    <s v="Guns N' Roses"/>
    <n v="2"/>
    <n v="3"/>
    <n v="3"/>
    <n v="4"/>
    <n v="1"/>
    <m/>
    <m/>
    <m/>
    <n v="3"/>
    <n v="1"/>
    <b v="0"/>
  </r>
  <r>
    <x v="86"/>
    <s v="alappatjoe"/>
    <n v="2.4"/>
    <n v="1.019803902718557"/>
    <s v="Coffee"/>
    <s v="a!ka"/>
    <n v="1"/>
    <n v="4"/>
    <n v="3"/>
    <n v="2"/>
    <n v="2"/>
    <m/>
    <m/>
    <m/>
    <n v="1"/>
    <n v="1"/>
    <b v="1"/>
  </r>
  <r>
    <x v="86"/>
    <s v="danram"/>
    <n v="5"/>
    <n v="0"/>
    <s v="VENTE CONMIGO"/>
    <s v="Feid"/>
    <n v="5"/>
    <n v="5"/>
    <n v="5"/>
    <n v="5"/>
    <n v="5"/>
    <m/>
    <m/>
    <m/>
    <n v="5"/>
    <n v="1"/>
    <b v="0"/>
  </r>
  <r>
    <x v="86"/>
    <s v="loganworsdell"/>
    <n v="2.6"/>
    <n v="1.2"/>
    <s v="Die Today"/>
    <s v="EARTHGANG, Spillage Village"/>
    <n v="2"/>
    <n v="2"/>
    <n v="1"/>
    <n v="4"/>
    <n v="4"/>
    <m/>
    <m/>
    <m/>
    <n v="4"/>
    <n v="1"/>
    <b v="0"/>
  </r>
  <r>
    <x v="86"/>
    <s v="samuelbattista"/>
    <n v="2.4"/>
    <n v="1.2"/>
    <s v="Darling, I"/>
    <s v="Tyler, The Creator, Teezo Touchdown"/>
    <n v="3"/>
    <n v="1"/>
    <n v="4"/>
    <n v="1"/>
    <n v="3"/>
    <m/>
    <m/>
    <m/>
    <n v="2"/>
    <n v="1"/>
    <b v="0"/>
  </r>
  <r>
    <x v="86"/>
    <s v="currydestroyer27"/>
    <n v="2.6"/>
    <n v="1.019803902718557"/>
    <s v="NEW DROP"/>
    <s v="Don Toliver"/>
    <n v="4"/>
    <n v="3"/>
    <n v="2"/>
    <n v="3"/>
    <n v="1"/>
    <m/>
    <m/>
    <m/>
    <n v="3"/>
    <n v="1"/>
    <b v="0"/>
  </r>
  <r>
    <x v="87"/>
    <s v="alappatjoe"/>
    <n v="2.4"/>
    <n v="1.019803902718557"/>
    <s v="Buttons"/>
    <s v="Lyn Lapid"/>
    <n v="1"/>
    <n v="2"/>
    <n v="4"/>
    <n v="3"/>
    <n v="2"/>
    <m/>
    <m/>
    <m/>
    <n v="1"/>
    <n v="1"/>
    <b v="1"/>
  </r>
  <r>
    <x v="87"/>
    <s v="danram"/>
    <n v="3.2"/>
    <n v="1.3266499161421599"/>
    <s v="Fuck Love"/>
    <s v="XXXTENTACION, Trippie Redd"/>
    <n v="3"/>
    <n v="1"/>
    <n v="3"/>
    <n v="5"/>
    <n v="4"/>
    <m/>
    <m/>
    <m/>
    <n v="3"/>
    <n v="1"/>
    <b v="0"/>
  </r>
  <r>
    <x v="87"/>
    <s v="loganworsdell"/>
    <n v="2.8"/>
    <n v="1.1661903789690602"/>
    <s v="Calm Snow"/>
    <s v="I See Stars"/>
    <n v="4"/>
    <n v="4"/>
    <n v="1"/>
    <n v="2"/>
    <n v="3"/>
    <m/>
    <m/>
    <m/>
    <n v="2"/>
    <n v="1"/>
    <b v="0"/>
  </r>
  <r>
    <x v="87"/>
    <s v="samuelbattista"/>
    <n v="3.2"/>
    <n v="1.6"/>
    <s v="Solar"/>
    <s v="BALTHVS"/>
    <n v="2"/>
    <n v="3"/>
    <n v="5"/>
    <n v="1"/>
    <n v="5"/>
    <m/>
    <m/>
    <m/>
    <n v="4"/>
    <n v="1"/>
    <b v="0"/>
  </r>
  <r>
    <x v="87"/>
    <s v="currydestroyer27"/>
    <n v="3.4"/>
    <n v="1.6248076809271921"/>
    <s v="Animal I Have Become"/>
    <s v="Three Days Grace"/>
    <n v="5"/>
    <n v="5"/>
    <n v="2"/>
    <n v="4"/>
    <n v="1"/>
    <m/>
    <m/>
    <m/>
    <n v="5"/>
    <n v="1"/>
    <b v="0"/>
  </r>
  <r>
    <x v="88"/>
    <s v="alappatjoe"/>
    <n v="3.4"/>
    <n v="1.6248076809271921"/>
    <s v="Fleeting Lullaby"/>
    <s v="Ado"/>
    <n v="1"/>
    <n v="5"/>
    <n v="4"/>
    <n v="5"/>
    <n v="2"/>
    <m/>
    <m/>
    <m/>
    <n v="5"/>
    <n v="1"/>
    <b v="0"/>
  </r>
  <r>
    <x v="88"/>
    <s v="danram"/>
    <n v="3.2"/>
    <n v="1.4696938456699069"/>
    <s v="WAKE UP "/>
    <s v="Travis Scott"/>
    <n v="5"/>
    <n v="1"/>
    <n v="2"/>
    <n v="4"/>
    <n v="4"/>
    <m/>
    <m/>
    <m/>
    <n v="4"/>
    <n v="1"/>
    <b v="0"/>
  </r>
  <r>
    <x v="88"/>
    <s v="loganworsdell"/>
    <n v="3"/>
    <n v="1.0954451150103321"/>
    <s v="Clouded"/>
    <s v="Brent Faiyaz"/>
    <n v="2"/>
    <n v="2"/>
    <n v="3"/>
    <n v="3"/>
    <n v="5"/>
    <m/>
    <m/>
    <m/>
    <n v="2"/>
    <n v="1"/>
    <b v="0"/>
  </r>
  <r>
    <x v="88"/>
    <s v="samuelbattista"/>
    <n v="2.4"/>
    <n v="1.2"/>
    <s v="Welcome to the Black Parade"/>
    <s v="My Chemical Romance"/>
    <n v="4"/>
    <n v="3"/>
    <n v="1"/>
    <n v="1"/>
    <n v="3"/>
    <m/>
    <m/>
    <m/>
    <n v="1"/>
    <n v="1"/>
    <b v="1"/>
  </r>
  <r>
    <x v="88"/>
    <s v="currydestroyer27"/>
    <n v="3"/>
    <n v="1.4142135623730951"/>
    <s v="Love Somebody"/>
    <s v="Morgan Wallen"/>
    <n v="3"/>
    <n v="4"/>
    <n v="5"/>
    <n v="2"/>
    <n v="1"/>
    <m/>
    <m/>
    <m/>
    <n v="3"/>
    <n v="1"/>
    <b v="0"/>
  </r>
  <r>
    <x v="89"/>
    <s v="alappatjoe"/>
    <n v="4.2"/>
    <n v="0.74833147735478833"/>
    <s v="Zero to Hero"/>
    <s v="Chorus - Hercules"/>
    <n v="3"/>
    <n v="4"/>
    <n v="5"/>
    <n v="4"/>
    <n v="5"/>
    <m/>
    <m/>
    <m/>
    <n v="5"/>
    <n v="1"/>
    <b v="0"/>
  </r>
  <r>
    <x v="89"/>
    <s v="danram"/>
    <n v="2.2000000000000002"/>
    <n v="1.4696938456699069"/>
    <s v="Zombie"/>
    <s v="The Cranberries"/>
    <n v="5"/>
    <n v="1"/>
    <n v="1"/>
    <n v="2"/>
    <n v="2"/>
    <m/>
    <m/>
    <m/>
    <n v="1"/>
    <n v="1"/>
    <b v="1"/>
  </r>
  <r>
    <x v="89"/>
    <s v="loganworsdell"/>
    <n v="3.6"/>
    <n v="1.019803902718557"/>
    <s v="Zatoichi"/>
    <s v="Denzel Curry, slowthai"/>
    <n v="4"/>
    <n v="5"/>
    <n v="2"/>
    <n v="3"/>
    <n v="4"/>
    <m/>
    <m/>
    <m/>
    <n v="4"/>
    <n v="1"/>
    <b v="0"/>
  </r>
  <r>
    <x v="89"/>
    <s v="samuelbattista"/>
    <n v="2.4"/>
    <n v="1.019803902718557"/>
    <s v="Zanzibar"/>
    <s v="Billy Joel"/>
    <n v="2"/>
    <n v="2"/>
    <n v="4"/>
    <n v="1"/>
    <n v="3"/>
    <m/>
    <m/>
    <m/>
    <n v="2"/>
    <n v="1"/>
    <b v="0"/>
  </r>
  <r>
    <x v="89"/>
    <s v="currydestroyer27"/>
    <n v="2.6"/>
    <n v="1.4966629547095767"/>
    <s v="Zombie"/>
    <s v="Purple Kiss"/>
    <n v="1"/>
    <n v="3"/>
    <n v="3"/>
    <n v="5"/>
    <n v="1"/>
    <m/>
    <m/>
    <m/>
    <n v="3"/>
    <n v="1"/>
    <b v="0"/>
  </r>
  <r>
    <x v="90"/>
    <s v="alappatjoe"/>
    <n v="3.4"/>
    <n v="1.3564659966250536"/>
    <s v="I'm Every Woman"/>
    <s v="Chaka Khan"/>
    <n v="1"/>
    <n v="5"/>
    <n v="3"/>
    <n v="4"/>
    <n v="4"/>
    <m/>
    <m/>
    <m/>
    <n v="4"/>
    <n v="1"/>
    <b v="0"/>
  </r>
  <r>
    <x v="90"/>
    <s v="danram"/>
    <n v="4.2"/>
    <n v="0.74833147735478833"/>
    <s v="Strike (Holster)"/>
    <s v="Lil Yachty"/>
    <n v="5"/>
    <n v="4"/>
    <n v="4"/>
    <n v="5"/>
    <n v="3"/>
    <m/>
    <m/>
    <m/>
    <n v="5"/>
    <n v="1"/>
    <b v="0"/>
  </r>
  <r>
    <x v="90"/>
    <s v="loganworsdell"/>
    <n v="2.2000000000000002"/>
    <n v="1.4696938456699069"/>
    <s v="\ \ \"/>
    <s v="c678924"/>
    <n v="2"/>
    <n v="1"/>
    <n v="1"/>
    <n v="2"/>
    <n v="5"/>
    <m/>
    <m/>
    <m/>
    <n v="1"/>
    <n v="1"/>
    <b v="1"/>
  </r>
  <r>
    <x v="90"/>
    <s v="samuelbattista"/>
    <n v="2.8"/>
    <n v="1.3266499161421599"/>
    <s v="Time &gt; Breathe Reprise &gt; "/>
    <s v="Greensky Bluegrass"/>
    <n v="3"/>
    <n v="3"/>
    <n v="5"/>
    <n v="1"/>
    <n v="2"/>
    <m/>
    <m/>
    <m/>
    <n v="3"/>
    <n v="1"/>
    <b v="0"/>
  </r>
  <r>
    <x v="90"/>
    <s v="currydestroyer27"/>
    <n v="2.4"/>
    <n v="1.019803902718557"/>
    <s v="That Go!"/>
    <s v="Young Stoner Life, Young Thug, Meek Mill, T-Shyne"/>
    <n v="4"/>
    <n v="2"/>
    <n v="2"/>
    <n v="3"/>
    <n v="1"/>
    <m/>
    <m/>
    <m/>
    <n v="2"/>
    <n v="1"/>
    <b v="0"/>
  </r>
  <r>
    <x v="91"/>
    <s v="alappatjoe"/>
    <n v="2.6"/>
    <n v="1.3564659966250536"/>
    <s v="last night's mascara"/>
    <s v="Griff"/>
    <n v="1"/>
    <n v="2"/>
    <n v="5"/>
    <n v="2"/>
    <n v="3"/>
    <m/>
    <m/>
    <m/>
    <n v="1"/>
    <n v="1"/>
    <b v="1"/>
  </r>
  <r>
    <x v="91"/>
    <s v="danram"/>
    <n v="3.2"/>
    <n v="1.1661903789690602"/>
    <s v="Rose In Harlem"/>
    <s v="Teyana Taylor"/>
    <n v="2"/>
    <n v="3"/>
    <n v="4"/>
    <n v="5"/>
    <n v="2"/>
    <m/>
    <m/>
    <m/>
    <n v="3"/>
    <n v="1"/>
    <b v="0"/>
  </r>
  <r>
    <x v="91"/>
    <s v="loganworsdell"/>
    <n v="3.4"/>
    <n v="0.8"/>
    <s v="Untouchable"/>
    <s v="Golemm"/>
    <n v="4"/>
    <n v="4"/>
    <n v="2"/>
    <n v="3"/>
    <n v="4"/>
    <m/>
    <m/>
    <m/>
    <n v="5"/>
    <n v="1"/>
    <b v="0"/>
  </r>
  <r>
    <x v="91"/>
    <s v="samuelbattista"/>
    <n v="2.6"/>
    <n v="1.9595917942265424"/>
    <s v="Iris"/>
    <s v="The Goo Goo Dolls"/>
    <n v="5"/>
    <n v="1"/>
    <n v="1"/>
    <n v="1"/>
    <n v="5"/>
    <m/>
    <m/>
    <m/>
    <n v="2"/>
    <n v="1"/>
    <b v="0"/>
  </r>
  <r>
    <x v="91"/>
    <s v="currydestroyer27"/>
    <n v="3.2"/>
    <n v="1.3266499161421599"/>
    <s v="Color Your Night"/>
    <s v="ATLUS GAME MUSIC, Lotus Juice,アトラスサウンドチーム, 高橋あず美"/>
    <n v="3"/>
    <n v="5"/>
    <n v="3"/>
    <n v="4"/>
    <n v="1"/>
    <m/>
    <m/>
    <m/>
    <n v="4"/>
    <n v="1"/>
    <b v="0"/>
  </r>
  <r>
    <x v="92"/>
    <s v="alappatjoe"/>
    <n v="3.6"/>
    <n v="1.3564659966250536"/>
    <s v="Mt. Coronet"/>
    <s v="insaneintherainmusic"/>
    <n v="1"/>
    <n v="4"/>
    <n v="4"/>
    <n v="5"/>
    <n v="4"/>
    <m/>
    <m/>
    <m/>
    <n v="4"/>
    <n v="1"/>
    <b v="0"/>
  </r>
  <r>
    <x v="92"/>
    <s v="danram"/>
    <n v="3"/>
    <n v="1.4142135623730951"/>
    <s v="La flaca"/>
    <s v="Jarabe De Palo"/>
    <n v="3"/>
    <n v="1"/>
    <n v="5"/>
    <n v="4"/>
    <n v="2"/>
    <m/>
    <m/>
    <m/>
    <n v="3"/>
    <n v="1"/>
    <b v="0"/>
  </r>
  <r>
    <x v="92"/>
    <s v="loganworsdell"/>
    <n v="4"/>
    <n v="1.2649110640673518"/>
    <s v="assadist pussy got me actin strange"/>
    <s v="MIMIDEATH"/>
    <n v="5"/>
    <n v="5"/>
    <n v="2"/>
    <n v="3"/>
    <n v="5"/>
    <m/>
    <m/>
    <m/>
    <n v="5"/>
    <n v="1"/>
    <b v="0"/>
  </r>
  <r>
    <x v="92"/>
    <s v="samuelbattista"/>
    <n v="2.4"/>
    <n v="1.2"/>
    <s v="John The Fisherman"/>
    <s v="Primus"/>
    <n v="4"/>
    <n v="3"/>
    <n v="1"/>
    <n v="1"/>
    <n v="3"/>
    <m/>
    <m/>
    <m/>
    <n v="2"/>
    <n v="1"/>
    <b v="0"/>
  </r>
  <r>
    <x v="92"/>
    <s v="currydestroyer27"/>
    <n v="2"/>
    <n v="0.63245553203367588"/>
    <s v="Mayonaka no Door / Stay With Me"/>
    <s v="Miki Matsubara"/>
    <n v="2"/>
    <n v="2"/>
    <n v="3"/>
    <n v="2"/>
    <n v="1"/>
    <m/>
    <m/>
    <m/>
    <n v="1"/>
    <n v="1"/>
    <b v="1"/>
  </r>
  <r>
    <x v="93"/>
    <s v="alappatjoe"/>
    <n v="4"/>
    <n v="1.5491933384829668"/>
    <s v="Funky D"/>
    <s v="Victor Wooten, Dennis Chambers, Bob Franceschini"/>
    <n v="1"/>
    <n v="5"/>
    <n v="5"/>
    <n v="4"/>
    <n v="5"/>
    <m/>
    <m/>
    <m/>
    <n v="5"/>
    <n v="1"/>
    <b v="0"/>
  </r>
  <r>
    <x v="93"/>
    <s v="danram"/>
    <n v="3"/>
    <n v="1.4142135623730951"/>
    <s v="Bohemian Rhapsody"/>
    <s v="Queen"/>
    <n v="5"/>
    <n v="1"/>
    <n v="3"/>
    <n v="2"/>
    <n v="4"/>
    <m/>
    <m/>
    <m/>
    <n v="3"/>
    <n v="1"/>
    <b v="0"/>
  </r>
  <r>
    <x v="93"/>
    <s v="loganworsdell"/>
    <n v="2.6"/>
    <n v="1.019803902718557"/>
    <s v="Them Bones"/>
    <s v="Alice in Chains"/>
    <n v="4"/>
    <n v="2"/>
    <n v="1"/>
    <n v="3"/>
    <n v="3"/>
    <m/>
    <m/>
    <m/>
    <n v="2"/>
    <n v="1"/>
    <b v="0"/>
  </r>
  <r>
    <x v="93"/>
    <s v="samuelbattista"/>
    <n v="2.2000000000000002"/>
    <n v="0.74833147735478833"/>
    <s v="Working Man"/>
    <s v="Rush"/>
    <n v="3"/>
    <n v="3"/>
    <n v="2"/>
    <n v="1"/>
    <n v="2"/>
    <m/>
    <m/>
    <m/>
    <n v="1"/>
    <n v="1"/>
    <b v="1"/>
  </r>
  <r>
    <x v="93"/>
    <s v="currydestroyer27"/>
    <n v="3.2"/>
    <n v="1.4696938456699069"/>
    <s v="Fade to Black"/>
    <s v="Metallica"/>
    <n v="2"/>
    <n v="4"/>
    <n v="4"/>
    <n v="5"/>
    <n v="1"/>
    <m/>
    <m/>
    <m/>
    <n v="4"/>
    <n v="1"/>
    <b v="0"/>
  </r>
  <r>
    <x v="94"/>
    <s v="alappatjoe"/>
    <n v="2.6"/>
    <n v="1.019803902718557"/>
    <s v="tv off"/>
    <s v="Kendrick Lamar, Lefty Gunplay"/>
    <n v="1"/>
    <n v="3"/>
    <n v="3"/>
    <n v="4"/>
    <n v="2"/>
    <m/>
    <m/>
    <m/>
    <n v="2"/>
    <n v="1"/>
    <b v="0"/>
  </r>
  <r>
    <x v="94"/>
    <s v="danram"/>
    <n v="2.8"/>
    <n v="1.4696938456699069"/>
    <s v="luther"/>
    <s v="Kendrick Lamar, SZA"/>
    <n v="2"/>
    <n v="1"/>
    <n v="4"/>
    <n v="2"/>
    <n v="5"/>
    <m/>
    <m/>
    <m/>
    <n v="3"/>
    <n v="1"/>
    <b v="0"/>
  </r>
  <r>
    <x v="94"/>
    <s v="loganworsdell"/>
    <n v="3.2"/>
    <n v="1.4696938456699069"/>
    <s v="Make of it"/>
    <s v="half•alive"/>
    <n v="4"/>
    <n v="4"/>
    <n v="2"/>
    <n v="5"/>
    <n v="1"/>
    <m/>
    <m/>
    <m/>
    <n v="4"/>
    <n v="1"/>
    <b v="0"/>
  </r>
  <r>
    <x v="94"/>
    <s v="samuelbattista"/>
    <n v="2.4"/>
    <n v="1.4966629547095767"/>
    <s v="In Bloom"/>
    <s v="Nirvana"/>
    <n v="5"/>
    <n v="2"/>
    <n v="1"/>
    <n v="1"/>
    <n v="3"/>
    <m/>
    <m/>
    <m/>
    <n v="1"/>
    <n v="1"/>
    <b v="1"/>
  </r>
  <r>
    <x v="94"/>
    <s v="currydestroyer27"/>
    <n v="4"/>
    <n v="0.89442719099991586"/>
    <s v="Made You Look"/>
    <s v="Nas"/>
    <n v="3"/>
    <n v="5"/>
    <n v="5"/>
    <n v="3"/>
    <n v="4"/>
    <m/>
    <m/>
    <m/>
    <n v="5"/>
    <n v="1"/>
    <b v="0"/>
  </r>
  <r>
    <x v="95"/>
    <s v="alappatjoe"/>
    <n v="2.8"/>
    <n v="1.4696938456699069"/>
    <s v="Dean Town - The Paisley Park Session"/>
    <s v="Cory Wong"/>
    <n v="1"/>
    <n v="2"/>
    <n v="4"/>
    <n v="2"/>
    <n v="5"/>
    <m/>
    <m/>
    <m/>
    <n v="2"/>
    <n v="1"/>
    <b v="0"/>
  </r>
  <r>
    <x v="95"/>
    <s v="danram"/>
    <n v="3.4"/>
    <n v="1.3564659966250536"/>
    <s v="Deseandote"/>
    <s v="Frankie Ruiz"/>
    <n v="4"/>
    <n v="1"/>
    <n v="5"/>
    <n v="3"/>
    <n v="4"/>
    <m/>
    <m/>
    <m/>
    <n v="5"/>
    <n v="1"/>
    <b v="0"/>
  </r>
  <r>
    <x v="95"/>
    <s v="loganworsdell"/>
    <n v="3.2"/>
    <n v="1.4696938456699069"/>
    <s v="Dreamland"/>
    <s v="Fox Stevenson"/>
    <n v="5"/>
    <n v="4"/>
    <n v="1"/>
    <n v="4"/>
    <n v="2"/>
    <m/>
    <m/>
    <m/>
    <n v="4"/>
    <n v="1"/>
    <b v="0"/>
  </r>
  <r>
    <x v="95"/>
    <s v="samuelbattista"/>
    <n v="2.6"/>
    <n v="0.8"/>
    <s v="Never Gonna Be Alone"/>
    <s v="Jacob Collier, Lizzy McAlpine, John Mayer"/>
    <n v="3"/>
    <n v="3"/>
    <n v="3"/>
    <n v="1"/>
    <n v="3"/>
    <m/>
    <m/>
    <m/>
    <n v="1"/>
    <n v="1"/>
    <b v="1"/>
  </r>
  <r>
    <x v="95"/>
    <s v="currydestroyer27"/>
    <n v="3"/>
    <n v="1.6733200530681511"/>
    <s v="Elevate"/>
    <s v="DJ Khalil, Denzel Curry, Cordae, SWAVAY, Trevor Rich"/>
    <n v="2"/>
    <n v="5"/>
    <n v="2"/>
    <n v="5"/>
    <n v="1"/>
    <m/>
    <m/>
    <m/>
    <n v="3"/>
    <n v="1"/>
    <b v="0"/>
  </r>
  <r>
    <x v="96"/>
    <s v="alappatjoe"/>
    <n v="4"/>
    <n v="1.2649110640673518"/>
    <s v="American Psycho"/>
    <s v="D12"/>
    <n v="2"/>
    <n v="5"/>
    <n v="5"/>
    <n v="5"/>
    <n v="3"/>
    <m/>
    <m/>
    <m/>
    <n v="5"/>
    <n v="1"/>
    <b v="0"/>
  </r>
  <r>
    <x v="96"/>
    <s v="danram"/>
    <n v="2.8"/>
    <n v="1.3266499161421599"/>
    <s v="ELEMENT"/>
    <s v="Kendrick Lamar"/>
    <n v="3"/>
    <n v="2"/>
    <n v="1"/>
    <n v="3"/>
    <n v="5"/>
    <m/>
    <m/>
    <m/>
    <n v="3"/>
    <n v="1"/>
    <b v="0"/>
  </r>
  <r>
    <x v="96"/>
    <s v="loganworsdell"/>
    <n v="2.4"/>
    <n v="1.3564659966250536"/>
    <s v="i KnOW itS LatE...♥︎(❀❛ ֊ ❛„)♡"/>
    <s v="1999 WRITE THE FUTURE"/>
    <n v="5"/>
    <n v="1"/>
    <n v="2"/>
    <n v="2"/>
    <n v="2"/>
    <m/>
    <m/>
    <m/>
    <n v="1"/>
    <n v="1"/>
    <b v="1"/>
  </r>
  <r>
    <x v="96"/>
    <s v="samuelbattista"/>
    <n v="3.2"/>
    <n v="1.1661903789690602"/>
    <s v="Eruption"/>
    <s v="Van Halen"/>
    <n v="4"/>
    <n v="4"/>
    <n v="3"/>
    <n v="1"/>
    <n v="4"/>
    <m/>
    <m/>
    <m/>
    <n v="4"/>
    <n v="1"/>
    <b v="0"/>
  </r>
  <r>
    <x v="96"/>
    <s v="currydestroyer27"/>
    <n v="2.6"/>
    <n v="1.3564659966250536"/>
    <s v="Metro Spider"/>
    <s v="Metro Boomin, Young Thug"/>
    <n v="1"/>
    <n v="3"/>
    <n v="4"/>
    <n v="4"/>
    <n v="1"/>
    <m/>
    <m/>
    <m/>
    <n v="2"/>
    <n v="1"/>
    <b v="0"/>
  </r>
  <r>
    <x v="97"/>
    <s v="alappatjoe"/>
    <n v="4"/>
    <n v="1.2649110640673518"/>
    <s v="American Psycho II"/>
    <s v="D12, B-Real"/>
    <n v="2"/>
    <n v="5"/>
    <n v="5"/>
    <n v="5"/>
    <n v="3"/>
    <m/>
    <m/>
    <m/>
    <n v="5"/>
    <n v="1"/>
    <b v="0"/>
  </r>
  <r>
    <x v="97"/>
    <s v="danram"/>
    <n v="2.8"/>
    <n v="1.3266499161421599"/>
    <s v="Loyalty"/>
    <s v="Kendrick Lamar"/>
    <n v="3"/>
    <n v="2"/>
    <n v="1"/>
    <n v="3"/>
    <n v="5"/>
    <m/>
    <m/>
    <m/>
    <n v="3"/>
    <n v="1"/>
    <b v="0"/>
  </r>
  <r>
    <x v="97"/>
    <s v="loganworsdell"/>
    <n v="2.4"/>
    <n v="1.3564659966250536"/>
    <s v="cOoL WATeR foR thE nIGHT"/>
    <s v="1999 WRITE THE FUTURE"/>
    <n v="5"/>
    <n v="1"/>
    <n v="2"/>
    <n v="2"/>
    <n v="2"/>
    <m/>
    <m/>
    <m/>
    <n v="1"/>
    <n v="1"/>
    <b v="1"/>
  </r>
  <r>
    <x v="97"/>
    <s v="samuelbattista"/>
    <n v="3.2"/>
    <n v="1.1661903789690602"/>
    <s v="Ghost"/>
    <s v="Chon"/>
    <n v="4"/>
    <n v="4"/>
    <n v="3"/>
    <n v="1"/>
    <n v="4"/>
    <m/>
    <m/>
    <m/>
    <n v="4"/>
    <n v="1"/>
    <b v="0"/>
  </r>
  <r>
    <x v="97"/>
    <s v="currydestroyer27"/>
    <n v="2.6"/>
    <n v="1.3564659966250536"/>
    <s v="I Can't Save You"/>
    <s v="Metro Boomin, Future, Don Toliver"/>
    <n v="1"/>
    <n v="3"/>
    <n v="4"/>
    <n v="4"/>
    <n v="1"/>
    <m/>
    <m/>
    <m/>
    <n v="2"/>
    <n v="1"/>
    <b v="0"/>
  </r>
  <r>
    <x v="98"/>
    <s v="alappatjoe"/>
    <n v="1.6"/>
    <n v="0.4898979485566356"/>
    <s v="Disco Ulysses (Instrumental)"/>
    <s v="Vulfpeck"/>
    <n v="1"/>
    <n v="2"/>
    <n v="1"/>
    <n v="2"/>
    <n v="2"/>
    <m/>
    <m/>
    <m/>
    <n v="1"/>
    <n v="1"/>
    <b v="1"/>
  </r>
  <r>
    <x v="98"/>
    <s v="danram"/>
    <n v="3"/>
    <n v="1.0954451150103321"/>
    <s v="Mistletoe"/>
    <s v="Justin Bieber"/>
    <n v="4"/>
    <n v="1"/>
    <n v="4"/>
    <n v="3"/>
    <n v="3"/>
    <m/>
    <m/>
    <m/>
    <n v="3"/>
    <n v="1"/>
    <b v="0"/>
  </r>
  <r>
    <x v="98"/>
    <s v="loganworsdell"/>
    <n v="4.2"/>
    <n v="1.1661903789690602"/>
    <s v="MULAN"/>
    <s v="ANNA, Tony Effe"/>
    <n v="5"/>
    <n v="5"/>
    <n v="2"/>
    <n v="4"/>
    <n v="5"/>
    <m/>
    <m/>
    <m/>
    <n v="5"/>
    <n v="1"/>
    <b v="0"/>
  </r>
  <r>
    <x v="98"/>
    <s v="samuelbattista"/>
    <n v="2.8"/>
    <n v="1.1661903789690602"/>
    <s v="Walk On By"/>
    <s v="Thundercat, Kendrick Lamar"/>
    <n v="2"/>
    <n v="4"/>
    <n v="3"/>
    <n v="1"/>
    <n v="4"/>
    <m/>
    <m/>
    <m/>
    <n v="2"/>
    <n v="1"/>
    <b v="0"/>
  </r>
  <r>
    <x v="98"/>
    <s v="currydestroyer27"/>
    <n v="3.4"/>
    <n v="1.4966629547095767"/>
    <s v="Give Me Some Sunshine"/>
    <s v="Suraj Jagan, Sharman Joshi"/>
    <n v="3"/>
    <n v="3"/>
    <n v="5"/>
    <n v="5"/>
    <n v="1"/>
    <m/>
    <m/>
    <m/>
    <n v="4"/>
    <n v="1"/>
    <b v="0"/>
  </r>
  <r>
    <x v="99"/>
    <s v="alappatjoe"/>
    <n v="4"/>
    <n v="1.5491933384829668"/>
    <s v="Spot a Fake"/>
    <s v="Ava Max"/>
    <n v="1"/>
    <n v="5"/>
    <n v="4"/>
    <n v="5"/>
    <n v="5"/>
    <m/>
    <m/>
    <m/>
    <n v="5"/>
    <n v="1"/>
    <b v="0"/>
  </r>
  <r>
    <x v="99"/>
    <s v="danram"/>
    <n v="3.2"/>
    <n v="0.74833147735478833"/>
    <s v="Ma quale idea"/>
    <s v="Pino D'Angio"/>
    <n v="3"/>
    <n v="2"/>
    <n v="3"/>
    <n v="4"/>
    <n v="4"/>
    <m/>
    <m/>
    <m/>
    <n v="4"/>
    <n v="1"/>
    <b v="0"/>
  </r>
  <r>
    <x v="99"/>
    <s v="loganworsdell"/>
    <n v="3"/>
    <n v="1.0954451150103321"/>
    <s v="Sona"/>
    <s v="Zedd, the olllam"/>
    <n v="2"/>
    <n v="3"/>
    <n v="5"/>
    <n v="2"/>
    <n v="3"/>
    <m/>
    <m/>
    <m/>
    <n v="3"/>
    <n v="1"/>
    <b v="0"/>
  </r>
  <r>
    <x v="99"/>
    <s v="samuelbattista"/>
    <n v="1.8"/>
    <n v="1.6"/>
    <s v="In The End"/>
    <s v="Linkin Park"/>
    <n v="5"/>
    <n v="1"/>
    <n v="1"/>
    <n v="1"/>
    <n v="1"/>
    <m/>
    <m/>
    <m/>
    <n v="1"/>
    <n v="1"/>
    <b v="1"/>
  </r>
  <r>
    <x v="99"/>
    <s v="currydestroyer27"/>
    <n v="3"/>
    <n v="0.89442719099991586"/>
    <s v="Surround Sound"/>
    <s v="JID, 21 Savage, Baby Tate"/>
    <n v="4"/>
    <n v="4"/>
    <n v="2"/>
    <n v="3"/>
    <n v="2"/>
    <m/>
    <m/>
    <m/>
    <n v="2"/>
    <n v="1"/>
    <b v="0"/>
  </r>
  <r>
    <x v="100"/>
    <s v="alappatjoe"/>
    <n v="3.4"/>
    <n v="1.6248076809271921"/>
    <s v="ANTIFRAGILE"/>
    <s v="LE SSERAFIM"/>
    <n v="1"/>
    <n v="5"/>
    <n v="4"/>
    <n v="5"/>
    <n v="2"/>
    <m/>
    <m/>
    <m/>
    <n v="3"/>
    <n v="1"/>
    <b v="0"/>
  </r>
  <r>
    <x v="100"/>
    <s v="danram"/>
    <n v="3.6"/>
    <n v="1.2"/>
    <s v="Trying Your Luck"/>
    <s v="The Strokes"/>
    <n v="5"/>
    <n v="2"/>
    <n v="5"/>
    <n v="3"/>
    <n v="3"/>
    <m/>
    <m/>
    <m/>
    <n v="5"/>
    <n v="1"/>
    <b v="0"/>
  </r>
  <r>
    <x v="100"/>
    <s v="loganworsdell"/>
    <n v="3.6"/>
    <n v="0.8"/>
    <s v="Friday"/>
    <s v="The Chainsmokers, Fridayy"/>
    <n v="4"/>
    <n v="4"/>
    <n v="2"/>
    <n v="4"/>
    <n v="4"/>
    <m/>
    <m/>
    <m/>
    <n v="4"/>
    <n v="1"/>
    <b v="0"/>
  </r>
  <r>
    <x v="100"/>
    <s v="samuelbattista"/>
    <n v="3"/>
    <n v="1.2649110640673518"/>
    <s v="I Had Some Help"/>
    <s v="Post Malone, Morgan Wallen"/>
    <n v="3"/>
    <n v="3"/>
    <n v="3"/>
    <n v="1"/>
    <n v="5"/>
    <m/>
    <m/>
    <m/>
    <n v="2"/>
    <n v="1"/>
    <b v="0"/>
  </r>
  <r>
    <x v="100"/>
    <s v="currydestroyer27"/>
    <n v="1.4"/>
    <n v="0.4898979485566356"/>
    <s v="ETA"/>
    <s v="New Jeans"/>
    <n v="2"/>
    <n v="1"/>
    <n v="1"/>
    <n v="2"/>
    <n v="1"/>
    <m/>
    <m/>
    <m/>
    <n v="1"/>
    <n v="1"/>
    <b v="1"/>
  </r>
  <r>
    <x v="101"/>
    <s v="alappatjoe"/>
    <n v="4.4000000000000004"/>
    <n v="1.2"/>
    <s v="Late to the Party"/>
    <s v="Emei"/>
    <n v="2"/>
    <n v="5"/>
    <n v="5"/>
    <n v="5"/>
    <n v="5"/>
    <m/>
    <m/>
    <m/>
    <n v="5"/>
    <n v="1"/>
    <b v="0"/>
  </r>
  <r>
    <x v="101"/>
    <s v="danram"/>
    <n v="3.6"/>
    <n v="1.019803902718557"/>
    <s v="out the way"/>
    <s v="Yeat"/>
    <n v="5"/>
    <n v="2"/>
    <n v="4"/>
    <n v="4"/>
    <n v="3"/>
    <m/>
    <m/>
    <m/>
    <n v="4"/>
    <n v="1"/>
    <b v="0"/>
  </r>
  <r>
    <x v="101"/>
    <s v="loganworsdell"/>
    <n v="2.6"/>
    <n v="1.2"/>
    <s v="spit!"/>
    <s v="[Alexandros]"/>
    <n v="4"/>
    <n v="4"/>
    <n v="1"/>
    <n v="2"/>
    <n v="2"/>
    <m/>
    <m/>
    <m/>
    <n v="3"/>
    <n v="1"/>
    <b v="0"/>
  </r>
  <r>
    <x v="101"/>
    <s v="samuelbattista"/>
    <n v="2.2000000000000002"/>
    <n v="1.1661903789690602"/>
    <s v="Wagon Wheel"/>
    <s v="Darius Rucker"/>
    <n v="3"/>
    <n v="1"/>
    <n v="2"/>
    <n v="1"/>
    <n v="4"/>
    <m/>
    <m/>
    <m/>
    <n v="2"/>
    <n v="1"/>
    <b v="0"/>
  </r>
  <r>
    <x v="101"/>
    <s v="currydestroyer27"/>
    <n v="2.2000000000000002"/>
    <n v="0.9797958971132712"/>
    <s v="WOKE UP"/>
    <s v="XG"/>
    <n v="1"/>
    <n v="3"/>
    <n v="3"/>
    <n v="3"/>
    <n v="1"/>
    <m/>
    <m/>
    <m/>
    <n v="1"/>
    <n v="1"/>
    <b v="1"/>
  </r>
  <r>
    <x v="102"/>
    <s v="alappatjoe"/>
    <n v="2"/>
    <n v="1.0954451150103321"/>
    <s v="Fragile"/>
    <s v="Laufey"/>
    <n v="1"/>
    <n v="1"/>
    <n v="4"/>
    <n v="2"/>
    <n v="2"/>
    <m/>
    <m/>
    <m/>
    <n v="1"/>
    <n v="1"/>
    <b v="1"/>
  </r>
  <r>
    <x v="102"/>
    <s v="danram"/>
    <n v="4.4000000000000004"/>
    <n v="0.8"/>
    <s v="Striker"/>
    <s v="Skrilla"/>
    <n v="4"/>
    <n v="3"/>
    <n v="5"/>
    <n v="5"/>
    <n v="5"/>
    <m/>
    <m/>
    <m/>
    <n v="5"/>
    <n v="1"/>
    <b v="0"/>
  </r>
  <r>
    <x v="102"/>
    <s v="loganworsdell"/>
    <n v="2.8"/>
    <n v="0.9797958971132712"/>
    <s v="MAYNARD VIGNETTE"/>
    <s v="Killer Mike, T.I., Jacquees, JID"/>
    <n v="3"/>
    <n v="4"/>
    <n v="1"/>
    <n v="3"/>
    <n v="3"/>
    <m/>
    <m/>
    <m/>
    <n v="3"/>
    <n v="1"/>
    <b v="0"/>
  </r>
  <r>
    <x v="102"/>
    <s v="samuelbattista"/>
    <n v="3.6"/>
    <n v="1.4966629547095767"/>
    <s v="Take Me Back To Eden"/>
    <s v="Sleep Token"/>
    <n v="5"/>
    <n v="5"/>
    <n v="3"/>
    <n v="1"/>
    <n v="4"/>
    <m/>
    <m/>
    <m/>
    <n v="4"/>
    <n v="1"/>
    <b v="0"/>
  </r>
  <r>
    <x v="102"/>
    <s v="currydestroyer27"/>
    <n v="2.2000000000000002"/>
    <n v="0.9797958971132712"/>
    <s v="Dive Back In Time"/>
    <s v="BaishaJaws"/>
    <n v="2"/>
    <n v="2"/>
    <n v="2"/>
    <n v="4"/>
    <n v="1"/>
    <m/>
    <m/>
    <m/>
    <n v="2"/>
    <n v="1"/>
    <b v="0"/>
  </r>
  <r>
    <x v="103"/>
    <s v="alappatjoe"/>
    <n v="2.4"/>
    <n v="1.4966629547095767"/>
    <s v="KICK BACK"/>
    <s v="Kenshi Yonezu"/>
    <n v="1"/>
    <n v="5"/>
    <n v="1"/>
    <n v="3"/>
    <n v="2"/>
    <m/>
    <m/>
    <m/>
    <n v="1"/>
    <n v="1"/>
    <b v="1"/>
  </r>
  <r>
    <x v="103"/>
    <s v="danram"/>
    <n v="3.2"/>
    <n v="1.3266499161421599"/>
    <s v="Taste"/>
    <s v="Tyga, Offset"/>
    <n v="3"/>
    <n v="1"/>
    <n v="4"/>
    <n v="5"/>
    <n v="3"/>
    <m/>
    <m/>
    <m/>
    <n v="4"/>
    <n v="1"/>
    <b v="0"/>
  </r>
  <r>
    <x v="103"/>
    <s v="loganworsdell"/>
    <n v="3"/>
    <n v="1.2649110640673518"/>
    <s v="Too Good"/>
    <s v="Breathe Carolina"/>
    <n v="5"/>
    <n v="2"/>
    <n v="2"/>
    <n v="2"/>
    <n v="4"/>
    <m/>
    <m/>
    <m/>
    <n v="3"/>
    <n v="1"/>
    <b v="0"/>
  </r>
  <r>
    <x v="103"/>
    <s v="samuelbattista"/>
    <n v="3.8"/>
    <n v="1.4696938456699069"/>
    <s v="Gravity - Live at the Nokia Theatre"/>
    <s v="John Mayer"/>
    <n v="4"/>
    <n v="4"/>
    <n v="5"/>
    <n v="1"/>
    <n v="5"/>
    <m/>
    <m/>
    <m/>
    <n v="5"/>
    <n v="1"/>
    <b v="0"/>
  </r>
  <r>
    <x v="103"/>
    <s v="currydestroyer27"/>
    <n v="2.6"/>
    <n v="1.019803902718557"/>
    <s v="MAMACITA"/>
    <s v="Tyga, YG, Carlos Santana"/>
    <n v="2"/>
    <n v="3"/>
    <n v="3"/>
    <n v="4"/>
    <n v="1"/>
    <m/>
    <m/>
    <m/>
    <n v="2"/>
    <n v="1"/>
    <b v="0"/>
  </r>
  <r>
    <x v="104"/>
    <s v="alappatjoe"/>
    <n v="3.8"/>
    <n v="1.4696938456699069"/>
    <s v="アカシア"/>
    <s v="BUMP OF CHICKEN"/>
    <n v="1"/>
    <n v="5"/>
    <n v="4"/>
    <n v="4"/>
    <n v="5"/>
    <m/>
    <m/>
    <m/>
    <n v="5"/>
    <n v="1"/>
    <b v="0"/>
  </r>
  <r>
    <x v="104"/>
    <s v="danram"/>
    <n v="2.2000000000000002"/>
    <n v="0.9797958971132712"/>
    <s v="The Loneliest Time"/>
    <s v="Carly Rae Jepsen"/>
    <n v="3"/>
    <n v="1"/>
    <n v="1"/>
    <n v="3"/>
    <n v="3"/>
    <m/>
    <m/>
    <m/>
    <n v="1"/>
    <n v="1"/>
    <b v="1"/>
  </r>
  <r>
    <x v="104"/>
    <s v="loganworsdell"/>
    <n v="2.6"/>
    <n v="0.8"/>
    <s v="LMLY"/>
    <s v="Jackson Wang"/>
    <n v="2"/>
    <n v="2"/>
    <n v="3"/>
    <n v="2"/>
    <n v="4"/>
    <m/>
    <m/>
    <m/>
    <n v="2"/>
    <n v="1"/>
    <b v="0"/>
  </r>
  <r>
    <x v="104"/>
    <s v="samuelbattista"/>
    <n v="3.2"/>
    <n v="1.4696938456699069"/>
    <s v="symptom of life"/>
    <s v="WILLOW"/>
    <n v="4"/>
    <n v="4"/>
    <n v="5"/>
    <n v="1"/>
    <n v="2"/>
    <m/>
    <m/>
    <m/>
    <n v="3"/>
    <n v="1"/>
    <b v="0"/>
  </r>
  <r>
    <x v="104"/>
    <s v="currydestroyer27"/>
    <n v="3.2"/>
    <n v="1.6"/>
    <s v="All The Things She Said"/>
    <s v="t.A.T.u."/>
    <n v="5"/>
    <n v="3"/>
    <n v="2"/>
    <n v="5"/>
    <n v="1"/>
    <m/>
    <m/>
    <m/>
    <n v="4"/>
    <n v="1"/>
    <b v="0"/>
  </r>
  <r>
    <x v="105"/>
    <s v="alappatjoe"/>
    <n v="2.2000000000000002"/>
    <n v="0.9797958971132712"/>
    <s v="Plastic Love"/>
    <s v="Friday Night Plans"/>
    <n v="1"/>
    <n v="2"/>
    <n v="4"/>
    <n v="2"/>
    <n v="2"/>
    <m/>
    <m/>
    <m/>
    <n v="1"/>
    <n v="1"/>
    <b v="1"/>
  </r>
  <r>
    <x v="105"/>
    <s v="danram"/>
    <n v="2.4"/>
    <n v="1.3564659966250536"/>
    <s v="Kill V. Maim"/>
    <s v="Grimes"/>
    <n v="2"/>
    <n v="1"/>
    <n v="1"/>
    <n v="4"/>
    <n v="4"/>
    <m/>
    <m/>
    <m/>
    <n v="2"/>
    <n v="1"/>
    <b v="0"/>
  </r>
  <r>
    <x v="105"/>
    <s v="loganworsdell"/>
    <n v="2.8"/>
    <n v="1.3266499161421599"/>
    <s v="Top 10 staTues tHat CriEd bloOd"/>
    <s v="Bring Me The Horizon"/>
    <n v="5"/>
    <n v="3"/>
    <n v="2"/>
    <n v="1"/>
    <n v="3"/>
    <m/>
    <m/>
    <m/>
    <n v="3"/>
    <n v="1"/>
    <b v="0"/>
  </r>
  <r>
    <x v="105"/>
    <s v="samuelbattista"/>
    <n v="4"/>
    <n v="0.89442719099991586"/>
    <s v="The Reason"/>
    <s v="Hoobastank"/>
    <n v="4"/>
    <n v="5"/>
    <n v="3"/>
    <n v="3"/>
    <n v="5"/>
    <m/>
    <m/>
    <m/>
    <n v="5"/>
    <n v="1"/>
    <b v="0"/>
  </r>
  <r>
    <x v="105"/>
    <s v="currydestroyer27"/>
    <n v="3.6"/>
    <n v="1.4966629547095767"/>
    <s v="Duvet"/>
    <s v="Boa"/>
    <n v="3"/>
    <n v="4"/>
    <n v="5"/>
    <n v="5"/>
    <n v="1"/>
    <m/>
    <m/>
    <m/>
    <n v="4"/>
    <n v="1"/>
    <b v="0"/>
  </r>
  <r>
    <x v="106"/>
    <s v="alappatjoe"/>
    <n v="3.4"/>
    <n v="1.3564659966250536"/>
    <s v="Gorgeous"/>
    <s v="Snoop Dogg, Dr Dre, Jhené Aiko"/>
    <n v="1"/>
    <n v="3"/>
    <n v="4"/>
    <n v="5"/>
    <n v="4"/>
    <m/>
    <m/>
    <m/>
    <n v="3"/>
    <n v="1"/>
    <b v="0"/>
  </r>
  <r>
    <x v="106"/>
    <s v="danram"/>
    <n v="1.6"/>
    <n v="0.4898979485566356"/>
    <s v="Last Christmas"/>
    <s v="Wham!"/>
    <n v="2"/>
    <n v="1"/>
    <n v="2"/>
    <n v="1"/>
    <n v="2"/>
    <m/>
    <m/>
    <m/>
    <n v="1"/>
    <n v="1"/>
    <b v="1"/>
  </r>
  <r>
    <x v="106"/>
    <s v="loganworsdell"/>
    <n v="3.6"/>
    <n v="0.8"/>
    <s v="Look What God Gave Her"/>
    <s v="Thomas Rhett"/>
    <n v="4"/>
    <n v="5"/>
    <n v="3"/>
    <n v="3"/>
    <n v="3"/>
    <m/>
    <m/>
    <m/>
    <n v="4"/>
    <n v="1"/>
    <b v="0"/>
  </r>
  <r>
    <x v="106"/>
    <s v="samuelbattista"/>
    <n v="4.2"/>
    <n v="1.1661903789690602"/>
    <s v="Operator (That's Not the Way It Feels)"/>
    <s v="Jim Croce"/>
    <n v="5"/>
    <n v="4"/>
    <n v="5"/>
    <n v="2"/>
    <n v="5"/>
    <m/>
    <m/>
    <m/>
    <n v="5"/>
    <n v="1"/>
    <b v="0"/>
  </r>
  <r>
    <x v="106"/>
    <s v="currydestroyer27"/>
    <n v="2.2000000000000002"/>
    <n v="1.1661903789690602"/>
    <s v="Boyfriend"/>
    <s v="Big Time Rush"/>
    <n v="3"/>
    <n v="2"/>
    <n v="1"/>
    <n v="4"/>
    <n v="1"/>
    <m/>
    <m/>
    <m/>
    <n v="2"/>
    <n v="1"/>
    <b v="0"/>
  </r>
  <r>
    <x v="107"/>
    <s v="alappatjoe"/>
    <n v="2.6"/>
    <n v="1.3564659966250536"/>
    <s v="Kiss My Troubles Away"/>
    <s v="TWICE"/>
    <n v="1"/>
    <n v="2"/>
    <n v="2"/>
    <n v="3"/>
    <n v="5"/>
    <m/>
    <m/>
    <m/>
    <n v="1"/>
    <n v="1"/>
    <b v="1"/>
  </r>
  <r>
    <x v="107"/>
    <s v="danram"/>
    <n v="3.6"/>
    <n v="1.3564659966250536"/>
    <s v="Viking"/>
    <s v="SahBabii"/>
    <n v="4"/>
    <n v="1"/>
    <n v="4"/>
    <n v="5"/>
    <n v="4"/>
    <m/>
    <m/>
    <m/>
    <n v="5"/>
    <n v="1"/>
    <b v="0"/>
  </r>
  <r>
    <x v="107"/>
    <s v="loganworsdell"/>
    <n v="2.8"/>
    <n v="1.1661903789690602"/>
    <s v="Bless You"/>
    <s v="Kabwasa, berryblue"/>
    <n v="3"/>
    <n v="4"/>
    <n v="1"/>
    <n v="4"/>
    <n v="2"/>
    <m/>
    <m/>
    <m/>
    <n v="2"/>
    <n v="1"/>
    <b v="0"/>
  </r>
  <r>
    <x v="107"/>
    <s v="samuelbattista"/>
    <n v="3"/>
    <n v="1.2649110640673518"/>
    <s v="prism"/>
    <s v="monty.pk"/>
    <n v="5"/>
    <n v="3"/>
    <n v="3"/>
    <n v="1"/>
    <n v="3"/>
    <m/>
    <m/>
    <m/>
    <n v="3"/>
    <n v="1"/>
    <b v="0"/>
  </r>
  <r>
    <x v="107"/>
    <s v="currydestroyer27"/>
    <n v="3"/>
    <n v="1.6733200530681511"/>
    <s v="Like Him"/>
    <s v="Tyler, The Creator, Lola Young"/>
    <n v="2"/>
    <n v="5"/>
    <n v="5"/>
    <n v="2"/>
    <n v="1"/>
    <m/>
    <m/>
    <m/>
    <n v="4"/>
    <n v="1"/>
    <b v="0"/>
  </r>
  <r>
    <x v="108"/>
    <s v="alappatjoe"/>
    <n v="2.6"/>
    <n v="1.019803902718557"/>
    <s v="IN_MY_HEAD"/>
    <s v="natori"/>
    <n v="1"/>
    <n v="4"/>
    <n v="3"/>
    <n v="3"/>
    <n v="2"/>
    <m/>
    <m/>
    <m/>
    <n v="2"/>
    <n v="1"/>
    <b v="0"/>
  </r>
  <r>
    <x v="108"/>
    <s v="danram"/>
    <n v="3.8"/>
    <n v="1.4696938456699069"/>
    <s v="Trouble"/>
    <s v="Cage The Elephant"/>
    <n v="5"/>
    <n v="2"/>
    <n v="5"/>
    <n v="2"/>
    <n v="5"/>
    <m/>
    <m/>
    <m/>
    <n v="5"/>
    <n v="1"/>
    <b v="0"/>
  </r>
  <r>
    <x v="108"/>
    <s v="loganworsdell"/>
    <n v="2.2000000000000002"/>
    <n v="1.1661903789690602"/>
    <s v="Life 2"/>
    <s v="Majid Jordan"/>
    <n v="2"/>
    <n v="1"/>
    <n v="1"/>
    <n v="4"/>
    <n v="3"/>
    <m/>
    <m/>
    <m/>
    <n v="1"/>
    <n v="1"/>
    <b v="1"/>
  </r>
  <r>
    <x v="108"/>
    <s v="samuelbattista"/>
    <n v="2.8"/>
    <n v="1.1661903789690602"/>
    <s v="What a Fool Believes"/>
    <s v="The Doobie Brothers"/>
    <n v="4"/>
    <n v="3"/>
    <n v="2"/>
    <n v="1"/>
    <n v="4"/>
    <m/>
    <m/>
    <m/>
    <n v="3"/>
    <n v="1"/>
    <b v="0"/>
  </r>
  <r>
    <x v="108"/>
    <s v="currydestroyer27"/>
    <n v="3.6"/>
    <n v="1.4966629547095767"/>
    <s v="Ma Meilleure Ennemie"/>
    <s v="Arcane, Stromae, Pomme"/>
    <n v="3"/>
    <n v="5"/>
    <n v="4"/>
    <n v="5"/>
    <n v="1"/>
    <m/>
    <m/>
    <m/>
    <n v="4"/>
    <n v="1"/>
    <b v="0"/>
  </r>
  <r>
    <x v="109"/>
    <s v="alappatjoe"/>
    <n v="2.8"/>
    <n v="1.833030277982336"/>
    <s v="Christmas Eve / Sarejevo 12/24"/>
    <s v="Trans-Siberian Orchestra"/>
    <n v="1"/>
    <n v="5"/>
    <n v="5"/>
    <n v="2"/>
    <n v="1"/>
    <m/>
    <m/>
    <m/>
    <n v="3"/>
    <n v="1"/>
    <b v="0"/>
  </r>
  <r>
    <x v="109"/>
    <s v="danram"/>
    <n v="2.6"/>
    <n v="0.8"/>
    <s v="Santa, Can't You Hear Me"/>
    <s v="Kelly Clarkson, Ariana Grande"/>
    <n v="3"/>
    <n v="1"/>
    <n v="3"/>
    <n v="3"/>
    <n v="3"/>
    <m/>
    <m/>
    <m/>
    <n v="1"/>
    <n v="1"/>
    <b v="1"/>
  </r>
  <r>
    <x v="109"/>
    <s v="loganworsdell"/>
    <n v="3.6"/>
    <n v="1.3564659966250536"/>
    <s v="Naughty or Nice"/>
    <s v="FIFTY FIFTY"/>
    <n v="5"/>
    <n v="2"/>
    <n v="2"/>
    <n v="5"/>
    <n v="4"/>
    <m/>
    <m/>
    <m/>
    <n v="5"/>
    <n v="1"/>
    <b v="0"/>
  </r>
  <r>
    <x v="109"/>
    <s v="samuelbattista"/>
    <n v="2.8"/>
    <n v="1.6"/>
    <s v="Like It's Christmas"/>
    <s v="Jonas Brothers"/>
    <n v="4"/>
    <n v="3"/>
    <n v="1"/>
    <n v="1"/>
    <n v="5"/>
    <m/>
    <m/>
    <m/>
    <n v="2"/>
    <n v="1"/>
    <b v="0"/>
  </r>
  <r>
    <x v="109"/>
    <s v="currydestroyer27"/>
    <n v="3.2"/>
    <n v="0.9797958971132712"/>
    <s v="Let It Snow! Let It Snow! Let It Snow!"/>
    <s v="Frank Sinatra, B. Swanson Quartet"/>
    <n v="2"/>
    <n v="4"/>
    <n v="4"/>
    <n v="4"/>
    <n v="2"/>
    <m/>
    <m/>
    <m/>
    <n v="4"/>
    <n v="1"/>
    <b v="0"/>
  </r>
  <r>
    <x v="110"/>
    <s v="alappatjoe"/>
    <n v="3.6"/>
    <n v="1.7435595774162693"/>
    <s v="Fever"/>
    <s v="Dua Lipa, Angèle"/>
    <n v="1"/>
    <n v="5"/>
    <n v="5"/>
    <n v="5"/>
    <n v="2"/>
    <m/>
    <m/>
    <m/>
    <n v="4"/>
    <n v="1"/>
    <b v="0"/>
  </r>
  <r>
    <x v="110"/>
    <s v="danram"/>
    <n v="2.4"/>
    <n v="1.3564659966250536"/>
    <s v="Favourite"/>
    <s v="Fontaines D.C."/>
    <n v="4"/>
    <n v="1"/>
    <n v="2"/>
    <n v="1"/>
    <n v="4"/>
    <m/>
    <m/>
    <m/>
    <n v="1"/>
    <n v="1"/>
    <b v="1"/>
  </r>
  <r>
    <x v="110"/>
    <s v="loganworsdell"/>
    <n v="3.8"/>
    <n v="1.4696938456699069"/>
    <s v="Gravity"/>
    <s v="Ferdous"/>
    <n v="5"/>
    <n v="4"/>
    <n v="1"/>
    <n v="4"/>
    <n v="5"/>
    <m/>
    <m/>
    <m/>
    <n v="5"/>
    <n v="1"/>
    <b v="0"/>
  </r>
  <r>
    <x v="110"/>
    <s v="samuelbattista"/>
    <n v="2.6"/>
    <n v="0.8"/>
    <s v="Loretta (日本語 version)"/>
    <s v="Ginger Root"/>
    <n v="2"/>
    <n v="2"/>
    <n v="4"/>
    <n v="2"/>
    <n v="3"/>
    <m/>
    <m/>
    <m/>
    <n v="2"/>
    <n v="1"/>
    <b v="0"/>
  </r>
  <r>
    <x v="110"/>
    <s v="currydestroyer27"/>
    <n v="2.6"/>
    <n v="0.8"/>
    <s v="Si Antes Te Hubiera Conocido"/>
    <s v="KAROL G"/>
    <n v="3"/>
    <n v="3"/>
    <n v="3"/>
    <n v="3"/>
    <n v="1"/>
    <m/>
    <m/>
    <m/>
    <n v="2"/>
    <n v="1"/>
    <b v="0"/>
  </r>
  <r>
    <x v="111"/>
    <s v="alappatjoe"/>
    <n v="3.4"/>
    <n v="1.6248076809271921"/>
    <s v="Fate of Both Worlds"/>
    <s v="Lemon"/>
    <n v="1"/>
    <n v="2"/>
    <n v="5"/>
    <n v="4"/>
    <n v="5"/>
    <m/>
    <m/>
    <m/>
    <n v="4"/>
    <n v="1"/>
    <b v="0"/>
  </r>
  <r>
    <x v="111"/>
    <s v="danram"/>
    <n v="2.2000000000000002"/>
    <n v="0.74833147735478833"/>
    <s v="CRAZY"/>
    <s v="LE SSERAFIM"/>
    <n v="2"/>
    <n v="1"/>
    <n v="3"/>
    <n v="3"/>
    <n v="2"/>
    <m/>
    <m/>
    <m/>
    <n v="1"/>
    <n v="1"/>
    <b v="1"/>
  </r>
  <r>
    <x v="111"/>
    <s v="loganworsdell"/>
    <n v="3"/>
    <n v="1.4142135623730951"/>
    <s v="Kingslayer (feat. BABYMETAL)"/>
    <s v="Bring Me The Horizon, BABYMETAL"/>
    <n v="5"/>
    <n v="4"/>
    <n v="1"/>
    <n v="2"/>
    <n v="3"/>
    <m/>
    <m/>
    <m/>
    <n v="3"/>
    <n v="1"/>
    <b v="0"/>
  </r>
  <r>
    <x v="111"/>
    <s v="samuelbattista"/>
    <n v="3"/>
    <n v="1.0954451150103321"/>
    <s v="Dial Tone"/>
    <s v="Catch Your Breath"/>
    <n v="3"/>
    <n v="3"/>
    <n v="4"/>
    <n v="1"/>
    <n v="4"/>
    <m/>
    <m/>
    <m/>
    <n v="2"/>
    <n v="1"/>
    <b v="0"/>
  </r>
  <r>
    <x v="111"/>
    <s v="currydestroyer27"/>
    <n v="3.4"/>
    <n v="1.6248076809271921"/>
    <s v="一輪の花"/>
    <s v="HIGH and MIGHTY COLOR"/>
    <n v="4"/>
    <n v="5"/>
    <n v="2"/>
    <n v="5"/>
    <n v="1"/>
    <m/>
    <m/>
    <m/>
    <n v="4"/>
    <n v="1"/>
    <b v="0"/>
  </r>
  <r>
    <x v="112"/>
    <s v="alappatjoe"/>
    <n v="3.8"/>
    <n v="1.6"/>
    <s v="Koi Mil Gaya"/>
    <s v="Jatin-Lalit, Kavita Krishnamurthy, Udit Narayan, Alka Yagnik"/>
    <n v="1"/>
    <n v="3"/>
    <n v="5"/>
    <n v="5"/>
    <n v="5"/>
    <m/>
    <m/>
    <m/>
    <n v="5"/>
    <n v="1"/>
    <b v="0"/>
  </r>
  <r>
    <x v="112"/>
    <s v="danram"/>
    <n v="2.4"/>
    <n v="1.019803902718557"/>
    <s v="drive ME crazy!"/>
    <s v="Lil Yachty"/>
    <n v="4"/>
    <n v="1"/>
    <n v="3"/>
    <n v="2"/>
    <n v="2"/>
    <m/>
    <m/>
    <m/>
    <n v="1"/>
    <n v="1"/>
    <b v="1"/>
  </r>
  <r>
    <x v="112"/>
    <s v="loganworsdell"/>
    <n v="3.2"/>
    <n v="1.1661903789690602"/>
    <s v="I Won't Tell"/>
    <s v="Baby Rose, Smino"/>
    <n v="2"/>
    <n v="5"/>
    <n v="2"/>
    <n v="4"/>
    <n v="3"/>
    <m/>
    <m/>
    <m/>
    <n v="4"/>
    <n v="1"/>
    <b v="0"/>
  </r>
  <r>
    <x v="112"/>
    <s v="samuelbattista"/>
    <n v="2.6"/>
    <n v="1.6248076809271921"/>
    <s v="Bulls On Parade"/>
    <s v="Rage Against The Machine"/>
    <n v="5"/>
    <n v="2"/>
    <n v="1"/>
    <n v="1"/>
    <n v="4"/>
    <m/>
    <m/>
    <m/>
    <n v="2"/>
    <n v="1"/>
    <b v="0"/>
  </r>
  <r>
    <x v="112"/>
    <s v="currydestroyer27"/>
    <n v="3"/>
    <n v="1.0954451150103321"/>
    <s v="Fly-day Chinatown"/>
    <s v="泰葉"/>
    <n v="3"/>
    <n v="4"/>
    <n v="4"/>
    <n v="3"/>
    <n v="1"/>
    <m/>
    <m/>
    <m/>
    <n v="3"/>
    <n v="1"/>
    <b v="0"/>
  </r>
  <r>
    <x v="113"/>
    <s v="alappatjoe"/>
    <n v="3.4"/>
    <n v="1.6248076809271921"/>
    <s v="Ég Veit Ϸú Kemur"/>
    <s v="Laufey"/>
    <n v="1"/>
    <n v="5"/>
    <n v="5"/>
    <n v="2"/>
    <n v="4"/>
    <m/>
    <m/>
    <m/>
    <n v="4"/>
    <n v="1"/>
    <b v="0"/>
  </r>
  <r>
    <x v="113"/>
    <s v="danram"/>
    <n v="2.6"/>
    <n v="1.019803902718557"/>
    <s v="Deli"/>
    <s v="mor ve ötesi"/>
    <n v="4"/>
    <n v="1"/>
    <n v="3"/>
    <n v="3"/>
    <n v="2"/>
    <m/>
    <m/>
    <m/>
    <n v="2"/>
    <n v="1"/>
    <b v="0"/>
  </r>
  <r>
    <x v="113"/>
    <s v="loganworsdell"/>
    <n v="3.6"/>
    <n v="1.4966629547095767"/>
    <s v="Jordan"/>
    <s v="Megaherz"/>
    <n v="5"/>
    <n v="3"/>
    <n v="1"/>
    <n v="4"/>
    <n v="5"/>
    <m/>
    <m/>
    <m/>
    <n v="5"/>
    <n v="1"/>
    <b v="0"/>
  </r>
  <r>
    <x v="113"/>
    <s v="samuelbattista"/>
    <n v="2.4"/>
    <n v="1.019803902718557"/>
    <s v="Soul Makossa"/>
    <s v="Manu Dibango"/>
    <n v="2"/>
    <n v="4"/>
    <n v="2"/>
    <n v="1"/>
    <n v="3"/>
    <m/>
    <m/>
    <m/>
    <n v="1"/>
    <n v="1"/>
    <b v="1"/>
  </r>
  <r>
    <x v="113"/>
    <s v="currydestroyer27"/>
    <n v="3"/>
    <n v="1.4142135623730951"/>
    <s v="芒种"/>
    <s v="赵方婧,音阙诗听"/>
    <n v="3"/>
    <n v="2"/>
    <n v="4"/>
    <n v="5"/>
    <n v="1"/>
    <m/>
    <m/>
    <m/>
    <n v="3"/>
    <n v="1"/>
    <b v="0"/>
  </r>
  <r>
    <x v="114"/>
    <s v="alappatjoe"/>
    <n v="2.4"/>
    <n v="1.2"/>
    <s v="クラクラ"/>
    <s v="Ado"/>
    <n v="1"/>
    <n v="3"/>
    <n v="4"/>
    <n v="3"/>
    <n v="1"/>
    <m/>
    <m/>
    <m/>
    <n v="1"/>
    <n v="1"/>
    <b v="1"/>
  </r>
  <r>
    <x v="114"/>
    <s v="danram"/>
    <n v="3.2"/>
    <n v="1.3266499161421599"/>
    <s v="Roll Wit Me"/>
    <s v="SahBabii"/>
    <n v="3"/>
    <n v="1"/>
    <n v="5"/>
    <n v="4"/>
    <n v="3"/>
    <m/>
    <m/>
    <m/>
    <n v="4"/>
    <n v="1"/>
    <b v="0"/>
  </r>
  <r>
    <x v="114"/>
    <s v="loganworsdell"/>
    <n v="2.6"/>
    <n v="1.2"/>
    <s v="Sugar Water Cyanide"/>
    <s v="Rebecca Black"/>
    <n v="4"/>
    <n v="2"/>
    <n v="1"/>
    <n v="2"/>
    <n v="4"/>
    <m/>
    <m/>
    <m/>
    <n v="2"/>
    <n v="1"/>
    <b v="0"/>
  </r>
  <r>
    <x v="114"/>
    <s v="samuelbattista"/>
    <n v="2.8"/>
    <n v="1.4696938456699069"/>
    <s v="ZITTIE BUONI"/>
    <s v="Maneskin"/>
    <n v="2"/>
    <n v="4"/>
    <n v="2"/>
    <n v="1"/>
    <n v="5"/>
    <m/>
    <m/>
    <m/>
    <n v="3"/>
    <n v="1"/>
    <b v="0"/>
  </r>
  <r>
    <x v="114"/>
    <s v="currydestroyer27"/>
    <n v="4"/>
    <n v="1.2649110640673518"/>
    <s v="Take Me to the Beach"/>
    <s v="Imagine Dragons, Ado"/>
    <n v="5"/>
    <n v="5"/>
    <n v="3"/>
    <n v="5"/>
    <n v="2"/>
    <m/>
    <m/>
    <m/>
    <n v="5"/>
    <n v="1"/>
    <b v="0"/>
  </r>
  <r>
    <x v="115"/>
    <s v="alappatjoe"/>
    <n v="3.8"/>
    <n v="1.4696938456699069"/>
    <s v="boyfriend (with Social House)"/>
    <s v="Ariana Grande, Social House"/>
    <n v="1"/>
    <n v="4"/>
    <n v="5"/>
    <n v="4"/>
    <n v="5"/>
    <m/>
    <m/>
    <m/>
    <n v="5"/>
    <n v="1"/>
    <b v="0"/>
  </r>
  <r>
    <x v="115"/>
    <s v="danram"/>
    <n v="2.4"/>
    <n v="1.019803902718557"/>
    <s v="Malas Decisiones"/>
    <s v="Kenia OS"/>
    <n v="2"/>
    <n v="1"/>
    <n v="3"/>
    <n v="2"/>
    <n v="4"/>
    <m/>
    <m/>
    <m/>
    <n v="1"/>
    <n v="1"/>
    <b v="1"/>
  </r>
  <r>
    <x v="115"/>
    <s v="loganworsdell"/>
    <n v="2.6"/>
    <n v="0.8"/>
    <s v="One Reason"/>
    <s v="DWB, fade"/>
    <n v="4"/>
    <n v="2"/>
    <n v="2"/>
    <n v="3"/>
    <n v="2"/>
    <m/>
    <m/>
    <m/>
    <n v="2"/>
    <n v="1"/>
    <b v="0"/>
  </r>
  <r>
    <x v="115"/>
    <s v="samuelbattista"/>
    <n v="2.8"/>
    <n v="0.9797958971132712"/>
    <s v="Xanadu"/>
    <s v="Rush"/>
    <n v="3"/>
    <n v="3"/>
    <n v="4"/>
    <n v="1"/>
    <n v="3"/>
    <m/>
    <m/>
    <m/>
    <n v="3"/>
    <n v="1"/>
    <b v="0"/>
  </r>
  <r>
    <x v="115"/>
    <s v="currydestroyer27"/>
    <n v="3.4"/>
    <n v="1.9595917942265424"/>
    <s v="Frontiers"/>
    <s v="Awich"/>
    <n v="5"/>
    <n v="5"/>
    <n v="1"/>
    <n v="5"/>
    <n v="1"/>
    <m/>
    <m/>
    <m/>
    <n v="4"/>
    <n v="1"/>
    <b v="0"/>
  </r>
  <r>
    <x v="116"/>
    <s v="alappatjoe"/>
    <n v="3.4"/>
    <n v="1.6248076809271921"/>
    <s v="Looking at Me"/>
    <s v="Sabrina Carpenter"/>
    <n v="1"/>
    <n v="5"/>
    <n v="4"/>
    <n v="5"/>
    <n v="2"/>
    <m/>
    <m/>
    <m/>
    <n v="5"/>
    <n v="1"/>
    <b v="0"/>
  </r>
  <r>
    <x v="116"/>
    <s v="danram"/>
    <n v="3.2"/>
    <n v="1.3266499161421599"/>
    <s v="Kilometros"/>
    <s v="Los Caligaris"/>
    <n v="4"/>
    <n v="1"/>
    <n v="5"/>
    <n v="3"/>
    <n v="3"/>
    <m/>
    <m/>
    <m/>
    <n v="3"/>
    <n v="1"/>
    <b v="0"/>
  </r>
  <r>
    <x v="116"/>
    <s v="loganworsdell"/>
    <n v="3.4"/>
    <n v="1.3564659966250536"/>
    <s v="peace signs"/>
    <s v="JRjoos, redwater, RERI"/>
    <n v="5"/>
    <n v="2"/>
    <n v="3"/>
    <n v="2"/>
    <n v="5"/>
    <m/>
    <m/>
    <m/>
    <n v="4"/>
    <n v="1"/>
    <b v="0"/>
  </r>
  <r>
    <x v="116"/>
    <s v="samuelbattista"/>
    <n v="2.6"/>
    <n v="1.019803902718557"/>
    <s v="Super Graphic Ultra Modern Girl"/>
    <s v="Chappell Roan"/>
    <n v="3"/>
    <n v="3"/>
    <n v="2"/>
    <n v="1"/>
    <n v="4"/>
    <m/>
    <m/>
    <m/>
    <n v="2"/>
    <n v="1"/>
    <b v="0"/>
  </r>
  <r>
    <x v="116"/>
    <s v="currydestroyer27"/>
    <n v="2.4"/>
    <n v="1.3564659966250536"/>
    <s v="Like That"/>
    <s v="Doja Cat, Gucci Mane"/>
    <n v="2"/>
    <n v="4"/>
    <n v="1"/>
    <n v="4"/>
    <n v="1"/>
    <m/>
    <m/>
    <m/>
    <n v="1"/>
    <n v="1"/>
    <b v="1"/>
  </r>
  <r>
    <x v="117"/>
    <s v="alappatjoe"/>
    <n v="2.8"/>
    <n v="1.1661903789690602"/>
    <s v="RUN SAKAMOTO RUN"/>
    <s v="Vaundy"/>
    <n v="1"/>
    <n v="2"/>
    <n v="3"/>
    <n v="4"/>
    <n v="4"/>
    <m/>
    <m/>
    <m/>
    <n v="3"/>
    <n v="1"/>
    <b v="0"/>
  </r>
  <r>
    <x v="117"/>
    <s v="danram"/>
    <n v="2.4"/>
    <n v="1.2"/>
    <s v="BAILE INoLVIDABLE"/>
    <s v="Bad Bunny"/>
    <n v="3"/>
    <n v="1"/>
    <n v="4"/>
    <n v="1"/>
    <n v="3"/>
    <m/>
    <m/>
    <m/>
    <n v="1"/>
    <n v="1"/>
    <b v="1"/>
  </r>
  <r>
    <x v="117"/>
    <s v="loganworsdell"/>
    <n v="2.8"/>
    <n v="1.4696938456699069"/>
    <s v="Scissors"/>
    <s v="Julis Michaels, Maren Morris"/>
    <n v="2"/>
    <n v="4"/>
    <n v="1"/>
    <n v="5"/>
    <n v="2"/>
    <m/>
    <m/>
    <m/>
    <n v="4"/>
    <n v="1"/>
    <b v="0"/>
  </r>
  <r>
    <x v="117"/>
    <s v="samuelbattista"/>
    <n v="4.4000000000000004"/>
    <n v="1.2"/>
    <s v="The Garden"/>
    <s v="Sierra Ferrell"/>
    <n v="5"/>
    <n v="5"/>
    <n v="5"/>
    <n v="2"/>
    <n v="5"/>
    <m/>
    <m/>
    <m/>
    <n v="5"/>
    <n v="1"/>
    <b v="0"/>
  </r>
  <r>
    <x v="117"/>
    <s v="currydestroyer27"/>
    <n v="2.6"/>
    <n v="1.019803902718557"/>
    <s v="Hypnotized"/>
    <s v="Anyama, Ellie Goulding"/>
    <n v="4"/>
    <n v="3"/>
    <n v="2"/>
    <n v="3"/>
    <n v="1"/>
    <m/>
    <m/>
    <m/>
    <n v="2"/>
    <n v="1"/>
    <b v="0"/>
  </r>
  <r>
    <x v="118"/>
    <s v="alappatjoe"/>
    <n v="3.2"/>
    <n v="1.6"/>
    <s v="A Mis Abuelos"/>
    <s v="Arturo Sandoval"/>
    <n v="1"/>
    <n v="3"/>
    <n v="5"/>
    <n v="2"/>
    <n v="5"/>
    <m/>
    <m/>
    <m/>
    <n v="4"/>
    <n v="1"/>
    <b v="0"/>
  </r>
  <r>
    <x v="118"/>
    <s v="danram"/>
    <n v="2.8"/>
    <n v="0.9797958971132712"/>
    <s v="Long Story Short"/>
    <s v="2 Chainz, Lil Wayne"/>
    <n v="3"/>
    <n v="1"/>
    <n v="3"/>
    <n v="4"/>
    <n v="3"/>
    <m/>
    <m/>
    <m/>
    <n v="2"/>
    <n v="1"/>
    <b v="0"/>
  </r>
  <r>
    <x v="118"/>
    <s v="loganworsdell"/>
    <n v="2.8"/>
    <n v="1.1661903789690602"/>
    <s v="Konbini"/>
    <s v="misa"/>
    <n v="4"/>
    <n v="4"/>
    <n v="1"/>
    <n v="3"/>
    <n v="2"/>
    <m/>
    <m/>
    <m/>
    <n v="3"/>
    <n v="1"/>
    <b v="0"/>
  </r>
  <r>
    <x v="118"/>
    <s v="samuelbattista"/>
    <n v="2.6"/>
    <n v="1.2"/>
    <s v="Corazón Tatuado"/>
    <s v="Estevie"/>
    <n v="2"/>
    <n v="2"/>
    <n v="4"/>
    <n v="1"/>
    <n v="4"/>
    <m/>
    <m/>
    <m/>
    <n v="1"/>
    <n v="1"/>
    <b v="1"/>
  </r>
  <r>
    <x v="118"/>
    <s v="currydestroyer27"/>
    <n v="3.6"/>
    <n v="1.7435595774162693"/>
    <s v="I Am ... All Of Me"/>
    <s v="Crush 40"/>
    <n v="5"/>
    <n v="5"/>
    <n v="2"/>
    <n v="5"/>
    <n v="1"/>
    <m/>
    <m/>
    <m/>
    <n v="5"/>
    <n v="1"/>
    <b v="0"/>
  </r>
  <r>
    <x v="119"/>
    <s v="alappatjoe"/>
    <n v="3"/>
    <n v="1.2649110640673518"/>
    <s v="Kuru/Speak Like a Child"/>
    <s v="Jaco Pastorius"/>
    <n v="1"/>
    <n v="4"/>
    <n v="4"/>
    <n v="2"/>
    <n v="4"/>
    <m/>
    <m/>
    <m/>
    <n v="3"/>
    <n v="1"/>
    <b v="0"/>
  </r>
  <r>
    <x v="119"/>
    <s v="danram"/>
    <n v="2.6"/>
    <n v="1.019803902718557"/>
    <s v="FERXXO 151"/>
    <s v="Feid, ICON"/>
    <n v="4"/>
    <n v="1"/>
    <n v="2"/>
    <n v="3"/>
    <n v="3"/>
    <m/>
    <m/>
    <m/>
    <n v="2"/>
    <n v="1"/>
    <b v="0"/>
  </r>
  <r>
    <x v="119"/>
    <s v="loganworsdell"/>
    <n v="2.2000000000000002"/>
    <n v="0.9797958971132712"/>
    <s v="el cielo"/>
    <s v="TINI"/>
    <n v="2"/>
    <n v="2"/>
    <n v="1"/>
    <n v="4"/>
    <n v="2"/>
    <m/>
    <m/>
    <m/>
    <n v="1"/>
    <n v="1"/>
    <b v="1"/>
  </r>
  <r>
    <x v="119"/>
    <s v="samuelbattista"/>
    <n v="3.8"/>
    <n v="1.6"/>
    <s v="Texas Sun"/>
    <s v="Khruangbin, Leon Bridges"/>
    <n v="5"/>
    <n v="3"/>
    <n v="5"/>
    <n v="1"/>
    <n v="5"/>
    <m/>
    <m/>
    <m/>
    <n v="5"/>
    <n v="1"/>
    <b v="0"/>
  </r>
  <r>
    <x v="119"/>
    <s v="currydestroyer27"/>
    <n v="3.4"/>
    <n v="1.4966629547095767"/>
    <s v="Treachery"/>
    <s v="Shiro SAGISU"/>
    <n v="3"/>
    <n v="5"/>
    <n v="3"/>
    <n v="5"/>
    <n v="1"/>
    <m/>
    <m/>
    <m/>
    <n v="4"/>
    <n v="1"/>
    <b v="0"/>
  </r>
  <r>
    <x v="120"/>
    <s v="alappatjoe"/>
    <n v="3"/>
    <n v="1.0954451150103321"/>
    <s v="Fireshaker"/>
    <s v="Maynard Ferguson"/>
    <n v="1"/>
    <n v="4"/>
    <n v="4"/>
    <n v="3"/>
    <n v="3"/>
    <m/>
    <m/>
    <m/>
    <n v="3"/>
    <n v="1"/>
    <b v="0"/>
  </r>
  <r>
    <x v="120"/>
    <s v="danram"/>
    <n v="4.2"/>
    <n v="0.9797958971132712"/>
    <s v="Love Like Woe"/>
    <s v="The Ready Set"/>
    <n v="5"/>
    <n v="3"/>
    <n v="3"/>
    <n v="5"/>
    <n v="5"/>
    <m/>
    <m/>
    <m/>
    <n v="5"/>
    <n v="1"/>
    <b v="0"/>
  </r>
  <r>
    <x v="120"/>
    <s v="loganworsdell"/>
    <n v="2.2000000000000002"/>
    <n v="0.9797958971132712"/>
    <s v="Tears On A Pretty Face"/>
    <s v="Kyle Dion"/>
    <n v="2"/>
    <n v="1"/>
    <n v="2"/>
    <n v="2"/>
    <n v="4"/>
    <m/>
    <m/>
    <m/>
    <n v="1"/>
    <n v="1"/>
    <b v="1"/>
  </r>
  <r>
    <x v="120"/>
    <s v="samuelbattista"/>
    <n v="3.4"/>
    <n v="1.6248076809271921"/>
    <s v="Good Lord Lorrie"/>
    <s v="Turnpike Troubadours"/>
    <n v="4"/>
    <n v="5"/>
    <n v="5"/>
    <n v="1"/>
    <n v="2"/>
    <m/>
    <m/>
    <m/>
    <n v="4"/>
    <n v="1"/>
    <b v="0"/>
  </r>
  <r>
    <x v="120"/>
    <s v="currydestroyer27"/>
    <n v="2.2000000000000002"/>
    <n v="1.1661903789690602"/>
    <s v="Love Me Again"/>
    <s v="John Newman"/>
    <n v="3"/>
    <n v="2"/>
    <n v="1"/>
    <n v="4"/>
    <n v="1"/>
    <m/>
    <m/>
    <m/>
    <n v="2"/>
    <n v="1"/>
    <b v="0"/>
  </r>
  <r>
    <x v="121"/>
    <s v="alappatjoe"/>
    <n v="1.8"/>
    <n v="0.74833147735478833"/>
    <s v="All Night Long"/>
    <s v="Lionel Richie"/>
    <n v="1"/>
    <n v="2"/>
    <n v="2"/>
    <n v="1"/>
    <n v="3"/>
    <m/>
    <m/>
    <m/>
    <n v="1"/>
    <n v="1"/>
    <b v="1"/>
  </r>
  <r>
    <x v="121"/>
    <s v="danram"/>
    <n v="3.2"/>
    <n v="1.1661903789690602"/>
    <s v="Lloraras"/>
    <s v="Dimension Latina, Oscar de Leon"/>
    <n v="3"/>
    <n v="1"/>
    <n v="4"/>
    <n v="4"/>
    <n v="4"/>
    <m/>
    <m/>
    <m/>
    <n v="3"/>
    <n v="1"/>
    <b v="0"/>
  </r>
  <r>
    <x v="121"/>
    <s v="loganworsdell"/>
    <n v="3.8"/>
    <n v="1.1661903789690602"/>
    <s v="You Light Up My Life"/>
    <s v="Debby Boone"/>
    <n v="4"/>
    <n v="3"/>
    <n v="5"/>
    <n v="5"/>
    <n v="2"/>
    <m/>
    <m/>
    <m/>
    <n v="4"/>
    <n v="1"/>
    <b v="0"/>
  </r>
  <r>
    <x v="121"/>
    <s v="samuelbattista"/>
    <n v="4"/>
    <n v="1.2649110640673518"/>
    <s v="From This Valley"/>
    <s v="The Civil Wars"/>
    <n v="5"/>
    <n v="5"/>
    <n v="3"/>
    <n v="2"/>
    <n v="5"/>
    <m/>
    <m/>
    <m/>
    <n v="5"/>
    <n v="1"/>
    <b v="0"/>
  </r>
  <r>
    <x v="121"/>
    <s v="currydestroyer27"/>
    <n v="2.2000000000000002"/>
    <n v="1.1661903789690602"/>
    <s v="Single Ladies (Put a Ring on It)"/>
    <s v="Beyoncé"/>
    <n v="2"/>
    <n v="4"/>
    <n v="1"/>
    <n v="3"/>
    <n v="1"/>
    <m/>
    <m/>
    <m/>
    <n v="2"/>
    <n v="1"/>
    <b v="0"/>
  </r>
  <r>
    <x v="122"/>
    <s v="alappatjoe"/>
    <n v="4.2"/>
    <n v="0.74833147735478833"/>
    <s v="Tu Vecina"/>
    <s v="Maluma, Ty Dolla $ign"/>
    <n v="3"/>
    <n v="4"/>
    <n v="5"/>
    <n v="5"/>
    <n v="4"/>
    <m/>
    <m/>
    <m/>
    <n v="5"/>
    <n v="1"/>
    <b v="0"/>
  </r>
  <r>
    <x v="122"/>
    <s v="danram"/>
    <n v="4"/>
    <n v="1.0954451150103321"/>
    <s v="Amor de Vago"/>
    <s v="La Ty La M, Malandro"/>
    <n v="5"/>
    <n v="2"/>
    <n v="4"/>
    <n v="4"/>
    <n v="5"/>
    <m/>
    <m/>
    <m/>
    <n v="4"/>
    <n v="1"/>
    <b v="0"/>
  </r>
  <r>
    <x v="122"/>
    <s v="loganworsdell"/>
    <n v="2.4"/>
    <n v="1.3564659966250536"/>
    <s v="Fkn Around"/>
    <s v="Phony Ppl, Megan Thee Stallion"/>
    <n v="1"/>
    <n v="5"/>
    <n v="2"/>
    <n v="2"/>
    <n v="2"/>
    <m/>
    <m/>
    <m/>
    <n v="3"/>
    <n v="1"/>
    <b v="0"/>
  </r>
  <r>
    <x v="122"/>
    <s v="samuelbattista"/>
    <n v="2.4"/>
    <n v="0.8"/>
    <s v="Pacific Ave"/>
    <s v="Pearl &amp; The Oysters"/>
    <n v="2"/>
    <n v="3"/>
    <n v="3"/>
    <n v="1"/>
    <n v="3"/>
    <m/>
    <m/>
    <m/>
    <n v="2"/>
    <n v="1"/>
    <b v="0"/>
  </r>
  <r>
    <x v="122"/>
    <s v="currydestroyer27"/>
    <n v="2"/>
    <n v="1.2649110640673518"/>
    <s v="Nights"/>
    <s v="Frank Ocean"/>
    <n v="4"/>
    <n v="1"/>
    <n v="1"/>
    <n v="3"/>
    <n v="1"/>
    <m/>
    <m/>
    <m/>
    <n v="1"/>
    <n v="1"/>
    <b v="1"/>
  </r>
  <r>
    <x v="123"/>
    <s v="alappatjoe"/>
    <n v="2.8"/>
    <n v="1.3266499161421599"/>
    <s v="Chantaje"/>
    <s v="Shakira, Maluma"/>
    <n v="1"/>
    <n v="2"/>
    <n v="3"/>
    <n v="5"/>
    <n v="3"/>
    <m/>
    <m/>
    <m/>
    <n v="2"/>
    <n v="1"/>
    <b v="0"/>
  </r>
  <r>
    <x v="123"/>
    <s v="danram"/>
    <n v="1.6"/>
    <n v="0.8"/>
    <s v="Float On"/>
    <s v="Modest Mouse"/>
    <n v="3"/>
    <n v="1"/>
    <n v="1"/>
    <n v="1"/>
    <n v="2"/>
    <m/>
    <m/>
    <m/>
    <n v="1"/>
    <n v="1"/>
    <b v="1"/>
  </r>
  <r>
    <x v="123"/>
    <s v="loganworsdell"/>
    <n v="3.2"/>
    <n v="1.1661903789690602"/>
    <s v="Pudgy"/>
    <s v="Smino, Lil Uzi Vert"/>
    <n v="2"/>
    <n v="5"/>
    <n v="2"/>
    <n v="3"/>
    <n v="4"/>
    <m/>
    <m/>
    <m/>
    <n v="3"/>
    <n v="1"/>
    <b v="0"/>
  </r>
  <r>
    <x v="123"/>
    <s v="samuelbattista"/>
    <n v="4"/>
    <n v="1.0954451150103321"/>
    <s v="Dawn"/>
    <s v="Vulfmon, Jacob Jeffries, Harrison Whitford"/>
    <n v="4"/>
    <n v="4"/>
    <n v="5"/>
    <n v="2"/>
    <n v="5"/>
    <m/>
    <m/>
    <m/>
    <n v="5"/>
    <n v="1"/>
    <b v="0"/>
  </r>
  <r>
    <x v="123"/>
    <s v="currydestroyer27"/>
    <n v="3.4"/>
    <n v="1.3564659966250536"/>
    <s v="A N X I E T Y"/>
    <s v="Sleepy Hallow, Doechii"/>
    <n v="5"/>
    <n v="3"/>
    <n v="4"/>
    <n v="4"/>
    <n v="1"/>
    <m/>
    <m/>
    <m/>
    <n v="4"/>
    <n v="1"/>
    <b v="0"/>
  </r>
  <r>
    <x v="124"/>
    <s v="alappatjoe"/>
    <n v="2.4"/>
    <n v="1.3564659966250536"/>
    <s v="The Show Goes On"/>
    <s v="Lupe Fiasco"/>
    <n v="1"/>
    <n v="4"/>
    <n v="1"/>
    <n v="4"/>
    <n v="2"/>
    <m/>
    <m/>
    <m/>
    <n v="2"/>
    <n v="1"/>
    <b v="0"/>
  </r>
  <r>
    <x v="124"/>
    <s v="danram"/>
    <n v="4"/>
    <n v="1.2649110640673518"/>
    <s v="Razorblade"/>
    <s v="The Strokes"/>
    <n v="5"/>
    <n v="2"/>
    <n v="5"/>
    <n v="3"/>
    <n v="5"/>
    <m/>
    <m/>
    <m/>
    <n v="5"/>
    <n v="1"/>
    <b v="0"/>
  </r>
  <r>
    <x v="124"/>
    <s v="loganworsdell"/>
    <n v="3.6"/>
    <n v="1.2"/>
    <s v="Porcelain"/>
    <s v="JoJo"/>
    <n v="2"/>
    <n v="5"/>
    <n v="3"/>
    <n v="5"/>
    <n v="3"/>
    <m/>
    <m/>
    <m/>
    <n v="4"/>
    <n v="1"/>
    <b v="0"/>
  </r>
  <r>
    <x v="124"/>
    <s v="samuelbattista"/>
    <n v="3.2"/>
    <n v="1.1661903789690602"/>
    <s v="Gila Monster"/>
    <s v="King Gizzard &amp; The Lizard Wizard"/>
    <n v="4"/>
    <n v="3"/>
    <n v="4"/>
    <n v="1"/>
    <n v="4"/>
    <m/>
    <m/>
    <m/>
    <n v="3"/>
    <n v="1"/>
    <b v="0"/>
  </r>
  <r>
    <x v="124"/>
    <s v="currydestroyer27"/>
    <n v="1.8"/>
    <n v="0.74833147735478833"/>
    <n v="90210"/>
    <s v="Travis Scott, Kacy Hill"/>
    <n v="3"/>
    <n v="1"/>
    <n v="2"/>
    <n v="2"/>
    <n v="1"/>
    <m/>
    <m/>
    <m/>
    <n v="1"/>
    <n v="1"/>
    <b v="1"/>
  </r>
  <r>
    <x v="125"/>
    <s v="alappatjoe"/>
    <n v="3.8"/>
    <n v="1.4696938456699069"/>
    <s v="Aang (The Avatar State)"/>
    <s v="Jeremy Zuckerman"/>
    <n v="1"/>
    <n v="5"/>
    <n v="4"/>
    <n v="5"/>
    <n v="4"/>
    <m/>
    <m/>
    <m/>
    <n v="5"/>
    <n v="1"/>
    <b v="0"/>
  </r>
  <r>
    <x v="125"/>
    <s v="danram"/>
    <n v="3.6"/>
    <n v="1.7435595774162693"/>
    <s v="Goalkeeper"/>
    <s v="Chinese Football"/>
    <n v="5"/>
    <n v="1"/>
    <n v="5"/>
    <n v="2"/>
    <n v="5"/>
    <m/>
    <m/>
    <m/>
    <n v="4"/>
    <n v="1"/>
    <b v="0"/>
  </r>
  <r>
    <x v="125"/>
    <s v="loganworsdell"/>
    <n v="2.4"/>
    <n v="0.4898979485566356"/>
    <s v="Cold Blooded"/>
    <s v="ZHU"/>
    <n v="3"/>
    <n v="2"/>
    <n v="2"/>
    <n v="3"/>
    <n v="2"/>
    <m/>
    <m/>
    <m/>
    <n v="2"/>
    <n v="1"/>
    <b v="0"/>
  </r>
  <r>
    <x v="125"/>
    <s v="samuelbattista"/>
    <n v="2.2000000000000002"/>
    <n v="1.1661903789690602"/>
    <s v="Giddy Up"/>
    <s v="Ginger Root"/>
    <n v="2"/>
    <n v="4"/>
    <n v="1"/>
    <n v="1"/>
    <n v="3"/>
    <m/>
    <m/>
    <m/>
    <n v="1"/>
    <n v="1"/>
    <b v="1"/>
  </r>
  <r>
    <x v="125"/>
    <s v="currydestroyer27"/>
    <n v="3"/>
    <n v="1.0954451150103321"/>
    <s v="Who You Foolin"/>
    <s v="Gunna"/>
    <n v="4"/>
    <n v="3"/>
    <n v="3"/>
    <n v="4"/>
    <n v="1"/>
    <m/>
    <m/>
    <m/>
    <n v="3"/>
    <n v="1"/>
    <b v="0"/>
  </r>
  <r>
    <x v="126"/>
    <s v="alappatjoe"/>
    <n v="3.4"/>
    <n v="1.3564659966250536"/>
    <s v="chess (slowed)"/>
    <s v="joyful"/>
    <n v="1"/>
    <n v="3"/>
    <n v="4"/>
    <n v="5"/>
    <n v="4"/>
    <m/>
    <m/>
    <m/>
    <n v="4"/>
    <n v="1"/>
    <b v="0"/>
  </r>
  <r>
    <x v="126"/>
    <s v="danram"/>
    <n v="4.5999999999999996"/>
    <n v="0.4898979485566356"/>
    <s v="Venezuela Riddim"/>
    <s v="Hak Baker"/>
    <n v="5"/>
    <n v="4"/>
    <n v="5"/>
    <n v="4"/>
    <n v="5"/>
    <m/>
    <m/>
    <m/>
    <n v="5"/>
    <n v="1"/>
    <b v="0"/>
  </r>
  <r>
    <x v="126"/>
    <s v="loganworsdell"/>
    <n v="1.8"/>
    <n v="0.74833147735478833"/>
    <s v="MUTT"/>
    <s v="Leon Thomas"/>
    <n v="3"/>
    <n v="1"/>
    <n v="1"/>
    <n v="2"/>
    <n v="2"/>
    <m/>
    <m/>
    <m/>
    <n v="1"/>
    <n v="1"/>
    <b v="1"/>
  </r>
  <r>
    <x v="126"/>
    <s v="samuelbattista"/>
    <n v="2.6"/>
    <n v="1.019803902718557"/>
    <s v="Hymn For A Droid"/>
    <s v="Psychedelic Porn Crumpets"/>
    <n v="4"/>
    <n v="2"/>
    <n v="3"/>
    <n v="1"/>
    <n v="3"/>
    <m/>
    <m/>
    <m/>
    <n v="2"/>
    <n v="1"/>
    <b v="0"/>
  </r>
  <r>
    <x v="126"/>
    <s v="currydestroyer27"/>
    <n v="2.6"/>
    <n v="1.3564659966250536"/>
    <s v="Messy"/>
    <s v="Lola Young"/>
    <n v="2"/>
    <n v="5"/>
    <n v="2"/>
    <n v="3"/>
    <n v="1"/>
    <m/>
    <m/>
    <m/>
    <n v="3"/>
    <n v="1"/>
    <b v="0"/>
  </r>
  <r>
    <x v="127"/>
    <s v="alappatjoe"/>
    <n v="3.4"/>
    <n v="1.6248076809271921"/>
    <s v="Elf"/>
    <s v="Ado"/>
    <n v="1"/>
    <n v="5"/>
    <n v="4"/>
    <n v="5"/>
    <n v="2"/>
    <m/>
    <m/>
    <m/>
    <n v="4"/>
    <n v="1"/>
    <b v="0"/>
  </r>
  <r>
    <x v="127"/>
    <s v="danram"/>
    <n v="3"/>
    <n v="1.4142135623730951"/>
    <s v="Anders"/>
    <s v="01099"/>
    <n v="5"/>
    <n v="1"/>
    <n v="2"/>
    <n v="3"/>
    <n v="4"/>
    <m/>
    <m/>
    <m/>
    <n v="3"/>
    <n v="1"/>
    <b v="0"/>
  </r>
  <r>
    <x v="127"/>
    <s v="loganworsdell"/>
    <n v="2.2000000000000002"/>
    <n v="0.74833147735478833"/>
    <s v="Stay Right Here"/>
    <s v="Saba, Xavier Omär, Mick Jenkins"/>
    <n v="3"/>
    <n v="2"/>
    <n v="1"/>
    <n v="2"/>
    <n v="3"/>
    <m/>
    <m/>
    <m/>
    <n v="1"/>
    <n v="1"/>
    <b v="1"/>
  </r>
  <r>
    <x v="127"/>
    <s v="samuelbattista"/>
    <n v="3.6"/>
    <n v="1.4966629547095767"/>
    <s v="Bound and Determined"/>
    <s v="Nick Shoulders"/>
    <n v="4"/>
    <n v="3"/>
    <n v="5"/>
    <n v="1"/>
    <n v="5"/>
    <m/>
    <m/>
    <m/>
    <n v="5"/>
    <n v="1"/>
    <b v="0"/>
  </r>
  <r>
    <x v="127"/>
    <s v="currydestroyer27"/>
    <n v="2.8"/>
    <n v="1.1661903789690602"/>
    <s v="Real Man"/>
    <s v="beabadoobee"/>
    <n v="2"/>
    <n v="4"/>
    <n v="3"/>
    <n v="4"/>
    <n v="1"/>
    <m/>
    <m/>
    <m/>
    <n v="2"/>
    <n v="1"/>
    <b v="0"/>
  </r>
  <r>
    <x v="128"/>
    <s v="alappatjoe"/>
    <n v="1.4"/>
    <n v="0.4898979485566356"/>
    <s v="星屑のパイプライン"/>
    <s v="Junk Fujiyama"/>
    <n v="1"/>
    <n v="1"/>
    <n v="2"/>
    <n v="1"/>
    <n v="2"/>
    <m/>
    <m/>
    <m/>
    <n v="1"/>
    <n v="1"/>
    <b v="1"/>
  </r>
  <r>
    <x v="128"/>
    <s v="danram"/>
    <n v="3.6"/>
    <n v="1.019803902718557"/>
    <s v="Robbery"/>
    <s v="Juice WRLD"/>
    <n v="5"/>
    <n v="2"/>
    <n v="4"/>
    <n v="4"/>
    <n v="3"/>
    <m/>
    <m/>
    <m/>
    <n v="4"/>
    <n v="1"/>
    <b v="0"/>
  </r>
  <r>
    <x v="128"/>
    <s v="loganworsdell"/>
    <n v="3"/>
    <n v="1.0954451150103321"/>
    <s v="How This Feels"/>
    <s v="R.LUM.R"/>
    <n v="3"/>
    <n v="4"/>
    <n v="1"/>
    <n v="3"/>
    <n v="4"/>
    <m/>
    <m/>
    <m/>
    <n v="3"/>
    <n v="1"/>
    <b v="0"/>
  </r>
  <r>
    <x v="128"/>
    <s v="samuelbattista"/>
    <n v="4.2"/>
    <n v="1.1661903789690602"/>
    <s v="Cowboys Are Frequently Secretley Fond of Each Other"/>
    <s v="Willie Nelson"/>
    <n v="4"/>
    <n v="5"/>
    <n v="5"/>
    <n v="2"/>
    <n v="5"/>
    <m/>
    <m/>
    <m/>
    <n v="5"/>
    <n v="1"/>
    <b v="0"/>
  </r>
  <r>
    <x v="128"/>
    <s v="currydestroyer27"/>
    <n v="2.8"/>
    <n v="1.3266499161421599"/>
    <s v="Remembering"/>
    <s v="Jean du Voyage, anais"/>
    <n v="2"/>
    <n v="3"/>
    <n v="3"/>
    <n v="5"/>
    <n v="1"/>
    <m/>
    <m/>
    <m/>
    <n v="2"/>
    <n v="1"/>
    <b v="0"/>
  </r>
  <r>
    <x v="129"/>
    <s v="alappatjoe"/>
    <n v="3.4"/>
    <n v="1.6248076809271921"/>
    <s v="Eterna Forest"/>
    <s v="insaneintherainmusic"/>
    <n v="1"/>
    <n v="5"/>
    <n v="5"/>
    <n v="2"/>
    <n v="4"/>
    <m/>
    <m/>
    <m/>
    <n v="4"/>
    <n v="1"/>
    <b v="0"/>
  </r>
  <r>
    <x v="129"/>
    <s v="danram"/>
    <n v="3.6"/>
    <n v="1.3564659966250536"/>
    <s v="Jump up Super Star"/>
    <s v="The 8-Bit Big Band, Grace Kelly"/>
    <n v="2"/>
    <n v="2"/>
    <n v="4"/>
    <n v="5"/>
    <n v="5"/>
    <m/>
    <m/>
    <m/>
    <n v="5"/>
    <n v="1"/>
    <b v="0"/>
  </r>
  <r>
    <x v="129"/>
    <s v="loganworsdell"/>
    <n v="2.6"/>
    <n v="1.019803902718557"/>
    <s v="Theme of Sand Ruins"/>
    <s v="SEGA SOUND TEAM"/>
    <n v="3"/>
    <n v="3"/>
    <n v="1"/>
    <n v="4"/>
    <n v="2"/>
    <m/>
    <m/>
    <m/>
    <n v="2"/>
    <n v="1"/>
    <b v="0"/>
  </r>
  <r>
    <x v="129"/>
    <s v="samuelbattista"/>
    <n v="3.2"/>
    <n v="1.3266499161421599"/>
    <s v="Dragonborn"/>
    <s v="Jeremy Soule"/>
    <n v="5"/>
    <n v="4"/>
    <n v="3"/>
    <n v="1"/>
    <n v="3"/>
    <m/>
    <m/>
    <m/>
    <n v="3"/>
    <n v="1"/>
    <b v="0"/>
  </r>
  <r>
    <x v="129"/>
    <s v="currydestroyer27"/>
    <n v="2.2000000000000002"/>
    <n v="1.1661903789690602"/>
    <s v="スパイラル"/>
    <s v="KANA-BOON"/>
    <n v="4"/>
    <n v="1"/>
    <n v="2"/>
    <n v="3"/>
    <n v="1"/>
    <m/>
    <m/>
    <m/>
    <n v="1"/>
    <n v="1"/>
    <b v="1"/>
  </r>
  <r>
    <x v="130"/>
    <s v="alappatjoe"/>
    <n v="2.8"/>
    <n v="1.833030277982336"/>
    <s v="The Unseen Ones"/>
    <s v="Darren Korb, Masahiro Aoki, daisuke kurosawa"/>
    <n v="1"/>
    <n v="5"/>
    <n v="5"/>
    <n v="2"/>
    <n v="1"/>
    <m/>
    <m/>
    <m/>
    <n v="3"/>
    <n v="1"/>
    <b v="0"/>
  </r>
  <r>
    <x v="130"/>
    <s v="danram"/>
    <n v="3.2"/>
    <n v="0.74833147735478833"/>
    <s v="Saint Pablo"/>
    <s v="Kanye West"/>
    <n v="4"/>
    <n v="2"/>
    <n v="3"/>
    <n v="4"/>
    <n v="3"/>
    <m/>
    <m/>
    <m/>
    <n v="4"/>
    <n v="1"/>
    <b v="0"/>
  </r>
  <r>
    <x v="130"/>
    <s v="loganworsdell"/>
    <n v="4.2"/>
    <n v="1.1661903789690602"/>
    <s v="First"/>
    <s v="Rose Gray"/>
    <n v="5"/>
    <n v="4"/>
    <n v="2"/>
    <n v="5"/>
    <n v="5"/>
    <m/>
    <m/>
    <m/>
    <n v="5"/>
    <n v="1"/>
    <b v="0"/>
  </r>
  <r>
    <x v="130"/>
    <s v="samuelbattista"/>
    <n v="2"/>
    <n v="1.2649110640673518"/>
    <s v="bitter"/>
    <s v="Internet Girl, Payday"/>
    <n v="3"/>
    <n v="1"/>
    <n v="1"/>
    <n v="1"/>
    <n v="4"/>
    <m/>
    <m/>
    <m/>
    <n v="1"/>
    <n v="1"/>
    <b v="1"/>
  </r>
  <r>
    <x v="130"/>
    <s v="currydestroyer27"/>
    <n v="2.8"/>
    <n v="0.74833147735478833"/>
    <s v="No More Parties In LA"/>
    <s v="Kanye West"/>
    <n v="2"/>
    <n v="3"/>
    <n v="4"/>
    <n v="3"/>
    <n v="2"/>
    <m/>
    <m/>
    <m/>
    <n v="2"/>
    <n v="1"/>
    <b v="0"/>
  </r>
  <r>
    <x v="131"/>
    <s v="alappatjoe"/>
    <n v="3.4"/>
    <n v="1.6248076809271921"/>
    <s v="I Wanna Dance with Somebody"/>
    <s v="Whitney Houston"/>
    <n v="1"/>
    <n v="4"/>
    <n v="5"/>
    <n v="5"/>
    <n v="2"/>
    <m/>
    <m/>
    <m/>
    <n v="5"/>
    <n v="1"/>
    <b v="0"/>
  </r>
  <r>
    <x v="131"/>
    <s v="danram"/>
    <n v="2.8"/>
    <n v="1.1661903789690602"/>
    <s v="Augenblick"/>
    <s v="01099, Gustav, Paul"/>
    <n v="4"/>
    <n v="1"/>
    <n v="3"/>
    <n v="2"/>
    <n v="4"/>
    <m/>
    <m/>
    <m/>
    <n v="2"/>
    <n v="1"/>
    <b v="0"/>
  </r>
  <r>
    <x v="131"/>
    <s v="loganworsdell"/>
    <n v="3"/>
    <n v="1.0954451150103321"/>
    <s v="DIORAMA"/>
    <s v="Yves"/>
    <n v="2"/>
    <n v="3"/>
    <n v="2"/>
    <n v="3"/>
    <n v="5"/>
    <m/>
    <m/>
    <m/>
    <n v="3"/>
    <n v="1"/>
    <b v="0"/>
  </r>
  <r>
    <x v="131"/>
    <s v="samuelbattista"/>
    <n v="2.4"/>
    <n v="1.4966629547095767"/>
    <s v="burbank house"/>
    <s v="tsubi club"/>
    <n v="5"/>
    <n v="2"/>
    <n v="1"/>
    <n v="1"/>
    <n v="3"/>
    <m/>
    <m/>
    <m/>
    <n v="1"/>
    <n v="1"/>
    <b v="1"/>
  </r>
  <r>
    <x v="131"/>
    <s v="currydestroyer27"/>
    <n v="3.4"/>
    <n v="1.3564659966250536"/>
    <s v="Arm's Length"/>
    <s v="Kacy Hill"/>
    <n v="3"/>
    <n v="5"/>
    <n v="4"/>
    <n v="4"/>
    <n v="1"/>
    <m/>
    <m/>
    <m/>
    <n v="4"/>
    <n v="1"/>
    <b v="0"/>
  </r>
  <r>
    <x v="132"/>
    <s v="alappatjoe"/>
    <n v="2.4"/>
    <n v="1.019803902718557"/>
    <s v="Born Again"/>
    <s v="LISA, Doja Cat, RAYE"/>
    <n v="1"/>
    <n v="3"/>
    <n v="4"/>
    <n v="2"/>
    <n v="2"/>
    <m/>
    <m/>
    <m/>
    <n v="1"/>
    <n v="1"/>
    <b v="1"/>
  </r>
  <r>
    <x v="132"/>
    <s v="danram"/>
    <n v="2.8"/>
    <n v="1.1661903789690602"/>
    <s v="XO Tour Life"/>
    <s v="Lil Uzi Vert"/>
    <n v="2"/>
    <n v="2"/>
    <n v="2"/>
    <n v="3"/>
    <n v="5"/>
    <m/>
    <m/>
    <m/>
    <n v="3"/>
    <n v="1"/>
    <b v="0"/>
  </r>
  <r>
    <x v="132"/>
    <s v="loganworsdell"/>
    <n v="3.8"/>
    <n v="0.74833147735478833"/>
    <s v="Father, Father "/>
    <s v="Jay Prince"/>
    <n v="3"/>
    <n v="5"/>
    <n v="3"/>
    <n v="4"/>
    <n v="4"/>
    <m/>
    <m/>
    <m/>
    <n v="5"/>
    <n v="1"/>
    <b v="0"/>
  </r>
  <r>
    <x v="132"/>
    <s v="samuelbattista"/>
    <n v="3.6"/>
    <n v="1.4966629547095767"/>
    <s v="Scene Seven: The Dance of Eternity"/>
    <s v="Dream Theater"/>
    <n v="5"/>
    <n v="4"/>
    <n v="5"/>
    <n v="1"/>
    <n v="3"/>
    <m/>
    <m/>
    <m/>
    <n v="4"/>
    <n v="1"/>
    <b v="0"/>
  </r>
  <r>
    <x v="132"/>
    <s v="currydestroyer27"/>
    <n v="2.4"/>
    <n v="1.7435595774162693"/>
    <s v="Escapism."/>
    <s v="RAYE, 070 Shake"/>
    <n v="4"/>
    <n v="1"/>
    <n v="1"/>
    <n v="5"/>
    <n v="1"/>
    <m/>
    <m/>
    <m/>
    <n v="2"/>
    <n v="1"/>
    <b v="0"/>
  </r>
  <r>
    <x v="133"/>
    <s v="alappatjoe"/>
    <n v="3.4"/>
    <n v="1.3564659966250536"/>
    <s v="Đừng Làm Trái Tim Anh Đau"/>
    <s v="Sơn Tùng M-TP"/>
    <n v="1"/>
    <n v="3"/>
    <n v="4"/>
    <n v="4"/>
    <n v="5"/>
    <m/>
    <m/>
    <m/>
    <n v="4"/>
    <n v="1"/>
    <b v="0"/>
  </r>
  <r>
    <x v="133"/>
    <s v="danram"/>
    <n v="3.2"/>
    <n v="1.6"/>
    <s v="Chịu Cách Mình Nói Thua"/>
    <s v="RHYDER, CoolKid, BAN"/>
    <n v="5"/>
    <n v="1"/>
    <n v="3"/>
    <n v="5"/>
    <n v="2"/>
    <m/>
    <m/>
    <m/>
    <n v="3"/>
    <n v="1"/>
    <b v="0"/>
  </r>
  <r>
    <x v="133"/>
    <s v="loganworsdell"/>
    <n v="2.4"/>
    <n v="1.019803902718557"/>
    <s v="shhhhhhh..."/>
    <s v="WEAN, tlinh"/>
    <n v="2"/>
    <n v="4"/>
    <n v="1"/>
    <n v="2"/>
    <n v="3"/>
    <m/>
    <m/>
    <m/>
    <n v="1"/>
    <n v="1"/>
    <b v="1"/>
  </r>
  <r>
    <x v="133"/>
    <s v="samuelbattista"/>
    <n v="3.6"/>
    <n v="1.4966629547095767"/>
    <s v="Có Đôi Điều"/>
    <s v="Shiki"/>
    <n v="3"/>
    <n v="5"/>
    <n v="5"/>
    <n v="1"/>
    <n v="4"/>
    <m/>
    <m/>
    <m/>
    <n v="5"/>
    <n v="1"/>
    <b v="0"/>
  </r>
  <r>
    <x v="133"/>
    <s v="currydestroyer27"/>
    <n v="2.4"/>
    <n v="1.019803902718557"/>
    <s v="Hẹn Gặp Em Dưới Ánh Trăng"/>
    <s v="HIEUTHUHAI, HURRYKNG, MANBO"/>
    <n v="4"/>
    <n v="2"/>
    <n v="2"/>
    <n v="3"/>
    <n v="1"/>
    <m/>
    <m/>
    <m/>
    <n v="1"/>
    <n v="2"/>
    <b v="0"/>
  </r>
  <r>
    <x v="134"/>
    <s v="alappatjoe"/>
    <n v="3"/>
    <n v="1.7888543819998317"/>
    <s v="New Beastly"/>
    <s v="Vulfpeck"/>
    <n v="1"/>
    <n v="5"/>
    <n v="5"/>
    <n v="1"/>
    <n v="3"/>
    <m/>
    <m/>
    <m/>
    <n v="4"/>
    <n v="1"/>
    <b v="0"/>
  </r>
  <r>
    <x v="134"/>
    <s v="danram"/>
    <n v="2.4"/>
    <n v="1.3564659966250536"/>
    <s v="Locked out of Heaven"/>
    <s v="Bruno Mars"/>
    <n v="2"/>
    <n v="1"/>
    <n v="2"/>
    <n v="5"/>
    <n v="2"/>
    <m/>
    <m/>
    <m/>
    <n v="1"/>
    <n v="1"/>
    <b v="1"/>
  </r>
  <r>
    <x v="134"/>
    <s v="loganworsdell"/>
    <n v="3"/>
    <n v="1.0954451150103321"/>
    <s v="Ex 2See Me Cry"/>
    <s v="Downtown Kayoto"/>
    <n v="4"/>
    <n v="3"/>
    <n v="1"/>
    <n v="3"/>
    <n v="4"/>
    <m/>
    <m/>
    <m/>
    <n v="3"/>
    <n v="1"/>
    <b v="0"/>
  </r>
  <r>
    <x v="134"/>
    <s v="samuelbattista"/>
    <n v="4"/>
    <n v="1.0954451150103321"/>
    <s v="12th Street Rag"/>
    <s v="Roy Smack"/>
    <n v="5"/>
    <n v="4"/>
    <n v="4"/>
    <n v="2"/>
    <n v="5"/>
    <m/>
    <m/>
    <m/>
    <n v="5"/>
    <n v="1"/>
    <b v="0"/>
  </r>
  <r>
    <x v="134"/>
    <s v="currydestroyer27"/>
    <n v="2.6"/>
    <n v="1.019803902718557"/>
    <s v="Just The Way You Are"/>
    <s v="Bruno Mars"/>
    <n v="3"/>
    <n v="2"/>
    <n v="3"/>
    <n v="4"/>
    <n v="1"/>
    <m/>
    <m/>
    <m/>
    <n v="2"/>
    <n v="1"/>
    <b v="0"/>
  </r>
  <r>
    <x v="135"/>
    <s v="alappatjoe"/>
    <n v="3.8"/>
    <n v="0.9797958971132712"/>
    <s v="Dumb"/>
    <s v="Tyga, Big Sean, Flo Milli"/>
    <n v="2"/>
    <n v="5"/>
    <n v="4"/>
    <n v="4"/>
    <n v="4"/>
    <m/>
    <m/>
    <m/>
    <n v="4"/>
    <n v="1"/>
    <b v="0"/>
  </r>
  <r>
    <x v="135"/>
    <s v="danram"/>
    <n v="4.4000000000000004"/>
    <n v="1.2"/>
    <s v="Words2LiveBy"/>
    <s v="El Cousteau, Earl Sweatshirt"/>
    <n v="5"/>
    <n v="2"/>
    <n v="5"/>
    <n v="5"/>
    <n v="5"/>
    <m/>
    <m/>
    <m/>
    <n v="5"/>
    <n v="1"/>
    <b v="0"/>
  </r>
  <r>
    <x v="135"/>
    <s v="loganworsdell"/>
    <n v="2.4"/>
    <n v="1.019803902718557"/>
    <s v="still"/>
    <s v="bbno$"/>
    <n v="3"/>
    <n v="4"/>
    <n v="1"/>
    <n v="2"/>
    <n v="2"/>
    <m/>
    <m/>
    <m/>
    <n v="2"/>
    <n v="1"/>
    <b v="0"/>
  </r>
  <r>
    <x v="135"/>
    <s v="samuelbattista"/>
    <n v="2.6"/>
    <n v="1.019803902718557"/>
    <s v="Cut the Grass Before the World Ends"/>
    <s v="Neighbor Susan"/>
    <n v="4"/>
    <n v="3"/>
    <n v="2"/>
    <n v="1"/>
    <n v="3"/>
    <m/>
    <m/>
    <m/>
    <n v="3"/>
    <n v="1"/>
    <b v="0"/>
  </r>
  <r>
    <x v="135"/>
    <s v="currydestroyer27"/>
    <n v="1.8"/>
    <n v="0.9797958971132712"/>
    <s v="Senorita"/>
    <s v="Hrithik Roshan, Maria Del Mar Fernandez, Farhan Akhtar, Abhay Deol"/>
    <n v="1"/>
    <n v="1"/>
    <n v="3"/>
    <n v="3"/>
    <n v="1"/>
    <m/>
    <m/>
    <m/>
    <n v="1"/>
    <n v="1"/>
    <b v="1"/>
  </r>
  <r>
    <x v="136"/>
    <s v="alappatjoe"/>
    <n v="1.8"/>
    <n v="0.9797958971132712"/>
    <s v="Supernova"/>
    <s v="WIM"/>
    <n v="1"/>
    <n v="3"/>
    <n v="1"/>
    <n v="1"/>
    <n v="3"/>
    <m/>
    <m/>
    <m/>
    <n v="1"/>
    <n v="1"/>
    <b v="1"/>
  </r>
  <r>
    <x v="136"/>
    <s v="danram"/>
    <n v="2"/>
    <n v="0.63245553203367588"/>
    <s v="Crooked Smile"/>
    <s v="J Cole"/>
    <n v="3"/>
    <n v="1"/>
    <n v="2"/>
    <n v="2"/>
    <n v="2"/>
    <m/>
    <m/>
    <m/>
    <n v="2"/>
    <n v="1"/>
    <b v="0"/>
  </r>
  <r>
    <x v="136"/>
    <s v="loganworsdell"/>
    <n v="4.2"/>
    <n v="0.74833147735478833"/>
    <s v="T.O.P"/>
    <s v="G Herbo, 21 Savage"/>
    <n v="5"/>
    <n v="4"/>
    <n v="3"/>
    <n v="5"/>
    <n v="4"/>
    <m/>
    <m/>
    <m/>
    <n v="5"/>
    <n v="1"/>
    <b v="0"/>
  </r>
  <r>
    <x v="136"/>
    <s v="samuelbattista"/>
    <n v="4"/>
    <n v="1.2649110640673518"/>
    <s v="Escape (The Pina Colada Song)"/>
    <s v="Rupert Holmes"/>
    <n v="2"/>
    <n v="5"/>
    <n v="5"/>
    <n v="3"/>
    <n v="5"/>
    <m/>
    <m/>
    <m/>
    <n v="4"/>
    <n v="1"/>
    <b v="0"/>
  </r>
  <r>
    <x v="136"/>
    <s v="currydestroyer27"/>
    <n v="3"/>
    <n v="1.2649110640673518"/>
    <s v="Thought I Was Dead"/>
    <s v="Tyler, The Creator, Santigold, ScHoolboy Q"/>
    <n v="4"/>
    <n v="2"/>
    <n v="4"/>
    <n v="4"/>
    <n v="1"/>
    <m/>
    <m/>
    <m/>
    <n v="3"/>
    <n v="1"/>
    <b v="0"/>
  </r>
  <r>
    <x v="137"/>
    <s v="alappatjoe"/>
    <n v="3.6"/>
    <n v="1.7435595774162693"/>
    <s v="残酷な天使のテーゼ"/>
    <s v="Yoko Takahashi"/>
    <n v="1"/>
    <n v="5"/>
    <n v="5"/>
    <n v="5"/>
    <n v="2"/>
    <m/>
    <m/>
    <m/>
    <n v="5"/>
    <n v="1"/>
    <b v="0"/>
  </r>
  <r>
    <x v="137"/>
    <s v="danram"/>
    <n v="3.6"/>
    <n v="0.4898979485566356"/>
    <s v="Juicy"/>
    <s v="Biggie Smalls"/>
    <n v="3"/>
    <n v="3"/>
    <n v="4"/>
    <n v="4"/>
    <n v="4"/>
    <m/>
    <m/>
    <m/>
    <n v="4"/>
    <n v="1"/>
    <b v="0"/>
  </r>
  <r>
    <x v="137"/>
    <s v="loganworsdell"/>
    <n v="3"/>
    <n v="1.2649110640673518"/>
    <s v="Check the Rhime"/>
    <s v="A Tribe Called Quest"/>
    <n v="2"/>
    <n v="4"/>
    <n v="2"/>
    <n v="2"/>
    <n v="5"/>
    <m/>
    <m/>
    <m/>
    <n v="3"/>
    <n v="1"/>
    <b v="0"/>
  </r>
  <r>
    <x v="137"/>
    <s v="samuelbattista"/>
    <n v="2.8"/>
    <n v="1.3266499161421599"/>
    <s v="Bullet With Butterfly Wings"/>
    <s v="The Smashing Pumpkins"/>
    <n v="5"/>
    <n v="2"/>
    <n v="3"/>
    <n v="1"/>
    <n v="3"/>
    <m/>
    <m/>
    <m/>
    <n v="2"/>
    <n v="1"/>
    <b v="0"/>
  </r>
  <r>
    <x v="137"/>
    <s v="currydestroyer27"/>
    <n v="2"/>
    <n v="1.2649110640673518"/>
    <s v="Smells Like Teen Spirit"/>
    <s v="Nirvana"/>
    <n v="4"/>
    <n v="1"/>
    <n v="1"/>
    <n v="3"/>
    <n v="1"/>
    <m/>
    <m/>
    <m/>
    <n v="1"/>
    <n v="1"/>
    <b v="1"/>
  </r>
  <r>
    <x v="138"/>
    <s v="alappatjoe"/>
    <n v="3"/>
    <n v="1.2649110640673518"/>
    <s v="Fantasy"/>
    <s v="Mariah Carey"/>
    <n v="1"/>
    <n v="4"/>
    <n v="2"/>
    <n v="4"/>
    <n v="4"/>
    <m/>
    <m/>
    <m/>
    <n v="3"/>
    <n v="1"/>
    <b v="0"/>
  </r>
  <r>
    <x v="138"/>
    <s v="danram"/>
    <n v="3.8"/>
    <n v="1.6"/>
    <s v="Nokia"/>
    <s v="Drake"/>
    <n v="5"/>
    <n v="1"/>
    <n v="5"/>
    <n v="5"/>
    <n v="3"/>
    <m/>
    <m/>
    <m/>
    <n v="5"/>
    <n v="1"/>
    <b v="0"/>
  </r>
  <r>
    <x v="138"/>
    <s v="loganworsdell"/>
    <n v="3.8"/>
    <n v="1.1661903789690602"/>
    <s v="Inside Out"/>
    <s v="keshi"/>
    <n v="4"/>
    <n v="5"/>
    <n v="3"/>
    <n v="2"/>
    <n v="5"/>
    <m/>
    <m/>
    <m/>
    <n v="4"/>
    <n v="1"/>
    <b v="0"/>
  </r>
  <r>
    <x v="138"/>
    <s v="samuelbattista"/>
    <n v="2.2000000000000002"/>
    <n v="0.9797958971132712"/>
    <s v="Busy Woman"/>
    <s v="Sabrina Carpenter"/>
    <n v="2"/>
    <n v="2"/>
    <n v="4"/>
    <n v="1"/>
    <n v="2"/>
    <m/>
    <m/>
    <m/>
    <n v="1"/>
    <n v="1"/>
    <b v="1"/>
  </r>
  <r>
    <x v="138"/>
    <s v="currydestroyer27"/>
    <n v="2.2000000000000002"/>
    <n v="0.9797958971132712"/>
    <s v="Saturday Nights"/>
    <s v="Inoha"/>
    <n v="3"/>
    <n v="3"/>
    <n v="1"/>
    <n v="3"/>
    <n v="1"/>
    <m/>
    <m/>
    <m/>
    <n v="1"/>
    <n v="2"/>
    <b v="0"/>
  </r>
  <r>
    <x v="139"/>
    <s v="alappatjoe"/>
    <n v="4"/>
    <n v="1.5491933384829668"/>
    <s v="DRESSING ROOM"/>
    <s v="natori"/>
    <n v="1"/>
    <n v="5"/>
    <n v="4"/>
    <n v="5"/>
    <n v="5"/>
    <m/>
    <m/>
    <m/>
    <n v="5"/>
    <n v="1"/>
    <b v="0"/>
  </r>
  <r>
    <x v="139"/>
    <s v="danram"/>
    <n v="3.4"/>
    <n v="1.019803902718557"/>
    <s v="Hungry Like The Wolf"/>
    <s v="Duran Duran"/>
    <n v="4"/>
    <n v="2"/>
    <n v="5"/>
    <n v="3"/>
    <n v="3"/>
    <m/>
    <m/>
    <m/>
    <n v="4"/>
    <n v="1"/>
    <b v="0"/>
  </r>
  <r>
    <x v="139"/>
    <s v="loganworsdell"/>
    <n v="3.2"/>
    <n v="1.4696938456699069"/>
    <s v="Why He Told"/>
    <s v="King Von"/>
    <n v="5"/>
    <n v="4"/>
    <n v="1"/>
    <n v="4"/>
    <n v="2"/>
    <m/>
    <m/>
    <m/>
    <n v="3"/>
    <n v="1"/>
    <b v="0"/>
  </r>
  <r>
    <x v="139"/>
    <s v="samuelbattista"/>
    <n v="2.2000000000000002"/>
    <n v="1.1661903789690602"/>
    <s v="An Abduction"/>
    <s v="Thrailkill"/>
    <n v="2"/>
    <n v="1"/>
    <n v="3"/>
    <n v="1"/>
    <n v="4"/>
    <m/>
    <m/>
    <m/>
    <n v="2"/>
    <n v="1"/>
    <b v="0"/>
  </r>
  <r>
    <x v="139"/>
    <s v="currydestroyer27"/>
    <n v="2.2000000000000002"/>
    <n v="0.74833147735478833"/>
    <s v="Fantasy"/>
    <s v="Bazzi"/>
    <n v="3"/>
    <n v="3"/>
    <n v="2"/>
    <n v="2"/>
    <n v="1"/>
    <m/>
    <m/>
    <m/>
    <n v="1"/>
    <n v="1"/>
    <b v="1"/>
  </r>
  <r>
    <x v="140"/>
    <s v="alappatjoe"/>
    <n v="2.2000000000000002"/>
    <n v="1.6"/>
    <s v="BLOODY STREAM"/>
    <s v="Coda"/>
    <n v="1"/>
    <n v="5"/>
    <n v="1"/>
    <n v="3"/>
    <n v="1"/>
    <m/>
    <m/>
    <m/>
    <n v="1"/>
    <n v="1"/>
    <b v="1"/>
  </r>
  <r>
    <x v="140"/>
    <s v="danram"/>
    <n v="3.4"/>
    <n v="1.3564659966250536"/>
    <s v="CHIRI"/>
    <s v="Rosalia"/>
    <n v="3"/>
    <n v="1"/>
    <n v="5"/>
    <n v="4"/>
    <n v="4"/>
    <m/>
    <m/>
    <m/>
    <n v="4"/>
    <n v="1"/>
    <b v="0"/>
  </r>
  <r>
    <x v="140"/>
    <s v="loganworsdell"/>
    <n v="3.6"/>
    <n v="1.019803902718557"/>
    <s v="JUMP!"/>
    <s v="GASPXR"/>
    <n v="4"/>
    <n v="4"/>
    <n v="3"/>
    <n v="2"/>
    <n v="5"/>
    <m/>
    <m/>
    <m/>
    <n v="5"/>
    <n v="1"/>
    <b v="0"/>
  </r>
  <r>
    <x v="140"/>
    <s v="samuelbattista"/>
    <n v="3.2"/>
    <n v="1.3266499161421599"/>
    <s v="Circle With Me"/>
    <s v="Spiritbox"/>
    <n v="5"/>
    <n v="3"/>
    <n v="4"/>
    <n v="1"/>
    <n v="3"/>
    <m/>
    <m/>
    <m/>
    <n v="3"/>
    <n v="1"/>
    <b v="0"/>
  </r>
  <r>
    <x v="140"/>
    <s v="currydestroyer27"/>
    <n v="2.6"/>
    <n v="1.2"/>
    <s v="awake"/>
    <s v="Taku Iwasaki"/>
    <n v="2"/>
    <n v="2"/>
    <n v="2"/>
    <n v="5"/>
    <n v="2"/>
    <m/>
    <m/>
    <m/>
    <n v="2"/>
    <n v="1"/>
    <b v="0"/>
  </r>
  <r>
    <x v="141"/>
    <s v="alappatjoe"/>
    <n v="3.2"/>
    <n v="1.1661903789690602"/>
    <s v="Countdown"/>
    <s v="Beyoncé"/>
    <n v="1"/>
    <n v="4"/>
    <n v="3"/>
    <n v="4"/>
    <n v="4"/>
    <m/>
    <m/>
    <m/>
    <n v="4"/>
    <n v="1"/>
    <b v="0"/>
  </r>
  <r>
    <x v="141"/>
    <s v="danram"/>
    <n v="4.2"/>
    <n v="1.6"/>
    <s v="Guilt Trip"/>
    <s v="Kanye West"/>
    <n v="5"/>
    <n v="1"/>
    <n v="5"/>
    <n v="5"/>
    <n v="5"/>
    <m/>
    <m/>
    <m/>
    <n v="5"/>
    <n v="1"/>
    <b v="0"/>
  </r>
  <r>
    <x v="141"/>
    <s v="loganworsdell"/>
    <n v="2.2000000000000002"/>
    <n v="0.9797958971132712"/>
    <s v="Beep"/>
    <s v="flipturn"/>
    <n v="3"/>
    <n v="3"/>
    <n v="1"/>
    <n v="3"/>
    <n v="1"/>
    <m/>
    <m/>
    <m/>
    <n v="1"/>
    <n v="1"/>
    <b v="1"/>
  </r>
  <r>
    <x v="141"/>
    <s v="samuelbattista"/>
    <n v="2.6"/>
    <n v="1.3564659966250536"/>
    <s v="Immigrant Song"/>
    <s v="Led Zeppelin"/>
    <n v="2"/>
    <n v="5"/>
    <n v="2"/>
    <n v="1"/>
    <n v="3"/>
    <m/>
    <m/>
    <m/>
    <n v="2"/>
    <n v="1"/>
    <b v="0"/>
  </r>
  <r>
    <x v="141"/>
    <s v="currydestroyer27"/>
    <n v="2.8"/>
    <n v="0.9797958971132712"/>
    <s v="Follow God"/>
    <s v="Kanye West"/>
    <n v="4"/>
    <n v="2"/>
    <n v="4"/>
    <n v="2"/>
    <n v="2"/>
    <m/>
    <m/>
    <m/>
    <n v="3"/>
    <n v="1"/>
    <b v="0"/>
  </r>
  <r>
    <x v="142"/>
    <s v="alappatjoe"/>
    <n v="3.6"/>
    <n v="1.7435595774162693"/>
    <s v="Pasadena"/>
    <s v="Tinashe, Buddy"/>
    <n v="1"/>
    <n v="5"/>
    <n v="5"/>
    <n v="5"/>
    <n v="2"/>
    <m/>
    <m/>
    <m/>
    <n v="5"/>
    <n v="1"/>
    <b v="0"/>
  </r>
  <r>
    <x v="142"/>
    <s v="danram"/>
    <n v="3.2"/>
    <n v="1.1661903789690602"/>
    <s v="Drunk in Love"/>
    <s v="Beyonce, JAY-Z"/>
    <n v="2"/>
    <n v="2"/>
    <n v="4"/>
    <n v="3"/>
    <n v="5"/>
    <m/>
    <m/>
    <m/>
    <n v="4"/>
    <n v="1"/>
    <b v="0"/>
  </r>
  <r>
    <x v="142"/>
    <s v="loganworsdell"/>
    <n v="3"/>
    <n v="1.0954451150103321"/>
    <s v="treetops"/>
    <s v="Alé Araya"/>
    <n v="3"/>
    <n v="1"/>
    <n v="3"/>
    <n v="4"/>
    <n v="4"/>
    <m/>
    <m/>
    <m/>
    <n v="3"/>
    <n v="1"/>
    <b v="0"/>
  </r>
  <r>
    <x v="142"/>
    <s v="samuelbattista"/>
    <n v="2.8"/>
    <n v="1.1661903789690602"/>
    <s v="Oh shit...are we in love?"/>
    <s v="Valley"/>
    <n v="4"/>
    <n v="4"/>
    <n v="1"/>
    <n v="2"/>
    <n v="3"/>
    <m/>
    <m/>
    <m/>
    <n v="2"/>
    <n v="1"/>
    <b v="0"/>
  </r>
  <r>
    <x v="142"/>
    <s v="currydestroyer27"/>
    <n v="2.4"/>
    <n v="1.4966629547095767"/>
    <s v="Take Me Out"/>
    <s v="Franz Ferdinand"/>
    <n v="5"/>
    <n v="3"/>
    <n v="2"/>
    <n v="1"/>
    <n v="1"/>
    <m/>
    <m/>
    <m/>
    <n v="1"/>
    <n v="1"/>
    <b v="1"/>
  </r>
  <r>
    <x v="143"/>
    <s v="alappatjoe"/>
    <n v="3.6"/>
    <n v="1.4966629547095767"/>
    <s v="bad idea"/>
    <s v="Ariana Grande"/>
    <n v="1"/>
    <n v="4"/>
    <n v="5"/>
    <n v="5"/>
    <n v="3"/>
    <m/>
    <m/>
    <m/>
    <n v="4"/>
    <n v="1"/>
    <b v="0"/>
  </r>
  <r>
    <x v="143"/>
    <s v="danram"/>
    <n v="2.6"/>
    <n v="1.2"/>
    <s v="distance "/>
    <s v="Long Shot Party"/>
    <n v="4"/>
    <n v="1"/>
    <n v="2"/>
    <n v="4"/>
    <n v="2"/>
    <m/>
    <m/>
    <m/>
    <n v="2"/>
    <n v="1"/>
    <b v="0"/>
  </r>
  <r>
    <x v="143"/>
    <s v="loganworsdell"/>
    <n v="3.8"/>
    <n v="1.6"/>
    <s v="Best Spot in the House"/>
    <s v="Injury Reserve"/>
    <n v="5"/>
    <n v="5"/>
    <n v="1"/>
    <n v="3"/>
    <n v="5"/>
    <m/>
    <m/>
    <m/>
    <n v="5"/>
    <n v="1"/>
    <b v="0"/>
  </r>
  <r>
    <x v="143"/>
    <s v="samuelbattista"/>
    <n v="3.2"/>
    <n v="0.74833147735478833"/>
    <s v="Semi-Charmed Life"/>
    <s v="Third Eye Blind"/>
    <n v="3"/>
    <n v="3"/>
    <n v="4"/>
    <n v="2"/>
    <n v="4"/>
    <m/>
    <m/>
    <m/>
    <n v="3"/>
    <n v="1"/>
    <b v="0"/>
  </r>
  <r>
    <x v="143"/>
    <s v="currydestroyer27"/>
    <n v="1.8"/>
    <n v="0.74833147735478833"/>
    <s v="CHAINSAW BLOOD"/>
    <s v="Vaundy"/>
    <n v="2"/>
    <n v="2"/>
    <n v="3"/>
    <n v="1"/>
    <n v="1"/>
    <m/>
    <m/>
    <m/>
    <n v="1"/>
    <n v="1"/>
    <b v="1"/>
  </r>
  <r>
    <x v="144"/>
    <s v="alappatjoe"/>
    <n v="3.6"/>
    <n v="1.4966629547095767"/>
    <s v="Golden"/>
    <s v="Cory Wong, Cody Fry"/>
    <n v="1"/>
    <n v="5"/>
    <n v="5"/>
    <n v="3"/>
    <n v="4"/>
    <m/>
    <m/>
    <m/>
    <n v="5"/>
    <n v="1"/>
    <b v="0"/>
  </r>
  <r>
    <x v="144"/>
    <s v="danram"/>
    <n v="2.6"/>
    <n v="1.3564659966250536"/>
    <s v="Lithium"/>
    <s v="Nirvana"/>
    <n v="4"/>
    <n v="1"/>
    <n v="4"/>
    <n v="1"/>
    <n v="3"/>
    <m/>
    <m/>
    <m/>
    <n v="1"/>
    <n v="1"/>
    <b v="1"/>
  </r>
  <r>
    <x v="144"/>
    <s v="loganworsdell"/>
    <n v="3"/>
    <n v="1.2649110640673518"/>
    <s v="Stick"/>
    <s v="Dreamville, JID, J. Cole, Kenny Mason, Sheck Wes"/>
    <n v="5"/>
    <n v="2"/>
    <n v="2"/>
    <n v="4"/>
    <n v="2"/>
    <m/>
    <m/>
    <m/>
    <n v="3"/>
    <n v="1"/>
    <b v="0"/>
  </r>
  <r>
    <x v="144"/>
    <s v="samuelbattista"/>
    <n v="2.8"/>
    <n v="1.3266499161421599"/>
    <s v="Dear Maria, Count Me In"/>
    <s v="All Time Low"/>
    <n v="3"/>
    <n v="3"/>
    <n v="1"/>
    <n v="2"/>
    <n v="5"/>
    <m/>
    <m/>
    <m/>
    <n v="2"/>
    <n v="1"/>
    <b v="0"/>
  </r>
  <r>
    <x v="144"/>
    <s v="currydestroyer27"/>
    <n v="3"/>
    <n v="1.4142135623730951"/>
    <s v="Broke As Fuck"/>
    <s v="Cordae"/>
    <n v="2"/>
    <n v="4"/>
    <n v="3"/>
    <n v="5"/>
    <n v="1"/>
    <m/>
    <m/>
    <m/>
    <n v="4"/>
    <n v="1"/>
    <b v="0"/>
  </r>
  <r>
    <x v="145"/>
    <s v="alappatjoe"/>
    <n v="3.2"/>
    <n v="1.1661903789690602"/>
    <s v="Kamikaze"/>
    <s v="Eminem"/>
    <n v="1"/>
    <n v="4"/>
    <n v="3"/>
    <n v="4"/>
    <n v="4"/>
    <m/>
    <m/>
    <m/>
    <n v="3"/>
    <n v="1"/>
    <b v="0"/>
  </r>
  <r>
    <x v="145"/>
    <s v="danram"/>
    <n v="3.4"/>
    <n v="1.019803902718557"/>
    <s v="Dynamic Duo 2"/>
    <s v="Teejayx6, Kasher Quan"/>
    <n v="5"/>
    <n v="2"/>
    <n v="4"/>
    <n v="3"/>
    <n v="3"/>
    <m/>
    <m/>
    <m/>
    <n v="4"/>
    <n v="1"/>
    <b v="0"/>
  </r>
  <r>
    <x v="145"/>
    <s v="loganworsdell"/>
    <n v="4"/>
    <n v="1.5491933384829668"/>
    <s v="Psycho"/>
    <s v="slowthai, Denzel Curry"/>
    <n v="4"/>
    <n v="5"/>
    <n v="1"/>
    <n v="5"/>
    <n v="5"/>
    <m/>
    <m/>
    <m/>
    <n v="5"/>
    <n v="1"/>
    <b v="0"/>
  </r>
  <r>
    <x v="145"/>
    <s v="samuelbattista"/>
    <n v="2"/>
    <n v="0.63245553203367588"/>
    <s v="RADA RADA"/>
    <s v="Baby Kia"/>
    <n v="2"/>
    <n v="3"/>
    <n v="2"/>
    <n v="1"/>
    <n v="2"/>
    <m/>
    <m/>
    <m/>
    <n v="1"/>
    <n v="1"/>
    <b v="1"/>
  </r>
  <r>
    <x v="145"/>
    <s v="currydestroyer27"/>
    <n v="2.4"/>
    <n v="1.4966629547095767"/>
    <s v="Doot Doot (6 7)"/>
    <s v="Skrilla"/>
    <n v="3"/>
    <n v="1"/>
    <n v="5"/>
    <n v="2"/>
    <n v="1"/>
    <m/>
    <m/>
    <m/>
    <n v="2"/>
    <n v="1"/>
    <b v="0"/>
  </r>
  <r>
    <x v="146"/>
    <s v="alappatjoe"/>
    <n v="1.8"/>
    <n v="0.74833147735478833"/>
    <s v="トドメの一撃"/>
    <s v="Vaundy, Cory Wong"/>
    <n v="1"/>
    <n v="1"/>
    <n v="3"/>
    <n v="2"/>
    <n v="2"/>
    <m/>
    <m/>
    <m/>
    <n v="1"/>
    <n v="1"/>
    <b v="1"/>
  </r>
  <r>
    <x v="146"/>
    <s v="danram"/>
    <n v="3.4"/>
    <n v="0.8"/>
    <s v="Bayamon"/>
    <s v="FloyyMenor"/>
    <n v="4"/>
    <n v="2"/>
    <n v="4"/>
    <n v="4"/>
    <n v="3"/>
    <m/>
    <m/>
    <m/>
    <n v="3"/>
    <n v="1"/>
    <b v="0"/>
  </r>
  <r>
    <x v="146"/>
    <s v="loganworsdell"/>
    <n v="3.4"/>
    <n v="1.4966629547095767"/>
    <s v="I Don't Wanna Know"/>
    <s v="Wei Ming"/>
    <n v="3"/>
    <n v="3"/>
    <n v="1"/>
    <n v="5"/>
    <n v="5"/>
    <m/>
    <m/>
    <m/>
    <n v="4"/>
    <n v="1"/>
    <b v="0"/>
  </r>
  <r>
    <x v="146"/>
    <s v="samuelbattista"/>
    <n v="4"/>
    <n v="1.5491933384829668"/>
    <s v="spy?"/>
    <s v="WHOKILLEDXIX"/>
    <n v="5"/>
    <n v="5"/>
    <n v="5"/>
    <n v="1"/>
    <n v="4"/>
    <m/>
    <m/>
    <m/>
    <n v="5"/>
    <n v="1"/>
    <b v="0"/>
  </r>
  <r>
    <x v="146"/>
    <s v="currydestroyer27"/>
    <n v="2.4"/>
    <n v="1.019803902718557"/>
    <s v="black samurai."/>
    <s v="jev."/>
    <n v="2"/>
    <n v="4"/>
    <n v="2"/>
    <n v="3"/>
    <n v="1"/>
    <m/>
    <m/>
    <m/>
    <n v="2"/>
    <n v="1"/>
    <b v="0"/>
  </r>
  <r>
    <x v="147"/>
    <s v="alappatjoe"/>
    <n v="3.8"/>
    <n v="1.6"/>
    <s v="Moonlight Steppin'"/>
    <s v="Louie Zong"/>
    <n v="1"/>
    <n v="5"/>
    <n v="5"/>
    <n v="3"/>
    <n v="5"/>
    <m/>
    <m/>
    <m/>
    <n v="5"/>
    <n v="1"/>
    <b v="0"/>
  </r>
  <r>
    <x v="147"/>
    <s v="danram"/>
    <n v="3.2"/>
    <n v="1.4696938456699069"/>
    <s v="DARE"/>
    <s v="Gorillaz"/>
    <n v="4"/>
    <n v="1"/>
    <n v="4"/>
    <n v="5"/>
    <n v="2"/>
    <m/>
    <m/>
    <m/>
    <n v="3"/>
    <n v="1"/>
    <b v="0"/>
  </r>
  <r>
    <x v="147"/>
    <s v="loganworsdell"/>
    <n v="2.4"/>
    <n v="1.019803902718557"/>
    <s v="Bleed"/>
    <s v="Malcom Todd, Omar Apollo"/>
    <n v="2"/>
    <n v="2"/>
    <n v="1"/>
    <n v="4"/>
    <n v="3"/>
    <m/>
    <m/>
    <m/>
    <n v="2"/>
    <n v="1"/>
    <b v="0"/>
  </r>
  <r>
    <x v="147"/>
    <s v="samuelbattista"/>
    <n v="3.2"/>
    <n v="1.4696938456699069"/>
    <s v="Tripping Over Air"/>
    <s v="Aidan Bissett"/>
    <n v="5"/>
    <n v="4"/>
    <n v="2"/>
    <n v="1"/>
    <n v="4"/>
    <m/>
    <m/>
    <m/>
    <n v="3"/>
    <n v="1"/>
    <b v="0"/>
  </r>
  <r>
    <x v="147"/>
    <s v="currydestroyer27"/>
    <n v="2.4"/>
    <n v="0.8"/>
    <s v="Sun"/>
    <s v="Derik Fein"/>
    <n v="3"/>
    <n v="3"/>
    <n v="3"/>
    <n v="2"/>
    <n v="1"/>
    <m/>
    <m/>
    <m/>
    <n v="1"/>
    <n v="1"/>
    <b v="1"/>
  </r>
  <r>
    <x v="148"/>
    <s v="alappatjoe"/>
    <n v="2.2000000000000002"/>
    <n v="0.9797958971132712"/>
    <s v="Drip Too Hard"/>
    <s v="Lil Baby, Gunna"/>
    <n v="1"/>
    <n v="2"/>
    <n v="2"/>
    <n v="4"/>
    <n v="2"/>
    <m/>
    <m/>
    <m/>
    <n v="1"/>
    <n v="1"/>
    <b v="1"/>
  </r>
  <r>
    <x v="148"/>
    <s v="danram"/>
    <n v="4"/>
    <n v="0.89442719099991586"/>
    <s v="Welcome Home"/>
    <s v="Coheed &amp; Cambria"/>
    <n v="5"/>
    <n v="3"/>
    <n v="4"/>
    <n v="5"/>
    <n v="3"/>
    <m/>
    <m/>
    <m/>
    <n v="5"/>
    <n v="1"/>
    <b v="0"/>
  </r>
  <r>
    <x v="148"/>
    <s v="loganworsdell"/>
    <n v="3.2"/>
    <n v="1.4696938456699069"/>
    <s v="bbycakes"/>
    <s v="Mura Masa, Lil Uzi Vert, PinkPantheress, Shygirl"/>
    <n v="4"/>
    <n v="4"/>
    <n v="1"/>
    <n v="2"/>
    <n v="5"/>
    <m/>
    <m/>
    <m/>
    <n v="3"/>
    <n v="1"/>
    <b v="0"/>
  </r>
  <r>
    <x v="148"/>
    <s v="samuelbattista"/>
    <n v="3.4"/>
    <n v="1.6248076809271921"/>
    <s v="Call to Arms"/>
    <s v="Sturgill Simpson"/>
    <n v="2"/>
    <n v="5"/>
    <n v="5"/>
    <n v="1"/>
    <n v="4"/>
    <m/>
    <m/>
    <m/>
    <n v="4"/>
    <n v="1"/>
    <b v="0"/>
  </r>
  <r>
    <x v="148"/>
    <s v="currydestroyer27"/>
    <n v="2.2000000000000002"/>
    <n v="0.9797958971132712"/>
    <s v="Sense"/>
    <s v="BAND-MAID"/>
    <n v="3"/>
    <n v="1"/>
    <n v="3"/>
    <n v="3"/>
    <n v="1"/>
    <m/>
    <m/>
    <m/>
    <n v="1"/>
    <n v="2"/>
    <b v="0"/>
  </r>
  <r>
    <x v="149"/>
    <s v="alappatjoe"/>
    <n v="4"/>
    <n v="1.5491933384829668"/>
    <s v="Rakuen Toshi"/>
    <s v="Masayoshi Oishi"/>
    <n v="1"/>
    <n v="5"/>
    <n v="5"/>
    <n v="4"/>
    <n v="5"/>
    <m/>
    <m/>
    <m/>
    <n v="5"/>
    <n v="1"/>
    <b v="0"/>
  </r>
  <r>
    <x v="149"/>
    <s v="danram"/>
    <n v="2.2000000000000002"/>
    <n v="0.74833147735478833"/>
    <s v="Danza Kuduro"/>
    <s v="Don Omar, Lucenzo"/>
    <n v="3"/>
    <n v="1"/>
    <n v="2"/>
    <n v="3"/>
    <n v="2"/>
    <m/>
    <m/>
    <m/>
    <n v="1"/>
    <n v="1"/>
    <b v="1"/>
  </r>
  <r>
    <x v="149"/>
    <s v="loganworsdell"/>
    <n v="3"/>
    <n v="0.89442719099991586"/>
    <s v="Around The World"/>
    <s v="Kings of Leon"/>
    <n v="4"/>
    <n v="2"/>
    <n v="3"/>
    <n v="2"/>
    <n v="4"/>
    <m/>
    <m/>
    <m/>
    <n v="3"/>
    <n v="1"/>
    <b v="0"/>
  </r>
  <r>
    <x v="149"/>
    <s v="samuelbattista"/>
    <n v="3.4"/>
    <n v="1.3564659966250536"/>
    <s v="Bridge Burning"/>
    <s v="Foo Fighters"/>
    <n v="5"/>
    <n v="4"/>
    <n v="4"/>
    <n v="1"/>
    <n v="3"/>
    <m/>
    <m/>
    <m/>
    <n v="4"/>
    <n v="1"/>
    <b v="0"/>
  </r>
  <r>
    <x v="149"/>
    <s v="currydestroyer27"/>
    <n v="2.4"/>
    <n v="1.4966629547095767"/>
    <s v="Hold On Tight"/>
    <s v="aespa"/>
    <n v="2"/>
    <n v="3"/>
    <n v="1"/>
    <n v="5"/>
    <n v="1"/>
    <m/>
    <m/>
    <m/>
    <n v="2"/>
    <n v="1"/>
    <b v="0"/>
  </r>
  <r>
    <x v="150"/>
    <s v="alappatjoe"/>
    <n v="3.4"/>
    <n v="1.3564659966250536"/>
    <s v="Arawareta Hoshikuzuno Otoko"/>
    <s v="Yugo Kanno"/>
    <n v="1"/>
    <n v="3"/>
    <n v="5"/>
    <n v="4"/>
    <n v="4"/>
    <m/>
    <m/>
    <m/>
    <n v="4"/>
    <n v="1"/>
    <b v="0"/>
  </r>
  <r>
    <x v="150"/>
    <s v="danram"/>
    <n v="2"/>
    <n v="0.89442719099991586"/>
    <s v="Dead!"/>
    <s v="My Chemical Romance"/>
    <n v="3"/>
    <n v="1"/>
    <n v="1"/>
    <n v="2"/>
    <n v="3"/>
    <m/>
    <m/>
    <m/>
    <n v="1"/>
    <n v="1"/>
    <b v="1"/>
  </r>
  <r>
    <x v="150"/>
    <s v="loganworsdell"/>
    <n v="2.6"/>
    <n v="0.8"/>
    <s v="ARSENAL (I SMELL BITCH)"/>
    <s v="Mike Dimes, Denzel Curry"/>
    <n v="4"/>
    <n v="2"/>
    <n v="2"/>
    <n v="3"/>
    <n v="2"/>
    <m/>
    <m/>
    <m/>
    <n v="2"/>
    <n v="1"/>
    <b v="0"/>
  </r>
  <r>
    <x v="150"/>
    <s v="samuelbattista"/>
    <n v="3"/>
    <n v="1.4142135623730951"/>
    <s v="War Pigs / Luke's Wall"/>
    <s v="Black Sabbath"/>
    <n v="2"/>
    <n v="4"/>
    <n v="3"/>
    <n v="1"/>
    <n v="5"/>
    <m/>
    <m/>
    <m/>
    <n v="3"/>
    <n v="1"/>
    <b v="0"/>
  </r>
  <r>
    <x v="150"/>
    <s v="currydestroyer27"/>
    <n v="4"/>
    <n v="1.5491933384829668"/>
    <s v="Outfit"/>
    <s v="Lil Baby, 21 Savage"/>
    <n v="5"/>
    <n v="5"/>
    <n v="4"/>
    <n v="5"/>
    <n v="1"/>
    <m/>
    <m/>
    <m/>
    <n v="5"/>
    <n v="1"/>
    <b v="0"/>
  </r>
  <r>
    <x v="151"/>
    <s v="alappatjoe"/>
    <n v="3.2"/>
    <n v="1.3266499161421599"/>
    <s v="Interplanetary Spark"/>
    <s v="SEGA SOUND TEAM, ZENTA"/>
    <n v="1"/>
    <n v="4"/>
    <n v="3"/>
    <n v="5"/>
    <n v="3"/>
    <m/>
    <m/>
    <m/>
    <n v="4"/>
    <n v="1"/>
    <b v="0"/>
  </r>
  <r>
    <x v="151"/>
    <s v="danram"/>
    <n v="3"/>
    <n v="1.4142135623730951"/>
    <s v="Leave It In My Dreams"/>
    <s v="The Voidz"/>
    <n v="5"/>
    <n v="1"/>
    <n v="4"/>
    <n v="3"/>
    <n v="2"/>
    <m/>
    <m/>
    <m/>
    <n v="3"/>
    <n v="1"/>
    <b v="0"/>
  </r>
  <r>
    <x v="151"/>
    <s v="loganworsdell"/>
    <n v="2.6"/>
    <n v="1.2"/>
    <s v="Cmon"/>
    <s v="KYLE"/>
    <n v="4"/>
    <n v="2"/>
    <n v="1"/>
    <n v="2"/>
    <n v="4"/>
    <m/>
    <m/>
    <m/>
    <n v="2"/>
    <n v="1"/>
    <b v="0"/>
  </r>
  <r>
    <x v="151"/>
    <s v="samuelbattista"/>
    <n v="3.8"/>
    <n v="1.6"/>
    <s v="The Giver "/>
    <s v="Chappell Roan"/>
    <n v="3"/>
    <n v="5"/>
    <n v="5"/>
    <n v="1"/>
    <n v="5"/>
    <m/>
    <m/>
    <m/>
    <n v="5"/>
    <n v="1"/>
    <b v="0"/>
  </r>
  <r>
    <x v="151"/>
    <s v="currydestroyer27"/>
    <n v="2.4"/>
    <n v="1.019803902718557"/>
    <s v="Fire in the belly"/>
    <s v="LE SSERAFIM"/>
    <n v="2"/>
    <n v="3"/>
    <n v="2"/>
    <n v="4"/>
    <n v="1"/>
    <m/>
    <m/>
    <m/>
    <n v="1"/>
    <n v="1"/>
    <b v="1"/>
  </r>
  <r>
    <x v="152"/>
    <s v="alappatjoe"/>
    <n v="3.6"/>
    <n v="1.3564659966250536"/>
    <s v="炎国の王妃"/>
    <s v="Zac Zinger"/>
    <n v="1"/>
    <n v="4"/>
    <n v="4"/>
    <n v="5"/>
    <n v="4"/>
    <m/>
    <m/>
    <m/>
    <n v="5"/>
    <n v="1"/>
    <b v="0"/>
  </r>
  <r>
    <x v="152"/>
    <s v="danram"/>
    <n v="3.2"/>
    <n v="1.4696938456699069"/>
    <s v="Lost In The World"/>
    <s v="Kanye West"/>
    <n v="4"/>
    <n v="1"/>
    <n v="5"/>
    <n v="4"/>
    <n v="2"/>
    <m/>
    <m/>
    <m/>
    <n v="3"/>
    <n v="1"/>
    <b v="0"/>
  </r>
  <r>
    <x v="152"/>
    <s v="loganworsdell"/>
    <n v="3.2"/>
    <n v="1.6"/>
    <s v="Salvation"/>
    <s v="Rebecca Black"/>
    <n v="5"/>
    <n v="2"/>
    <n v="1"/>
    <n v="3"/>
    <n v="5"/>
    <m/>
    <m/>
    <m/>
    <n v="4"/>
    <n v="1"/>
    <b v="0"/>
  </r>
  <r>
    <x v="152"/>
    <s v="samuelbattista"/>
    <n v="2.8"/>
    <n v="1.3266499161421599"/>
    <s v="Ramble On"/>
    <s v="Led Zeppelin"/>
    <n v="3"/>
    <n v="5"/>
    <n v="2"/>
    <n v="1"/>
    <n v="3"/>
    <m/>
    <m/>
    <m/>
    <n v="2"/>
    <n v="1"/>
    <b v="0"/>
  </r>
  <r>
    <x v="152"/>
    <s v="currydestroyer27"/>
    <n v="2.2000000000000002"/>
    <n v="0.74833147735478833"/>
    <s v="where's the confetti "/>
    <s v="jev."/>
    <n v="2"/>
    <n v="3"/>
    <n v="3"/>
    <n v="2"/>
    <n v="1"/>
    <m/>
    <m/>
    <m/>
    <n v="1"/>
    <n v="1"/>
    <b v="1"/>
  </r>
  <r>
    <x v="153"/>
    <s v="alappatjoe"/>
    <n v="2.8"/>
    <n v="0.9797958971132712"/>
    <s v="Telepone"/>
    <s v="Lady Gaga, Beyonce"/>
    <n v="1"/>
    <n v="3"/>
    <n v="4"/>
    <n v="3"/>
    <n v="3"/>
    <m/>
    <m/>
    <m/>
    <n v="3"/>
    <n v="1"/>
    <b v="0"/>
  </r>
  <r>
    <x v="153"/>
    <s v="danram"/>
    <n v="2"/>
    <n v="1.0954451150103321"/>
    <s v="Rocketeer"/>
    <s v="Far East Movement"/>
    <n v="2"/>
    <n v="1"/>
    <n v="1"/>
    <n v="4"/>
    <n v="2"/>
    <m/>
    <m/>
    <m/>
    <n v="2"/>
    <n v="1"/>
    <b v="0"/>
  </r>
  <r>
    <x v="153"/>
    <s v="loganworsdell"/>
    <n v="5"/>
    <n v="0"/>
    <s v="Gettin' Over You"/>
    <s v="David Guetta, Chris Willis, Fergie, LMFAO"/>
    <n v="5"/>
    <n v="5"/>
    <n v="5"/>
    <n v="5"/>
    <n v="5"/>
    <m/>
    <m/>
    <m/>
    <n v="5"/>
    <n v="1"/>
    <b v="0"/>
  </r>
  <r>
    <x v="153"/>
    <s v="samuelbattista"/>
    <n v="3.2"/>
    <n v="1.1661903789690602"/>
    <s v="Misery Business"/>
    <s v="Paramore"/>
    <n v="4"/>
    <n v="4"/>
    <n v="3"/>
    <n v="1"/>
    <n v="4"/>
    <m/>
    <m/>
    <m/>
    <n v="4"/>
    <n v="1"/>
    <b v="0"/>
  </r>
  <r>
    <x v="153"/>
    <s v="currydestroyer27"/>
    <n v="2"/>
    <n v="0.63245553203367588"/>
    <s v="Airplanes"/>
    <s v="B.o.B, Hayley Williams"/>
    <n v="3"/>
    <n v="2"/>
    <n v="2"/>
    <n v="2"/>
    <n v="1"/>
    <m/>
    <m/>
    <m/>
    <n v="1"/>
    <n v="1"/>
    <b v="1"/>
  </r>
  <r>
    <x v="154"/>
    <s v="alappatjoe"/>
    <n v="2.4"/>
    <n v="1.3564659966250536"/>
    <s v="A Lonely Night"/>
    <s v="The Weeknd"/>
    <n v="1"/>
    <n v="2"/>
    <n v="5"/>
    <n v="2"/>
    <n v="2"/>
    <m/>
    <m/>
    <m/>
    <n v="1"/>
    <n v="1"/>
    <b v="1"/>
  </r>
  <r>
    <x v="154"/>
    <s v="danram"/>
    <n v="2.6"/>
    <n v="1.019803902718557"/>
    <s v="Nothin' on You"/>
    <s v="B.o.B, Bruno Mars"/>
    <n v="3"/>
    <n v="1"/>
    <n v="2"/>
    <n v="4"/>
    <n v="3"/>
    <m/>
    <m/>
    <m/>
    <n v="2"/>
    <n v="1"/>
    <b v="0"/>
  </r>
  <r>
    <x v="154"/>
    <s v="loganworsdell"/>
    <n v="4"/>
    <n v="0.63245553203367588"/>
    <s v="Hunting Nirvana"/>
    <s v="SAINt JHN"/>
    <n v="5"/>
    <n v="4"/>
    <n v="4"/>
    <n v="3"/>
    <n v="4"/>
    <m/>
    <m/>
    <m/>
    <n v="5"/>
    <n v="1"/>
    <b v="0"/>
  </r>
  <r>
    <x v="154"/>
    <s v="samuelbattista"/>
    <n v="3.2"/>
    <n v="1.833030277982336"/>
    <s v="Sugar, We're Goin Down"/>
    <s v="Fall Out Boy"/>
    <n v="4"/>
    <n v="5"/>
    <n v="1"/>
    <n v="1"/>
    <n v="5"/>
    <m/>
    <m/>
    <m/>
    <n v="4"/>
    <n v="1"/>
    <b v="0"/>
  </r>
  <r>
    <x v="154"/>
    <s v="currydestroyer27"/>
    <n v="2.8"/>
    <n v="1.3266499161421599"/>
    <s v="All Of The Lights"/>
    <s v="Kanye West"/>
    <n v="2"/>
    <n v="3"/>
    <n v="3"/>
    <n v="5"/>
    <n v="1"/>
    <m/>
    <m/>
    <m/>
    <n v="3"/>
    <n v="1"/>
    <b v="0"/>
  </r>
  <r>
    <x v="155"/>
    <s v="alappatjoe"/>
    <n v="2.6"/>
    <n v="1.2"/>
    <s v="Clock Tower Stage"/>
    <s v="Arcade Player"/>
    <n v="1"/>
    <n v="4"/>
    <n v="4"/>
    <n v="2"/>
    <n v="2"/>
    <m/>
    <m/>
    <m/>
    <n v="2"/>
    <n v="1"/>
    <b v="0"/>
  </r>
  <r>
    <x v="155"/>
    <s v="danram"/>
    <n v="4.4000000000000004"/>
    <n v="1.2"/>
    <s v="OPM BABI"/>
    <s v="Playboi Carti"/>
    <n v="5"/>
    <n v="2"/>
    <n v="5"/>
    <n v="5"/>
    <n v="5"/>
    <m/>
    <m/>
    <m/>
    <n v="5"/>
    <n v="1"/>
    <b v="0"/>
  </r>
  <r>
    <x v="155"/>
    <s v="loganworsdell"/>
    <n v="2.2000000000000002"/>
    <n v="1.1661903789690602"/>
    <s v="roleplay"/>
    <s v="thủy"/>
    <n v="2"/>
    <n v="1"/>
    <n v="1"/>
    <n v="3"/>
    <n v="4"/>
    <m/>
    <m/>
    <m/>
    <n v="1"/>
    <n v="1"/>
    <b v="1"/>
  </r>
  <r>
    <x v="155"/>
    <s v="samuelbattista"/>
    <n v="3"/>
    <n v="1.2649110640673518"/>
    <s v="Walk Like a Motherfucker"/>
    <s v="Ghost Funk Orchestra"/>
    <n v="3"/>
    <n v="5"/>
    <n v="3"/>
    <n v="1"/>
    <n v="3"/>
    <m/>
    <m/>
    <m/>
    <n v="4"/>
    <n v="1"/>
    <b v="0"/>
  </r>
  <r>
    <x v="155"/>
    <s v="currydestroyer27"/>
    <n v="2.8"/>
    <n v="1.1661903789690602"/>
    <s v="Chest Pain(I Love) "/>
    <s v="Malcolm Todd"/>
    <n v="4"/>
    <n v="3"/>
    <n v="2"/>
    <n v="4"/>
    <n v="1"/>
    <m/>
    <m/>
    <m/>
    <n v="3"/>
    <n v="1"/>
    <b v="0"/>
  </r>
  <r>
    <x v="156"/>
    <s v="alappatjoe"/>
    <n v="3.2"/>
    <n v="1.3266499161421599"/>
    <s v="Sunbeam Seaker"/>
    <s v="Louie Zong"/>
    <n v="1"/>
    <n v="5"/>
    <n v="4"/>
    <n v="3"/>
    <n v="3"/>
    <m/>
    <m/>
    <m/>
    <n v="3"/>
    <n v="1"/>
    <b v="0"/>
  </r>
  <r>
    <x v="156"/>
    <s v="danram"/>
    <n v="4.2"/>
    <n v="1.1661903789690602"/>
    <s v="Me vs Your Friends"/>
    <s v="The Flat Stanleys"/>
    <n v="5"/>
    <n v="2"/>
    <n v="5"/>
    <n v="5"/>
    <n v="4"/>
    <m/>
    <m/>
    <m/>
    <n v="5"/>
    <n v="1"/>
    <b v="0"/>
  </r>
  <r>
    <x v="156"/>
    <s v="loganworsdell"/>
    <n v="3.4"/>
    <n v="1.3564659966250536"/>
    <s v="Got Friends"/>
    <s v="GoldLink, Miguel"/>
    <n v="3"/>
    <n v="4"/>
    <n v="1"/>
    <n v="4"/>
    <n v="5"/>
    <m/>
    <m/>
    <m/>
    <n v="4"/>
    <n v="1"/>
    <b v="0"/>
  </r>
  <r>
    <x v="156"/>
    <s v="samuelbattista"/>
    <n v="1.6"/>
    <n v="0.4898979485566356"/>
    <s v="CLOVER"/>
    <s v="IDK, Joey Valence &amp; Brae"/>
    <n v="2"/>
    <n v="1"/>
    <n v="2"/>
    <n v="1"/>
    <n v="2"/>
    <m/>
    <m/>
    <m/>
    <n v="1"/>
    <n v="1"/>
    <b v="1"/>
  </r>
  <r>
    <x v="156"/>
    <s v="currydestroyer27"/>
    <n v="2.6"/>
    <n v="1.019803902718557"/>
    <s v="Language"/>
    <s v="Paperboy Fabe, Brent Faiyaz"/>
    <n v="4"/>
    <n v="3"/>
    <n v="3"/>
    <n v="2"/>
    <n v="1"/>
    <m/>
    <m/>
    <m/>
    <n v="2"/>
    <n v="1"/>
    <b v="0"/>
  </r>
  <r>
    <x v="157"/>
    <s v="alappatjoe"/>
    <n v="2"/>
    <n v="0.89442719099991586"/>
    <s v="Not Letting Go"/>
    <s v="Tinie Tempah, Jess Glynne"/>
    <n v="1"/>
    <n v="3"/>
    <n v="1"/>
    <n v="2"/>
    <n v="3"/>
    <m/>
    <m/>
    <m/>
    <n v="1"/>
    <n v="1"/>
    <b v="1"/>
  </r>
  <r>
    <x v="157"/>
    <s v="danram"/>
    <n v="2.6"/>
    <n v="1.2"/>
    <s v="Solo"/>
    <s v="Iyaz"/>
    <n v="2"/>
    <n v="1"/>
    <n v="4"/>
    <n v="4"/>
    <n v="2"/>
    <m/>
    <m/>
    <m/>
    <n v="2"/>
    <n v="1"/>
    <b v="0"/>
  </r>
  <r>
    <x v="157"/>
    <s v="loganworsdell"/>
    <n v="4.4000000000000004"/>
    <n v="1.2"/>
    <s v="Loyal like Sid &amp; Nancy"/>
    <s v="Foster The People"/>
    <n v="5"/>
    <n v="5"/>
    <n v="2"/>
    <n v="5"/>
    <n v="5"/>
    <m/>
    <m/>
    <m/>
    <n v="5"/>
    <n v="1"/>
    <b v="0"/>
  </r>
  <r>
    <x v="157"/>
    <s v="samuelbattista"/>
    <n v="3.2"/>
    <n v="1.1661903789690602"/>
    <s v="Salute Your Solution"/>
    <s v="The Raconteurs"/>
    <n v="4"/>
    <n v="4"/>
    <n v="3"/>
    <n v="1"/>
    <n v="4"/>
    <m/>
    <m/>
    <m/>
    <n v="4"/>
    <n v="1"/>
    <b v="0"/>
  </r>
  <r>
    <x v="157"/>
    <s v="currydestroyer27"/>
    <n v="2.8"/>
    <n v="1.3266499161421599"/>
    <s v="The Plastic Age"/>
    <s v="The Buggles"/>
    <n v="3"/>
    <n v="2"/>
    <n v="5"/>
    <n v="3"/>
    <n v="1"/>
    <m/>
    <m/>
    <m/>
    <n v="3"/>
    <n v="1"/>
    <b v="0"/>
  </r>
  <r>
    <x v="158"/>
    <s v="alappatjoe"/>
    <n v="2"/>
    <n v="1.2649110640673518"/>
    <s v="the boy is mine"/>
    <s v="Ariana Grande"/>
    <n v="1"/>
    <n v="4"/>
    <n v="1"/>
    <n v="1"/>
    <n v="3"/>
    <m/>
    <m/>
    <m/>
    <n v="1"/>
    <n v="1"/>
    <b v="1"/>
  </r>
  <r>
    <x v="158"/>
    <s v="danram"/>
    <n v="3.6"/>
    <n v="1.3564659966250536"/>
    <s v="less is more (with Skepta)"/>
    <s v="PlaqueBoyMax, Skepta"/>
    <n v="4"/>
    <n v="1"/>
    <n v="5"/>
    <n v="4"/>
    <n v="4"/>
    <m/>
    <m/>
    <m/>
    <n v="4"/>
    <n v="1"/>
    <b v="0"/>
  </r>
  <r>
    <x v="158"/>
    <s v="loganworsdell"/>
    <n v="2.4"/>
    <n v="0.4898979485566356"/>
    <s v="drifting"/>
    <s v="Night Tapes"/>
    <n v="3"/>
    <n v="2"/>
    <n v="2"/>
    <n v="3"/>
    <n v="2"/>
    <m/>
    <m/>
    <m/>
    <n v="2"/>
    <n v="1"/>
    <b v="0"/>
  </r>
  <r>
    <x v="158"/>
    <s v="samuelbattista"/>
    <n v="4.2"/>
    <n v="1.1661903789690602"/>
    <s v="The Sound of Silence"/>
    <s v="Disturbed"/>
    <n v="5"/>
    <n v="5"/>
    <n v="4"/>
    <n v="2"/>
    <n v="5"/>
    <m/>
    <m/>
    <m/>
    <n v="5"/>
    <n v="1"/>
    <b v="0"/>
  </r>
  <r>
    <x v="158"/>
    <s v="currydestroyer27"/>
    <n v="2.8"/>
    <n v="1.3266499161421599"/>
    <s v="Theme of Sonic The Hedgehog - 2006 E3 Version"/>
    <s v="SEGA SOUND TEAM, Tomoya Ohtani"/>
    <n v="2"/>
    <n v="3"/>
    <n v="3"/>
    <n v="5"/>
    <n v="1"/>
    <m/>
    <m/>
    <m/>
    <n v="3"/>
    <n v="1"/>
    <b v="0"/>
  </r>
  <r>
    <x v="159"/>
    <s v="alappatjoe"/>
    <n v="2.2000000000000002"/>
    <n v="0.74833147735478833"/>
    <s v="National Park"/>
    <s v="The Consouls"/>
    <n v="1"/>
    <n v="2"/>
    <n v="3"/>
    <n v="2"/>
    <n v="3"/>
    <m/>
    <m/>
    <m/>
    <n v="1"/>
    <n v="1"/>
    <b v="1"/>
  </r>
  <r>
    <x v="159"/>
    <s v="danram"/>
    <n v="3.2"/>
    <n v="1.4696938456699069"/>
    <s v="Black Panther"/>
    <s v="Crystal Castles"/>
    <n v="4"/>
    <n v="1"/>
    <n v="2"/>
    <n v="5"/>
    <n v="4"/>
    <m/>
    <m/>
    <m/>
    <n v="4"/>
    <n v="1"/>
    <b v="0"/>
  </r>
  <r>
    <x v="159"/>
    <s v="loganworsdell"/>
    <n v="4.8"/>
    <n v="0.39999999999999997"/>
    <s v="Robots"/>
    <s v="Flight of the Conchords"/>
    <n v="5"/>
    <n v="5"/>
    <n v="5"/>
    <n v="4"/>
    <n v="5"/>
    <m/>
    <m/>
    <m/>
    <n v="5"/>
    <n v="1"/>
    <b v="0"/>
  </r>
  <r>
    <x v="159"/>
    <s v="samuelbattista"/>
    <n v="2.6"/>
    <n v="1.2"/>
    <s v="Josie"/>
    <s v="Steely Dan"/>
    <n v="2"/>
    <n v="4"/>
    <n v="4"/>
    <n v="1"/>
    <n v="2"/>
    <m/>
    <m/>
    <m/>
    <n v="3"/>
    <n v="1"/>
    <b v="0"/>
  </r>
  <r>
    <x v="159"/>
    <s v="currydestroyer27"/>
    <n v="2.2000000000000002"/>
    <n v="0.9797958971132712"/>
    <s v="Bunny Girl"/>
    <s v="AKASAKI"/>
    <n v="3"/>
    <n v="3"/>
    <n v="1"/>
    <n v="3"/>
    <n v="1"/>
    <m/>
    <m/>
    <m/>
    <n v="2"/>
    <n v="1"/>
    <b v="0"/>
  </r>
  <r>
    <x v="160"/>
    <s v="alappatjoe"/>
    <n v="4.4000000000000004"/>
    <n v="1.2"/>
    <s v="Coconut Mall"/>
    <s v="Arcade Player"/>
    <n v="2"/>
    <n v="5"/>
    <n v="5"/>
    <n v="5"/>
    <n v="5"/>
    <m/>
    <m/>
    <m/>
    <n v="5"/>
    <n v="1"/>
    <b v="0"/>
  </r>
  <r>
    <x v="160"/>
    <s v="danram"/>
    <n v="2.6"/>
    <n v="1.3564659966250536"/>
    <s v="Chop Suey!"/>
    <s v="System of a Down"/>
    <n v="5"/>
    <n v="1"/>
    <n v="2"/>
    <n v="2"/>
    <n v="3"/>
    <m/>
    <m/>
    <m/>
    <n v="2"/>
    <n v="1"/>
    <b v="0"/>
  </r>
  <r>
    <x v="160"/>
    <s v="loganworsdell"/>
    <n v="2.8"/>
    <n v="0.9797958971132712"/>
    <s v="Looking For Love"/>
    <s v="Disclosure"/>
    <n v="3"/>
    <n v="3"/>
    <n v="1"/>
    <n v="3"/>
    <n v="4"/>
    <m/>
    <m/>
    <m/>
    <n v="3"/>
    <n v="1"/>
    <b v="0"/>
  </r>
  <r>
    <x v="160"/>
    <s v="samuelbattista"/>
    <n v="3"/>
    <n v="1.2649110640673518"/>
    <s v="March on for Pax Romana"/>
    <s v="Psychadelic Porn Crumpets"/>
    <n v="4"/>
    <n v="4"/>
    <n v="4"/>
    <n v="1"/>
    <n v="2"/>
    <m/>
    <m/>
    <m/>
    <n v="4"/>
    <n v="1"/>
    <b v="0"/>
  </r>
  <r>
    <x v="160"/>
    <s v="currydestroyer27"/>
    <n v="2.2000000000000002"/>
    <n v="1.1661903789690602"/>
    <s v="Dance Now"/>
    <s v="JID, Kenny Mason"/>
    <n v="1"/>
    <n v="2"/>
    <n v="3"/>
    <n v="4"/>
    <n v="1"/>
    <m/>
    <m/>
    <m/>
    <n v="1"/>
    <n v="1"/>
    <b v="1"/>
  </r>
  <r>
    <x v="161"/>
    <s v="alappatjoe"/>
    <n v="3"/>
    <n v="1.4142135623730951"/>
    <s v="Do For Love"/>
    <s v="2Pac"/>
    <n v="1"/>
    <n v="2"/>
    <n v="5"/>
    <n v="4"/>
    <n v="3"/>
    <m/>
    <m/>
    <m/>
    <n v="3"/>
    <n v="1"/>
    <b v="0"/>
  </r>
  <r>
    <x v="161"/>
    <s v="danram"/>
    <n v="2.4"/>
    <n v="1.4966629547095767"/>
    <s v="Tom Sawyer"/>
    <s v="Rush"/>
    <n v="3"/>
    <n v="1"/>
    <n v="2"/>
    <n v="1"/>
    <n v="5"/>
    <m/>
    <m/>
    <m/>
    <n v="1"/>
    <n v="1"/>
    <b v="1"/>
  </r>
  <r>
    <x v="161"/>
    <s v="loganworsdell"/>
    <n v="3.4"/>
    <n v="1.6248076809271921"/>
    <s v="All Nightmare Long"/>
    <s v="Metallica"/>
    <n v="5"/>
    <n v="4"/>
    <n v="1"/>
    <n v="5"/>
    <n v="2"/>
    <m/>
    <m/>
    <m/>
    <n v="5"/>
    <n v="1"/>
    <b v="0"/>
  </r>
  <r>
    <x v="161"/>
    <s v="samuelbattista"/>
    <n v="2.8"/>
    <n v="0.74833147735478833"/>
    <s v="2112: Overture/The Temples of Syrinx/Discovery/Presentation/Oracle: The Dream/Soliloquy/Grand Finale"/>
    <s v="Rush"/>
    <n v="2"/>
    <n v="3"/>
    <n v="3"/>
    <n v="2"/>
    <n v="4"/>
    <m/>
    <m/>
    <m/>
    <n v="2"/>
    <n v="1"/>
    <b v="0"/>
  </r>
  <r>
    <x v="161"/>
    <s v="currydestroyer27"/>
    <n v="3.4"/>
    <n v="1.3564659966250536"/>
    <s v="When the Lights Are Down"/>
    <s v="Kamelot"/>
    <n v="4"/>
    <n v="5"/>
    <n v="4"/>
    <n v="3"/>
    <n v="1"/>
    <m/>
    <m/>
    <m/>
    <n v="4"/>
    <n v="1"/>
    <b v="0"/>
  </r>
  <r>
    <x v="162"/>
    <s v="alappatjoe"/>
    <n v="3"/>
    <n v="1.4142135623730951"/>
    <s v="Petite Etoile"/>
    <s v="Polo &amp; Pan, Beth Ditto"/>
    <n v="1"/>
    <n v="3"/>
    <n v="5"/>
    <n v="4"/>
    <n v="2"/>
    <n v="1435962"/>
    <m/>
    <m/>
    <n v="3"/>
    <n v="1"/>
    <b v="0"/>
  </r>
  <r>
    <x v="162"/>
    <s v="danram"/>
    <n v="3"/>
    <n v="1.4142135623730951"/>
    <s v="Love"/>
    <s v="Kendrick Lamar"/>
    <n v="2"/>
    <n v="1"/>
    <n v="4"/>
    <n v="5"/>
    <n v="3"/>
    <n v="1592019468"/>
    <m/>
    <m/>
    <n v="3"/>
    <n v="1"/>
    <b v="0"/>
  </r>
  <r>
    <x v="162"/>
    <s v="loganworsdell"/>
    <n v="3.8"/>
    <n v="1.6"/>
    <s v="Dance in the Fire"/>
    <s v="Machine Girl"/>
    <n v="5"/>
    <n v="5"/>
    <n v="1"/>
    <n v="3"/>
    <n v="5"/>
    <n v="1585318"/>
    <m/>
    <m/>
    <n v="5"/>
    <n v="1"/>
    <b v="0"/>
  </r>
  <r>
    <x v="162"/>
    <s v="samuelbattista"/>
    <n v="2.6"/>
    <n v="1.019803902718557"/>
    <s v="selfdestruct"/>
    <s v="torr"/>
    <n v="3"/>
    <n v="2"/>
    <n v="3"/>
    <n v="1"/>
    <n v="4"/>
    <n v="3966022"/>
    <m/>
    <m/>
    <n v="1"/>
    <n v="1"/>
    <b v="1"/>
  </r>
  <r>
    <x v="162"/>
    <s v="currydestroyer27"/>
    <n v="2.6"/>
    <n v="1.2"/>
    <s v="appetite"/>
    <s v="STIM"/>
    <n v="4"/>
    <n v="4"/>
    <n v="2"/>
    <n v="2"/>
    <n v="1"/>
    <n v="14086453"/>
    <m/>
    <m/>
    <n v="2"/>
    <n v="1"/>
    <b v="0"/>
  </r>
  <r>
    <x v="163"/>
    <s v="alappatjoe"/>
    <n v="2.4"/>
    <n v="1.019803902718557"/>
    <s v="Lady"/>
    <s v="Modjo"/>
    <n v="1"/>
    <n v="2"/>
    <n v="3"/>
    <n v="2"/>
    <n v="4"/>
    <n v="642584172"/>
    <m/>
    <m/>
    <n v="1"/>
    <n v="1"/>
    <b v="1"/>
  </r>
  <r>
    <x v="163"/>
    <s v="danram"/>
    <n v="2.6"/>
    <n v="1.019803902718557"/>
    <s v="hooligan "/>
    <s v="Baby Keem"/>
    <n v="3"/>
    <n v="1"/>
    <n v="4"/>
    <n v="3"/>
    <n v="2"/>
    <n v="111839628"/>
    <m/>
    <m/>
    <n v="2"/>
    <n v="1"/>
    <b v="0"/>
  </r>
  <r>
    <x v="163"/>
    <s v="loganworsdell"/>
    <n v="3.6"/>
    <n v="1.4966629547095767"/>
    <s v="No Comma"/>
    <s v="Slayyyter"/>
    <n v="4"/>
    <n v="5"/>
    <n v="1"/>
    <n v="5"/>
    <n v="3"/>
    <n v="2888388"/>
    <m/>
    <m/>
    <n v="4"/>
    <n v="1"/>
    <b v="0"/>
  </r>
  <r>
    <x v="163"/>
    <s v="samuelbattista"/>
    <n v="3.8"/>
    <n v="1.6"/>
    <s v="Things to Do - Live"/>
    <s v="Zach Top, Billy Strings"/>
    <n v="5"/>
    <n v="3"/>
    <n v="5"/>
    <n v="1"/>
    <n v="5"/>
    <n v="543746"/>
    <m/>
    <m/>
    <n v="5"/>
    <n v="1"/>
    <b v="0"/>
  </r>
  <r>
    <x v="163"/>
    <s v="currydestroyer27"/>
    <n v="2.6"/>
    <n v="1.2"/>
    <s v="Family Ties"/>
    <s v="Baby Keem, Kendrick Lamar"/>
    <n v="2"/>
    <n v="4"/>
    <n v="2"/>
    <n v="4"/>
    <n v="1"/>
    <n v="999958066"/>
    <m/>
    <m/>
    <n v="3"/>
    <n v="1"/>
    <b v="0"/>
  </r>
  <r>
    <x v="164"/>
    <s v="alappatjoe"/>
    <n v="3.8"/>
    <n v="1.6"/>
    <s v="Silver Lining"/>
    <s v="Laufey"/>
    <n v="1"/>
    <n v="5"/>
    <n v="5"/>
    <n v="3"/>
    <n v="5"/>
    <n v="10466714"/>
    <m/>
    <m/>
    <n v="5"/>
    <n v="1"/>
    <b v="0"/>
  </r>
  <r>
    <x v="164"/>
    <s v="danram"/>
    <n v="2"/>
    <n v="0.63245553203367588"/>
    <s v="Movin' Out (Anthony's Song)"/>
    <s v="Billy Joel"/>
    <n v="3"/>
    <n v="1"/>
    <n v="2"/>
    <n v="2"/>
    <n v="2"/>
    <n v="180158581"/>
    <m/>
    <m/>
    <n v="1"/>
    <n v="1"/>
    <b v="1"/>
  </r>
  <r>
    <x v="164"/>
    <s v="loganworsdell"/>
    <n v="2.6"/>
    <n v="1.2"/>
    <s v="Bad to Me"/>
    <s v="Wizkid"/>
    <n v="2"/>
    <n v="2"/>
    <n v="1"/>
    <n v="4"/>
    <n v="4"/>
    <n v="43831930"/>
    <m/>
    <m/>
    <n v="2"/>
    <n v="1"/>
    <b v="0"/>
  </r>
  <r>
    <x v="164"/>
    <s v="samuelbattista"/>
    <n v="3.2"/>
    <n v="1.3266499161421599"/>
    <s v="ringtone(Remix)"/>
    <s v="100 gecs, Charli xcx, Rico Nasty, Kero Kero Bonito"/>
    <n v="5"/>
    <n v="3"/>
    <n v="4"/>
    <n v="1"/>
    <n v="3"/>
    <n v="27496238"/>
    <m/>
    <m/>
    <n v="3"/>
    <n v="1"/>
    <b v="0"/>
  </r>
  <r>
    <x v="164"/>
    <s v="currydestroyer27"/>
    <n v="3.4"/>
    <n v="1.3564659966250536"/>
    <s v="Go Loko"/>
    <s v="Tyga, YG, Jon Z"/>
    <n v="4"/>
    <n v="4"/>
    <n v="3"/>
    <n v="5"/>
    <n v="1"/>
    <n v="370083490"/>
    <m/>
    <m/>
    <n v="4"/>
    <n v="1"/>
    <b v="0"/>
  </r>
  <r>
    <x v="165"/>
    <s v="alappatjoe"/>
    <n v="3.2"/>
    <n v="1.4696938456699069"/>
    <s v="Cut Me Deep (feat. MAGIC!)"/>
    <s v="Shakira, MAGIC!"/>
    <n v="1"/>
    <n v="4"/>
    <n v="4"/>
    <n v="5"/>
    <n v="2"/>
    <n v="10560123"/>
    <m/>
    <m/>
    <n v="4"/>
    <n v="1"/>
    <b v="0"/>
  </r>
  <r>
    <x v="165"/>
    <s v="danram"/>
    <n v="4"/>
    <n v="1.0954451150103321"/>
    <s v="cul-de-sac"/>
    <s v="glass beach"/>
    <n v="5"/>
    <n v="2"/>
    <n v="5"/>
    <n v="4"/>
    <n v="4"/>
    <n v="667073"/>
    <m/>
    <m/>
    <n v="5"/>
    <n v="1"/>
    <b v="0"/>
  </r>
  <r>
    <x v="165"/>
    <s v="loganworsdell"/>
    <n v="2.6"/>
    <n v="1.019803902718557"/>
    <s v="Clocks"/>
    <s v="Coldplay"/>
    <n v="4"/>
    <n v="3"/>
    <n v="1"/>
    <n v="2"/>
    <n v="3"/>
    <n v="1151829949"/>
    <m/>
    <m/>
    <n v="1"/>
    <n v="1"/>
    <b v="1"/>
  </r>
  <r>
    <x v="165"/>
    <s v="samuelbattista"/>
    <n v="2.6"/>
    <n v="1.4966629547095767"/>
    <s v="Let's Stay Together"/>
    <s v="Al Green"/>
    <n v="3"/>
    <n v="1"/>
    <n v="3"/>
    <n v="1"/>
    <n v="5"/>
    <n v="635322497"/>
    <m/>
    <m/>
    <n v="3"/>
    <n v="1"/>
    <b v="0"/>
  </r>
  <r>
    <x v="165"/>
    <s v="currydestroyer27"/>
    <n v="2.6"/>
    <n v="1.3564659966250536"/>
    <s v="Ball For Me"/>
    <s v="Post Malone, Nicki Minaj"/>
    <n v="2"/>
    <n v="5"/>
    <n v="2"/>
    <n v="3"/>
    <n v="1"/>
    <n v="442018952"/>
    <m/>
    <m/>
    <n v="2"/>
    <n v="1"/>
    <b v="0"/>
  </r>
  <r>
    <x v="166"/>
    <s v="alappatjoe"/>
    <n v="3.4"/>
    <n v="1.3564659966250536"/>
    <s v="We Might Even Be Falling In Love"/>
    <s v="Victoria Monét, Bryson Tiller"/>
    <n v="1"/>
    <n v="4"/>
    <n v="5"/>
    <n v="4"/>
    <n v="3"/>
    <n v="90869210"/>
    <m/>
    <m/>
    <n v="4"/>
    <n v="1"/>
    <b v="0"/>
  </r>
  <r>
    <x v="166"/>
    <s v="danram"/>
    <n v="1.6"/>
    <n v="0.4898979485566356"/>
    <s v="Helena"/>
    <s v="My Chemical Romance"/>
    <n v="2"/>
    <n v="1"/>
    <n v="2"/>
    <n v="1"/>
    <n v="2"/>
    <n v="551494620"/>
    <m/>
    <m/>
    <n v="1"/>
    <n v="1"/>
    <b v="1"/>
  </r>
  <r>
    <x v="166"/>
    <s v="loganworsdell"/>
    <n v="2.8"/>
    <n v="1.1661903789690602"/>
    <s v="The Great Escape"/>
    <s v="BOYS LIKE GIRLS"/>
    <n v="4"/>
    <n v="2"/>
    <n v="1"/>
    <n v="3"/>
    <n v="4"/>
    <n v="251027034"/>
    <m/>
    <m/>
    <n v="3"/>
    <n v="1"/>
    <b v="0"/>
  </r>
  <r>
    <x v="166"/>
    <s v="samuelbattista"/>
    <n v="4.8"/>
    <n v="0.39999999999999997"/>
    <s v="Gaddaar"/>
    <s v="Bloodywood"/>
    <n v="5"/>
    <n v="5"/>
    <n v="4"/>
    <n v="5"/>
    <n v="5"/>
    <n v="9572249"/>
    <m/>
    <m/>
    <n v="5"/>
    <n v="1"/>
    <b v="0"/>
  </r>
  <r>
    <x v="166"/>
    <s v="currydestroyer27"/>
    <n v="2.4"/>
    <n v="0.8"/>
    <s v="Black Hole Sun"/>
    <s v="Soundgarden"/>
    <n v="3"/>
    <n v="3"/>
    <n v="3"/>
    <n v="2"/>
    <n v="1"/>
    <n v="818087161"/>
    <m/>
    <m/>
    <n v="2"/>
    <n v="1"/>
    <b v="0"/>
  </r>
  <r>
    <x v="167"/>
    <s v="alappatjoe"/>
    <n v="3.4"/>
    <n v="1.3564659966250536"/>
    <s v="I Wish"/>
    <s v="Stevie Wonder"/>
    <n v="1"/>
    <n v="4"/>
    <n v="3"/>
    <n v="4"/>
    <n v="5"/>
    <n v="148711638"/>
    <m/>
    <m/>
    <n v="4"/>
    <n v="1"/>
    <b v="0"/>
  </r>
  <r>
    <x v="167"/>
    <s v="danram"/>
    <n v="2.2000000000000002"/>
    <n v="0.4"/>
    <s v="(Don't Fear) The Reaper"/>
    <s v="Blue Oyster Cult"/>
    <n v="3"/>
    <n v="2"/>
    <n v="2"/>
    <n v="2"/>
    <n v="2"/>
    <n v="629964968"/>
    <m/>
    <m/>
    <n v="1"/>
    <n v="1"/>
    <b v="1"/>
  </r>
  <r>
    <x v="167"/>
    <s v="loganworsdell"/>
    <n v="4.2"/>
    <n v="0.74833147735478833"/>
    <s v="Stacy"/>
    <s v="Quinn XCII"/>
    <n v="5"/>
    <n v="3"/>
    <n v="4"/>
    <n v="5"/>
    <n v="4"/>
    <n v="138869498"/>
    <m/>
    <m/>
    <n v="5"/>
    <n v="1"/>
    <b v="0"/>
  </r>
  <r>
    <x v="167"/>
    <s v="samuelbattista"/>
    <n v="2.4"/>
    <n v="1.4966629547095767"/>
    <s v="The Outfield"/>
    <s v="The Night Game"/>
    <n v="2"/>
    <n v="5"/>
    <n v="1"/>
    <n v="1"/>
    <n v="3"/>
    <n v="12494782"/>
    <m/>
    <m/>
    <n v="2"/>
    <n v="1"/>
    <b v="0"/>
  </r>
  <r>
    <x v="167"/>
    <s v="currydestroyer27"/>
    <n v="2.8"/>
    <n v="1.6"/>
    <s v="Metamodernity"/>
    <s v="Vansire"/>
    <n v="4"/>
    <n v="1"/>
    <n v="5"/>
    <n v="3"/>
    <n v="1"/>
    <n v="153511541"/>
    <m/>
    <m/>
    <n v="3"/>
    <n v="1"/>
    <b v="0"/>
  </r>
  <r>
    <x v="168"/>
    <s v="alappatjoe"/>
    <n v="2.6"/>
    <n v="1.2"/>
    <s v="In Your Eyes (Remix)"/>
    <s v="The Weeknd, Doja Cat"/>
    <n v="1"/>
    <n v="2"/>
    <n v="4"/>
    <n v="4"/>
    <n v="2"/>
    <n v="124029176"/>
    <m/>
    <m/>
    <n v="2"/>
    <n v="1"/>
    <b v="0"/>
  </r>
  <r>
    <x v="168"/>
    <s v="danram"/>
    <n v="4.8"/>
    <n v="0.39999999999999997"/>
    <s v="Rips in Jeans"/>
    <s v="Niko B"/>
    <n v="5"/>
    <n v="5"/>
    <n v="5"/>
    <n v="5"/>
    <n v="4"/>
    <n v="9998294"/>
    <m/>
    <m/>
    <n v="5"/>
    <n v="1"/>
    <b v="0"/>
  </r>
  <r>
    <x v="168"/>
    <s v="loganworsdell"/>
    <n v="2.8"/>
    <n v="1.3266499161421599"/>
    <s v="Long Way"/>
    <s v="Blxst, Amanda Reifer"/>
    <n v="3"/>
    <n v="1"/>
    <n v="2"/>
    <n v="3"/>
    <n v="5"/>
    <n v="927420"/>
    <m/>
    <m/>
    <n v="3"/>
    <n v="1"/>
    <b v="0"/>
  </r>
  <r>
    <x v="168"/>
    <s v="samuelbattista"/>
    <n v="3"/>
    <n v="1.0954451150103321"/>
    <s v="Sympathy is a knife"/>
    <s v="Charli xcx"/>
    <n v="4"/>
    <n v="4"/>
    <n v="3"/>
    <n v="1"/>
    <n v="3"/>
    <n v="96363857"/>
    <m/>
    <m/>
    <n v="4"/>
    <n v="1"/>
    <b v="0"/>
  </r>
  <r>
    <x v="168"/>
    <s v="currydestroyer27"/>
    <n v="1.8"/>
    <n v="0.74833147735478833"/>
    <s v="Temptation"/>
    <s v="Joey Bada$$"/>
    <n v="2"/>
    <n v="3"/>
    <n v="1"/>
    <n v="2"/>
    <n v="1"/>
    <n v="239463637"/>
    <m/>
    <m/>
    <n v="1"/>
    <n v="1"/>
    <b v="1"/>
  </r>
  <r>
    <x v="169"/>
    <s v="alappatjoe"/>
    <n v="2.4"/>
    <n v="1.4966629547095767"/>
    <s v="Isis"/>
    <s v="Joyner Lucas, Logic"/>
    <n v="1"/>
    <n v="5"/>
    <n v="3"/>
    <n v="2"/>
    <n v="1"/>
    <n v="401021896"/>
    <m/>
    <m/>
    <n v="1"/>
    <n v="1"/>
    <b v="1"/>
  </r>
  <r>
    <x v="169"/>
    <s v="danram"/>
    <n v="2.6"/>
    <n v="1.6248076809271921"/>
    <s v="Ghost Town"/>
    <s v="Kanye West"/>
    <n v="4"/>
    <n v="1"/>
    <n v="1"/>
    <n v="5"/>
    <n v="2"/>
    <n v="628929866"/>
    <m/>
    <m/>
    <n v="2"/>
    <n v="1"/>
    <b v="0"/>
  </r>
  <r>
    <x v="169"/>
    <s v="loganworsdell"/>
    <n v="3"/>
    <n v="1.0954451150103321"/>
    <s v="Acid Dreams"/>
    <s v="Max, Felly"/>
    <n v="2"/>
    <n v="3"/>
    <n v="2"/>
    <n v="3"/>
    <n v="5"/>
    <n v="46570145"/>
    <m/>
    <m/>
    <n v="3"/>
    <n v="1"/>
    <b v="0"/>
  </r>
  <r>
    <x v="169"/>
    <s v="samuelbattista"/>
    <n v="3.8"/>
    <n v="1.4696938456699069"/>
    <s v="On the Banks"/>
    <s v="Chris Renzema"/>
    <n v="5"/>
    <n v="4"/>
    <n v="5"/>
    <n v="1"/>
    <n v="4"/>
    <n v="5361142"/>
    <m/>
    <m/>
    <n v="5"/>
    <n v="1"/>
    <b v="0"/>
  </r>
  <r>
    <x v="169"/>
    <s v="currydestroyer27"/>
    <n v="3.2"/>
    <n v="0.74833147735478833"/>
    <s v="Look Back at It"/>
    <s v="A Boogie Wit da Hoodie"/>
    <n v="3"/>
    <n v="2"/>
    <n v="4"/>
    <n v="4"/>
    <n v="3"/>
    <n v="853827684"/>
    <m/>
    <m/>
    <n v="4"/>
    <n v="1"/>
    <b v="0"/>
  </r>
  <r>
    <x v="170"/>
    <s v="alappatjoe"/>
    <n v="2.8"/>
    <n v="1.1661903789690602"/>
    <s v="Snacks &amp; Wine"/>
    <s v="WIM"/>
    <n v="1"/>
    <n v="2"/>
    <n v="4"/>
    <n v="3"/>
    <n v="4"/>
    <n v="797002"/>
    <s v="R&amp;B"/>
    <s v="Soul"/>
    <n v="2"/>
    <n v="1"/>
    <b v="0"/>
  </r>
  <r>
    <x v="170"/>
    <s v="danram"/>
    <n v="3.2"/>
    <n v="1.6"/>
    <s v="Sultans of Swing"/>
    <s v="Dire Straits"/>
    <n v="3"/>
    <n v="1"/>
    <n v="5"/>
    <n v="2"/>
    <n v="5"/>
    <n v="1430844655"/>
    <s v="Rock"/>
    <s v="Rock"/>
    <n v="4"/>
    <n v="1"/>
    <b v="0"/>
  </r>
  <r>
    <x v="170"/>
    <s v="loganworsdell"/>
    <n v="2.8"/>
    <n v="1.1661903789690602"/>
    <s v="Love Drunk Lust (Make it Hard)"/>
    <s v="Peter $un, Blue Rondo, Trip Carter, KnottRudy"/>
    <n v="2"/>
    <n v="4"/>
    <n v="1"/>
    <n v="4"/>
    <n v="3"/>
    <n v="6995349"/>
    <s v="Hip-Hop"/>
    <s v="Indie Hip-Hop"/>
    <n v="2"/>
    <n v="1"/>
    <b v="0"/>
  </r>
  <r>
    <x v="170"/>
    <s v="samuelbattista"/>
    <n v="2.6"/>
    <n v="1.019803902718557"/>
    <s v="Your Direction"/>
    <s v="Goose"/>
    <n v="4"/>
    <n v="3"/>
    <n v="3"/>
    <n v="1"/>
    <n v="2"/>
    <n v="354472"/>
    <s v="Rock"/>
    <s v="Alternative"/>
    <n v="1"/>
    <n v="1"/>
    <b v="1"/>
  </r>
  <r>
    <x v="170"/>
    <s v="currydestroyer27"/>
    <n v="3.6"/>
    <n v="1.7435595774162693"/>
    <s v="New Person, Same Old Mistakes"/>
    <s v="Tame Impala"/>
    <n v="5"/>
    <n v="5"/>
    <n v="2"/>
    <n v="5"/>
    <n v="1"/>
    <n v="592309342"/>
    <s v="Hip-Hop"/>
    <s v="Alternative"/>
    <n v="5"/>
    <n v="1"/>
    <b v="0"/>
  </r>
  <r>
    <x v="171"/>
    <s v="alappatjoe"/>
    <n v="3.2"/>
    <n v="1.4696938456699069"/>
    <s v="Gerudo Valley"/>
    <s v="Koji Kondo, Jonnas Heisenberg"/>
    <n v="1"/>
    <n v="5"/>
    <n v="2"/>
    <n v="4"/>
    <n v="4"/>
    <n v="105604"/>
    <s v="Other"/>
    <s v="Video Game OST"/>
    <n v="3"/>
    <n v="1"/>
    <b v="0"/>
  </r>
  <r>
    <x v="171"/>
    <s v="danram"/>
    <n v="2.6"/>
    <n v="1.019803902718557"/>
    <s v="IN YOUR EYES"/>
    <s v="Snoh Aalegra"/>
    <n v="4"/>
    <n v="1"/>
    <n v="3"/>
    <n v="2"/>
    <n v="3"/>
    <n v="24832673"/>
    <s v="R&amp;B"/>
    <s v="Alternative"/>
    <n v="2"/>
    <n v="1"/>
    <b v="0"/>
  </r>
  <r>
    <x v="171"/>
    <s v="loganworsdell"/>
    <n v="2.4"/>
    <n v="1.019803902718557"/>
    <s v="Dramaturgy"/>
    <s v="Eve"/>
    <n v="2"/>
    <n v="4"/>
    <n v="1"/>
    <n v="3"/>
    <n v="2"/>
    <n v="113745726"/>
    <s v="International"/>
    <s v="J-Pop"/>
    <n v="1"/>
    <n v="1"/>
    <b v="1"/>
  </r>
  <r>
    <x v="171"/>
    <s v="samuelbattista"/>
    <n v="3.2"/>
    <n v="1.6"/>
    <s v="GODSTAINED"/>
    <s v="Quadeca"/>
    <n v="3"/>
    <n v="2"/>
    <n v="5"/>
    <n v="1"/>
    <n v="5"/>
    <n v="1671184"/>
    <s v="R&amp;B"/>
    <s v="Alternative"/>
    <n v="4"/>
    <n v="1"/>
    <b v="0"/>
  </r>
  <r>
    <x v="171"/>
    <s v="currydestroyer27"/>
    <n v="3.6"/>
    <n v="1.4966629547095767"/>
    <s v="Trouble"/>
    <s v="Flight Facilities, Owl Eyes"/>
    <n v="5"/>
    <n v="3"/>
    <n v="4"/>
    <n v="5"/>
    <n v="1"/>
    <n v="1848975"/>
    <s v="Pop"/>
    <s v="Dance Pop"/>
    <n v="5"/>
    <n v="1"/>
    <b v="0"/>
  </r>
  <r>
    <x v="172"/>
    <s v="alappatjoe"/>
    <n v="2.6"/>
    <n v="1.2"/>
    <s v="Baby Powder"/>
    <s v="Jenevieve"/>
    <n v="1"/>
    <n v="4"/>
    <n v="2"/>
    <n v="4"/>
    <n v="2"/>
    <n v="119009837"/>
    <s v="R&amp;B"/>
    <s v="Alternative"/>
    <n v="2"/>
    <n v="1"/>
    <b v="0"/>
  </r>
  <r>
    <x v="172"/>
    <s v="danram"/>
    <n v="3.2"/>
    <n v="0.9797958971132712"/>
    <s v="Little Wing"/>
    <s v="Jimi Hendrix"/>
    <n v="3"/>
    <n v="3"/>
    <n v="5"/>
    <n v="2"/>
    <n v="3"/>
    <n v="318482681"/>
    <s v="Rock"/>
    <s v="Psychodelic Rock"/>
    <n v="4"/>
    <n v="1"/>
    <b v="0"/>
  </r>
  <r>
    <x v="172"/>
    <s v="loganworsdell"/>
    <n v="4.2"/>
    <n v="1.6"/>
    <s v="Lost At Sea"/>
    <s v="Zedd, Ryan Tedder"/>
    <n v="5"/>
    <n v="5"/>
    <n v="1"/>
    <n v="5"/>
    <n v="5"/>
    <n v="39814910"/>
    <s v="Electronic"/>
    <s v="Progressive House"/>
    <n v="5"/>
    <n v="1"/>
    <b v="0"/>
  </r>
  <r>
    <x v="172"/>
    <s v="samuelbattista"/>
    <n v="2.6"/>
    <n v="1.3564659966250536"/>
    <s v="21st Century Schizoid Man"/>
    <s v="King Crimson"/>
    <n v="4"/>
    <n v="1"/>
    <n v="3"/>
    <n v="1"/>
    <n v="4"/>
    <n v="36140906"/>
    <s v="Rock"/>
    <s v="Progressive Rock"/>
    <n v="3"/>
    <n v="1"/>
    <b v="0"/>
  </r>
  <r>
    <x v="172"/>
    <s v="currydestroyer27"/>
    <n v="2.4"/>
    <n v="1.019803902718557"/>
    <s v="I Think I Left the Stove On"/>
    <s v="Hotel Ugly"/>
    <n v="2"/>
    <n v="2"/>
    <n v="4"/>
    <n v="3"/>
    <n v="1"/>
    <n v="96636947"/>
    <m/>
    <m/>
    <n v="1"/>
    <n v="1"/>
    <b v="1"/>
  </r>
  <r>
    <x v="173"/>
    <s v="alappatjoe"/>
    <n v="3.6"/>
    <n v="1.3564659966250536"/>
    <s v="Vegas"/>
    <s v="Doja Cat"/>
    <n v="1"/>
    <n v="5"/>
    <n v="4"/>
    <n v="4"/>
    <n v="4"/>
    <n v="614108436"/>
    <s v="Rap"/>
    <s v="Rap"/>
    <n v="4"/>
    <n v="1"/>
    <b v="0"/>
  </r>
  <r>
    <x v="173"/>
    <s v="danram"/>
    <n v="4.5999999999999996"/>
    <n v="0.8"/>
    <s v="Gotta Go My Own Way"/>
    <s v="Zac Efron, Vanessa Hudgens"/>
    <n v="5"/>
    <n v="3"/>
    <n v="5"/>
    <n v="5"/>
    <n v="5"/>
    <n v="207655665"/>
    <s v="Musical"/>
    <s v="Musical"/>
    <n v="5"/>
    <n v="1"/>
    <b v="0"/>
  </r>
  <r>
    <x v="173"/>
    <s v="loganworsdell"/>
    <n v="2.8"/>
    <n v="0.9797958971132712"/>
    <s v="On My Soul"/>
    <s v="Tobe Nwigwe, Nas, Jacob Banks"/>
    <n v="3"/>
    <n v="4"/>
    <n v="1"/>
    <n v="3"/>
    <n v="3"/>
    <n v="10620704"/>
    <s v="Hip-Hop"/>
    <s v="Conscious Hip Hop"/>
    <n v="3"/>
    <n v="1"/>
    <b v="0"/>
  </r>
  <r>
    <x v="173"/>
    <s v="samuelbattista"/>
    <n v="1.6"/>
    <n v="0.4898979485566356"/>
    <s v="Never"/>
    <s v="Moving Pictures"/>
    <n v="2"/>
    <n v="1"/>
    <n v="2"/>
    <n v="1"/>
    <n v="2"/>
    <n v="14289930"/>
    <m/>
    <m/>
    <n v="1"/>
    <n v="1"/>
    <b v="1"/>
  </r>
  <r>
    <x v="173"/>
    <s v="currydestroyer27"/>
    <n v="2.4"/>
    <n v="1.019803902718557"/>
    <s v="Black Sheep"/>
    <s v="Metric"/>
    <n v="4"/>
    <n v="2"/>
    <n v="3"/>
    <n v="2"/>
    <n v="1"/>
    <n v="128307668"/>
    <s v="Rock"/>
    <s v="Progressive Rock"/>
    <n v="2"/>
    <n v="1"/>
    <b v="0"/>
  </r>
  <r>
    <x v="174"/>
    <s v="alappatjoe"/>
    <n v="2.6"/>
    <n v="1.6248076809271921"/>
    <s v="Kekka Orai"/>
    <s v="Kocchi no Kento"/>
    <n v="1"/>
    <n v="5"/>
    <n v="1"/>
    <n v="4"/>
    <n v="2"/>
    <n v="2863740"/>
    <s v="International"/>
    <s v="J-Pop"/>
    <n v="2"/>
    <n v="1"/>
    <b v="0"/>
  </r>
  <r>
    <x v="174"/>
    <s v="danram"/>
    <n v="2.8"/>
    <n v="0.9797958971132712"/>
    <s v="Kaikai Kitan"/>
    <s v="Eve"/>
    <n v="3"/>
    <n v="1"/>
    <n v="3"/>
    <n v="3"/>
    <n v="4"/>
    <n v="470179000"/>
    <s v="International"/>
    <s v="J-Pop"/>
    <n v="3"/>
    <n v="1"/>
    <b v="0"/>
  </r>
  <r>
    <x v="174"/>
    <s v="loganworsdell"/>
    <n v="3.8"/>
    <n v="1.1661903789690602"/>
    <s v="ふ・れ・ん・ど・し・た・い"/>
    <s v="学園生活部"/>
    <n v="5"/>
    <n v="4"/>
    <n v="2"/>
    <n v="5"/>
    <n v="3"/>
    <n v="2848185"/>
    <s v="International"/>
    <s v="J-Pop"/>
    <n v="5"/>
    <n v="1"/>
    <b v="0"/>
  </r>
  <r>
    <x v="174"/>
    <s v="samuelbattista"/>
    <n v="3.2"/>
    <n v="1.6"/>
    <s v="タイム・リミット"/>
    <s v="CASIOPEA"/>
    <n v="2"/>
    <n v="3"/>
    <n v="5"/>
    <n v="1"/>
    <n v="5"/>
    <n v="8745378"/>
    <s v="International"/>
    <s v="J-Fusion"/>
    <n v="4"/>
    <n v="1"/>
    <b v="0"/>
  </r>
  <r>
    <x v="174"/>
    <s v="currydestroyer27"/>
    <n v="2.6"/>
    <n v="1.2"/>
    <s v="Kizukeyo Baby"/>
    <s v="THE ORAL CIGARETTES"/>
    <n v="4"/>
    <n v="2"/>
    <n v="4"/>
    <n v="2"/>
    <n v="1"/>
    <n v="20339334"/>
    <s v="International"/>
    <s v="J-Rock"/>
    <n v="1"/>
    <n v="1"/>
    <b v="1"/>
  </r>
  <r>
    <x v="175"/>
    <s v="alappatjoe"/>
    <n v="3.2"/>
    <n v="1.6"/>
    <s v="Sayonara"/>
    <s v="Kenshi Yonezu"/>
    <n v="1"/>
    <n v="5"/>
    <n v="5"/>
    <n v="2"/>
    <n v="3"/>
    <n v="72492095"/>
    <s v="International"/>
    <s v="J-Pop"/>
    <n v="4"/>
    <n v="1"/>
    <b v="0"/>
  </r>
  <r>
    <x v="175"/>
    <s v="danram"/>
    <n v="4.2"/>
    <n v="0.74833147735478833"/>
    <s v="PIDA LO QUE QUIERA MAMI"/>
    <s v="Feid"/>
    <n v="3"/>
    <n v="4"/>
    <n v="4"/>
    <n v="5"/>
    <n v="5"/>
    <n v="2206182"/>
    <s v="International"/>
    <s v="Latin"/>
    <n v="5"/>
    <n v="1"/>
    <b v="0"/>
  </r>
  <r>
    <x v="175"/>
    <s v="loganworsdell"/>
    <n v="2.4"/>
    <n v="1.019803902718557"/>
    <s v="WASSUP"/>
    <s v="Young Miko"/>
    <n v="4"/>
    <n v="1"/>
    <n v="2"/>
    <n v="3"/>
    <n v="2"/>
    <n v="1678417"/>
    <s v="Hip-Hop"/>
    <s v="Latin Trap"/>
    <n v="1"/>
    <n v="1"/>
    <b v="1"/>
  </r>
  <r>
    <x v="175"/>
    <s v="samuelbattista"/>
    <n v="2.6"/>
    <n v="1.6248076809271921"/>
    <s v="My Hero"/>
    <s v="Foo Fighters"/>
    <n v="5"/>
    <n v="2"/>
    <n v="1"/>
    <n v="1"/>
    <n v="4"/>
    <n v="500778744"/>
    <s v="Rock"/>
    <s v="Alternative Rock"/>
    <n v="3"/>
    <n v="1"/>
    <b v="0"/>
  </r>
  <r>
    <x v="175"/>
    <s v="currydestroyer27"/>
    <n v="2.6"/>
    <n v="1.019803902718557"/>
    <s v="Upset"/>
    <s v="Brent Faiyaz, FELIX!, Tommy Richman"/>
    <n v="2"/>
    <n v="3"/>
    <n v="3"/>
    <n v="4"/>
    <n v="1"/>
    <n v="173182447"/>
    <s v="R&amp;B"/>
    <s v="Contemporary R&amp;B"/>
    <n v="2"/>
    <n v="1"/>
    <b v="0"/>
  </r>
  <r>
    <x v="176"/>
    <s v="alappatjoe"/>
    <n v="2.4"/>
    <n v="0.8"/>
    <s v="Do It"/>
    <s v="Tuxedo"/>
    <n v="1"/>
    <n v="2"/>
    <n v="3"/>
    <n v="3"/>
    <n v="3"/>
    <n v="40864035"/>
    <s v="R&amp;B"/>
    <s v="Soul"/>
    <n v="2"/>
    <n v="1"/>
    <b v="0"/>
  </r>
  <r>
    <x v="176"/>
    <s v="danram"/>
    <n v="3.4"/>
    <n v="1.3564659966250536"/>
    <s v="Tape You"/>
    <s v="N.E.R.D"/>
    <n v="3"/>
    <n v="1"/>
    <n v="5"/>
    <n v="4"/>
    <n v="4"/>
    <n v="5117632"/>
    <s v="R&amp;B"/>
    <m/>
    <n v="4"/>
    <n v="1"/>
    <b v="0"/>
  </r>
  <r>
    <x v="176"/>
    <s v="loganworsdell"/>
    <n v="4.2"/>
    <n v="1.6"/>
    <s v="I Really Wish I Hated You"/>
    <s v="blink-182"/>
    <n v="5"/>
    <n v="5"/>
    <n v="1"/>
    <n v="5"/>
    <n v="5"/>
    <n v="69212608"/>
    <s v="Pop"/>
    <s v="Pop Rock"/>
    <n v="5"/>
    <n v="1"/>
    <b v="0"/>
  </r>
  <r>
    <x v="176"/>
    <s v="samuelbattista"/>
    <n v="3"/>
    <n v="1.2649110640673518"/>
    <s v="Half of My Heart"/>
    <s v="John Mayer"/>
    <n v="4"/>
    <n v="4"/>
    <n v="4"/>
    <n v="1"/>
    <n v="2"/>
    <n v="169121016"/>
    <s v="Pop"/>
    <s v="Soft Rock"/>
    <n v="3"/>
    <n v="1"/>
    <b v="0"/>
  </r>
  <r>
    <x v="176"/>
    <s v="currydestroyer27"/>
    <n v="2"/>
    <n v="0.63245553203367588"/>
    <s v="光るなら"/>
    <s v="Goose House"/>
    <n v="2"/>
    <n v="3"/>
    <n v="2"/>
    <n v="2"/>
    <n v="1"/>
    <n v="175424164"/>
    <s v="International"/>
    <s v="J-Pop"/>
    <n v="1"/>
    <n v="1"/>
    <b v="1"/>
  </r>
  <r>
    <x v="177"/>
    <s v="alappatjoe"/>
    <n v="2.6"/>
    <n v="1.3564659966250536"/>
    <s v="Circles"/>
    <s v="Megan Thee Stallion"/>
    <n v="1"/>
    <n v="3"/>
    <n v="5"/>
    <n v="2"/>
    <n v="2"/>
    <n v="39790204"/>
    <s v="Hip-Hop"/>
    <s v="Rap"/>
    <n v="3"/>
    <n v="1"/>
    <b v="0"/>
  </r>
  <r>
    <x v="177"/>
    <s v="danram"/>
    <n v="3.6"/>
    <n v="1.3564659966250536"/>
    <s v="U My Everything (feat. Drake)"/>
    <s v="Sexyy Red, Drake"/>
    <n v="5"/>
    <n v="1"/>
    <n v="4"/>
    <n v="4"/>
    <n v="4"/>
    <n v="75189517"/>
    <m/>
    <m/>
    <n v="4"/>
    <n v="1"/>
    <b v="0"/>
  </r>
  <r>
    <x v="177"/>
    <s v="loganworsdell"/>
    <n v="4"/>
    <n v="1.5491933384829668"/>
    <s v="Immaculate"/>
    <s v="Shygirl, Club Shy, Saweetie"/>
    <n v="4"/>
    <n v="5"/>
    <n v="1"/>
    <n v="5"/>
    <n v="5"/>
    <n v="3456802"/>
    <s v="Pop"/>
    <s v="Pop Rap"/>
    <n v="5"/>
    <n v="1"/>
    <b v="0"/>
  </r>
  <r>
    <x v="177"/>
    <s v="samuelbattista"/>
    <n v="2.4"/>
    <n v="0.8"/>
    <s v="15 Minutes"/>
    <s v="Sabrina Carpenter"/>
    <n v="3"/>
    <n v="2"/>
    <n v="3"/>
    <n v="1"/>
    <n v="3"/>
    <n v="76043410"/>
    <s v="Pop"/>
    <s v="Pop  "/>
    <n v="1"/>
    <n v="1"/>
    <b v="1"/>
  </r>
  <r>
    <x v="177"/>
    <s v="currydestroyer27"/>
    <n v="2.4"/>
    <n v="1.019803902718557"/>
    <s v="Feeling Myself"/>
    <s v="Nicki Minaj, Beyonce"/>
    <n v="2"/>
    <n v="4"/>
    <n v="2"/>
    <n v="3"/>
    <n v="1"/>
    <n v="425027603"/>
    <s v="Pop"/>
    <s v="Pop Rap"/>
    <n v="2"/>
    <n v="1"/>
    <b v="0"/>
  </r>
  <r>
    <x v="178"/>
    <s v="alappatjoe"/>
    <n v="2.2000000000000002"/>
    <n v="1.1661903789690602"/>
    <s v="After Midnight"/>
    <s v="Jordan Astra, Misha, Jussi Halme"/>
    <n v="1"/>
    <n v="2"/>
    <n v="3"/>
    <n v="1"/>
    <n v="4"/>
    <n v="1737043"/>
    <s v="R&amp;B"/>
    <s v="R&amp;B"/>
    <n v="1"/>
    <n v="1"/>
    <b v="1"/>
  </r>
  <r>
    <x v="178"/>
    <s v="danram"/>
    <n v="3.8"/>
    <n v="1.6"/>
    <s v="RATHER LIE (with The Weeknd)"/>
    <s v="Playboi Carti, The Weeknd"/>
    <n v="5"/>
    <n v="1"/>
    <n v="5"/>
    <n v="5"/>
    <n v="3"/>
    <m/>
    <m/>
    <m/>
    <n v="5"/>
    <n v="1"/>
    <b v="0"/>
  </r>
  <r>
    <x v="178"/>
    <s v="loganworsdell"/>
    <n v="2.6"/>
    <n v="1.6248076809271921"/>
    <s v="The 1"/>
    <s v="muque"/>
    <n v="4"/>
    <n v="5"/>
    <n v="1"/>
    <n v="2"/>
    <n v="1"/>
    <n v="353903"/>
    <s v="International"/>
    <s v="J-Pop"/>
    <n v="2"/>
    <n v="1"/>
    <b v="0"/>
  </r>
  <r>
    <x v="178"/>
    <s v="samuelbattista"/>
    <n v="3.6"/>
    <n v="0.8"/>
    <s v="Priceless"/>
    <s v="Maroon 5, LISA"/>
    <n v="3"/>
    <n v="3"/>
    <n v="4"/>
    <n v="3"/>
    <n v="5"/>
    <n v="6417364"/>
    <s v="Pop"/>
    <s v="Pop"/>
    <n v="4"/>
    <n v="1"/>
    <b v="0"/>
  </r>
  <r>
    <x v="178"/>
    <s v="currydestroyer27"/>
    <n v="2.8"/>
    <n v="0.9797958971132712"/>
    <s v="Ash"/>
    <s v="LE SSERAFIM"/>
    <n v="2"/>
    <n v="4"/>
    <n v="2"/>
    <n v="4"/>
    <n v="2"/>
    <n v="17059533"/>
    <s v="International"/>
    <s v="K-Pop"/>
    <n v="3"/>
    <n v="1"/>
    <b v="0"/>
  </r>
  <r>
    <x v="179"/>
    <s v="alappatjoe"/>
    <n v="4.2"/>
    <n v="1.1661903789690602"/>
    <s v="NOT SORRY"/>
    <s v="Lee Young Ji, pH-1"/>
    <n v="2"/>
    <n v="5"/>
    <n v="4"/>
    <n v="5"/>
    <n v="5"/>
    <n v="17292061"/>
    <s v="Rap"/>
    <s v="K-Rap"/>
    <n v="5"/>
    <n v="1"/>
    <b v="0"/>
  </r>
  <r>
    <x v="179"/>
    <s v="danram"/>
    <n v="3.6"/>
    <n v="1.4966629547095767"/>
    <s v="Una Vida Pasada"/>
    <s v="Camilo, Carin Leon"/>
    <n v="5"/>
    <n v="1"/>
    <n v="5"/>
    <n v="3"/>
    <n v="4"/>
    <m/>
    <m/>
    <m/>
    <n v="4"/>
    <n v="1"/>
    <b v="0"/>
  </r>
  <r>
    <x v="179"/>
    <s v="loganworsdell"/>
    <n v="2.2000000000000002"/>
    <n v="0.74833147735478833"/>
    <s v="venus fly trap"/>
    <s v="brakence"/>
    <n v="3"/>
    <n v="3"/>
    <n v="1"/>
    <n v="2"/>
    <n v="2"/>
    <n v="21009560"/>
    <s v="Electronic"/>
    <s v="Hyperpop"/>
    <n v="1"/>
    <n v="1"/>
    <b v="1"/>
  </r>
  <r>
    <x v="179"/>
    <s v="samuelbattista"/>
    <n v="2.4"/>
    <n v="1.2"/>
    <s v="Deadstick"/>
    <s v="King Gizzard and the Lizard Wizard"/>
    <n v="1"/>
    <n v="4"/>
    <n v="3"/>
    <n v="1"/>
    <n v="3"/>
    <n v="1234484"/>
    <s v="Rock"/>
    <s v="Alternative Rock"/>
    <n v="2"/>
    <n v="1"/>
    <b v="0"/>
  </r>
  <r>
    <x v="179"/>
    <s v="currydestroyer27"/>
    <n v="2.6"/>
    <n v="1.2"/>
    <s v="4EVER"/>
    <s v="Clairo"/>
    <n v="4"/>
    <n v="2"/>
    <n v="2"/>
    <n v="4"/>
    <n v="1"/>
    <n v="350005535"/>
    <s v="Pop"/>
    <s v="Alternative Pop"/>
    <n v="3"/>
    <n v="1"/>
    <b v="0"/>
  </r>
  <r>
    <x v="180"/>
    <s v="alappatjoe"/>
    <n v="3.2"/>
    <n v="1.3266499161421599"/>
    <s v="Carrion Riders"/>
    <s v="insaneintherainmusic"/>
    <n v="1"/>
    <n v="3"/>
    <n v="5"/>
    <n v="4"/>
    <n v="3"/>
    <n v="4190"/>
    <s v="Other"/>
    <s v="Video Game OST"/>
    <n v="4"/>
    <n v="1"/>
    <b v="0"/>
  </r>
  <r>
    <x v="180"/>
    <s v="danram"/>
    <n v="2.6"/>
    <n v="1.2"/>
    <s v="I Can't Win"/>
    <s v="The Strokes"/>
    <n v="4"/>
    <n v="1"/>
    <n v="4"/>
    <n v="2"/>
    <n v="2"/>
    <m/>
    <m/>
    <m/>
    <n v="1"/>
    <n v="1"/>
    <b v="1"/>
  </r>
  <r>
    <x v="180"/>
    <s v="loganworsdell"/>
    <n v="3.6"/>
    <n v="1.4966629547095767"/>
    <s v="I Lied to You"/>
    <s v="Miles Canton, Sinners Movie"/>
    <n v="3"/>
    <n v="5"/>
    <n v="1"/>
    <n v="5"/>
    <n v="4"/>
    <n v="3185693"/>
    <s v="R&amp;B"/>
    <s v="Neo-Soul"/>
    <n v="5"/>
    <n v="1"/>
    <b v="0"/>
  </r>
  <r>
    <x v="180"/>
    <s v="samuelbattista"/>
    <n v="2.8"/>
    <n v="1.4696938456699069"/>
    <s v="Man! I Feel Like  A Woman!"/>
    <s v="Shania Twain"/>
    <n v="2"/>
    <n v="4"/>
    <n v="2"/>
    <n v="1"/>
    <n v="5"/>
    <n v="680295894"/>
    <s v="Country"/>
    <s v="Pop"/>
    <n v="3"/>
    <n v="1"/>
    <b v="0"/>
  </r>
  <r>
    <x v="180"/>
    <s v="currydestroyer27"/>
    <n v="2.8"/>
    <n v="1.3266499161421599"/>
    <s v="Mercury"/>
    <s v="Steve Lacy"/>
    <n v="5"/>
    <n v="2"/>
    <n v="3"/>
    <n v="3"/>
    <n v="1"/>
    <n v="92959799"/>
    <s v="R&amp;B"/>
    <s v="Alternative R&amp;B"/>
    <n v="2"/>
    <n v="1"/>
    <b v="0"/>
  </r>
  <r>
    <x v="181"/>
    <s v="alappatjoe"/>
    <n v="2.4"/>
    <n v="1.2"/>
    <s v="Right Round"/>
    <s v="Flo Rida, Kesha"/>
    <n v="1"/>
    <n v="3"/>
    <n v="3"/>
    <n v="4"/>
    <n v="1"/>
    <n v="787723272"/>
    <s v="Rap"/>
    <s v="Pop Rap"/>
    <n v="1"/>
    <n v="1"/>
    <b v="1"/>
  </r>
  <r>
    <x v="181"/>
    <s v="danram"/>
    <n v="3.2"/>
    <n v="1.4696938456699069"/>
    <s v="Waka Waka (This Time for Africa)"/>
    <s v="Shakira, Freshlyground"/>
    <n v="2"/>
    <n v="1"/>
    <n v="4"/>
    <n v="5"/>
    <n v="4"/>
    <m/>
    <m/>
    <m/>
    <n v="4"/>
    <n v="1"/>
    <b v="0"/>
  </r>
  <r>
    <x v="181"/>
    <s v="loganworsdell"/>
    <n v="3.6"/>
    <n v="1.4966629547095767"/>
    <s v="Out of My Mind"/>
    <s v="B.o.B, Nicki Minaj"/>
    <n v="4"/>
    <n v="5"/>
    <n v="1"/>
    <n v="3"/>
    <n v="5"/>
    <n v="39045065"/>
    <s v="Hip-Hop"/>
    <s v="Alternative Hip Hop"/>
    <n v="5"/>
    <n v="1"/>
    <b v="0"/>
  </r>
  <r>
    <x v="181"/>
    <s v="samuelbattista"/>
    <n v="3"/>
    <n v="1.4142135623730951"/>
    <s v="Demons"/>
    <s v="Imagine Dragons"/>
    <n v="5"/>
    <n v="4"/>
    <n v="2"/>
    <n v="1"/>
    <n v="3"/>
    <n v="2663877407"/>
    <m/>
    <m/>
    <n v="3"/>
    <n v="1"/>
    <b v="0"/>
  </r>
  <r>
    <x v="181"/>
    <s v="currydestroyer27"/>
    <n v="2.8"/>
    <n v="1.1661903789690602"/>
    <s v="Trap Queen"/>
    <s v="Fetty Wap"/>
    <n v="3"/>
    <n v="2"/>
    <n v="5"/>
    <n v="2"/>
    <n v="2"/>
    <n v="1363031663"/>
    <s v="Rap"/>
    <s v="Trap"/>
    <n v="2"/>
    <n v="1"/>
    <b v="0"/>
  </r>
  <r>
    <x v="182"/>
    <s v="alappatjoe"/>
    <n v="3.6"/>
    <n v="1.7435595774162693"/>
    <s v="Desi Girl"/>
    <s v="Vishal-Shekhar, Shankar Mahadevan, Sunidhi Chauhan, Vishal Dadlani"/>
    <n v="1"/>
    <n v="5"/>
    <n v="5"/>
    <n v="5"/>
    <n v="2"/>
    <n v="90481674"/>
    <s v="International"/>
    <s v="Bollywood"/>
    <n v="5"/>
    <n v="1"/>
    <b v="0"/>
  </r>
  <r>
    <x v="182"/>
    <s v="danram"/>
    <n v="2.6"/>
    <n v="1.6248076809271921"/>
    <s v="Mr. Jones"/>
    <s v="Counting Crows"/>
    <n v="5"/>
    <n v="1"/>
    <n v="1"/>
    <n v="2"/>
    <n v="4"/>
    <m/>
    <m/>
    <m/>
    <n v="2"/>
    <n v="1"/>
    <b v="0"/>
  </r>
  <r>
    <x v="182"/>
    <s v="loganworsdell"/>
    <n v="3.2"/>
    <n v="1.1661903789690602"/>
    <s v="LIVING IN MY HEAD"/>
    <s v="Friz"/>
    <n v="4"/>
    <n v="2"/>
    <n v="2"/>
    <n v="3"/>
    <n v="5"/>
    <n v="3923011"/>
    <s v="Hip-Hop"/>
    <s v="Emo Rap"/>
    <n v="4"/>
    <n v="1"/>
    <b v="0"/>
  </r>
  <r>
    <x v="182"/>
    <s v="samuelbattista"/>
    <n v="2.6"/>
    <n v="0.8"/>
    <s v="Fire Escape"/>
    <s v="Tyson Motsenbocker"/>
    <n v="3"/>
    <n v="3"/>
    <n v="3"/>
    <n v="1"/>
    <n v="3"/>
    <n v="82046"/>
    <m/>
    <m/>
    <n v="1"/>
    <n v="1"/>
    <b v="1"/>
  </r>
  <r>
    <x v="182"/>
    <s v="currydestroyer27"/>
    <n v="3"/>
    <n v="1.2649110640673518"/>
    <s v="Judas"/>
    <s v="Lady Gaga"/>
    <n v="2"/>
    <n v="4"/>
    <n v="4"/>
    <n v="4"/>
    <n v="1"/>
    <n v="806922759"/>
    <s v="Pop"/>
    <s v="Dark Pop"/>
    <n v="3"/>
    <n v="1"/>
    <b v="0"/>
  </r>
  <r>
    <x v="183"/>
    <s v="alappatjoe"/>
    <n v="3.2"/>
    <n v="1.6"/>
    <s v="Balam Pichkari"/>
    <s v="Pritam, Vishal Dadlani, Shalmali Kolgade"/>
    <n v="1"/>
    <n v="3"/>
    <n v="5"/>
    <n v="5"/>
    <n v="2"/>
    <n v="106075232"/>
    <s v="International"/>
    <s v="Bollywood"/>
    <n v="4"/>
    <n v="1"/>
    <b v="0"/>
  </r>
  <r>
    <x v="183"/>
    <s v="danram"/>
    <n v="3"/>
    <n v="1.4142135623730951"/>
    <s v="Holy Wars... The Punishment Due"/>
    <s v="Megadeth"/>
    <n v="5"/>
    <n v="2"/>
    <n v="3"/>
    <n v="1"/>
    <n v="4"/>
    <m/>
    <m/>
    <m/>
    <n v="2"/>
    <n v="1"/>
    <b v="0"/>
  </r>
  <r>
    <x v="183"/>
    <s v="loganworsdell"/>
    <n v="2.2000000000000002"/>
    <n v="0.74833147735478833"/>
    <s v="So Good"/>
    <s v="Weston Estate"/>
    <n v="2"/>
    <n v="1"/>
    <n v="2"/>
    <n v="3"/>
    <n v="3"/>
    <n v="27718603"/>
    <s v="Pop"/>
    <s v="Bedroom Pop"/>
    <n v="1"/>
    <n v="1"/>
    <b v="1"/>
  </r>
  <r>
    <x v="183"/>
    <s v="samuelbattista"/>
    <n v="3.6"/>
    <n v="1.019803902718557"/>
    <n v="2122"/>
    <s v="Geese"/>
    <n v="3"/>
    <n v="4"/>
    <n v="4"/>
    <n v="2"/>
    <n v="5"/>
    <n v="2568096"/>
    <s v="Rock"/>
    <s v="Neo-Psychadelic"/>
    <n v="5"/>
    <n v="1"/>
    <b v="0"/>
  </r>
  <r>
    <x v="183"/>
    <s v="currydestroyer27"/>
    <n v="3"/>
    <n v="1.6733200530681511"/>
    <s v="Backstage Pass"/>
    <s v="Smino, monte booker, The Drums"/>
    <n v="4"/>
    <n v="5"/>
    <n v="1"/>
    <n v="4"/>
    <n v="1"/>
    <n v="25677213"/>
    <s v="Rap"/>
    <s v="Pop Rap"/>
    <n v="3"/>
    <n v="1"/>
    <b v="0"/>
  </r>
  <r>
    <x v="184"/>
    <s v="alappatjoe"/>
    <n v="2.6"/>
    <n v="1.2"/>
    <s v="Call It Off"/>
    <s v="Emotional Oranges, JAEHYUN"/>
    <n v="1"/>
    <n v="4"/>
    <n v="2"/>
    <n v="4"/>
    <n v="2"/>
    <n v="1841326"/>
    <s v="R&amp;B"/>
    <s v="Alt-R&amp;B"/>
    <n v="2"/>
    <n v="1"/>
    <b v="0"/>
  </r>
  <r>
    <x v="184"/>
    <s v="danram"/>
    <n v="3.2"/>
    <n v="1.1661903789690602"/>
    <s v="25grad"/>
    <s v="0199, Gustav, Kasi, antonius"/>
    <n v="4"/>
    <n v="1"/>
    <n v="4"/>
    <n v="3"/>
    <n v="4"/>
    <m/>
    <m/>
    <m/>
    <n v="3"/>
    <n v="1"/>
    <b v="0"/>
  </r>
  <r>
    <x v="184"/>
    <s v="loganworsdell"/>
    <n v="2.4"/>
    <n v="0.8"/>
    <s v="Houston"/>
    <s v="Jean Dawson"/>
    <n v="3"/>
    <n v="3"/>
    <n v="1"/>
    <n v="2"/>
    <n v="3"/>
    <n v="3634001"/>
    <m/>
    <m/>
    <n v="1"/>
    <n v="1"/>
    <b v="1"/>
  </r>
  <r>
    <x v="184"/>
    <s v="samuelbattista"/>
    <n v="3.2"/>
    <n v="1.6"/>
    <s v="Overkill"/>
    <s v="Men At Work"/>
    <n v="5"/>
    <n v="2"/>
    <n v="3"/>
    <n v="1"/>
    <n v="5"/>
    <n v="114253758"/>
    <s v="Rock"/>
    <s v="80s Rock"/>
    <n v="4"/>
    <n v="1"/>
    <b v="0"/>
  </r>
  <r>
    <x v="184"/>
    <s v="currydestroyer27"/>
    <n v="3.6"/>
    <n v="1.7435595774162693"/>
    <s v="Collide"/>
    <s v="James Bay"/>
    <n v="2"/>
    <n v="5"/>
    <n v="5"/>
    <n v="5"/>
    <n v="1"/>
    <n v="23452708"/>
    <m/>
    <m/>
    <n v="5"/>
    <n v="1"/>
    <b v="0"/>
  </r>
  <r>
    <x v="185"/>
    <s v="alappatjoe"/>
    <n v="2.4"/>
    <n v="1.019803902718557"/>
    <s v="CUFF IT"/>
    <s v="Beyoncé"/>
    <n v="1"/>
    <n v="2"/>
    <n v="4"/>
    <n v="3"/>
    <n v="2"/>
    <n v="889602689"/>
    <s v="R&amp;B"/>
    <s v="Funk"/>
    <n v="1"/>
    <n v="1"/>
    <b v="1"/>
  </r>
  <r>
    <x v="185"/>
    <s v="danram"/>
    <n v="2.4"/>
    <n v="1.2"/>
    <s v="STARGAZING"/>
    <s v="Travis Scott"/>
    <n v="3"/>
    <n v="1"/>
    <n v="3"/>
    <n v="4"/>
    <n v="1"/>
    <m/>
    <m/>
    <m/>
    <n v="2"/>
    <n v="1"/>
    <b v="0"/>
  </r>
  <r>
    <x v="185"/>
    <s v="loganworsdell"/>
    <n v="3.4"/>
    <n v="1.4966629547095767"/>
    <s v="Attention"/>
    <s v="berryblue"/>
    <n v="5"/>
    <n v="3"/>
    <n v="1"/>
    <n v="5"/>
    <n v="3"/>
    <n v="363335"/>
    <m/>
    <m/>
    <n v="4"/>
    <n v="1"/>
    <b v="0"/>
  </r>
  <r>
    <x v="185"/>
    <s v="samuelbattista"/>
    <n v="3"/>
    <n v="1.6733200530681511"/>
    <s v="Tush"/>
    <s v="ZZ Top"/>
    <n v="2"/>
    <n v="5"/>
    <n v="2"/>
    <n v="1"/>
    <n v="5"/>
    <n v="220367545"/>
    <m/>
    <m/>
    <n v="3"/>
    <n v="1"/>
    <b v="0"/>
  </r>
  <r>
    <x v="185"/>
    <s v="currydestroyer27"/>
    <n v="3.8"/>
    <n v="0.9797958971132712"/>
    <s v="Texas"/>
    <s v="BigXthaPlug"/>
    <n v="4"/>
    <n v="4"/>
    <n v="5"/>
    <n v="2"/>
    <n v="4"/>
    <n v="198412226"/>
    <s v="Rap"/>
    <s v="Trap"/>
    <n v="5"/>
    <n v="1"/>
    <b v="0"/>
  </r>
  <r>
    <x v="186"/>
    <s v="alappatjoe"/>
    <n v="3.2"/>
    <n v="1.3266499161421599"/>
    <s v="Supernova"/>
    <s v="aespa"/>
    <n v="1"/>
    <n v="4"/>
    <n v="3"/>
    <n v="5"/>
    <n v="3"/>
    <n v="303744907"/>
    <s v="International"/>
    <s v="K-Pop"/>
    <n v="3"/>
    <n v="1"/>
    <b v="0"/>
  </r>
  <r>
    <x v="186"/>
    <s v="danram"/>
    <n v="3.8"/>
    <n v="0.74833147735478833"/>
    <s v="Ella Se Olvido De Mi"/>
    <s v="Los Angeles Azules"/>
    <n v="4"/>
    <n v="3"/>
    <n v="5"/>
    <n v="3"/>
    <n v="4"/>
    <m/>
    <m/>
    <m/>
    <n v="4"/>
    <n v="1"/>
    <b v="0"/>
  </r>
  <r>
    <x v="186"/>
    <s v="loganworsdell"/>
    <n v="2.2000000000000002"/>
    <n v="1.1661903789690602"/>
    <s v="Nice to Know You"/>
    <s v="PinkPantheress"/>
    <n v="3"/>
    <n v="1"/>
    <n v="1"/>
    <n v="4"/>
    <n v="2"/>
    <n v="2419058"/>
    <m/>
    <m/>
    <n v="2"/>
    <n v="1"/>
    <b v="0"/>
  </r>
  <r>
    <x v="186"/>
    <s v="samuelbattista"/>
    <n v="4"/>
    <n v="1.5491933384829668"/>
    <s v="Me and Bobby McGee"/>
    <s v="Janis Joplin"/>
    <n v="5"/>
    <n v="5"/>
    <n v="4"/>
    <n v="1"/>
    <n v="5"/>
    <n v="300669679"/>
    <m/>
    <m/>
    <n v="5"/>
    <n v="1"/>
    <b v="0"/>
  </r>
  <r>
    <x v="186"/>
    <s v="currydestroyer27"/>
    <n v="1.8"/>
    <n v="0.4"/>
    <s v="BLACK MEMORY"/>
    <s v="THE ORAL CIGARETTES"/>
    <n v="2"/>
    <n v="2"/>
    <n v="2"/>
    <n v="2"/>
    <n v="1"/>
    <n v="24707935"/>
    <s v="International"/>
    <s v="J-Rock"/>
    <n v="1"/>
    <n v="1"/>
    <b v="1"/>
  </r>
  <r>
    <x v="187"/>
    <s v="alappatjoe"/>
    <n v="2.8"/>
    <n v="1.1661903789690602"/>
    <s v="Kid Charlemagne"/>
    <s v="Steely Dan"/>
    <n v="1"/>
    <n v="2"/>
    <n v="4"/>
    <n v="3"/>
    <n v="4"/>
    <n v="31547701"/>
    <s v="Rock"/>
    <s v="Pop-Rock"/>
    <n v="1"/>
    <n v="1"/>
    <b v="1"/>
  </r>
  <r>
    <x v="187"/>
    <s v="danram"/>
    <n v="2.8"/>
    <n v="1.6"/>
    <s v="4EVA"/>
    <s v="KAYTRAMINE, Amine, KAYTRANADA, Pharrell"/>
    <n v="4"/>
    <n v="1"/>
    <n v="1"/>
    <n v="5"/>
    <n v="3"/>
    <m/>
    <m/>
    <m/>
    <n v="2"/>
    <n v="1"/>
    <b v="0"/>
  </r>
  <r>
    <x v="187"/>
    <s v="loganworsdell"/>
    <n v="3"/>
    <n v="1.2649110640673518"/>
    <s v="PURPLE TUESDAY"/>
    <s v="Rejjie Snow, Joey Bada$$, Jesse Boykin III"/>
    <n v="2"/>
    <n v="4"/>
    <n v="2"/>
    <n v="2"/>
    <n v="5"/>
    <n v="38848357"/>
    <m/>
    <m/>
    <n v="3"/>
    <n v="1"/>
    <b v="0"/>
  </r>
  <r>
    <x v="187"/>
    <s v="samuelbattista"/>
    <n v="3.2"/>
    <n v="1.6"/>
    <s v="Mr. Crowley"/>
    <s v="Ozzy Osbourne"/>
    <n v="5"/>
    <n v="3"/>
    <n v="5"/>
    <n v="1"/>
    <n v="2"/>
    <n v="90763490"/>
    <m/>
    <m/>
    <n v="5"/>
    <n v="1"/>
    <b v="0"/>
  </r>
  <r>
    <x v="187"/>
    <s v="currydestroyer27"/>
    <n v="3.2"/>
    <n v="1.3266499161421599"/>
    <s v="Heavydirtysoul"/>
    <s v="Twenty One Pilots"/>
    <n v="3"/>
    <n v="5"/>
    <n v="3"/>
    <n v="4"/>
    <n v="1"/>
    <n v="420841377"/>
    <s v="Hip-Hop"/>
    <s v="Concious Hip-Hop"/>
    <n v="4"/>
    <n v="1"/>
    <b v="0"/>
  </r>
  <r>
    <x v="188"/>
    <s v="alappatjoe"/>
    <n v="3.6"/>
    <n v="1.4966629547095767"/>
    <s v="double take"/>
    <s v="dhruv"/>
    <n v="1"/>
    <n v="4"/>
    <n v="3"/>
    <n v="5"/>
    <n v="5"/>
    <n v="1102159755"/>
    <s v="R&amp;B"/>
    <s v="Contemporary R&amp;B"/>
    <n v="4"/>
    <n v="1"/>
    <b v="0"/>
  </r>
  <r>
    <x v="188"/>
    <s v="danram"/>
    <n v="3"/>
    <n v="1.4142135623730951"/>
    <s v="Despues de la Playa"/>
    <s v="Bad Bunny"/>
    <n v="2"/>
    <n v="1"/>
    <n v="5"/>
    <n v="3"/>
    <n v="4"/>
    <m/>
    <m/>
    <m/>
    <n v="3"/>
    <n v="1"/>
    <b v="0"/>
  </r>
  <r>
    <x v="188"/>
    <s v="loganworsdell"/>
    <n v="2.4"/>
    <n v="1.019803902718557"/>
    <s v="Crash"/>
    <s v="Rdcworld, Toasty-Chan"/>
    <n v="3"/>
    <n v="2"/>
    <n v="1"/>
    <n v="4"/>
    <n v="2"/>
    <n v="1375025"/>
    <m/>
    <m/>
    <n v="2"/>
    <n v="1"/>
    <b v="0"/>
  </r>
  <r>
    <x v="188"/>
    <s v="samuelbattista"/>
    <n v="3.8"/>
    <n v="1.1661903789690602"/>
    <s v="Seven Weeks In County"/>
    <s v="Billy Strings"/>
    <n v="5"/>
    <n v="5"/>
    <n v="4"/>
    <n v="2"/>
    <n v="3"/>
    <n v="3172234"/>
    <m/>
    <m/>
    <n v="5"/>
    <n v="1"/>
    <b v="0"/>
  </r>
  <r>
    <x v="188"/>
    <s v="currydestroyer27"/>
    <n v="2.2000000000000002"/>
    <n v="1.1661903789690602"/>
    <s v="Hard Times"/>
    <s v="Paramore"/>
    <n v="4"/>
    <n v="3"/>
    <n v="2"/>
    <n v="1"/>
    <n v="1"/>
    <n v="555752593"/>
    <s v="Pop"/>
    <s v="Pop Rock"/>
    <n v="1"/>
    <n v="1"/>
    <b v="1"/>
  </r>
  <r>
    <x v="189"/>
    <s v="alappatjoe"/>
    <n v="4.2"/>
    <n v="0.74833147735478833"/>
    <s v="Nessun dorma"/>
    <s v="Andrea Bocelli"/>
    <n v="3"/>
    <n v="4"/>
    <n v="5"/>
    <n v="4"/>
    <n v="5"/>
    <n v="18390807"/>
    <s v="Classical"/>
    <s v="Opera"/>
    <n v="5"/>
    <n v="1"/>
    <b v="0"/>
  </r>
  <r>
    <x v="189"/>
    <s v="danram"/>
    <n v="2.6"/>
    <n v="1.019803902718557"/>
    <s v="Open Arms (Feat. Travis Scott)"/>
    <s v="SZA, Travis Scott"/>
    <n v="2"/>
    <n v="1"/>
    <n v="3"/>
    <n v="3"/>
    <n v="4"/>
    <m/>
    <m/>
    <m/>
    <n v="1"/>
    <n v="1"/>
    <b v="1"/>
  </r>
  <r>
    <x v="189"/>
    <s v="loganworsdell"/>
    <n v="3"/>
    <n v="1.6733200530681511"/>
    <s v="STEP BACK"/>
    <s v="Dro Kenji, Mike Dimes"/>
    <n v="5"/>
    <n v="2"/>
    <n v="1"/>
    <n v="5"/>
    <n v="2"/>
    <n v="15163346"/>
    <m/>
    <m/>
    <n v="4"/>
    <n v="1"/>
    <b v="0"/>
  </r>
  <r>
    <x v="189"/>
    <s v="samuelbattista"/>
    <n v="2.6"/>
    <n v="1.019803902718557"/>
    <s v="Photograph"/>
    <s v="Tyson Motsenbocker"/>
    <n v="4"/>
    <n v="3"/>
    <n v="2"/>
    <n v="1"/>
    <n v="3"/>
    <n v="40645"/>
    <m/>
    <m/>
    <n v="1"/>
    <n v="2"/>
    <b v="0"/>
  </r>
  <r>
    <x v="189"/>
    <s v="currydestroyer27"/>
    <n v="2.6"/>
    <n v="1.6248076809271921"/>
    <s v="Come Get Her"/>
    <s v="Rae Sremmurd"/>
    <n v="1"/>
    <n v="5"/>
    <n v="4"/>
    <n v="2"/>
    <n v="1"/>
    <n v="684436041"/>
    <s v="Rap"/>
    <s v="Pop Rap"/>
    <n v="3"/>
    <n v="1"/>
    <b v="0"/>
  </r>
  <r>
    <x v="190"/>
    <s v="alappatjoe"/>
    <n v="3.4"/>
    <n v="1.6248076809271921"/>
    <s v="The Town Inside Me"/>
    <s v="AISHA, Arc System Works"/>
    <n v="1"/>
    <n v="5"/>
    <n v="4"/>
    <n v="5"/>
    <n v="2"/>
    <n v="14425432"/>
    <s v="Other"/>
    <s v="Video Game OST"/>
    <n v="4"/>
    <n v="1"/>
    <b v="0"/>
  </r>
  <r>
    <x v="190"/>
    <s v="danram"/>
    <n v="3.2"/>
    <n v="1.4696938456699069"/>
    <s v="I Miss You"/>
    <s v="blink-182"/>
    <n v="4"/>
    <n v="1"/>
    <n v="2"/>
    <n v="4"/>
    <n v="5"/>
    <m/>
    <m/>
    <m/>
    <n v="3"/>
    <n v="1"/>
    <b v="0"/>
  </r>
  <r>
    <x v="190"/>
    <s v="loganworsdell"/>
    <n v="2"/>
    <n v="0.89442719099991586"/>
    <s v="Thru These Tears"/>
    <s v="LANY"/>
    <n v="3"/>
    <n v="3"/>
    <n v="1"/>
    <n v="2"/>
    <n v="1"/>
    <n v="235348924"/>
    <m/>
    <m/>
    <n v="1"/>
    <n v="1"/>
    <b v="1"/>
  </r>
  <r>
    <x v="190"/>
    <s v="samuelbattista"/>
    <n v="2.6"/>
    <n v="1.3564659966250536"/>
    <s v="Moving On and Getting Over"/>
    <s v="John Mayer"/>
    <n v="2"/>
    <n v="2"/>
    <n v="5"/>
    <n v="1"/>
    <n v="3"/>
    <n v="103154598"/>
    <m/>
    <m/>
    <n v="2"/>
    <n v="1"/>
    <b v="0"/>
  </r>
  <r>
    <x v="190"/>
    <s v="currydestroyer27"/>
    <n v="3.8"/>
    <n v="0.74833147735478833"/>
    <s v="The End"/>
    <s v="Lil Uzi Vert, BABY METAL"/>
    <n v="5"/>
    <n v="4"/>
    <n v="3"/>
    <n v="3"/>
    <n v="4"/>
    <n v="42255813"/>
    <s v="Rock"/>
    <s v="Melodic Metalcore"/>
    <n v="5"/>
    <n v="1"/>
    <b v="0"/>
  </r>
  <r>
    <x v="191"/>
    <s v="alappatjoe"/>
    <n v="2.8"/>
    <n v="1.4696938456699069"/>
    <s v="Oh My God"/>
    <s v="Adele"/>
    <n v="1"/>
    <n v="4"/>
    <n v="2"/>
    <n v="2"/>
    <n v="5"/>
    <n v="628358451"/>
    <s v="Pop"/>
    <s v="Gospel Pop"/>
    <n v="3"/>
    <n v="1"/>
    <b v="0"/>
  </r>
  <r>
    <x v="191"/>
    <s v="danram"/>
    <n v="2.6"/>
    <n v="1.2"/>
    <s v="Let's Get It Started"/>
    <s v="Black Eyed Peas"/>
    <n v="2"/>
    <n v="1"/>
    <n v="4"/>
    <n v="4"/>
    <n v="2"/>
    <m/>
    <m/>
    <m/>
    <n v="2"/>
    <n v="1"/>
    <b v="0"/>
  </r>
  <r>
    <x v="191"/>
    <s v="loganworsdell"/>
    <n v="2"/>
    <n v="0.89442719099991586"/>
    <s v="It's Not Design"/>
    <s v="Lupe Fiasco, Salim"/>
    <n v="3"/>
    <n v="2"/>
    <n v="1"/>
    <n v="3"/>
    <n v="1"/>
    <n v="3751133"/>
    <m/>
    <m/>
    <n v="1"/>
    <n v="1"/>
    <b v="1"/>
  </r>
  <r>
    <x v="191"/>
    <s v="samuelbattista"/>
    <n v="3.6"/>
    <n v="1.4966629547095767"/>
    <s v="Achilles Last Stand"/>
    <s v="Led Zeppelin"/>
    <n v="5"/>
    <n v="3"/>
    <n v="5"/>
    <n v="1"/>
    <n v="4"/>
    <n v="31002865"/>
    <m/>
    <m/>
    <n v="4"/>
    <n v="1"/>
    <b v="0"/>
  </r>
  <r>
    <x v="191"/>
    <s v="currydestroyer27"/>
    <n v="4"/>
    <n v="0.89442719099991586"/>
    <s v="Higher"/>
    <s v="Sigma, Labrinth"/>
    <n v="4"/>
    <n v="5"/>
    <n v="3"/>
    <n v="5"/>
    <n v="3"/>
    <n v="30236462"/>
    <m/>
    <m/>
    <n v="5"/>
    <n v="1"/>
    <b v="0"/>
  </r>
  <r>
    <x v="192"/>
    <s v="alappatjoe"/>
    <n v="3.2"/>
    <n v="1.6"/>
    <s v="Love Me Right"/>
    <s v="Aretha Franklin"/>
    <n v="1"/>
    <n v="2"/>
    <n v="5"/>
    <n v="3"/>
    <n v="5"/>
    <n v="311875"/>
    <m/>
    <m/>
    <n v="4"/>
    <n v="1"/>
    <b v="0"/>
  </r>
  <r>
    <x v="192"/>
    <s v="danram"/>
    <n v="2.6"/>
    <n v="1.2"/>
    <s v="BRASILIAN SKIES"/>
    <s v="Masayoshi Takanaka"/>
    <n v="2"/>
    <n v="1"/>
    <n v="4"/>
    <n v="2"/>
    <n v="4"/>
    <m/>
    <m/>
    <m/>
    <n v="2"/>
    <n v="1"/>
    <b v="0"/>
  </r>
  <r>
    <x v="192"/>
    <s v="loganworsdell"/>
    <n v="3.2"/>
    <n v="0.74833147735478833"/>
    <s v="cafuné (butter version)"/>
    <s v="Sofi Tukker, Channel Tres"/>
    <n v="3"/>
    <n v="4"/>
    <n v="2"/>
    <n v="4"/>
    <n v="3"/>
    <n v="131849"/>
    <m/>
    <m/>
    <n v="3"/>
    <n v="1"/>
    <b v="0"/>
  </r>
  <r>
    <x v="192"/>
    <s v="samuelbattista"/>
    <n v="2.2000000000000002"/>
    <n v="1.1661903789690602"/>
    <s v="No Rain, No Flowers"/>
    <s v="The Black Keys"/>
    <n v="4"/>
    <n v="3"/>
    <n v="1"/>
    <n v="1"/>
    <n v="2"/>
    <n v="1596081"/>
    <m/>
    <m/>
    <n v="1"/>
    <n v="1"/>
    <b v="1"/>
  </r>
  <r>
    <x v="192"/>
    <s v="currydestroyer27"/>
    <n v="3.8"/>
    <n v="1.6"/>
    <s v="Ban All the Music"/>
    <s v="Nothing But Thieves"/>
    <n v="5"/>
    <n v="5"/>
    <n v="3"/>
    <n v="5"/>
    <n v="1"/>
    <n v="26229814"/>
    <m/>
    <m/>
    <n v="5"/>
    <n v="1"/>
    <b v="0"/>
  </r>
  <r>
    <x v="193"/>
    <s v="alappatjoe"/>
    <n v="2"/>
    <n v="1.0954451150103321"/>
    <s v="SOUVENIR"/>
    <s v="BUMP OF CHICKEN"/>
    <n v="1"/>
    <n v="4"/>
    <n v="2"/>
    <n v="2"/>
    <n v="1"/>
    <n v="76934690"/>
    <m/>
    <m/>
    <n v="1"/>
    <n v="1"/>
    <b v="1"/>
  </r>
  <r>
    <x v="193"/>
    <s v="danram"/>
    <n v="4.2"/>
    <n v="0.74833147735478833"/>
    <s v="Star Shopping"/>
    <s v="Lil Peep"/>
    <n v="4"/>
    <n v="3"/>
    <n v="5"/>
    <n v="5"/>
    <n v="4"/>
    <m/>
    <m/>
    <m/>
    <n v="5"/>
    <n v="1"/>
    <b v="0"/>
  </r>
  <r>
    <x v="193"/>
    <s v="loganworsdell"/>
    <n v="2.2000000000000002"/>
    <n v="0.74833147735478833"/>
    <s v="CAN'T SAY"/>
    <s v="Travis Scott, Don Toliver"/>
    <n v="3"/>
    <n v="2"/>
    <n v="1"/>
    <n v="3"/>
    <n v="2"/>
    <n v="783268708"/>
    <m/>
    <m/>
    <n v="2"/>
    <n v="1"/>
    <b v="0"/>
  </r>
  <r>
    <x v="193"/>
    <s v="samuelbattista"/>
    <n v="4"/>
    <n v="1.5491933384829668"/>
    <s v="SISAS NADA"/>
    <s v="TURY, Ryan Castro, Blessd"/>
    <n v="5"/>
    <n v="5"/>
    <n v="4"/>
    <n v="1"/>
    <n v="5"/>
    <n v="11298122"/>
    <m/>
    <m/>
    <n v="4"/>
    <n v="1"/>
    <b v="0"/>
  </r>
  <r>
    <x v="193"/>
    <s v="currydestroyer27"/>
    <n v="2.6"/>
    <n v="1.019803902718557"/>
    <s v="c"/>
    <s v="とおのねむり"/>
    <n v="2"/>
    <n v="1"/>
    <n v="3"/>
    <n v="4"/>
    <n v="3"/>
    <n v="18893"/>
    <m/>
    <m/>
    <n v="3"/>
    <n v="1"/>
    <b v="0"/>
  </r>
  <r>
    <x v="194"/>
    <s v="alappatjoe"/>
    <n v="2.8"/>
    <n v="1.1661903789690602"/>
    <s v="In Touch"/>
    <s v="Daul, Charli Taft"/>
    <n v="1"/>
    <n v="2"/>
    <n v="3"/>
    <n v="4"/>
    <n v="4"/>
    <n v="4904029"/>
    <m/>
    <m/>
    <n v="3"/>
    <n v="1"/>
    <b v="0"/>
  </r>
  <r>
    <x v="194"/>
    <s v="danram"/>
    <n v="3.4"/>
    <n v="1.3564659966250536"/>
    <s v="Cool Cat"/>
    <s v="Queen"/>
    <n v="4"/>
    <n v="1"/>
    <n v="4"/>
    <n v="3"/>
    <n v="5"/>
    <m/>
    <m/>
    <m/>
    <n v="4"/>
    <n v="1"/>
    <b v="0"/>
  </r>
  <r>
    <x v="194"/>
    <s v="loganworsdell"/>
    <n v="2.2000000000000002"/>
    <n v="1.4696938456699069"/>
    <s v="robbery"/>
    <s v="SOLOMON"/>
    <n v="2"/>
    <n v="5"/>
    <n v="1"/>
    <n v="2"/>
    <n v="1"/>
    <n v="166206"/>
    <m/>
    <m/>
    <n v="2"/>
    <n v="1"/>
    <b v="0"/>
  </r>
  <r>
    <x v="194"/>
    <s v="samuelbattista"/>
    <n v="2.2000000000000002"/>
    <n v="0.74833147735478833"/>
    <s v="Whateverrrr"/>
    <s v="Spacey Jane"/>
    <n v="3"/>
    <n v="3"/>
    <n v="2"/>
    <n v="1"/>
    <n v="2"/>
    <n v="2048518"/>
    <m/>
    <m/>
    <n v="1"/>
    <n v="1"/>
    <b v="1"/>
  </r>
  <r>
    <x v="194"/>
    <s v="currydestroyer27"/>
    <n v="4.4000000000000004"/>
    <n v="0.8"/>
    <s v="Little White Lies"/>
    <s v="One Direction"/>
    <n v="5"/>
    <n v="4"/>
    <n v="5"/>
    <n v="5"/>
    <n v="3"/>
    <n v="92673241"/>
    <m/>
    <m/>
    <n v="5"/>
    <n v="1"/>
    <b v="0"/>
  </r>
  <r>
    <x v="195"/>
    <s v="alappatjoe"/>
    <n v="3"/>
    <n v="1.0954451150103321"/>
    <s v="Sweet"/>
    <s v="Breny Joy, Landon Sears"/>
    <n v="1"/>
    <n v="4"/>
    <n v="4"/>
    <n v="3"/>
    <n v="3"/>
    <n v="21270757"/>
    <m/>
    <m/>
    <n v="3"/>
    <n v="1"/>
    <b v="0"/>
  </r>
  <r>
    <x v="195"/>
    <s v="danram"/>
    <n v="3"/>
    <n v="1.4142135623730951"/>
    <s v="Runaway (U&amp;I)"/>
    <s v="Galantis"/>
    <n v="5"/>
    <n v="1"/>
    <n v="3"/>
    <n v="4"/>
    <n v="2"/>
    <m/>
    <m/>
    <m/>
    <n v="4"/>
    <n v="1"/>
    <b v="0"/>
  </r>
  <r>
    <x v="195"/>
    <s v="loganworsdell"/>
    <n v="3"/>
    <n v="0.89442719099991586"/>
    <s v="One Out Of Two"/>
    <s v="Breakbot, Irfane"/>
    <n v="4"/>
    <n v="3"/>
    <n v="2"/>
    <n v="2"/>
    <n v="4"/>
    <n v="8458510"/>
    <m/>
    <m/>
    <n v="2"/>
    <n v="1"/>
    <b v="0"/>
  </r>
  <r>
    <x v="195"/>
    <s v="samuelbattista"/>
    <n v="3.8"/>
    <n v="1.6"/>
    <s v="Long Distance Runaround"/>
    <s v="Yes"/>
    <n v="3"/>
    <n v="5"/>
    <n v="5"/>
    <n v="1"/>
    <n v="5"/>
    <n v="16147289"/>
    <m/>
    <m/>
    <n v="5"/>
    <n v="1"/>
    <b v="0"/>
  </r>
  <r>
    <x v="195"/>
    <s v="currydestroyer27"/>
    <n v="2.2000000000000002"/>
    <n v="1.4696938456699069"/>
    <s v="Rather Be"/>
    <s v="Clean Bandit, Jess Glynne"/>
    <n v="2"/>
    <n v="2"/>
    <n v="1"/>
    <n v="5"/>
    <n v="1"/>
    <n v="1545854432"/>
    <m/>
    <m/>
    <n v="1"/>
    <n v="1"/>
    <b v="1"/>
  </r>
  <r>
    <x v="196"/>
    <s v="alappatjoe"/>
    <n v="2.8"/>
    <n v="1.1661903789690602"/>
    <s v="Before Midnight"/>
    <s v="a!ka"/>
    <n v="1"/>
    <n v="4"/>
    <n v="4"/>
    <n v="2"/>
    <n v="3"/>
    <n v="45127"/>
    <m/>
    <m/>
    <n v="4"/>
    <n v="1"/>
    <b v="0"/>
  </r>
  <r>
    <x v="196"/>
    <s v="danram"/>
    <n v="2.6"/>
    <n v="1.3564659966250536"/>
    <s v="Illegal"/>
    <s v="PinkPantheress"/>
    <n v="4"/>
    <n v="1"/>
    <n v="1"/>
    <n v="3"/>
    <n v="4"/>
    <m/>
    <m/>
    <m/>
    <n v="2"/>
    <n v="1"/>
    <b v="0"/>
  </r>
  <r>
    <x v="196"/>
    <s v="loganworsdell"/>
    <n v="4.4000000000000004"/>
    <n v="1.2"/>
    <s v="STRANGERS"/>
    <s v="JP Saxe, TINI"/>
    <n v="2"/>
    <n v="5"/>
    <n v="5"/>
    <n v="5"/>
    <n v="5"/>
    <n v="908435"/>
    <m/>
    <m/>
    <n v="5"/>
    <n v="1"/>
    <b v="0"/>
  </r>
  <r>
    <x v="196"/>
    <s v="samuelbattista"/>
    <n v="2.4"/>
    <n v="1.3564659966250536"/>
    <s v="The Void"/>
    <s v="Spiritbox"/>
    <n v="5"/>
    <n v="2"/>
    <n v="2"/>
    <n v="1"/>
    <n v="2"/>
    <n v="36061744"/>
    <m/>
    <m/>
    <n v="1"/>
    <n v="1"/>
    <b v="1"/>
  </r>
  <r>
    <x v="196"/>
    <s v="currydestroyer27"/>
    <n v="2.8"/>
    <n v="0.9797958971132712"/>
    <s v="Come And Get It"/>
    <s v="John Newman"/>
    <n v="3"/>
    <n v="3"/>
    <n v="3"/>
    <n v="4"/>
    <n v="1"/>
    <n v="70672959"/>
    <m/>
    <m/>
    <n v="3"/>
    <n v="1"/>
    <b v="0"/>
  </r>
  <r>
    <x v="197"/>
    <s v="alappatjoe"/>
    <n v="2.6"/>
    <n v="1.9595917942265424"/>
    <s v="No Mediocre"/>
    <s v="T.I., Iggy Azalea"/>
    <n v="1"/>
    <n v="5"/>
    <n v="1"/>
    <n v="1"/>
    <n v="5"/>
    <n v="154363604"/>
    <m/>
    <m/>
    <n v="3"/>
    <n v="1"/>
    <b v="0"/>
  </r>
  <r>
    <x v="197"/>
    <s v="danram"/>
    <n v="4.4000000000000004"/>
    <n v="0.8"/>
    <s v="Echame La Culpa"/>
    <s v="Luis Fonsi, Demi Lovato"/>
    <n v="5"/>
    <n v="3"/>
    <n v="5"/>
    <n v="5"/>
    <n v="4"/>
    <m/>
    <m/>
    <m/>
    <n v="5"/>
    <n v="1"/>
    <b v="0"/>
  </r>
  <r>
    <x v="197"/>
    <s v="loganworsdell"/>
    <n v="2.2000000000000002"/>
    <n v="0.4"/>
    <s v="Rat A Tat"/>
    <s v="Fall Out Boy, Courtney Love"/>
    <n v="2"/>
    <n v="2"/>
    <n v="2"/>
    <n v="2"/>
    <n v="3"/>
    <n v="50049941"/>
    <m/>
    <m/>
    <n v="1"/>
    <n v="1"/>
    <b v="1"/>
  </r>
  <r>
    <x v="197"/>
    <s v="samuelbattista"/>
    <n v="3.2"/>
    <n v="0.74833147735478833"/>
    <s v="Please Please Please"/>
    <s v="Sabrina Carpenter, Dolly Parton"/>
    <n v="3"/>
    <n v="4"/>
    <n v="3"/>
    <n v="4"/>
    <n v="2"/>
    <n v="18429018"/>
    <m/>
    <m/>
    <n v="4"/>
    <n v="1"/>
    <b v="0"/>
  </r>
  <r>
    <x v="197"/>
    <s v="currydestroyer27"/>
    <n v="2.6"/>
    <n v="1.3564659966250536"/>
    <s v="Swervin"/>
    <s v="A Boogie Wit Da Hoodie, 6ix9ine"/>
    <n v="4"/>
    <n v="1"/>
    <n v="4"/>
    <n v="3"/>
    <n v="1"/>
    <n v="853869435"/>
    <m/>
    <m/>
    <n v="2"/>
    <n v="1"/>
    <b v="0"/>
  </r>
  <r>
    <x v="198"/>
    <s v="alappatjoe"/>
    <n v="3.6"/>
    <n v="1.019803902718557"/>
    <s v="Too Late"/>
    <s v="Wake the Wild"/>
    <n v="3"/>
    <n v="5"/>
    <n v="2"/>
    <n v="4"/>
    <n v="4"/>
    <n v="1023705"/>
    <m/>
    <m/>
    <n v="4"/>
    <n v="1"/>
    <b v="0"/>
  </r>
  <r>
    <x v="198"/>
    <s v="danram"/>
    <n v="1.4"/>
    <n v="0.4898979485566356"/>
    <s v="Umbrella"/>
    <s v="Rihanna, JAY-Z"/>
    <n v="2"/>
    <n v="1"/>
    <n v="1"/>
    <n v="2"/>
    <n v="1"/>
    <m/>
    <m/>
    <m/>
    <n v="1"/>
    <n v="1"/>
    <b v="1"/>
  </r>
  <r>
    <x v="198"/>
    <s v="loganworsdell"/>
    <n v="3.8"/>
    <n v="1.1661903789690602"/>
    <s v="Sure"/>
    <s v="Emarosa"/>
    <n v="5"/>
    <n v="2"/>
    <n v="4"/>
    <n v="3"/>
    <n v="5"/>
    <n v="14836767"/>
    <m/>
    <m/>
    <n v="5"/>
    <n v="1"/>
    <b v="0"/>
  </r>
  <r>
    <x v="198"/>
    <s v="samuelbattista"/>
    <n v="3.2"/>
    <n v="1.3266499161421599"/>
    <s v="Hocus Pocus"/>
    <s v="Focus"/>
    <n v="4"/>
    <n v="3"/>
    <n v="5"/>
    <n v="1"/>
    <n v="3"/>
    <n v="46133499"/>
    <m/>
    <m/>
    <n v="3"/>
    <n v="1"/>
    <b v="0"/>
  </r>
  <r>
    <x v="198"/>
    <s v="currydestroyer27"/>
    <n v="3"/>
    <n v="1.4142135623730951"/>
    <s v="The London"/>
    <s v="Young Thug, J. Cole, Travis Scott"/>
    <n v="1"/>
    <n v="4"/>
    <n v="3"/>
    <n v="5"/>
    <n v="2"/>
    <n v="793797222"/>
    <m/>
    <m/>
    <n v="2"/>
    <n v="1"/>
    <b v="0"/>
  </r>
  <r>
    <x v="199"/>
    <s v="alappatjoe"/>
    <n v="2.2000000000000002"/>
    <n v="1.4696938456699069"/>
    <s v="Cash In Cash Out"/>
    <s v="Pharrell Williams, 21 Savage, Tyler The Creator"/>
    <n v="1"/>
    <n v="1"/>
    <n v="2"/>
    <n v="5"/>
    <n v="2"/>
    <n v="198569466"/>
    <m/>
    <m/>
    <n v="1"/>
    <n v="1"/>
    <b v="1"/>
  </r>
  <r>
    <x v="199"/>
    <s v="danram"/>
    <n v="3.4"/>
    <n v="0.8"/>
    <s v="Jackie Down The Line"/>
    <s v="Fontaines D.C."/>
    <n v="4"/>
    <n v="2"/>
    <n v="4"/>
    <n v="3"/>
    <n v="4"/>
    <m/>
    <m/>
    <m/>
    <n v="4"/>
    <n v="1"/>
    <b v="0"/>
  </r>
  <r>
    <x v="199"/>
    <s v="loganworsdell"/>
    <n v="2.8"/>
    <n v="1.1661903789690602"/>
    <s v="StArlight"/>
    <s v="Johnny Yukon"/>
    <n v="2"/>
    <n v="4"/>
    <n v="1"/>
    <n v="4"/>
    <n v="3"/>
    <n v="836022"/>
    <m/>
    <m/>
    <n v="2"/>
    <n v="1"/>
    <b v="0"/>
  </r>
  <r>
    <x v="199"/>
    <s v="samuelbattista"/>
    <n v="3.8"/>
    <n v="1.6"/>
    <s v="Noble Soldier"/>
    <s v="The Murlocs"/>
    <n v="5"/>
    <n v="3"/>
    <n v="5"/>
    <n v="1"/>
    <n v="5"/>
    <n v="651539"/>
    <m/>
    <m/>
    <n v="5"/>
    <n v="1"/>
    <b v="0"/>
  </r>
  <r>
    <x v="199"/>
    <s v="currydestroyer27"/>
    <n v="2.8"/>
    <n v="1.3266499161421599"/>
    <s v="Mr. Blue Sky"/>
    <s v="Electric Light Orchestra"/>
    <n v="3"/>
    <n v="5"/>
    <n v="3"/>
    <n v="2"/>
    <n v="1"/>
    <n v="1098887920"/>
    <m/>
    <m/>
    <n v="3"/>
    <n v="1"/>
    <b v="0"/>
  </r>
  <r>
    <x v="200"/>
    <s v="alappatjoe"/>
    <n v="2.6"/>
    <n v="1.019803902718557"/>
    <s v="Gut Feeling"/>
    <s v="Ella MAI, H.E.R."/>
    <n v="1"/>
    <n v="4"/>
    <n v="3"/>
    <n v="3"/>
    <n v="2"/>
    <n v="56685482"/>
    <m/>
    <m/>
    <n v="3"/>
    <n v="1"/>
    <b v="0"/>
  </r>
  <r>
    <x v="200"/>
    <s v="danram"/>
    <n v="3.2"/>
    <n v="1.4696938456699069"/>
    <s v="Balloon (feat. Doechii)"/>
    <s v="Tyler, The Creator, Doechii"/>
    <n v="4"/>
    <n v="1"/>
    <n v="5"/>
    <n v="2"/>
    <n v="4"/>
    <m/>
    <m/>
    <m/>
    <n v="4"/>
    <n v="1"/>
    <b v="0"/>
  </r>
  <r>
    <x v="200"/>
    <s v="loganworsdell"/>
    <n v="4.8"/>
    <n v="0.39999999999999997"/>
    <s v="MIENAIKARANE!?"/>
    <s v="四谷みこ(CV:雨宮 天)"/>
    <n v="5"/>
    <n v="5"/>
    <n v="4"/>
    <n v="5"/>
    <n v="5"/>
    <n v="2612965"/>
    <m/>
    <m/>
    <n v="5"/>
    <n v="1"/>
    <b v="0"/>
  </r>
  <r>
    <x v="200"/>
    <s v="samuelbattista"/>
    <n v="2"/>
    <n v="0.89442719099991586"/>
    <s v="Renegade"/>
    <s v="Styx"/>
    <n v="2"/>
    <n v="3"/>
    <n v="1"/>
    <n v="1"/>
    <n v="3"/>
    <n v="229652011"/>
    <m/>
    <m/>
    <n v="1"/>
    <n v="1"/>
    <b v="1"/>
  </r>
  <r>
    <x v="200"/>
    <s v="currydestroyer27"/>
    <n v="2.4"/>
    <n v="1.019803902718557"/>
    <s v="Ain't Too Cool"/>
    <s v="Lunchmoney Lewis"/>
    <n v="3"/>
    <n v="2"/>
    <n v="2"/>
    <n v="4"/>
    <n v="1"/>
    <n v="15037623"/>
    <m/>
    <m/>
    <n v="2"/>
    <n v="1"/>
    <b v="0"/>
  </r>
  <r>
    <x v="201"/>
    <s v="alappatjoe"/>
    <n v="4"/>
    <n v="1.5491933384829668"/>
    <s v="I Wanna Take You for a Ride"/>
    <s v="The 8-Bit Big Band, Lawrence"/>
    <n v="1"/>
    <n v="4"/>
    <n v="5"/>
    <n v="5"/>
    <n v="5"/>
    <n v="781655"/>
    <m/>
    <m/>
    <n v="5"/>
    <n v="1"/>
    <b v="0"/>
  </r>
  <r>
    <x v="201"/>
    <s v="danram"/>
    <n v="2.6"/>
    <n v="1.2"/>
    <s v="girls like me don't cry"/>
    <s v="thủy"/>
    <n v="2"/>
    <n v="1"/>
    <n v="4"/>
    <n v="4"/>
    <n v="2"/>
    <m/>
    <m/>
    <m/>
    <n v="3"/>
    <n v="1"/>
    <b v="0"/>
  </r>
  <r>
    <x v="201"/>
    <s v="loganworsdell"/>
    <n v="3.8"/>
    <n v="1.1661903789690602"/>
    <s v="Past Self"/>
    <s v="Sleep Token"/>
    <n v="5"/>
    <n v="5"/>
    <n v="2"/>
    <n v="3"/>
    <n v="4"/>
    <n v="19817288"/>
    <m/>
    <m/>
    <n v="4"/>
    <n v="1"/>
    <b v="0"/>
  </r>
  <r>
    <x v="201"/>
    <s v="samuelbattista"/>
    <n v="2.6"/>
    <n v="0.8"/>
    <s v="NUEVAYoL"/>
    <s v="Bad Bunny"/>
    <n v="3"/>
    <n v="3"/>
    <n v="3"/>
    <n v="1"/>
    <n v="3"/>
    <n v="2327811"/>
    <m/>
    <m/>
    <n v="2"/>
    <n v="1"/>
    <b v="0"/>
  </r>
  <r>
    <x v="201"/>
    <s v="currydestroyer27"/>
    <n v="2"/>
    <n v="1.0954451150103321"/>
    <s v="Ain't It Fun"/>
    <s v="Paramore"/>
    <n v="4"/>
    <n v="2"/>
    <n v="1"/>
    <n v="2"/>
    <n v="1"/>
    <n v="571337966"/>
    <m/>
    <m/>
    <n v="1"/>
    <n v="1"/>
    <b v="1"/>
  </r>
  <r>
    <x v="202"/>
    <s v="alappatjoe"/>
    <n v="1.8"/>
    <n v="0.74833147735478833"/>
    <s v="Lucky (Song 7)"/>
    <s v="Busty and the Bass"/>
    <n v="1"/>
    <n v="1"/>
    <n v="2"/>
    <n v="3"/>
    <n v="2"/>
    <n v="676044"/>
    <m/>
    <m/>
    <n v="1"/>
    <n v="1"/>
    <b v="1"/>
  </r>
  <r>
    <x v="202"/>
    <s v="danram"/>
    <n v="3.4"/>
    <n v="1.019803902718557"/>
    <s v="Chega de Saudada"/>
    <s v="Joao Gilberto"/>
    <n v="3"/>
    <n v="3"/>
    <n v="4"/>
    <n v="2"/>
    <n v="5"/>
    <m/>
    <m/>
    <m/>
    <n v="3"/>
    <n v="1"/>
    <b v="0"/>
  </r>
  <r>
    <x v="202"/>
    <s v="loganworsdell"/>
    <n v="3.6"/>
    <n v="1.4966629547095767"/>
    <s v="BRAINROT"/>
    <s v="grandson"/>
    <n v="4"/>
    <n v="5"/>
    <n v="1"/>
    <n v="5"/>
    <n v="3"/>
    <n v="1047509"/>
    <m/>
    <m/>
    <n v="4"/>
    <n v="1"/>
    <b v="0"/>
  </r>
  <r>
    <x v="202"/>
    <s v="samuelbattista"/>
    <n v="3.8"/>
    <n v="1.4696938456699069"/>
    <s v="Voices "/>
    <s v="Joshua Ray Walker"/>
    <n v="5"/>
    <n v="4"/>
    <n v="5"/>
    <n v="1"/>
    <n v="4"/>
    <n v="177291"/>
    <m/>
    <m/>
    <n v="5"/>
    <n v="1"/>
    <b v="0"/>
  </r>
  <r>
    <x v="202"/>
    <s v="currydestroyer27"/>
    <n v="2.4"/>
    <n v="1.019803902718557"/>
    <s v="Dig My Grave"/>
    <s v="Retrofile"/>
    <n v="2"/>
    <n v="2"/>
    <n v="3"/>
    <n v="4"/>
    <n v="1"/>
    <n v="11207081"/>
    <m/>
    <m/>
    <n v="2"/>
    <n v="1"/>
    <b v="0"/>
  </r>
  <r>
    <x v="203"/>
    <s v="alappatjoe"/>
    <n v="2.4"/>
    <n v="1.019803902718557"/>
    <s v="Look At Me"/>
    <s v="Cory Wong, Allen Stone"/>
    <n v="1"/>
    <n v="4"/>
    <n v="3"/>
    <n v="2"/>
    <n v="2"/>
    <n v="4514674"/>
    <m/>
    <m/>
    <n v="1"/>
    <n v="1"/>
    <b v="1"/>
  </r>
  <r>
    <x v="203"/>
    <s v="danram"/>
    <n v="2.6"/>
    <n v="1.019803902718557"/>
    <s v="Ferxxo 500"/>
    <s v="Feid"/>
    <n v="3"/>
    <n v="1"/>
    <n v="2"/>
    <n v="3"/>
    <n v="4"/>
    <m/>
    <m/>
    <m/>
    <n v="2"/>
    <n v="1"/>
    <b v="0"/>
  </r>
  <r>
    <x v="203"/>
    <s v="loganworsdell"/>
    <n v="2.6"/>
    <n v="1.019803902718557"/>
    <s v="CANDY"/>
    <s v="Paco, Ale Araya"/>
    <n v="2"/>
    <n v="3"/>
    <n v="1"/>
    <n v="4"/>
    <n v="3"/>
    <n v="32050"/>
    <m/>
    <m/>
    <n v="2"/>
    <n v="1"/>
    <b v="0"/>
  </r>
  <r>
    <x v="203"/>
    <s v="samuelbattista"/>
    <n v="4.2"/>
    <n v="1.6"/>
    <s v="Broken Wing Bird"/>
    <s v="Kashus Culpepper, Sierra Ferrell"/>
    <n v="5"/>
    <n v="5"/>
    <n v="5"/>
    <n v="1"/>
    <n v="5"/>
    <m/>
    <m/>
    <m/>
    <n v="5"/>
    <n v="1"/>
    <b v="0"/>
  </r>
  <r>
    <x v="203"/>
    <s v="currydestroyer27"/>
    <n v="3.2"/>
    <n v="1.4696938456699069"/>
    <s v="Only Wonder"/>
    <s v="frederic"/>
    <n v="4"/>
    <n v="2"/>
    <n v="4"/>
    <n v="5"/>
    <n v="1"/>
    <n v="15935347"/>
    <s v="International"/>
    <s v="J-Pop"/>
    <n v="4"/>
    <n v="1"/>
    <b v="0"/>
  </r>
  <r>
    <x v="204"/>
    <s v="alappatjoe"/>
    <n v="3.2"/>
    <n v="1.4696938456699069"/>
    <s v="Wherever I Go"/>
    <s v="Jacob Collier, Lawrence, Michael McDonald"/>
    <n v="2"/>
    <n v="5"/>
    <n v="2"/>
    <n v="2"/>
    <n v="5"/>
    <n v="8643419"/>
    <m/>
    <m/>
    <n v="3"/>
    <n v="1"/>
    <b v="0"/>
  </r>
  <r>
    <x v="204"/>
    <s v="danram"/>
    <n v="3.8"/>
    <n v="0.74833147735478833"/>
    <s v="Daybreak"/>
    <s v="Michael Haggins"/>
    <n v="3"/>
    <n v="3"/>
    <n v="4"/>
    <n v="5"/>
    <n v="4"/>
    <m/>
    <m/>
    <m/>
    <n v="5"/>
    <n v="1"/>
    <b v="0"/>
  </r>
  <r>
    <x v="204"/>
    <s v="loganworsdell"/>
    <n v="2.6"/>
    <n v="1.019803902718557"/>
    <s v="Grace"/>
    <s v="CARRTOONS, Rae Khalil"/>
    <n v="4"/>
    <n v="1"/>
    <n v="3"/>
    <n v="3"/>
    <n v="2"/>
    <n v="2177635"/>
    <m/>
    <m/>
    <n v="2"/>
    <n v="1"/>
    <b v="0"/>
  </r>
  <r>
    <x v="204"/>
    <s v="samuelbattista"/>
    <n v="3.6"/>
    <n v="1.4966629547095767"/>
    <s v="Call to Arms"/>
    <s v="Sturgill Simpson"/>
    <n v="5"/>
    <n v="4"/>
    <n v="5"/>
    <n v="1"/>
    <n v="3"/>
    <m/>
    <m/>
    <m/>
    <n v="4"/>
    <n v="1"/>
    <b v="0"/>
  </r>
  <r>
    <x v="204"/>
    <s v="currydestroyer27"/>
    <n v="1.8"/>
    <n v="1.1661903789690602"/>
    <s v="ブルーバード"/>
    <s v="Ikimonogakari"/>
    <n v="1"/>
    <n v="2"/>
    <n v="1"/>
    <n v="4"/>
    <n v="1"/>
    <n v="279132741"/>
    <s v="International"/>
    <s v="J-Pop"/>
    <n v="1"/>
    <n v="1"/>
    <b v="1"/>
  </r>
  <r>
    <x v="205"/>
    <s v="alappatjoe"/>
    <n v="2.8"/>
    <n v="1.1661903789690602"/>
    <s v="Boku no Sensou"/>
    <s v="Shinsei Kamattechan"/>
    <n v="1"/>
    <n v="4"/>
    <n v="3"/>
    <n v="4"/>
    <n v="2"/>
    <n v="79970504"/>
    <m/>
    <m/>
    <n v="3"/>
    <n v="1"/>
    <b v="0"/>
  </r>
  <r>
    <x v="205"/>
    <s v="danram"/>
    <n v="5"/>
    <n v="0"/>
    <s v="Kill That Yankee Soldier"/>
    <s v="Un-Reconstructed"/>
    <n v="5"/>
    <n v="5"/>
    <n v="5"/>
    <n v="5"/>
    <n v="5"/>
    <m/>
    <m/>
    <m/>
    <n v="5"/>
    <n v="1"/>
    <b v="0"/>
  </r>
  <r>
    <x v="205"/>
    <s v="loganworsdell"/>
    <n v="3"/>
    <n v="0.89442719099991586"/>
    <s v="Idk How to Kill Myself"/>
    <s v="Yunggoth"/>
    <n v="3"/>
    <n v="2"/>
    <n v="4"/>
    <n v="2"/>
    <n v="4"/>
    <n v="52107462"/>
    <m/>
    <m/>
    <n v="4"/>
    <n v="1"/>
    <b v="0"/>
  </r>
  <r>
    <x v="205"/>
    <s v="samuelbattista"/>
    <n v="2.4"/>
    <n v="1.2"/>
    <s v="Unwell"/>
    <s v="Matchbox Twenty"/>
    <n v="4"/>
    <n v="3"/>
    <n v="1"/>
    <n v="1"/>
    <n v="3"/>
    <m/>
    <m/>
    <m/>
    <n v="2"/>
    <n v="1"/>
    <b v="0"/>
  </r>
  <r>
    <x v="205"/>
    <s v="currydestroyer27"/>
    <n v="1.8"/>
    <n v="0.74833147735478833"/>
    <s v="Down Bad"/>
    <s v="Dreamville, JID, Bas, J. Cole, EARTHGANG, Young Nudy"/>
    <n v="2"/>
    <n v="1"/>
    <n v="2"/>
    <n v="3"/>
    <n v="1"/>
    <m/>
    <m/>
    <m/>
    <n v="1"/>
    <n v="1"/>
    <b v="1"/>
  </r>
  <r>
    <x v="206"/>
    <s v="alappatjoe"/>
    <n v="3"/>
    <n v="1.2649110640673518"/>
    <s v="Move"/>
    <s v="EASY FREAK"/>
    <n v="1"/>
    <n v="4"/>
    <n v="4"/>
    <n v="2"/>
    <n v="4"/>
    <n v="934229"/>
    <m/>
    <m/>
    <n v="4"/>
    <n v="1"/>
    <b v="0"/>
  </r>
  <r>
    <x v="206"/>
    <s v="danram"/>
    <n v="2.2000000000000002"/>
    <n v="1.1661903789690602"/>
    <s v="BedRock"/>
    <s v="Young Money, Lloyd"/>
    <n v="3"/>
    <n v="1"/>
    <n v="1"/>
    <n v="4"/>
    <n v="2"/>
    <m/>
    <m/>
    <m/>
    <n v="1"/>
    <n v="1"/>
    <b v="1"/>
  </r>
  <r>
    <x v="206"/>
    <s v="loganworsdell"/>
    <n v="2.8"/>
    <n v="0.4"/>
    <s v="Victory Lap"/>
    <s v="Fred again.., Skepta, PlaqueBoyMax"/>
    <n v="2"/>
    <n v="3"/>
    <n v="3"/>
    <n v="3"/>
    <n v="3"/>
    <n v="15545013"/>
    <m/>
    <m/>
    <n v="2"/>
    <n v="1"/>
    <b v="0"/>
  </r>
  <r>
    <x v="206"/>
    <s v="samuelbattista"/>
    <n v="4.2"/>
    <n v="1.6"/>
    <s v="Cover Me Up"/>
    <s v="Jason Isbell"/>
    <n v="5"/>
    <n v="5"/>
    <n v="5"/>
    <n v="1"/>
    <n v="5"/>
    <m/>
    <m/>
    <m/>
    <n v="5"/>
    <n v="1"/>
    <b v="0"/>
  </r>
  <r>
    <x v="206"/>
    <s v="currydestroyer27"/>
    <n v="2.8"/>
    <n v="1.4696938456699069"/>
    <s v="Rock That Body"/>
    <s v="Black Eyed Peas"/>
    <n v="4"/>
    <n v="2"/>
    <n v="2"/>
    <n v="5"/>
    <n v="1"/>
    <n v="199503245"/>
    <m/>
    <m/>
    <n v="3"/>
    <n v="1"/>
    <b v="0"/>
  </r>
  <r>
    <x v="207"/>
    <s v="alappatjoe"/>
    <n v="3.6"/>
    <n v="1.4966629547095767"/>
    <s v="TAKEDOWN"/>
    <s v="TWICE"/>
    <n v="1"/>
    <n v="5"/>
    <n v="3"/>
    <n v="5"/>
    <n v="4"/>
    <n v="2486672"/>
    <m/>
    <m/>
    <n v="4"/>
    <n v="1"/>
    <b v="0"/>
  </r>
  <r>
    <x v="207"/>
    <s v="danram"/>
    <n v="3.6"/>
    <n v="1.019803902718557"/>
    <s v="ESTOY PUTIAO"/>
    <s v="Fied, Sky Rompiendo, Dei V"/>
    <n v="5"/>
    <n v="2"/>
    <n v="4"/>
    <n v="4"/>
    <n v="3"/>
    <m/>
    <m/>
    <m/>
    <n v="3"/>
    <n v="1"/>
    <b v="0"/>
  </r>
  <r>
    <x v="207"/>
    <s v="loganworsdell"/>
    <n v="2.8"/>
    <n v="0.74833147735478833"/>
    <s v="STILL IN THE PAINT"/>
    <s v="Denzel Curry, LAZER DIM 700, Bktherula"/>
    <n v="4"/>
    <n v="3"/>
    <n v="2"/>
    <n v="3"/>
    <n v="2"/>
    <n v="29926163"/>
    <m/>
    <m/>
    <n v="2"/>
    <n v="1"/>
    <b v="0"/>
  </r>
  <r>
    <x v="207"/>
    <s v="samuelbattista"/>
    <n v="3.8"/>
    <n v="1.1661903789690602"/>
    <s v="Uncle Remus"/>
    <s v="Frank Zappa"/>
    <n v="3"/>
    <n v="4"/>
    <n v="5"/>
    <n v="2"/>
    <n v="5"/>
    <m/>
    <m/>
    <m/>
    <n v="5"/>
    <n v="1"/>
    <b v="0"/>
  </r>
  <r>
    <x v="207"/>
    <s v="currydestroyer27"/>
    <n v="1.2"/>
    <n v="0.4"/>
    <s v="I Will Survive"/>
    <s v="Gloria Gaynor"/>
    <n v="2"/>
    <n v="1"/>
    <n v="1"/>
    <n v="1"/>
    <n v="1"/>
    <n v="228392772"/>
    <m/>
    <m/>
    <n v="1"/>
    <n v="1"/>
    <b v="1"/>
  </r>
  <r>
    <x v="208"/>
    <s v="alappatjoe"/>
    <n v="3.6"/>
    <n v="1.3564659966250536"/>
    <s v="Shake Senora"/>
    <s v="Pitbull, T-Pain, Sean Paul"/>
    <n v="1"/>
    <n v="4"/>
    <n v="4"/>
    <n v="5"/>
    <n v="4"/>
    <n v="103915562"/>
    <m/>
    <m/>
    <n v="4"/>
    <n v="1"/>
    <b v="0"/>
  </r>
  <r>
    <x v="208"/>
    <s v="danram"/>
    <n v="3.6"/>
    <n v="1.7435595774162693"/>
    <s v="ALV"/>
    <s v="Arcangel, Grupo Frontera"/>
    <n v="5"/>
    <n v="1"/>
    <n v="5"/>
    <n v="2"/>
    <n v="5"/>
    <m/>
    <m/>
    <m/>
    <n v="5"/>
    <n v="1"/>
    <b v="0"/>
  </r>
  <r>
    <x v="208"/>
    <s v="loganworsdell"/>
    <n v="2.6"/>
    <n v="0.4898979485566356"/>
    <s v="Strangers"/>
    <s v="Kenya Grace"/>
    <n v="3"/>
    <n v="2"/>
    <n v="2"/>
    <n v="3"/>
    <n v="3"/>
    <n v="1007106845"/>
    <m/>
    <m/>
    <n v="2"/>
    <n v="1"/>
    <b v="0"/>
  </r>
  <r>
    <x v="208"/>
    <s v="samuelbattista"/>
    <n v="2.2000000000000002"/>
    <n v="1.1661903789690602"/>
    <s v="LOOK OUT FOR ME"/>
    <s v="Turnstile"/>
    <n v="4"/>
    <n v="3"/>
    <n v="1"/>
    <n v="1"/>
    <n v="2"/>
    <m/>
    <m/>
    <m/>
    <n v="1"/>
    <n v="1"/>
    <b v="1"/>
  </r>
  <r>
    <x v="208"/>
    <s v="currydestroyer27"/>
    <n v="3"/>
    <n v="1.4142135623730951"/>
    <s v="Hush"/>
    <s v="miss A"/>
    <n v="2"/>
    <n v="5"/>
    <n v="3"/>
    <n v="4"/>
    <n v="1"/>
    <n v="31522871"/>
    <s v="International"/>
    <s v="K-Pop"/>
    <n v="3"/>
    <n v="1"/>
    <b v="0"/>
  </r>
  <r>
    <x v="209"/>
    <s v="alappatjoe"/>
    <n v="2"/>
    <n v="1.2649110640673518"/>
    <s v="Numb Little Bug"/>
    <s v="Em Beihold"/>
    <n v="1"/>
    <n v="4"/>
    <n v="1"/>
    <n v="3"/>
    <n v="1"/>
    <n v="439357970"/>
    <m/>
    <m/>
    <n v="1"/>
    <n v="1"/>
    <b v="1"/>
  </r>
  <r>
    <x v="209"/>
    <s v="danram"/>
    <n v="4.2"/>
    <n v="0.9797958971132712"/>
    <s v="Crew Love"/>
    <s v="Drake, The Weeknd"/>
    <n v="3"/>
    <n v="3"/>
    <n v="5"/>
    <n v="5"/>
    <n v="5"/>
    <m/>
    <m/>
    <m/>
    <n v="5"/>
    <n v="1"/>
    <b v="0"/>
  </r>
  <r>
    <x v="209"/>
    <s v="loganworsdell"/>
    <n v="2.2000000000000002"/>
    <n v="0.9797958971132712"/>
    <s v="Music Sounds Better With You"/>
    <s v="Stardust, Benjamin Diamond, Alan Braxe, Thomas Bangalter"/>
    <n v="4"/>
    <n v="1"/>
    <n v="2"/>
    <n v="2"/>
    <n v="2"/>
    <n v="203387451"/>
    <m/>
    <m/>
    <n v="2"/>
    <n v="1"/>
    <b v="0"/>
  </r>
  <r>
    <x v="209"/>
    <s v="samuelbattista"/>
    <n v="2.4"/>
    <n v="1.019803902718557"/>
    <s v="Bennie And The Jets"/>
    <s v="Elton John"/>
    <n v="2"/>
    <n v="2"/>
    <n v="3"/>
    <n v="1"/>
    <n v="4"/>
    <m/>
    <m/>
    <m/>
    <n v="3"/>
    <n v="1"/>
    <b v="0"/>
  </r>
  <r>
    <x v="209"/>
    <s v="currydestroyer27"/>
    <n v="4.2"/>
    <n v="0.74833147735478833"/>
    <s v="TUCA DONKA"/>
    <s v="CURSEDDEVIL, DJ FKU, Skorde"/>
    <n v="5"/>
    <n v="5"/>
    <n v="4"/>
    <n v="4"/>
    <n v="3"/>
    <n v="292381578"/>
    <s v="International"/>
    <s v="Brazilian Funk"/>
    <n v="4"/>
    <n v="1"/>
    <b v="0"/>
  </r>
  <r>
    <x v="210"/>
    <s v="alappatjoe"/>
    <n v="2.8"/>
    <n v="1.3266499161421599"/>
    <s v="Stare At Me"/>
    <s v="JANE HANDCOCK, Anderson .Paak"/>
    <n v="1"/>
    <n v="3"/>
    <n v="3"/>
    <n v="2"/>
    <n v="5"/>
    <n v="177981"/>
    <m/>
    <m/>
    <n v="3"/>
    <n v="1"/>
    <b v="0"/>
  </r>
  <r>
    <x v="210"/>
    <s v="danram"/>
    <n v="2.2000000000000002"/>
    <n v="1.1661903789690602"/>
    <s v="Laugh Now Cry Later (feat. Lil Durk)"/>
    <s v="Drake, Lil Durk"/>
    <n v="2"/>
    <n v="1"/>
    <n v="1"/>
    <n v="3"/>
    <n v="4"/>
    <m/>
    <m/>
    <m/>
    <n v="1"/>
    <n v="1"/>
    <b v="1"/>
  </r>
  <r>
    <x v="210"/>
    <s v="loganworsdell"/>
    <n v="4.2"/>
    <n v="0.9797958971132712"/>
    <s v="LONELY MF"/>
    <s v="$NOT"/>
    <n v="3"/>
    <n v="5"/>
    <n v="5"/>
    <n v="5"/>
    <n v="3"/>
    <n v="768664"/>
    <m/>
    <m/>
    <n v="5"/>
    <n v="1"/>
    <b v="0"/>
  </r>
  <r>
    <x v="210"/>
    <s v="samuelbattista"/>
    <n v="3.2"/>
    <n v="1.4696938456699069"/>
    <s v="NEEDY"/>
    <s v="Internet Girl, Lancey Foux"/>
    <n v="5"/>
    <n v="4"/>
    <n v="4"/>
    <n v="1"/>
    <n v="2"/>
    <m/>
    <m/>
    <m/>
    <n v="4"/>
    <n v="1"/>
    <b v="0"/>
  </r>
  <r>
    <x v="210"/>
    <s v="currydestroyer27"/>
    <n v="2.6"/>
    <n v="1.2"/>
    <s v="Sky"/>
    <s v="Playboi Carti"/>
    <n v="4"/>
    <n v="2"/>
    <n v="2"/>
    <n v="4"/>
    <n v="1"/>
    <n v="895895787"/>
    <m/>
    <m/>
    <n v="2"/>
    <n v="1"/>
    <b v="0"/>
  </r>
  <r>
    <x v="211"/>
    <s v="alappatjoe"/>
    <n v="4.2"/>
    <n v="1.6"/>
    <s v="Fantasia on the &quot;Dargason&quot;"/>
    <s v="United States Air Force Band"/>
    <n v="1"/>
    <n v="5"/>
    <n v="5"/>
    <n v="5"/>
    <n v="5"/>
    <n v="124371"/>
    <m/>
    <m/>
    <n v="5"/>
    <n v="1"/>
    <b v="0"/>
  </r>
  <r>
    <x v="211"/>
    <s v="danram"/>
    <n v="2.4"/>
    <n v="1.019803902718557"/>
    <s v="Yam Yam"/>
    <s v="No Vacation"/>
    <n v="3"/>
    <n v="1"/>
    <n v="4"/>
    <n v="2"/>
    <n v="2"/>
    <m/>
    <m/>
    <m/>
    <n v="2"/>
    <n v="1"/>
    <b v="0"/>
  </r>
  <r>
    <x v="211"/>
    <s v="loganworsdell"/>
    <n v="3.4"/>
    <n v="1.3564659966250536"/>
    <s v="Sad Sad City"/>
    <s v="Ghostland Observatory"/>
    <n v="5"/>
    <n v="4"/>
    <n v="1"/>
    <n v="4"/>
    <n v="3"/>
    <n v="18975207"/>
    <m/>
    <m/>
    <n v="4"/>
    <n v="1"/>
    <b v="0"/>
  </r>
  <r>
    <x v="211"/>
    <s v="samuelbattista"/>
    <n v="2.6"/>
    <n v="1.2"/>
    <s v="davina mccall"/>
    <s v="Wet Leg"/>
    <n v="4"/>
    <n v="2"/>
    <n v="2"/>
    <n v="1"/>
    <n v="4"/>
    <n v="455731"/>
    <m/>
    <m/>
    <n v="3"/>
    <n v="1"/>
    <b v="0"/>
  </r>
  <r>
    <x v="211"/>
    <s v="currydestroyer27"/>
    <n v="2.4"/>
    <n v="0.8"/>
    <s v="Bodies"/>
    <s v="Offset, JID"/>
    <n v="2"/>
    <n v="3"/>
    <n v="3"/>
    <n v="3"/>
    <n v="1"/>
    <n v="7377900"/>
    <m/>
    <m/>
    <n v="1"/>
    <n v="1"/>
    <b v="1"/>
  </r>
  <r>
    <x v="212"/>
    <s v="alappatjoe"/>
    <n v="2.2000000000000002"/>
    <n v="0.9797958971132712"/>
    <s v="ALL IN"/>
    <s v="Ty Dolla $ign"/>
    <n v="1"/>
    <n v="2"/>
    <n v="4"/>
    <n v="2"/>
    <n v="2"/>
    <n v="2453077"/>
    <m/>
    <m/>
    <n v="2"/>
    <n v="1"/>
    <b v="0"/>
  </r>
  <r>
    <x v="212"/>
    <s v="danram"/>
    <n v="4.4000000000000004"/>
    <n v="0.8"/>
    <s v="Invictus"/>
    <s v="Karl King, United States Air Force Band"/>
    <n v="3"/>
    <n v="5"/>
    <n v="5"/>
    <n v="4"/>
    <n v="5"/>
    <m/>
    <m/>
    <m/>
    <n v="5"/>
    <n v="1"/>
    <b v="0"/>
  </r>
  <r>
    <x v="212"/>
    <s v="loganworsdell"/>
    <n v="3.8"/>
    <n v="1.4696938456699069"/>
    <s v="Silent Ride"/>
    <s v="WESTSIDE BOOGIE"/>
    <n v="5"/>
    <n v="4"/>
    <n v="1"/>
    <n v="5"/>
    <n v="4"/>
    <n v="34406954"/>
    <m/>
    <m/>
    <n v="4"/>
    <n v="1"/>
    <b v="0"/>
  </r>
  <r>
    <x v="212"/>
    <s v="samuelbattista"/>
    <n v="2.8"/>
    <n v="0.9797958971132712"/>
    <s v="Time"/>
    <s v="Pink Floyd"/>
    <n v="4"/>
    <n v="3"/>
    <n v="3"/>
    <n v="1"/>
    <n v="3"/>
    <m/>
    <m/>
    <m/>
    <n v="3"/>
    <n v="1"/>
    <b v="0"/>
  </r>
  <r>
    <x v="212"/>
    <s v="currydestroyer27"/>
    <n v="1.8"/>
    <n v="0.74833147735478833"/>
    <s v="Bottoms Up"/>
    <s v="Trey Songz, Nicki Minaj"/>
    <n v="2"/>
    <n v="1"/>
    <n v="2"/>
    <n v="3"/>
    <n v="1"/>
    <n v="368754609"/>
    <m/>
    <m/>
    <n v="1"/>
    <n v="1"/>
    <b v="1"/>
  </r>
  <r>
    <x v="213"/>
    <s v="alappatjoe"/>
    <n v="4.2"/>
    <n v="1.1661903789690602"/>
    <s v="Spider-Man 2 pizza theme"/>
    <s v="Little Jacob"/>
    <n v="2"/>
    <n v="5"/>
    <n v="5"/>
    <n v="4"/>
    <n v="5"/>
    <n v="6457888"/>
    <m/>
    <m/>
    <n v="5"/>
    <n v="1"/>
    <b v="0"/>
  </r>
  <r>
    <x v="213"/>
    <s v="danram"/>
    <n v="3.8"/>
    <n v="1.4696938456699069"/>
    <s v="Turn My Swag On"/>
    <s v="Soulja Boy"/>
    <n v="5"/>
    <n v="1"/>
    <n v="4"/>
    <n v="5"/>
    <n v="4"/>
    <m/>
    <m/>
    <m/>
    <n v="4"/>
    <n v="1"/>
    <b v="0"/>
  </r>
  <r>
    <x v="213"/>
    <s v="loganworsdell"/>
    <n v="2"/>
    <n v="0.63245553203367588"/>
    <s v="Morioucho Radio"/>
    <s v="Yugo Kanno"/>
    <n v="3"/>
    <n v="2"/>
    <n v="1"/>
    <n v="2"/>
    <n v="2"/>
    <n v="10420472"/>
    <m/>
    <m/>
    <n v="1"/>
    <n v="1"/>
    <b v="1"/>
  </r>
  <r>
    <x v="213"/>
    <s v="samuelbattista"/>
    <n v="2"/>
    <n v="1.2649110640673518"/>
    <s v="NFL on FOX"/>
    <s v="logan feece"/>
    <n v="1"/>
    <n v="4"/>
    <n v="3"/>
    <n v="1"/>
    <n v="1"/>
    <m/>
    <m/>
    <m/>
    <n v="2"/>
    <n v="1"/>
    <b v="0"/>
  </r>
  <r>
    <x v="213"/>
    <s v="currydestroyer27"/>
    <n v="3"/>
    <n v="0.63245553203367588"/>
    <s v="Just Wanna Rock"/>
    <s v="Lil Uzi Vert"/>
    <n v="4"/>
    <n v="3"/>
    <n v="2"/>
    <n v="3"/>
    <n v="3"/>
    <n v="791066104"/>
    <m/>
    <m/>
    <n v="3"/>
    <n v="1"/>
    <b v="0"/>
  </r>
  <r>
    <x v="214"/>
    <s v="alappatjoe"/>
    <n v="2.6"/>
    <n v="1.3564659966250536"/>
    <s v="Come Down"/>
    <s v="Anderson.Paak"/>
    <n v="1"/>
    <n v="4"/>
    <n v="4"/>
    <n v="3"/>
    <n v="1"/>
    <n v="204227731"/>
    <m/>
    <m/>
    <n v="2"/>
    <n v="1"/>
    <b v="0"/>
  </r>
  <r>
    <x v="214"/>
    <s v="danram"/>
    <n v="3.4"/>
    <n v="1.9595917942265424"/>
    <s v="A Prophecy"/>
    <s v="Asking Alexandria"/>
    <n v="5"/>
    <n v="1"/>
    <n v="1"/>
    <n v="5"/>
    <n v="5"/>
    <m/>
    <m/>
    <m/>
    <n v="4"/>
    <n v="1"/>
    <b v="0"/>
  </r>
  <r>
    <x v="214"/>
    <s v="loganworsdell"/>
    <n v="2.8"/>
    <n v="0.74833147735478833"/>
    <s v="ideology of a ghost"/>
    <s v="Davin Glover, 1nonly"/>
    <n v="2"/>
    <n v="3"/>
    <n v="3"/>
    <n v="2"/>
    <n v="4"/>
    <n v="288280"/>
    <m/>
    <m/>
    <n v="3"/>
    <n v="1"/>
    <b v="0"/>
  </r>
  <r>
    <x v="214"/>
    <s v="samuelbattista"/>
    <n v="2.2000000000000002"/>
    <n v="0.9797958971132712"/>
    <s v="Let Me Leave"/>
    <s v="Currents"/>
    <n v="4"/>
    <n v="2"/>
    <n v="2"/>
    <n v="1"/>
    <n v="2"/>
    <m/>
    <m/>
    <m/>
    <n v="1"/>
    <n v="1"/>
    <b v="1"/>
  </r>
  <r>
    <x v="214"/>
    <s v="currydestroyer27"/>
    <n v="4"/>
    <n v="0.89442719099991586"/>
    <s v="Can't Go Broke Remix"/>
    <s v="ZEDDY WILL"/>
    <n v="3"/>
    <n v="5"/>
    <n v="5"/>
    <n v="4"/>
    <n v="3"/>
    <n v="1223072"/>
    <m/>
    <m/>
    <n v="5"/>
    <n v="1"/>
    <b v="0"/>
  </r>
  <r>
    <x v="215"/>
    <s v="alappatjoe"/>
    <n v="1.6"/>
    <n v="0.4898979485566356"/>
    <s v="Buy U a Drank"/>
    <s v="T-Pain, Yung Joc"/>
    <n v="1"/>
    <n v="2"/>
    <n v="1"/>
    <n v="2"/>
    <n v="2"/>
    <n v="806031438"/>
    <m/>
    <m/>
    <n v="1"/>
    <n v="1"/>
    <b v="1"/>
  </r>
  <r>
    <x v="215"/>
    <s v="danram"/>
    <n v="4"/>
    <n v="0.63245553203367588"/>
    <s v="Maps"/>
    <s v="Yeah Yeah Yeahs"/>
    <n v="4"/>
    <n v="3"/>
    <n v="4"/>
    <n v="5"/>
    <n v="4"/>
    <m/>
    <m/>
    <m/>
    <n v="4"/>
    <n v="1"/>
    <b v="0"/>
  </r>
  <r>
    <x v="215"/>
    <s v="loganworsdell"/>
    <n v="3"/>
    <n v="1.4142135623730951"/>
    <s v="Elevation"/>
    <s v="U2"/>
    <n v="3"/>
    <n v="5"/>
    <n v="2"/>
    <n v="4"/>
    <n v="1"/>
    <n v="76810663"/>
    <m/>
    <m/>
    <n v="3"/>
    <n v="1"/>
    <b v="0"/>
  </r>
  <r>
    <x v="215"/>
    <s v="samuelbattista"/>
    <n v="2.4"/>
    <n v="1.4966629547095767"/>
    <s v="トーキョーレギー"/>
    <s v="Masayoshi Takanaka"/>
    <n v="2"/>
    <n v="1"/>
    <n v="3"/>
    <n v="1"/>
    <n v="5"/>
    <m/>
    <m/>
    <m/>
    <n v="2"/>
    <n v="1"/>
    <b v="0"/>
  </r>
  <r>
    <x v="215"/>
    <s v="currydestroyer27"/>
    <n v="4"/>
    <n v="0.89442719099991586"/>
    <s v="Rubber Band Stacks"/>
    <s v="Brooke Candy"/>
    <n v="5"/>
    <n v="4"/>
    <n v="5"/>
    <n v="3"/>
    <n v="3"/>
    <n v="2649298"/>
    <m/>
    <m/>
    <n v="5"/>
    <n v="1"/>
    <b v="0"/>
  </r>
  <r>
    <x v="216"/>
    <s v="alappatjoe"/>
    <n v="3.2"/>
    <n v="1.4696938456699069"/>
    <s v="Lose My Mind"/>
    <s v="Don Toliver (feat. Doja Cat)"/>
    <n v="1"/>
    <n v="4"/>
    <n v="5"/>
    <n v="4"/>
    <n v="2"/>
    <m/>
    <m/>
    <m/>
    <n v="4"/>
    <n v="1"/>
    <b v="0"/>
  </r>
  <r>
    <x v="216"/>
    <s v="danram"/>
    <n v="2.8"/>
    <n v="1.1661903789690602"/>
    <s v="I Get Around"/>
    <s v="The Beach Boys"/>
    <n v="4"/>
    <n v="1"/>
    <n v="3"/>
    <n v="2"/>
    <n v="4"/>
    <m/>
    <m/>
    <m/>
    <n v="1"/>
    <n v="1"/>
    <b v="1"/>
  </r>
  <r>
    <x v="216"/>
    <s v="loganworsdell"/>
    <n v="3.4"/>
    <n v="1.4966629547095767"/>
    <s v="Durgaflowz"/>
    <s v="Ski Mask The Slump God"/>
    <n v="5"/>
    <n v="3"/>
    <n v="1"/>
    <n v="5"/>
    <n v="3"/>
    <n v="23824322"/>
    <m/>
    <m/>
    <n v="5"/>
    <n v="1"/>
    <b v="0"/>
  </r>
  <r>
    <x v="216"/>
    <s v="samuelbattista"/>
    <n v="2.8"/>
    <n v="1.4696938456699069"/>
    <s v="The Omnific = Bass"/>
    <s v="The Omnific"/>
    <n v="2"/>
    <n v="2"/>
    <n v="4"/>
    <n v="1"/>
    <n v="5"/>
    <m/>
    <m/>
    <m/>
    <n v="3"/>
    <n v="1"/>
    <b v="0"/>
  </r>
  <r>
    <x v="216"/>
    <s v="currydestroyer27"/>
    <n v="2.8"/>
    <n v="1.3266499161421599"/>
    <s v="Shine A Light"/>
    <s v="Banners"/>
    <n v="3"/>
    <n v="5"/>
    <n v="2"/>
    <n v="3"/>
    <n v="1"/>
    <n v="75861060"/>
    <m/>
    <m/>
    <n v="2"/>
    <n v="1"/>
    <b v="0"/>
  </r>
  <r>
    <x v="217"/>
    <s v="alappatjoe"/>
    <n v="2.6"/>
    <n v="1.2"/>
    <s v="No Love"/>
    <s v="Royce Da 5'9&quot;, 100 Kufis"/>
    <n v="1"/>
    <n v="4"/>
    <n v="4"/>
    <n v="2"/>
    <n v="2"/>
    <n v="113950"/>
    <m/>
    <m/>
    <n v="3"/>
    <n v="1"/>
    <b v="0"/>
  </r>
  <r>
    <x v="217"/>
    <s v="danram"/>
    <n v="2.2000000000000002"/>
    <n v="1.1661903789690602"/>
    <s v="TOXIC"/>
    <s v="Dreezy T-Pain"/>
    <n v="2"/>
    <n v="1"/>
    <n v="1"/>
    <n v="3"/>
    <n v="4"/>
    <m/>
    <m/>
    <m/>
    <n v="1"/>
    <n v="1"/>
    <b v="1"/>
  </r>
  <r>
    <x v="217"/>
    <s v="loganworsdell"/>
    <n v="4.8"/>
    <n v="0.39999999999999997"/>
    <s v="Tsunami"/>
    <s v="Desiigner"/>
    <n v="4"/>
    <n v="5"/>
    <n v="5"/>
    <n v="5"/>
    <n v="5"/>
    <n v="61525"/>
    <m/>
    <m/>
    <n v="5"/>
    <n v="1"/>
    <b v="0"/>
  </r>
  <r>
    <x v="217"/>
    <s v="samuelbattista"/>
    <n v="2.4"/>
    <n v="0.8"/>
    <s v="Television Love"/>
    <s v="Of Monsters and Men"/>
    <n v="3"/>
    <n v="3"/>
    <n v="2"/>
    <n v="1"/>
    <n v="3"/>
    <m/>
    <m/>
    <m/>
    <n v="2"/>
    <n v="1"/>
    <b v="0"/>
  </r>
  <r>
    <x v="217"/>
    <s v="currydestroyer27"/>
    <n v="3"/>
    <n v="1.4142135623730951"/>
    <s v="Dark Thoughts"/>
    <s v="Lil Tecca"/>
    <n v="5"/>
    <n v="2"/>
    <n v="3"/>
    <n v="4"/>
    <n v="1"/>
    <n v="220009814"/>
    <m/>
    <m/>
    <n v="4"/>
    <n v="1"/>
    <b v="0"/>
  </r>
  <r>
    <x v="218"/>
    <s v="alappatjoe"/>
    <n v="3.2"/>
    <n v="1.6"/>
    <s v="Lover Girl"/>
    <s v="Laufey"/>
    <n v="1"/>
    <n v="3"/>
    <n v="5"/>
    <n v="2"/>
    <n v="5"/>
    <n v="13504029"/>
    <m/>
    <m/>
    <n v="3"/>
    <n v="1"/>
    <b v="0"/>
  </r>
  <r>
    <x v="218"/>
    <s v="danram"/>
    <n v="2.6"/>
    <n v="1.4966629547095767"/>
    <s v="Trophies"/>
    <s v="Young Money, Drake"/>
    <n v="3"/>
    <n v="1"/>
    <n v="3"/>
    <n v="5"/>
    <n v="1"/>
    <m/>
    <m/>
    <m/>
    <n v="2"/>
    <n v="1"/>
    <b v="0"/>
  </r>
  <r>
    <x v="218"/>
    <s v="loganworsdell"/>
    <n v="2.4"/>
    <n v="1.019803902718557"/>
    <s v="Missed Calls"/>
    <s v="Mac Miller"/>
    <n v="2"/>
    <n v="2"/>
    <n v="1"/>
    <n v="3"/>
    <n v="4"/>
    <n v="141140317"/>
    <m/>
    <m/>
    <n v="1"/>
    <n v="1"/>
    <b v="1"/>
  </r>
  <r>
    <x v="218"/>
    <s v="samuelbattista"/>
    <n v="3.4"/>
    <n v="1.3564659966250536"/>
    <s v="glue trap"/>
    <s v="monty.pk"/>
    <n v="5"/>
    <n v="4"/>
    <n v="4"/>
    <n v="1"/>
    <n v="3"/>
    <m/>
    <m/>
    <m/>
    <n v="5"/>
    <n v="1"/>
    <b v="0"/>
  </r>
  <r>
    <x v="218"/>
    <s v="currydestroyer27"/>
    <n v="3.4"/>
    <n v="1.2"/>
    <s v="Man of the Year"/>
    <s v="ScHoolboy Q"/>
    <n v="4"/>
    <n v="5"/>
    <n v="2"/>
    <n v="4"/>
    <n v="2"/>
    <n v="434166546"/>
    <m/>
    <m/>
    <n v="4"/>
    <n v="1"/>
    <b v="0"/>
  </r>
  <r>
    <x v="219"/>
    <s v="alappatjoe"/>
    <n v="3.4"/>
    <n v="1.6248076809271921"/>
    <s v="THIS IS FOR"/>
    <s v="TWICE"/>
    <n v="1"/>
    <n v="2"/>
    <n v="4"/>
    <n v="5"/>
    <n v="5"/>
    <n v="6119564"/>
    <m/>
    <m/>
    <n v="4"/>
    <n v="1"/>
    <b v="0"/>
  </r>
  <r>
    <x v="219"/>
    <s v="danram"/>
    <n v="3.4"/>
    <n v="1.6248076809271921"/>
    <s v="Sick Love"/>
    <s v="Red Hot Chili Peppers"/>
    <n v="5"/>
    <n v="1"/>
    <n v="5"/>
    <n v="2"/>
    <n v="4"/>
    <m/>
    <m/>
    <m/>
    <n v="4"/>
    <n v="1"/>
    <b v="0"/>
  </r>
  <r>
    <x v="219"/>
    <s v="loganworsdell"/>
    <n v="2.6"/>
    <n v="1.3564659966250536"/>
    <s v="Long Beach"/>
    <s v="Kota the Friend, Hello O'shay, Alex Banin"/>
    <n v="2"/>
    <n v="5"/>
    <n v="1"/>
    <n v="3"/>
    <n v="2"/>
    <n v="73990674"/>
    <m/>
    <m/>
    <n v="1"/>
    <n v="1"/>
    <b v="1"/>
  </r>
  <r>
    <x v="219"/>
    <s v="samuelbattista"/>
    <n v="2.8"/>
    <n v="0.9797958971132712"/>
    <s v="Godzilla"/>
    <s v="Blue Oyster Cult"/>
    <n v="4"/>
    <n v="3"/>
    <n v="3"/>
    <n v="1"/>
    <n v="3"/>
    <m/>
    <m/>
    <m/>
    <n v="2"/>
    <n v="1"/>
    <b v="0"/>
  </r>
  <r>
    <x v="219"/>
    <s v="currydestroyer27"/>
    <n v="2.8"/>
    <n v="1.1661903789690602"/>
    <s v="新宝島"/>
    <s v="sakanaction"/>
    <n v="3"/>
    <n v="4"/>
    <n v="2"/>
    <n v="4"/>
    <n v="1"/>
    <n v="84311495"/>
    <m/>
    <m/>
    <n v="3"/>
    <n v="1"/>
    <b v="0"/>
  </r>
  <r>
    <x v="220"/>
    <s v="alappatjoe"/>
    <n v="2.8"/>
    <n v="0.9797958971132712"/>
    <s v="All Night"/>
    <s v="Maroon 5"/>
    <n v="1"/>
    <n v="4"/>
    <n v="3"/>
    <n v="3"/>
    <n v="3"/>
    <n v="5252962"/>
    <m/>
    <m/>
    <n v="3"/>
    <n v="1"/>
    <b v="0"/>
  </r>
  <r>
    <x v="220"/>
    <s v="danram"/>
    <n v="4.2"/>
    <n v="1.1661903789690602"/>
    <s v="COSAS QUE NO TE DIJE"/>
    <s v="SAIKO"/>
    <n v="5"/>
    <n v="2"/>
    <n v="4"/>
    <n v="5"/>
    <n v="5"/>
    <m/>
    <m/>
    <m/>
    <n v="5"/>
    <n v="1"/>
    <b v="0"/>
  </r>
  <r>
    <x v="220"/>
    <s v="loganworsdell"/>
    <n v="2.4"/>
    <n v="1.019803902718557"/>
    <s v="Work Out"/>
    <s v="J Cole"/>
    <n v="2"/>
    <n v="3"/>
    <n v="1"/>
    <n v="4"/>
    <n v="2"/>
    <n v="1166364796"/>
    <m/>
    <m/>
    <n v="2"/>
    <n v="1"/>
    <b v="0"/>
  </r>
  <r>
    <x v="220"/>
    <s v="samuelbattista"/>
    <n v="3.8"/>
    <n v="1.1661903789690602"/>
    <s v="Dog Dribble"/>
    <s v="Getdown Services"/>
    <n v="3"/>
    <n v="5"/>
    <n v="5"/>
    <n v="2"/>
    <n v="4"/>
    <m/>
    <m/>
    <m/>
    <n v="4"/>
    <n v="1"/>
    <b v="0"/>
  </r>
  <r>
    <x v="220"/>
    <s v="currydestroyer27"/>
    <n v="1.8"/>
    <n v="1.1661903789690602"/>
    <s v="Still into You"/>
    <s v="Paramore"/>
    <n v="4"/>
    <n v="1"/>
    <n v="2"/>
    <n v="1"/>
    <n v="1"/>
    <n v="997035997"/>
    <m/>
    <m/>
    <n v="1"/>
    <n v="1"/>
    <b v="1"/>
  </r>
  <r>
    <x v="221"/>
    <s v="alappatjoe"/>
    <n v="2.8"/>
    <n v="1.3266499161421599"/>
    <s v="Do It Again"/>
    <s v="Pia Mia, Chris Brown, Tyga"/>
    <n v="1"/>
    <n v="5"/>
    <n v="3"/>
    <n v="3"/>
    <n v="2"/>
    <n v="584102077"/>
    <m/>
    <m/>
    <n v="2"/>
    <n v="1"/>
    <b v="0"/>
  </r>
  <r>
    <x v="221"/>
    <s v="danram"/>
    <n v="3.2"/>
    <n v="1.4696938456699069"/>
    <s v="neo roneo"/>
    <s v="rusowsky, LATIN MAFIA"/>
    <n v="4"/>
    <n v="1"/>
    <n v="5"/>
    <n v="2"/>
    <n v="4"/>
    <m/>
    <m/>
    <m/>
    <n v="4"/>
    <n v="1"/>
    <b v="0"/>
  </r>
  <r>
    <x v="221"/>
    <s v="loganworsdell"/>
    <n v="3.6"/>
    <n v="1.4966629547095767"/>
    <s v="5 Star Crest (4 Vattenrum)"/>
    <s v="Bladee, Ecco2k"/>
    <n v="5"/>
    <n v="3"/>
    <n v="1"/>
    <n v="4"/>
    <n v="5"/>
    <n v="5564892"/>
    <m/>
    <m/>
    <n v="5"/>
    <n v="1"/>
    <b v="0"/>
  </r>
  <r>
    <x v="221"/>
    <s v="samuelbattista"/>
    <n v="2.4"/>
    <n v="1.019803902718557"/>
    <s v="Ralphie"/>
    <s v="Post Animal"/>
    <n v="2"/>
    <n v="2"/>
    <n v="4"/>
    <n v="1"/>
    <n v="3"/>
    <m/>
    <m/>
    <m/>
    <n v="1"/>
    <n v="1"/>
    <b v="1"/>
  </r>
  <r>
    <x v="221"/>
    <s v="currydestroyer27"/>
    <n v="3"/>
    <n v="1.4142135623730951"/>
    <s v="10AM/Save The World"/>
    <s v="Metro Boomin, Gucci Mane"/>
    <n v="3"/>
    <n v="4"/>
    <n v="2"/>
    <n v="5"/>
    <n v="1"/>
    <n v="53194130"/>
    <m/>
    <m/>
    <n v="3"/>
    <n v="1"/>
    <b v="0"/>
  </r>
  <r>
    <x v="222"/>
    <s v="alappatjoe"/>
    <n v="3"/>
    <n v="1.4142135623730951"/>
    <s v="Every Second"/>
    <s v="Mina Okabe"/>
    <n v="1"/>
    <n v="3"/>
    <n v="5"/>
    <n v="2"/>
    <n v="4"/>
    <n v="65273263"/>
    <m/>
    <m/>
    <n v="2"/>
    <n v="1"/>
    <b v="0"/>
  </r>
  <r>
    <x v="222"/>
    <s v="danram"/>
    <n v="2.2000000000000002"/>
    <n v="0.74833147735478833"/>
    <s v="Helicopter"/>
    <s v="Bloc Party"/>
    <n v="2"/>
    <n v="1"/>
    <n v="3"/>
    <n v="3"/>
    <n v="2"/>
    <m/>
    <m/>
    <m/>
    <n v="1"/>
    <n v="1"/>
    <b v="1"/>
  </r>
  <r>
    <x v="222"/>
    <s v="loganworsdell"/>
    <n v="3.4"/>
    <n v="1.3564659966250536"/>
    <s v="Stars"/>
    <s v="More Giraffes"/>
    <n v="4"/>
    <n v="5"/>
    <n v="1"/>
    <n v="4"/>
    <n v="3"/>
    <n v="161171"/>
    <m/>
    <m/>
    <n v="4"/>
    <n v="1"/>
    <b v="0"/>
  </r>
  <r>
    <x v="222"/>
    <s v="samuelbattista"/>
    <n v="3.4"/>
    <n v="1.6248076809271921"/>
    <s v="Elderberry Wine"/>
    <s v="Wednesday"/>
    <n v="5"/>
    <n v="2"/>
    <n v="4"/>
    <n v="1"/>
    <n v="5"/>
    <m/>
    <m/>
    <m/>
    <n v="5"/>
    <n v="1"/>
    <b v="0"/>
  </r>
  <r>
    <x v="222"/>
    <s v="currydestroyer27"/>
    <n v="3"/>
    <n v="1.4142135623730951"/>
    <s v="革命道中 - On The Way"/>
    <s v="AiNA THE END"/>
    <n v="3"/>
    <n v="4"/>
    <n v="2"/>
    <n v="5"/>
    <n v="1"/>
    <n v="6154859"/>
    <s v="International"/>
    <s v="J-Pop"/>
    <n v="2"/>
    <n v="1"/>
    <b v="0"/>
  </r>
  <r>
    <x v="223"/>
    <s v="alappatjoe"/>
    <n v="3"/>
    <n v="1.4142135623730951"/>
    <s v="Synthesizers"/>
    <s v="Butch Walker"/>
    <n v="1"/>
    <n v="3"/>
    <n v="5"/>
    <n v="4"/>
    <n v="2"/>
    <n v="4297598"/>
    <m/>
    <m/>
    <n v="3"/>
    <n v="1"/>
    <b v="0"/>
  </r>
  <r>
    <x v="223"/>
    <s v="danram"/>
    <n v="3.2"/>
    <n v="1.4696938456699069"/>
    <s v="The Outsider"/>
    <s v="A Perfect Circle"/>
    <n v="5"/>
    <n v="1"/>
    <n v="4"/>
    <n v="2"/>
    <n v="4"/>
    <m/>
    <m/>
    <m/>
    <n v="4"/>
    <n v="1"/>
    <b v="0"/>
  </r>
  <r>
    <x v="223"/>
    <s v="loganworsdell"/>
    <n v="4.2"/>
    <n v="0.74833147735478833"/>
    <s v="Tell Me"/>
    <s v="PJ, Jevon Doe"/>
    <n v="4"/>
    <n v="4"/>
    <n v="3"/>
    <n v="5"/>
    <n v="5"/>
    <n v="1201571"/>
    <m/>
    <m/>
    <n v="5"/>
    <n v="1"/>
    <b v="0"/>
  </r>
  <r>
    <x v="223"/>
    <s v="samuelbattista"/>
    <n v="1.8"/>
    <n v="0.74833147735478833"/>
    <s v="Abandon Me"/>
    <s v="Kevin Abstract, Quadeca"/>
    <n v="3"/>
    <n v="2"/>
    <n v="2"/>
    <n v="1"/>
    <n v="1"/>
    <m/>
    <m/>
    <m/>
    <n v="1"/>
    <n v="1"/>
    <b v="1"/>
  </r>
  <r>
    <x v="223"/>
    <s v="currydestroyer27"/>
    <n v="2.8"/>
    <n v="1.3266499161421599"/>
    <s v="I'm Better"/>
    <s v="Kendrick Lamar "/>
    <n v="2"/>
    <n v="5"/>
    <n v="1"/>
    <n v="3"/>
    <n v="3"/>
    <n v="3000"/>
    <m/>
    <m/>
    <n v="2"/>
    <n v="1"/>
    <b v="0"/>
  </r>
  <r>
    <x v="224"/>
    <s v="alappatjoe"/>
    <n v="2.6"/>
    <n v="1.6248076809271921"/>
    <s v="New Way"/>
    <s v="Jafunk, Triple H Horns, Yogi"/>
    <n v="1"/>
    <n v="4"/>
    <n v="1"/>
    <n v="5"/>
    <n v="2"/>
    <n v="794320"/>
    <m/>
    <m/>
    <n v="2"/>
    <n v="1"/>
    <b v="0"/>
  </r>
  <r>
    <x v="224"/>
    <s v="danram"/>
    <n v="2.2000000000000002"/>
    <n v="0.9797958971132712"/>
    <s v="Yo No Soy Celoso"/>
    <s v="Bad Bunny"/>
    <n v="2"/>
    <n v="1"/>
    <n v="2"/>
    <n v="2"/>
    <n v="4"/>
    <m/>
    <m/>
    <m/>
    <n v="1"/>
    <n v="1"/>
    <b v="1"/>
  </r>
  <r>
    <x v="224"/>
    <s v="loganworsdell"/>
    <n v="3"/>
    <n v="0"/>
    <s v="Dance With You"/>
    <s v="Party Pupils, Yung Bae, Bryce Vine"/>
    <n v="3"/>
    <n v="3"/>
    <n v="3"/>
    <n v="3"/>
    <n v="3"/>
    <n v="2229938"/>
    <m/>
    <m/>
    <n v="3"/>
    <n v="1"/>
    <b v="0"/>
  </r>
  <r>
    <x v="224"/>
    <s v="samuelbattista"/>
    <n v="4.2"/>
    <n v="1.6"/>
    <s v="Friends in the End"/>
    <s v="Lukas Nelson, Sierra Ferrell"/>
    <n v="5"/>
    <n v="5"/>
    <n v="5"/>
    <n v="1"/>
    <n v="5"/>
    <m/>
    <m/>
    <m/>
    <n v="5"/>
    <n v="1"/>
    <b v="0"/>
  </r>
  <r>
    <x v="224"/>
    <s v="currydestroyer27"/>
    <n v="3"/>
    <n v="1.2649110640673518"/>
    <s v="Standing On The Shore"/>
    <s v="Empire Of The Sun"/>
    <n v="4"/>
    <n v="2"/>
    <n v="4"/>
    <n v="4"/>
    <n v="1"/>
    <n v="61563066"/>
    <m/>
    <m/>
    <n v="4"/>
    <n v="1"/>
    <b v="0"/>
  </r>
  <r>
    <x v="225"/>
    <s v="alappatjoe"/>
    <n v="4.2"/>
    <n v="1.6"/>
    <s v="DragonBallZ"/>
    <s v="Bruce Faulconer"/>
    <n v="1"/>
    <n v="5"/>
    <n v="5"/>
    <n v="5"/>
    <n v="5"/>
    <n v="2680962"/>
    <m/>
    <m/>
    <n v="5"/>
    <n v="1"/>
    <b v="0"/>
  </r>
  <r>
    <x v="225"/>
    <s v="danram"/>
    <n v="2.8"/>
    <n v="0.74833147735478833"/>
    <s v="Rocketman"/>
    <s v="Elton John"/>
    <n v="2"/>
    <n v="3"/>
    <n v="3"/>
    <n v="2"/>
    <n v="4"/>
    <m/>
    <m/>
    <m/>
    <n v="3"/>
    <n v="1"/>
    <b v="0"/>
  </r>
  <r>
    <x v="225"/>
    <s v="loganworsdell"/>
    <n v="2.6"/>
    <n v="1.019803902718557"/>
    <s v="Headstrong"/>
    <s v="Trapt"/>
    <n v="4"/>
    <n v="1"/>
    <n v="2"/>
    <n v="3"/>
    <n v="3"/>
    <n v="484151225"/>
    <m/>
    <m/>
    <n v="1"/>
    <n v="1"/>
    <b v="1"/>
  </r>
  <r>
    <x v="225"/>
    <s v="samuelbattista"/>
    <n v="2.6"/>
    <n v="1.6248076809271921"/>
    <s v="Kill The Noise"/>
    <s v="Papa Roach"/>
    <n v="5"/>
    <n v="4"/>
    <n v="1"/>
    <n v="1"/>
    <n v="2"/>
    <m/>
    <m/>
    <m/>
    <n v="2"/>
    <n v="1"/>
    <b v="0"/>
  </r>
  <r>
    <x v="225"/>
    <s v="currydestroyer27"/>
    <n v="2.8"/>
    <n v="1.1661903789690602"/>
    <s v="Love Sosa"/>
    <s v="Chief Keef"/>
    <n v="3"/>
    <n v="2"/>
    <n v="4"/>
    <n v="4"/>
    <n v="1"/>
    <n v="908103512"/>
    <m/>
    <m/>
    <n v="4"/>
    <n v="1"/>
    <b v="0"/>
  </r>
  <r>
    <x v="226"/>
    <s v="alappatjoe"/>
    <n v="4"/>
    <n v="1.2649110640673518"/>
    <s v="DYNAMITE"/>
    <s v="Tyla, Wizkid"/>
    <n v="2"/>
    <n v="3"/>
    <n v="5"/>
    <n v="5"/>
    <n v="5"/>
    <n v="2089841"/>
    <m/>
    <m/>
    <n v="5"/>
    <n v="1"/>
    <b v="0"/>
  </r>
  <r>
    <x v="226"/>
    <s v="danram"/>
    <n v="2"/>
    <n v="0.89442719099991586"/>
    <s v="Goodbyes"/>
    <s v="Post Malone"/>
    <n v="1"/>
    <n v="1"/>
    <n v="2"/>
    <n v="3"/>
    <n v="3"/>
    <m/>
    <m/>
    <m/>
    <n v="2"/>
    <n v="1"/>
    <b v="0"/>
  </r>
  <r>
    <x v="226"/>
    <s v="loganworsdell"/>
    <n v="3.4"/>
    <n v="0.8"/>
    <s v="prequel"/>
    <s v="Tabby"/>
    <n v="4"/>
    <n v="4"/>
    <n v="3"/>
    <n v="4"/>
    <n v="2"/>
    <n v="3870262"/>
    <m/>
    <m/>
    <n v="3"/>
    <n v="1"/>
    <b v="0"/>
  </r>
  <r>
    <x v="226"/>
    <s v="samuelbattista"/>
    <n v="4"/>
    <n v="1.0954451150103321"/>
    <s v="Lazaretto"/>
    <s v="Jack White"/>
    <n v="5"/>
    <n v="5"/>
    <n v="4"/>
    <n v="2"/>
    <n v="4"/>
    <m/>
    <m/>
    <m/>
    <n v="4"/>
    <n v="1"/>
    <b v="0"/>
  </r>
  <r>
    <x v="226"/>
    <s v="currydestroyer27"/>
    <n v="1.6"/>
    <n v="0.8"/>
    <s v="Crazy Train"/>
    <s v="Ozzy Osbourne"/>
    <n v="3"/>
    <n v="2"/>
    <n v="1"/>
    <n v="1"/>
    <n v="1"/>
    <n v="813985318"/>
    <m/>
    <m/>
    <n v="1"/>
    <n v="1"/>
    <b v="1"/>
  </r>
  <r>
    <x v="227"/>
    <s v="alappatjoe"/>
    <n v="2"/>
    <n v="0.89442719099991586"/>
    <s v="Hollow Tips"/>
    <s v="Ramirez"/>
    <n v="3"/>
    <n v="1"/>
    <n v="2"/>
    <n v="3"/>
    <n v="1"/>
    <n v="359993"/>
    <m/>
    <m/>
    <n v="1"/>
    <n v="1"/>
    <b v="1"/>
  </r>
  <r>
    <x v="227"/>
    <s v="danram"/>
    <n v="3"/>
    <n v="1.4142135623730951"/>
    <s v="Weird Fishes / Arpeggi"/>
    <s v="Radiohead"/>
    <n v="4"/>
    <n v="2"/>
    <n v="3"/>
    <n v="1"/>
    <n v="5"/>
    <m/>
    <m/>
    <m/>
    <n v="3"/>
    <n v="1"/>
    <b v="0"/>
  </r>
  <r>
    <x v="227"/>
    <s v="loganworsdell"/>
    <n v="3"/>
    <n v="1.6733200530681511"/>
    <s v="A.D.H.D"/>
    <s v="Kendrick Lamar"/>
    <n v="1"/>
    <n v="5"/>
    <n v="1"/>
    <n v="4"/>
    <n v="4"/>
    <n v="482271128"/>
    <m/>
    <m/>
    <n v="4"/>
    <n v="1"/>
    <b v="0"/>
  </r>
  <r>
    <x v="227"/>
    <s v="samuelbattista"/>
    <n v="3"/>
    <n v="1.0954451150103321"/>
    <s v="Sugar On My Tongue"/>
    <s v="Tyler, The Creator"/>
    <n v="2"/>
    <n v="3"/>
    <n v="5"/>
    <n v="2"/>
    <n v="3"/>
    <m/>
    <m/>
    <m/>
    <n v="2"/>
    <n v="1"/>
    <b v="0"/>
  </r>
  <r>
    <x v="227"/>
    <s v="currydestroyer27"/>
    <n v="4"/>
    <n v="1.0954451150103321"/>
    <s v="Hold Me Down"/>
    <s v="WonderBag"/>
    <n v="5"/>
    <n v="4"/>
    <n v="4"/>
    <n v="5"/>
    <n v="2"/>
    <n v="1978027"/>
    <m/>
    <m/>
    <n v="5"/>
    <n v="1"/>
    <b v="0"/>
  </r>
  <r>
    <x v="228"/>
    <s v="alappatjoe"/>
    <n v="2.2000000000000002"/>
    <n v="0.74833147735478833"/>
    <s v="Ensalada"/>
    <s v="Freddie Gibbs, The Alchemist, Anderson .Paak"/>
    <n v="1"/>
    <n v="3"/>
    <n v="2"/>
    <n v="3"/>
    <n v="2"/>
    <n v="4425965"/>
    <m/>
    <m/>
    <n v="1"/>
    <n v="1"/>
    <b v="1"/>
  </r>
  <r>
    <x v="228"/>
    <s v="danram"/>
    <n v="2.8"/>
    <n v="1.1661903789690602"/>
    <n v="1995"/>
    <s v="Freddie Gibbs, The Alchemist"/>
    <n v="3"/>
    <n v="1"/>
    <n v="4"/>
    <n v="2"/>
    <n v="4"/>
    <m/>
    <m/>
    <m/>
    <n v="3"/>
    <n v="1"/>
    <b v="0"/>
  </r>
  <r>
    <x v="228"/>
    <s v="loganworsdell"/>
    <n v="2.4"/>
    <n v="1.019803902718557"/>
    <s v="Gold Feet"/>
    <s v="Freddie Gibbs, The Alchemist, JID"/>
    <n v="2"/>
    <n v="2"/>
    <n v="1"/>
    <n v="4"/>
    <n v="3"/>
    <n v="1518353"/>
    <m/>
    <m/>
    <n v="2"/>
    <n v="1"/>
    <b v="0"/>
  </r>
  <r>
    <x v="228"/>
    <s v="samuelbattista"/>
    <n v="4"/>
    <n v="1.5491933384829668"/>
    <s v="Wildfire"/>
    <s v="Watchhouse"/>
    <n v="5"/>
    <n v="4"/>
    <n v="5"/>
    <n v="1"/>
    <n v="5"/>
    <m/>
    <m/>
    <m/>
    <n v="5"/>
    <n v="1"/>
    <b v="0"/>
  </r>
  <r>
    <x v="228"/>
    <s v="currydestroyer27"/>
    <n v="3.6"/>
    <n v="1.4966629547095767"/>
    <s v="DIKIDANDAN"/>
    <s v="THE ORAL CIGARETTES"/>
    <n v="4"/>
    <n v="5"/>
    <n v="3"/>
    <n v="5"/>
    <n v="1"/>
    <n v="808250"/>
    <s v="International"/>
    <s v="J-Rock"/>
    <n v="4"/>
    <n v="1"/>
    <b v="0"/>
  </r>
  <r>
    <x v="229"/>
    <s v="alappatjoe"/>
    <n v="3"/>
    <n v="1.6733200530681511"/>
    <s v="cliche"/>
    <s v="mgk"/>
    <n v="1"/>
    <n v="5"/>
    <n v="2"/>
    <n v="2"/>
    <n v="5"/>
    <n v="50285626"/>
    <m/>
    <m/>
    <n v="3"/>
    <n v="1"/>
    <b v="0"/>
  </r>
  <r>
    <x v="229"/>
    <s v="danram"/>
    <n v="3"/>
    <n v="0.63245553203367588"/>
    <s v="PIToRRO DE COCO"/>
    <s v="Bad Bunny"/>
    <n v="2"/>
    <n v="3"/>
    <n v="3"/>
    <n v="4"/>
    <n v="3"/>
    <m/>
    <m/>
    <m/>
    <n v="2"/>
    <n v="1"/>
    <b v="0"/>
  </r>
  <r>
    <x v="229"/>
    <s v="loganworsdell"/>
    <n v="3.2"/>
    <n v="1.1661903789690602"/>
    <s v="Do You Even Think About Me?"/>
    <s v="Rebecca Black"/>
    <n v="4"/>
    <n v="4"/>
    <n v="1"/>
    <n v="3"/>
    <n v="4"/>
    <n v="1043768"/>
    <m/>
    <m/>
    <n v="4"/>
    <n v="1"/>
    <b v="0"/>
  </r>
  <r>
    <x v="229"/>
    <s v="samuelbattista"/>
    <n v="2.6"/>
    <n v="1.6248076809271921"/>
    <s v="Note to Self"/>
    <s v="From First To Last"/>
    <n v="5"/>
    <n v="1"/>
    <n v="4"/>
    <n v="1"/>
    <n v="2"/>
    <m/>
    <m/>
    <m/>
    <n v="1"/>
    <n v="1"/>
    <b v="1"/>
  </r>
  <r>
    <x v="229"/>
    <s v="currydestroyer27"/>
    <n v="3.2"/>
    <n v="1.6"/>
    <s v="Mirage"/>
    <s v="Creepy Nuts"/>
    <n v="3"/>
    <n v="2"/>
    <n v="5"/>
    <n v="5"/>
    <n v="1"/>
    <n v="10361859"/>
    <s v="International"/>
    <s v="Afro-beats"/>
    <n v="5"/>
    <n v="1"/>
    <b v="0"/>
  </r>
  <r>
    <x v="230"/>
    <s v="alappatjoe"/>
    <n v="1"/>
    <n v="0"/>
    <s v="Billie Jean"/>
    <s v="Michael Jackson"/>
    <n v="1"/>
    <n v="1"/>
    <n v="1"/>
    <n v="1"/>
    <n v="1"/>
    <n v="2239861826"/>
    <m/>
    <m/>
    <n v="1"/>
    <n v="1"/>
    <b v="1"/>
  </r>
  <r>
    <x v="230"/>
    <s v="danram"/>
    <n v="4.2"/>
    <n v="0.74833147735478833"/>
    <s v="Keloide"/>
    <s v="Feid"/>
    <n v="3"/>
    <n v="5"/>
    <n v="4"/>
    <n v="5"/>
    <n v="4"/>
    <m/>
    <m/>
    <m/>
    <n v="4"/>
    <n v="1"/>
    <b v="0"/>
  </r>
  <r>
    <x v="230"/>
    <s v="loganworsdell"/>
    <n v="4.2"/>
    <n v="0.74833147735478833"/>
    <s v="ROLLER COASTER"/>
    <s v="legallyrxx"/>
    <n v="5"/>
    <n v="4"/>
    <n v="3"/>
    <n v="4"/>
    <n v="5"/>
    <n v="256855"/>
    <m/>
    <m/>
    <n v="4"/>
    <n v="1"/>
    <b v="0"/>
  </r>
  <r>
    <x v="230"/>
    <s v="samuelbattista"/>
    <n v="2.8"/>
    <n v="1.1661903789690602"/>
    <s v="SPEED OF LOVE"/>
    <s v="Masayoshi Takanaka"/>
    <n v="2"/>
    <n v="2"/>
    <n v="5"/>
    <n v="2"/>
    <n v="3"/>
    <m/>
    <m/>
    <m/>
    <n v="3"/>
    <n v="1"/>
    <b v="0"/>
  </r>
  <r>
    <x v="230"/>
    <s v="currydestroyer27"/>
    <n v="2.8"/>
    <n v="0.74833147735478833"/>
    <s v="Holiday"/>
    <s v="Greenday"/>
    <n v="4"/>
    <n v="3"/>
    <n v="2"/>
    <n v="3"/>
    <n v="2"/>
    <n v="480290741"/>
    <m/>
    <m/>
    <n v="2"/>
    <n v="1"/>
    <b v="0"/>
  </r>
  <r>
    <x v="231"/>
    <s v="alappatjoe"/>
    <n v="4"/>
    <n v="1.2649110640673518"/>
    <s v="Be Alright"/>
    <s v="IVE"/>
    <n v="2"/>
    <n v="5"/>
    <n v="5"/>
    <n v="5"/>
    <n v="3"/>
    <n v="2427769"/>
    <m/>
    <m/>
    <n v="5"/>
    <n v="1"/>
    <b v="0"/>
  </r>
  <r>
    <x v="231"/>
    <s v="danram"/>
    <n v="2.2000000000000002"/>
    <n v="1.1661903789690602"/>
    <s v="Rock with You"/>
    <s v="Michael Jackson"/>
    <n v="1"/>
    <n v="1"/>
    <n v="2"/>
    <n v="3"/>
    <n v="4"/>
    <m/>
    <m/>
    <m/>
    <n v="2"/>
    <n v="1"/>
    <b v="0"/>
  </r>
  <r>
    <x v="231"/>
    <s v="loganworsdell"/>
    <n v="3.4"/>
    <n v="1.019803902718557"/>
    <s v="Distance"/>
    <s v="Kayo Genesis"/>
    <n v="3"/>
    <n v="4"/>
    <n v="3"/>
    <n v="2"/>
    <n v="5"/>
    <n v="3757914"/>
    <m/>
    <m/>
    <n v="3"/>
    <n v="1"/>
    <b v="0"/>
  </r>
  <r>
    <x v="231"/>
    <s v="samuelbattista"/>
    <n v="2"/>
    <n v="1.0954451150103321"/>
    <s v="Flagpole Sitta"/>
    <s v="Harvey Danger"/>
    <n v="4"/>
    <n v="2"/>
    <n v="1"/>
    <n v="1"/>
    <n v="2"/>
    <m/>
    <m/>
    <m/>
    <n v="1"/>
    <n v="1"/>
    <b v="1"/>
  </r>
  <r>
    <x v="231"/>
    <s v="currydestroyer27"/>
    <n v="3.4"/>
    <n v="1.3564659966250536"/>
    <s v="Vamp Anthem"/>
    <s v="Playboi Carti"/>
    <n v="5"/>
    <n v="3"/>
    <n v="4"/>
    <n v="4"/>
    <n v="1"/>
    <n v="362527326"/>
    <m/>
    <m/>
    <n v="4"/>
    <n v="1"/>
    <b v="0"/>
  </r>
  <r>
    <x v="232"/>
    <s v="alappatjoe"/>
    <n v="2.2000000000000002"/>
    <n v="0.9797958971132712"/>
    <s v="ALAMBRE PúA"/>
    <s v="Bad Bunny"/>
    <n v="1"/>
    <n v="1"/>
    <n v="3"/>
    <n v="3"/>
    <n v="3"/>
    <n v="33583759"/>
    <m/>
    <m/>
    <n v="1"/>
    <n v="1"/>
    <b v="1"/>
  </r>
  <r>
    <x v="232"/>
    <s v="danram"/>
    <n v="4.8"/>
    <n v="0.39999999999999997"/>
    <s v="Super"/>
    <s v="Bb trickz"/>
    <n v="5"/>
    <n v="5"/>
    <n v="5"/>
    <n v="5"/>
    <n v="4"/>
    <m/>
    <m/>
    <m/>
    <n v="5"/>
    <n v="1"/>
    <b v="0"/>
  </r>
  <r>
    <x v="232"/>
    <s v="loganworsdell"/>
    <n v="2.4"/>
    <n v="0.8"/>
    <s v="The Sound of Reverie"/>
    <s v="The Maine"/>
    <n v="2"/>
    <n v="4"/>
    <n v="2"/>
    <n v="2"/>
    <n v="2"/>
    <n v="5845607"/>
    <m/>
    <m/>
    <n v="2"/>
    <n v="1"/>
    <b v="0"/>
  </r>
  <r>
    <x v="232"/>
    <s v="samuelbattista"/>
    <n v="2.4"/>
    <n v="1.4966629547095767"/>
    <s v="My Own Worst Enemy"/>
    <s v="Lit"/>
    <n v="3"/>
    <n v="2"/>
    <n v="1"/>
    <n v="1"/>
    <n v="5"/>
    <m/>
    <m/>
    <m/>
    <n v="3"/>
    <n v="1"/>
    <b v="0"/>
  </r>
  <r>
    <x v="232"/>
    <s v="currydestroyer27"/>
    <n v="3.2"/>
    <n v="1.1661903789690602"/>
    <s v="Turning Into You"/>
    <s v="angelic milk"/>
    <n v="4"/>
    <n v="3"/>
    <n v="4"/>
    <n v="4"/>
    <n v="1"/>
    <n v="3878"/>
    <m/>
    <m/>
    <n v="4"/>
    <n v="1"/>
    <b v="0"/>
  </r>
  <r>
    <x v="233"/>
    <s v="alappatjoe"/>
    <n v="2.6"/>
    <n v="1.019803902718557"/>
    <s v="Beat Eat Nest"/>
    <s v="Raito"/>
    <n v="1"/>
    <n v="4"/>
    <n v="2"/>
    <n v="3"/>
    <n v="3"/>
    <n v="2901063"/>
    <m/>
    <m/>
    <n v="2"/>
    <n v="1"/>
    <b v="0"/>
  </r>
  <r>
    <x v="233"/>
    <s v="danram"/>
    <n v="3.6"/>
    <n v="1.3564659966250536"/>
    <s v="Piss On The Kitchen Floor"/>
    <s v="Sybyr"/>
    <n v="4"/>
    <n v="1"/>
    <n v="4"/>
    <n v="4"/>
    <n v="5"/>
    <m/>
    <m/>
    <m/>
    <n v="4"/>
    <n v="1"/>
    <b v="0"/>
  </r>
  <r>
    <x v="233"/>
    <s v="loganworsdell"/>
    <n v="1.8"/>
    <n v="0.4"/>
    <s v="Overkill"/>
    <s v="Riot"/>
    <n v="2"/>
    <n v="2"/>
    <n v="1"/>
    <n v="2"/>
    <n v="2"/>
    <n v="35746321"/>
    <m/>
    <m/>
    <n v="1"/>
    <n v="1"/>
    <b v="1"/>
  </r>
  <r>
    <x v="233"/>
    <s v="samuelbattista"/>
    <n v="2.8"/>
    <n v="0.9797958971132712"/>
    <s v="Billy Knows Jamie"/>
    <s v="100 gecs"/>
    <n v="3"/>
    <n v="3"/>
    <n v="3"/>
    <n v="1"/>
    <n v="4"/>
    <m/>
    <m/>
    <m/>
    <n v="3"/>
    <n v="1"/>
    <b v="0"/>
  </r>
  <r>
    <x v="233"/>
    <s v="currydestroyer27"/>
    <n v="4.2"/>
    <n v="1.6"/>
    <s v="Starships"/>
    <s v="Nicki Minaj"/>
    <n v="5"/>
    <n v="5"/>
    <n v="5"/>
    <n v="5"/>
    <n v="1"/>
    <n v="1406036312"/>
    <m/>
    <m/>
    <n v="5"/>
    <n v="1"/>
    <b v="0"/>
  </r>
  <r>
    <x v="234"/>
    <s v="alappatjoe"/>
    <n v="3.2"/>
    <n v="1.1661903789690602"/>
    <s v="Targets"/>
    <s v="Night Talks, Cory Wong"/>
    <n v="1"/>
    <n v="4"/>
    <n v="4"/>
    <n v="4"/>
    <n v="3"/>
    <n v="11963"/>
    <m/>
    <m/>
    <n v="3"/>
    <n v="1"/>
    <b v="0"/>
  </r>
  <r>
    <x v="234"/>
    <s v="danram"/>
    <n v="3.4"/>
    <n v="1.3564659966250536"/>
    <s v="All The Things You Are"/>
    <s v="Ella Fitzgerald, Nelson Riddle"/>
    <n v="3"/>
    <n v="2"/>
    <n v="5"/>
    <n v="2"/>
    <n v="5"/>
    <m/>
    <m/>
    <m/>
    <n v="4"/>
    <n v="1"/>
    <b v="0"/>
  </r>
  <r>
    <x v="234"/>
    <s v="loganworsdell"/>
    <n v="2"/>
    <n v="0.89442719099991586"/>
    <s v="endlessly"/>
    <s v="Chanpan"/>
    <n v="2"/>
    <n v="3"/>
    <n v="1"/>
    <n v="3"/>
    <n v="1"/>
    <n v="292109"/>
    <m/>
    <m/>
    <n v="1"/>
    <n v="1"/>
    <b v="1"/>
  </r>
  <r>
    <x v="234"/>
    <s v="samuelbattista"/>
    <n v="2.2000000000000002"/>
    <n v="1.1661903789690602"/>
    <s v="xXXi_wud_nvrstop_UXXx"/>
    <s v="100 Gecs, Tommy Cash, Hannah Diamond"/>
    <n v="4"/>
    <n v="1"/>
    <n v="3"/>
    <n v="1"/>
    <n v="2"/>
    <m/>
    <m/>
    <m/>
    <n v="2"/>
    <n v="1"/>
    <b v="0"/>
  </r>
  <r>
    <x v="234"/>
    <s v="currydestroyer27"/>
    <n v="4.2"/>
    <n v="1.1661903789690602"/>
    <s v="Wrap Me In Plastic"/>
    <s v="MOMOLAND, CHROMANCE"/>
    <n v="5"/>
    <n v="5"/>
    <n v="2"/>
    <n v="5"/>
    <n v="4"/>
    <n v="66257262"/>
    <s v="International"/>
    <s v="K-Pop"/>
    <n v="5"/>
    <n v="1"/>
    <b v="0"/>
  </r>
  <r>
    <x v="235"/>
    <s v="alappatjoe"/>
    <n v="2.4"/>
    <n v="1.019803902718557"/>
    <s v="Suzanne"/>
    <s v="Mark Ronson, RAYE"/>
    <n v="1"/>
    <n v="4"/>
    <n v="3"/>
    <n v="2"/>
    <n v="2"/>
    <n v="20851584"/>
    <m/>
    <m/>
    <n v="1"/>
    <n v="1"/>
    <b v="1"/>
  </r>
  <r>
    <x v="235"/>
    <s v="danram"/>
    <n v="3.2"/>
    <n v="1.4696938456699069"/>
    <s v="HIDEO NOMO"/>
    <s v="Action Bronson"/>
    <n v="2"/>
    <n v="1"/>
    <n v="5"/>
    <n v="4"/>
    <n v="4"/>
    <m/>
    <m/>
    <m/>
    <n v="4"/>
    <n v="1"/>
    <b v="0"/>
  </r>
  <r>
    <x v="235"/>
    <s v="loganworsdell"/>
    <n v="2.6"/>
    <n v="1.019803902718557"/>
    <s v="82.99 F.M"/>
    <s v="ANDER503"/>
    <n v="4"/>
    <n v="2"/>
    <n v="1"/>
    <n v="3"/>
    <n v="3"/>
    <n v="22842616"/>
    <m/>
    <m/>
    <n v="2"/>
    <n v="1"/>
    <b v="0"/>
  </r>
  <r>
    <x v="235"/>
    <s v="samuelbattista"/>
    <n v="4"/>
    <n v="1.5491933384829668"/>
    <s v="Taxes"/>
    <s v="Geese"/>
    <n v="5"/>
    <n v="5"/>
    <n v="4"/>
    <n v="1"/>
    <n v="5"/>
    <m/>
    <m/>
    <m/>
    <n v="5"/>
    <n v="1"/>
    <b v="0"/>
  </r>
  <r>
    <x v="235"/>
    <s v="currydestroyer27"/>
    <n v="2.8"/>
    <n v="1.3266499161421599"/>
    <s v="Better Days"/>
    <s v="Robert DeLong"/>
    <n v="3"/>
    <n v="3"/>
    <n v="2"/>
    <n v="5"/>
    <n v="1"/>
    <n v="1642868"/>
    <m/>
    <m/>
    <n v="3"/>
    <n v="1"/>
    <b v="0"/>
  </r>
  <r>
    <x v="236"/>
    <s v="alappatjoe"/>
    <n v="4"/>
    <n v="1.5491933384829668"/>
    <s v="LOVERS OR FRIENDS"/>
    <s v="YG, Leon Thomas"/>
    <n v="1"/>
    <n v="5"/>
    <n v="5"/>
    <n v="5"/>
    <n v="4"/>
    <n v="2060343"/>
    <m/>
    <m/>
    <n v="5"/>
    <n v="1"/>
    <b v="0"/>
  </r>
  <r>
    <x v="236"/>
    <s v="danram"/>
    <n v="2.6"/>
    <n v="0.4898979485566356"/>
    <s v="If You Know You Know"/>
    <s v="Pusha T"/>
    <n v="3"/>
    <n v="3"/>
    <n v="3"/>
    <n v="2"/>
    <n v="2"/>
    <m/>
    <m/>
    <m/>
    <n v="2"/>
    <n v="1"/>
    <b v="0"/>
  </r>
  <r>
    <x v="236"/>
    <s v="loganworsdell"/>
    <n v="3.2"/>
    <n v="1.4696938456699069"/>
    <s v="VOLVER"/>
    <s v="Tainy, Skrillex, Four Tet, Rauw Alejandro"/>
    <n v="4"/>
    <n v="1"/>
    <n v="2"/>
    <n v="4"/>
    <n v="5"/>
    <n v="108171209"/>
    <m/>
    <m/>
    <n v="4"/>
    <n v="1"/>
    <b v="0"/>
  </r>
  <r>
    <x v="236"/>
    <s v="samuelbattista"/>
    <n v="2.8"/>
    <n v="1.6"/>
    <s v="Loser"/>
    <s v="Beck"/>
    <n v="5"/>
    <n v="4"/>
    <n v="1"/>
    <n v="1"/>
    <n v="3"/>
    <m/>
    <m/>
    <m/>
    <n v="3"/>
    <n v="1"/>
    <b v="0"/>
  </r>
  <r>
    <x v="236"/>
    <s v="currydestroyer27"/>
    <n v="2.4"/>
    <n v="1.019803902718557"/>
    <s v="I CAN'T STOP THE LONELINESS"/>
    <s v="Anri"/>
    <n v="2"/>
    <n v="2"/>
    <n v="4"/>
    <n v="3"/>
    <n v="1"/>
    <n v="63260342"/>
    <m/>
    <m/>
    <n v="1"/>
    <n v="1"/>
    <b v="1"/>
  </r>
  <r>
    <x v="237"/>
    <s v="alappatjoe"/>
    <n v="3.8"/>
    <n v="1.4696938456699069"/>
    <s v="Pipe"/>
    <s v="Christina Aguilera, XNDA"/>
    <n v="1"/>
    <n v="4"/>
    <n v="4"/>
    <n v="5"/>
    <n v="5"/>
    <n v="12804298"/>
    <m/>
    <m/>
    <n v="5"/>
    <n v="1"/>
    <b v="0"/>
  </r>
  <r>
    <x v="237"/>
    <s v="danram"/>
    <n v="2.2000000000000002"/>
    <n v="1.1661903789690602"/>
    <s v="Through the Night"/>
    <s v="CueStack, David Hasselhoff"/>
    <n v="4"/>
    <n v="1"/>
    <n v="1"/>
    <n v="3"/>
    <n v="2"/>
    <m/>
    <m/>
    <m/>
    <n v="2"/>
    <n v="1"/>
    <b v="0"/>
  </r>
  <r>
    <x v="237"/>
    <s v="loganworsdell"/>
    <n v="3.8"/>
    <n v="1.1661903789690602"/>
    <s v="Bombs Away"/>
    <s v="B.o.B, Morgan Freeman"/>
    <n v="5"/>
    <n v="5"/>
    <n v="2"/>
    <n v="4"/>
    <n v="3"/>
    <n v="17637838"/>
    <m/>
    <m/>
    <n v="4"/>
    <n v="1"/>
    <b v="0"/>
  </r>
  <r>
    <x v="237"/>
    <s v="samuelbattista"/>
    <n v="3.2"/>
    <n v="1.3266499161421599"/>
    <s v="Say My Name"/>
    <s v="Destiny's Child, Kobe Bryant"/>
    <n v="3"/>
    <n v="3"/>
    <n v="5"/>
    <n v="1"/>
    <n v="4"/>
    <m/>
    <m/>
    <m/>
    <n v="3"/>
    <n v="1"/>
    <b v="0"/>
  </r>
  <r>
    <x v="237"/>
    <s v="currydestroyer27"/>
    <n v="2"/>
    <n v="0.63245553203367588"/>
    <s v="Chammak Challo"/>
    <s v="Vishal-Shekhar, Akon, Hamsika Iyer, Niranjan Iyengar, Vishal Dadlani"/>
    <n v="2"/>
    <n v="2"/>
    <n v="3"/>
    <n v="2"/>
    <n v="1"/>
    <n v="283710536"/>
    <m/>
    <m/>
    <n v="1"/>
    <n v="1"/>
    <b v="1"/>
  </r>
  <r>
    <x v="238"/>
    <s v="alappatjoe"/>
    <n v="3"/>
    <n v="1.4142135623730951"/>
    <s v="BOUND - Bossa Nova Version"/>
    <s v="Sincerely Suav"/>
    <n v="1"/>
    <n v="4"/>
    <n v="2"/>
    <n v="3"/>
    <n v="5"/>
    <n v="137706"/>
    <m/>
    <m/>
    <n v="2"/>
    <n v="1"/>
    <b v="0"/>
  </r>
  <r>
    <x v="238"/>
    <s v="danram"/>
    <n v="3.2"/>
    <n v="1.4696938456699069"/>
    <s v="Ft."/>
    <s v="FUNKIST"/>
    <n v="4"/>
    <n v="1"/>
    <n v="4"/>
    <n v="5"/>
    <n v="2"/>
    <m/>
    <m/>
    <m/>
    <n v="4"/>
    <n v="1"/>
    <b v="0"/>
  </r>
  <r>
    <x v="238"/>
    <s v="loganworsdell"/>
    <n v="3.4"/>
    <n v="1.6248076809271921"/>
    <s v="Run It Up"/>
    <s v="Hanumankind"/>
    <n v="5"/>
    <n v="5"/>
    <n v="1"/>
    <n v="2"/>
    <n v="4"/>
    <n v="39391206"/>
    <m/>
    <m/>
    <n v="5"/>
    <n v="1"/>
    <b v="0"/>
  </r>
  <r>
    <x v="238"/>
    <s v="samuelbattista"/>
    <n v="2.2000000000000002"/>
    <n v="0.74833147735478833"/>
    <s v="Calling After Me"/>
    <s v="Wallows"/>
    <n v="2"/>
    <n v="2"/>
    <n v="3"/>
    <n v="1"/>
    <n v="3"/>
    <m/>
    <m/>
    <m/>
    <n v="1"/>
    <n v="1"/>
    <b v="1"/>
  </r>
  <r>
    <x v="238"/>
    <s v="currydestroyer27"/>
    <n v="3.2"/>
    <n v="1.3266499161421599"/>
    <s v="Hunting Soul"/>
    <s v="HAYASii"/>
    <n v="3"/>
    <n v="3"/>
    <n v="5"/>
    <n v="4"/>
    <n v="1"/>
    <n v="2129008"/>
    <m/>
    <m/>
    <n v="3"/>
    <n v="1"/>
    <b v="0"/>
  </r>
  <r>
    <x v="239"/>
    <s v="alappatjoe"/>
    <n v="2.8"/>
    <n v="1.4696938456699069"/>
    <s v="Shibuya Meltdown"/>
    <s v="Jack Gardiner, Gianluca Pellerito, Riccardo Olivia"/>
    <n v="1"/>
    <n v="2"/>
    <n v="4"/>
    <n v="2"/>
    <n v="5"/>
    <n v="57648"/>
    <m/>
    <m/>
    <n v="3"/>
    <n v="1"/>
    <b v="0"/>
  </r>
  <r>
    <x v="239"/>
    <s v="danram"/>
    <n v="3.6"/>
    <n v="1.4966629547095767"/>
    <s v="Ride (feat. Do or Die)"/>
    <s v="Chance the Rapper, Do Or Die"/>
    <n v="3"/>
    <n v="1"/>
    <n v="5"/>
    <n v="5"/>
    <n v="4"/>
    <m/>
    <m/>
    <m/>
    <n v="5"/>
    <n v="1"/>
    <b v="0"/>
  </r>
  <r>
    <x v="239"/>
    <s v="loganworsdell"/>
    <n v="2.8"/>
    <n v="1.1661903789690602"/>
    <s v="High Beams - JPEGMAFIA Remix"/>
    <s v="Tkay Maidza, JPEGMAFIA"/>
    <n v="2"/>
    <n v="5"/>
    <n v="2"/>
    <n v="3"/>
    <n v="2"/>
    <n v="1752424"/>
    <m/>
    <m/>
    <n v="2"/>
    <n v="1"/>
    <b v="0"/>
  </r>
  <r>
    <x v="239"/>
    <s v="samuelbattista"/>
    <n v="2.8"/>
    <n v="0.9797958971132712"/>
    <s v="Setting Sun"/>
    <s v="Post Animal"/>
    <n v="4"/>
    <n v="3"/>
    <n v="3"/>
    <n v="1"/>
    <n v="3"/>
    <m/>
    <m/>
    <m/>
    <n v="1"/>
    <n v="1"/>
    <b v="1"/>
  </r>
  <r>
    <x v="239"/>
    <s v="currydestroyer27"/>
    <n v="3"/>
    <n v="1.6733200530681511"/>
    <s v="Howlin' for You"/>
    <s v="The Black Keys"/>
    <n v="5"/>
    <n v="4"/>
    <n v="1"/>
    <n v="4"/>
    <n v="1"/>
    <n v="499178538"/>
    <m/>
    <m/>
    <n v="4"/>
    <n v="1"/>
    <b v="0"/>
  </r>
  <r>
    <x v="240"/>
    <s v="alappatjoe"/>
    <n v="2"/>
    <n v="0.89442719099991586"/>
    <s v="Like I Do"/>
    <s v="J.Tajor"/>
    <n v="1"/>
    <n v="3"/>
    <n v="1"/>
    <n v="2"/>
    <n v="3"/>
    <n v="116738171"/>
    <m/>
    <m/>
    <n v="1"/>
    <n v="1"/>
    <b v="1"/>
  </r>
  <r>
    <x v="240"/>
    <s v="danram"/>
    <n v="3.2"/>
    <n v="1.4696938456699069"/>
    <s v="Always Running"/>
    <s v="Kevin Sherwood, Malukah"/>
    <n v="5"/>
    <n v="1"/>
    <n v="4"/>
    <n v="4"/>
    <n v="2"/>
    <m/>
    <m/>
    <m/>
    <n v="3"/>
    <n v="1"/>
    <b v="0"/>
  </r>
  <r>
    <x v="240"/>
    <s v="loganworsdell"/>
    <n v="3.6"/>
    <n v="1.2"/>
    <s v="Jesus Is The One (I Got Depression)"/>
    <s v="Zack Fox, Kenny Beats"/>
    <n v="2"/>
    <n v="5"/>
    <n v="3"/>
    <n v="3"/>
    <n v="5"/>
    <n v="51739177"/>
    <m/>
    <m/>
    <n v="5"/>
    <n v="1"/>
    <b v="0"/>
  </r>
  <r>
    <x v="240"/>
    <s v="samuelbattista"/>
    <n v="2.8"/>
    <n v="1.1661903789690602"/>
    <s v="Wires"/>
    <s v="Spirit of the Bear"/>
    <n v="3"/>
    <n v="4"/>
    <n v="2"/>
    <n v="1"/>
    <n v="4"/>
    <m/>
    <m/>
    <m/>
    <n v="2"/>
    <n v="1"/>
    <b v="0"/>
  </r>
  <r>
    <x v="240"/>
    <s v="currydestroyer27"/>
    <n v="3.4"/>
    <n v="1.6248076809271921"/>
    <s v="Fiesta"/>
    <s v="+Plus"/>
    <n v="4"/>
    <n v="2"/>
    <n v="5"/>
    <n v="5"/>
    <n v="1"/>
    <n v="14435153"/>
    <s v="International"/>
    <m/>
    <n v="4"/>
    <n v="1"/>
    <b v="0"/>
  </r>
  <r>
    <x v="241"/>
    <s v="alappatjoe"/>
    <n v="4.2"/>
    <n v="1.1661903789690602"/>
    <s v="The Abduction from the Seraglio Overture, KV 384"/>
    <s v="Wolfgang Amadeus Mozart, London Philharmonic Orchestra, Alfred Scholz"/>
    <n v="2"/>
    <n v="5"/>
    <n v="5"/>
    <n v="5"/>
    <n v="4"/>
    <n v="401621"/>
    <m/>
    <m/>
    <n v="5"/>
    <n v="1"/>
    <b v="0"/>
  </r>
  <r>
    <x v="241"/>
    <s v="danram"/>
    <n v="3.8"/>
    <n v="1.1661903789690602"/>
    <s v="Strawberry Fields Forever"/>
    <s v="The Beatles"/>
    <n v="5"/>
    <n v="3"/>
    <n v="4"/>
    <n v="2"/>
    <n v="5"/>
    <m/>
    <m/>
    <m/>
    <n v="4"/>
    <n v="1"/>
    <b v="0"/>
  </r>
  <r>
    <x v="241"/>
    <s v="loganworsdell"/>
    <n v="2"/>
    <n v="1.0954451150103321"/>
    <s v="Face to Face"/>
    <s v="Daft Punk"/>
    <n v="1"/>
    <n v="2"/>
    <n v="1"/>
    <n v="4"/>
    <n v="2"/>
    <n v="98611754"/>
    <m/>
    <m/>
    <n v="1"/>
    <n v="1"/>
    <b v="1"/>
  </r>
  <r>
    <x v="241"/>
    <s v="samuelbattista"/>
    <n v="2.2000000000000002"/>
    <n v="0.9797958971132712"/>
    <s v="Rapper's Delight"/>
    <s v="The Sugarhill Gang"/>
    <n v="3"/>
    <n v="1"/>
    <n v="3"/>
    <n v="1"/>
    <n v="3"/>
    <m/>
    <m/>
    <m/>
    <n v="2"/>
    <n v="1"/>
    <b v="0"/>
  </r>
  <r>
    <x v="241"/>
    <s v="currydestroyer27"/>
    <n v="2.8"/>
    <n v="1.1661903789690602"/>
    <s v="In The Air Tonight"/>
    <s v="Phil Collins"/>
    <n v="4"/>
    <n v="4"/>
    <n v="2"/>
    <n v="3"/>
    <n v="1"/>
    <m/>
    <m/>
    <m/>
    <n v="3"/>
    <n v="1"/>
    <b v="0"/>
  </r>
  <r>
    <x v="242"/>
    <s v="alappatjoe"/>
    <n v="3.8"/>
    <n v="1.4696938456699069"/>
    <s v="Empire State of Mind"/>
    <s v="JAY-Z, Alicia Keys"/>
    <n v="1"/>
    <n v="4"/>
    <n v="5"/>
    <n v="4"/>
    <n v="5"/>
    <n v="1318005870"/>
    <m/>
    <m/>
    <n v="5"/>
    <n v="1"/>
    <b v="0"/>
  </r>
  <r>
    <x v="242"/>
    <s v="danram"/>
    <n v="2.6"/>
    <n v="1.3564659966250536"/>
    <s v="Lady of Namek"/>
    <s v="Tory Lanez"/>
    <n v="5"/>
    <n v="1"/>
    <n v="2"/>
    <n v="3"/>
    <n v="2"/>
    <m/>
    <m/>
    <m/>
    <n v="2"/>
    <n v="1"/>
    <b v="0"/>
  </r>
  <r>
    <x v="242"/>
    <s v="loganworsdell"/>
    <n v="2.4"/>
    <n v="0.4898979485566356"/>
    <s v="Don't Wait Up"/>
    <s v="Midnight Generation"/>
    <n v="2"/>
    <n v="2"/>
    <n v="3"/>
    <n v="2"/>
    <n v="3"/>
    <n v="4081146"/>
    <m/>
    <m/>
    <n v="1"/>
    <n v="1"/>
    <b v="1"/>
  </r>
  <r>
    <x v="242"/>
    <s v="samuelbattista"/>
    <n v="3"/>
    <n v="1.0954451150103321"/>
    <s v="Ring Ring Ring"/>
    <s v="Tyler, the Creator"/>
    <n v="3"/>
    <n v="3"/>
    <n v="4"/>
    <n v="1"/>
    <n v="4"/>
    <m/>
    <m/>
    <m/>
    <n v="3"/>
    <n v="1"/>
    <b v="0"/>
  </r>
  <r>
    <x v="242"/>
    <s v="currydestroyer27"/>
    <n v="3.2"/>
    <n v="1.833030277982336"/>
    <s v="Chicago"/>
    <s v="Michael Jackson"/>
    <n v="4"/>
    <n v="5"/>
    <n v="1"/>
    <n v="5"/>
    <n v="1"/>
    <m/>
    <m/>
    <m/>
    <n v="4"/>
    <n v="1"/>
    <b v="0"/>
  </r>
  <r>
    <x v="243"/>
    <s v="alappatjoe"/>
    <n v="3.4"/>
    <n v="1.4966629547095767"/>
    <s v="My Love"/>
    <s v="Leigh-Anne, Ayra Starr"/>
    <n v="1"/>
    <n v="3"/>
    <n v="5"/>
    <n v="5"/>
    <n v="3"/>
    <n v="22472029"/>
    <m/>
    <m/>
    <n v="4"/>
    <n v="1"/>
    <b v="0"/>
  </r>
  <r>
    <x v="243"/>
    <s v="danram"/>
    <n v="2.8"/>
    <n v="1.1661903789690602"/>
    <s v="Here It Goes Again"/>
    <s v="OK Go"/>
    <n v="4"/>
    <n v="1"/>
    <n v="2"/>
    <n v="3"/>
    <n v="4"/>
    <m/>
    <m/>
    <m/>
    <n v="2"/>
    <n v="1"/>
    <b v="0"/>
  </r>
  <r>
    <x v="243"/>
    <s v="loganworsdell"/>
    <n v="2.8"/>
    <n v="1.1661903789690602"/>
    <s v="Energy"/>
    <s v="BURNS, A$AP Rocky, Sonny Fodera, Sabrina Claudio"/>
    <n v="2"/>
    <n v="2"/>
    <n v="3"/>
    <n v="2"/>
    <n v="5"/>
    <n v="5821860"/>
    <m/>
    <m/>
    <n v="2"/>
    <n v="1"/>
    <b v="0"/>
  </r>
  <r>
    <x v="243"/>
    <s v="samuelbattista"/>
    <n v="2.4"/>
    <n v="1.4966629547095767"/>
    <s v="SEE U DANCE"/>
    <s v="Joey Valence &amp; Brae, Rebecca Black"/>
    <n v="3"/>
    <n v="5"/>
    <n v="1"/>
    <n v="1"/>
    <n v="2"/>
    <m/>
    <m/>
    <m/>
    <n v="1"/>
    <n v="1"/>
    <b v="1"/>
  </r>
  <r>
    <x v="243"/>
    <s v="currydestroyer27"/>
    <n v="3.6"/>
    <n v="1.3564659966250536"/>
    <s v="Sweet Boy"/>
    <s v="Malcom Todd"/>
    <n v="5"/>
    <n v="4"/>
    <n v="4"/>
    <n v="4"/>
    <n v="1"/>
    <m/>
    <m/>
    <m/>
    <n v="5"/>
    <n v="1"/>
    <b v="0"/>
  </r>
  <r>
    <x v="244"/>
    <s v="alappatjoe"/>
    <n v="2.8"/>
    <n v="0.9797958971132712"/>
    <s v="Fight the Power, Pts. 1 &amp; 2"/>
    <s v="The Isley Brothers"/>
    <n v="1"/>
    <n v="4"/>
    <n v="3"/>
    <n v="3"/>
    <n v="3"/>
    <n v="14048592"/>
    <m/>
    <m/>
    <n v="3"/>
    <n v="1"/>
    <b v="0"/>
  </r>
  <r>
    <x v="244"/>
    <s v="danram"/>
    <n v="3.4"/>
    <n v="1.2"/>
    <s v="Motherboard"/>
    <s v="Daft Punk"/>
    <n v="2"/>
    <n v="2"/>
    <n v="4"/>
    <n v="4"/>
    <n v="5"/>
    <m/>
    <m/>
    <m/>
    <n v="4"/>
    <n v="1"/>
    <b v="0"/>
  </r>
  <r>
    <x v="244"/>
    <s v="loganworsdell"/>
    <n v="2.6"/>
    <n v="0.8"/>
    <s v="Heartpiece"/>
    <s v="helloworld"/>
    <n v="4"/>
    <n v="3"/>
    <n v="2"/>
    <n v="2"/>
    <n v="2"/>
    <n v="122515"/>
    <m/>
    <m/>
    <n v="2"/>
    <n v="1"/>
    <b v="0"/>
  </r>
  <r>
    <x v="244"/>
    <s v="samuelbattista"/>
    <n v="4"/>
    <n v="1.5491933384829668"/>
    <s v="Trinidad"/>
    <s v="Geese"/>
    <n v="5"/>
    <n v="5"/>
    <n v="5"/>
    <n v="1"/>
    <n v="4"/>
    <m/>
    <m/>
    <m/>
    <n v="5"/>
    <n v="1"/>
    <b v="0"/>
  </r>
  <r>
    <x v="244"/>
    <s v="currydestroyer27"/>
    <n v="2.2000000000000002"/>
    <n v="1.6"/>
    <s v="Simple And Clean"/>
    <s v="Hikaru Utada"/>
    <n v="3"/>
    <n v="1"/>
    <n v="1"/>
    <n v="5"/>
    <n v="1"/>
    <m/>
    <m/>
    <m/>
    <n v="1"/>
    <n v="1"/>
    <b v="1"/>
  </r>
  <r>
    <x v="245"/>
    <s v="alappatjoe"/>
    <n v="2.6"/>
    <n v="1.019803902718557"/>
    <s v="El Clavo - Remix"/>
    <s v="Prince Royce, Maluma"/>
    <n v="1"/>
    <n v="3"/>
    <n v="3"/>
    <n v="4"/>
    <n v="2"/>
    <n v="261683766"/>
    <m/>
    <m/>
    <n v="2"/>
    <n v="1"/>
    <b v="0"/>
  </r>
  <r>
    <x v="245"/>
    <s v="danram"/>
    <n v="2.2000000000000002"/>
    <n v="1.1661903789690602"/>
    <s v="KLOuFRENS"/>
    <s v="Bad Bunny"/>
    <n v="4"/>
    <n v="1"/>
    <n v="2"/>
    <n v="1"/>
    <n v="3"/>
    <m/>
    <m/>
    <m/>
    <n v="1"/>
    <n v="1"/>
    <b v="1"/>
  </r>
  <r>
    <x v="245"/>
    <s v="loganworsdell"/>
    <n v="2.6"/>
    <n v="1.019803902718557"/>
    <s v="Lo Siento BB:/"/>
    <s v="Tainy, Bad Bunny, Julieta Venegas"/>
    <n v="3"/>
    <n v="2"/>
    <n v="1"/>
    <n v="3"/>
    <n v="4"/>
    <n v="1080286222"/>
    <m/>
    <m/>
    <n v="2"/>
    <n v="1"/>
    <b v="0"/>
  </r>
  <r>
    <x v="245"/>
    <s v="samuelbattista"/>
    <n v="3.6"/>
    <n v="1.3564659966250536"/>
    <s v="Drum Solo - Live"/>
    <s v="Rush"/>
    <n v="2"/>
    <n v="4"/>
    <n v="5"/>
    <n v="2"/>
    <n v="5"/>
    <m/>
    <m/>
    <m/>
    <n v="4"/>
    <n v="1"/>
    <b v="0"/>
  </r>
  <r>
    <x v="245"/>
    <s v="currydestroyer27"/>
    <n v="4"/>
    <n v="1.5491933384829668"/>
    <s v="Baila Esta Cumbia"/>
    <s v="Selena"/>
    <n v="5"/>
    <n v="5"/>
    <n v="4"/>
    <n v="5"/>
    <n v="1"/>
    <m/>
    <m/>
    <m/>
    <n v="5"/>
    <n v="1"/>
    <b v="0"/>
  </r>
  <r>
    <x v="246"/>
    <s v="alappatjoe"/>
    <n v="2.4"/>
    <n v="0.8"/>
    <s v="Miss Me?"/>
    <s v="Friday Night Plans"/>
    <n v="1"/>
    <n v="3"/>
    <n v="3"/>
    <n v="3"/>
    <n v="2"/>
    <n v="1118137"/>
    <m/>
    <m/>
    <n v="2"/>
    <n v="1"/>
    <b v="0"/>
  </r>
  <r>
    <x v="246"/>
    <s v="danram"/>
    <n v="2.8"/>
    <n v="0.9797958971132712"/>
    <s v="There IS a Light That Never Goes Out"/>
    <s v="The Smiths"/>
    <n v="2"/>
    <n v="2"/>
    <n v="4"/>
    <n v="2"/>
    <n v="4"/>
    <m/>
    <m/>
    <m/>
    <n v="4"/>
    <n v="1"/>
    <b v="0"/>
  </r>
  <r>
    <x v="246"/>
    <s v="loganworsdell"/>
    <n v="2.2000000000000002"/>
    <n v="1.4696938456699069"/>
    <s v="São Paulo"/>
    <s v="The Weekend, Anitta"/>
    <n v="4"/>
    <n v="4"/>
    <n v="1"/>
    <n v="1"/>
    <n v="1"/>
    <n v="437201129"/>
    <m/>
    <m/>
    <n v="1"/>
    <n v="1"/>
    <b v="1"/>
  </r>
  <r>
    <x v="246"/>
    <s v="samuelbattista"/>
    <n v="5"/>
    <n v="0"/>
    <s v="BOOTZ"/>
    <s v="Salina EsTitties"/>
    <n v="5"/>
    <n v="5"/>
    <n v="5"/>
    <n v="5"/>
    <n v="5"/>
    <m/>
    <m/>
    <m/>
    <n v="5"/>
    <n v="1"/>
    <b v="0"/>
  </r>
  <r>
    <x v="246"/>
    <s v="currydestroyer27"/>
    <n v="2.6"/>
    <n v="1.019803902718557"/>
    <s v="Sanctuary (Opening)"/>
    <s v="Hikaru Utada"/>
    <n v="3"/>
    <n v="1"/>
    <n v="2"/>
    <n v="4"/>
    <n v="3"/>
    <m/>
    <m/>
    <m/>
    <n v="3"/>
    <n v="1"/>
    <b v="0"/>
  </r>
  <r>
    <x v="247"/>
    <s v="alappatjoe"/>
    <n v="3.2"/>
    <n v="1.3266499161421599"/>
    <s v="Catching Bodies"/>
    <s v="Sekou"/>
    <n v="1"/>
    <n v="5"/>
    <n v="4"/>
    <n v="3"/>
    <n v="3"/>
    <n v="1077701"/>
    <m/>
    <m/>
    <n v="4"/>
    <n v="1"/>
    <b v="0"/>
  </r>
  <r>
    <x v="247"/>
    <s v="danram"/>
    <n v="2.6"/>
    <n v="1.3564659966250536"/>
    <s v="Mrs. Officer"/>
    <s v="Lil Wayne, Bobby V, Kidd Kidd"/>
    <n v="3"/>
    <n v="1"/>
    <n v="1"/>
    <n v="4"/>
    <n v="4"/>
    <m/>
    <m/>
    <m/>
    <n v="1"/>
    <n v="2"/>
    <b v="0"/>
  </r>
  <r>
    <x v="247"/>
    <s v="loganworsdell"/>
    <n v="3.6"/>
    <n v="1.3564659966250536"/>
    <s v="HALLWAYS"/>
    <s v="Breathe Carolina"/>
    <n v="5"/>
    <n v="4"/>
    <n v="2"/>
    <n v="2"/>
    <n v="5"/>
    <n v="52394"/>
    <m/>
    <m/>
    <n v="5"/>
    <n v="1"/>
    <b v="0"/>
  </r>
  <r>
    <x v="247"/>
    <s v="samuelbattista"/>
    <n v="3"/>
    <n v="1.4142135623730951"/>
    <s v="I Feel Bad For You, Dave"/>
    <s v="dodie"/>
    <n v="4"/>
    <n v="3"/>
    <n v="5"/>
    <n v="1"/>
    <n v="2"/>
    <m/>
    <m/>
    <m/>
    <n v="3"/>
    <n v="1"/>
    <b v="0"/>
  </r>
  <r>
    <x v="247"/>
    <s v="currydestroyer27"/>
    <n v="2.6"/>
    <n v="1.3564659966250536"/>
    <s v="Last Memory"/>
    <s v="Takeoff"/>
    <n v="2"/>
    <n v="2"/>
    <n v="3"/>
    <n v="5"/>
    <n v="1"/>
    <m/>
    <m/>
    <m/>
    <n v="1"/>
    <n v="1"/>
    <b v="1"/>
  </r>
  <r>
    <x v="248"/>
    <s v="alappatjoe"/>
    <n v="3.2"/>
    <n v="1.3266499161421599"/>
    <s v="Body &amp; Soul"/>
    <s v="Emotional Oranges, Biig Piig"/>
    <n v="1"/>
    <n v="3"/>
    <n v="4"/>
    <n v="3"/>
    <n v="5"/>
    <n v="21582382"/>
    <m/>
    <m/>
    <n v="4"/>
    <n v="1"/>
    <b v="0"/>
  </r>
  <r>
    <x v="248"/>
    <s v="danram"/>
    <n v="4.4000000000000004"/>
    <n v="0.4898979485566356"/>
    <s v="One Note Samba"/>
    <s v="Stacey Kent, Jim Tomlinson, Graham Harvey, John Parricelli, Jeremy Brown, Josh Morrison"/>
    <n v="4"/>
    <n v="5"/>
    <n v="5"/>
    <n v="4"/>
    <n v="4"/>
    <m/>
    <m/>
    <m/>
    <n v="5"/>
    <n v="1"/>
    <b v="0"/>
  </r>
  <r>
    <x v="248"/>
    <s v="loganworsdell"/>
    <n v="3"/>
    <n v="1.4142135623730951"/>
    <s v="Pink Dolphin Sunset"/>
    <s v="Tory Lanez, Tee"/>
    <n v="3"/>
    <n v="4"/>
    <n v="1"/>
    <n v="5"/>
    <n v="2"/>
    <n v="85216528"/>
    <m/>
    <m/>
    <n v="3"/>
    <n v="1"/>
    <b v="0"/>
  </r>
  <r>
    <x v="248"/>
    <s v="samuelbattista"/>
    <n v="2.6"/>
    <n v="1.4966629547095767"/>
    <s v="hand crushed by a mallet"/>
    <s v="100 Gecs"/>
    <n v="5"/>
    <n v="1"/>
    <n v="3"/>
    <n v="1"/>
    <n v="3"/>
    <m/>
    <m/>
    <m/>
    <n v="2"/>
    <n v="1"/>
    <b v="0"/>
  </r>
  <r>
    <x v="248"/>
    <s v="currydestroyer27"/>
    <n v="1.8"/>
    <n v="0.4"/>
    <s v="Maps"/>
    <s v="Maroon 5"/>
    <n v="2"/>
    <n v="2"/>
    <n v="2"/>
    <n v="2"/>
    <n v="1"/>
    <m/>
    <m/>
    <m/>
    <n v="1"/>
    <n v="1"/>
    <b v="1"/>
  </r>
  <r>
    <x v="249"/>
    <s v="alappatjoe"/>
    <n v="2.8"/>
    <n v="1.1661903789690602"/>
    <s v="Let Me Love You"/>
    <s v="Amber Mark"/>
    <n v="1"/>
    <n v="4"/>
    <n v="2"/>
    <n v="3"/>
    <n v="4"/>
    <n v="1180326"/>
    <m/>
    <m/>
    <n v="2"/>
    <n v="1"/>
    <b v="0"/>
  </r>
  <r>
    <x v="249"/>
    <s v="danram"/>
    <n v="3.4"/>
    <n v="1.6248076809271921"/>
    <s v="block hug"/>
    <s v="Jim Legxacy"/>
    <n v="4"/>
    <n v="2"/>
    <n v="5"/>
    <n v="5"/>
    <n v="1"/>
    <m/>
    <m/>
    <m/>
    <n v="4"/>
    <n v="1"/>
    <b v="0"/>
  </r>
  <r>
    <x v="249"/>
    <s v="loganworsdell"/>
    <n v="3.6"/>
    <n v="1.2"/>
    <s v="KEEP FOLLOWING"/>
    <s v="Odetari"/>
    <n v="5"/>
    <n v="3"/>
    <n v="3"/>
    <n v="2"/>
    <n v="5"/>
    <n v="136993"/>
    <m/>
    <m/>
    <n v="5"/>
    <n v="1"/>
    <b v="0"/>
  </r>
  <r>
    <x v="249"/>
    <s v="samuelbattista"/>
    <n v="1.8"/>
    <n v="0.9797958971132712"/>
    <s v="Politix"/>
    <s v="Balu Brigada"/>
    <n v="3"/>
    <n v="1"/>
    <n v="1"/>
    <n v="1"/>
    <n v="3"/>
    <m/>
    <m/>
    <m/>
    <n v="1"/>
    <n v="1"/>
    <b v="1"/>
  </r>
  <r>
    <x v="249"/>
    <s v="currydestroyer27"/>
    <n v="3.4"/>
    <n v="1.2"/>
    <s v="Solitare"/>
    <s v="Gucci Mane, Migos, Lil Yachty "/>
    <n v="2"/>
    <n v="5"/>
    <n v="4"/>
    <n v="4"/>
    <n v="2"/>
    <n v="49081987"/>
    <m/>
    <m/>
    <n v="3"/>
    <n v="1"/>
    <b v="0"/>
  </r>
  <r>
    <x v="250"/>
    <s v="alappatjoe"/>
    <n v="2.8"/>
    <n v="0.9797958971132712"/>
    <s v="flip side"/>
    <s v="ALICE"/>
    <n v="1"/>
    <n v="3"/>
    <n v="3"/>
    <n v="4"/>
    <n v="3"/>
    <n v="107062"/>
    <m/>
    <m/>
    <n v="3"/>
    <n v="1"/>
    <b v="0"/>
  </r>
  <r>
    <x v="250"/>
    <s v="danram"/>
    <n v="2.6"/>
    <n v="1.019803902718557"/>
    <s v="on one tonight"/>
    <s v="Gunna"/>
    <n v="3"/>
    <n v="1"/>
    <n v="4"/>
    <n v="3"/>
    <n v="2"/>
    <m/>
    <m/>
    <m/>
    <n v="1"/>
    <n v="1"/>
    <b v="1"/>
  </r>
  <r>
    <x v="250"/>
    <s v="loganworsdell"/>
    <n v="3.4"/>
    <n v="1.2"/>
    <s v="DJ Mix #2 [White Cave - Theme of Green Cave (Laur Remix)/Sand Road (CrossWorlds Remix)/Holoska (CrossWorlds Remix)/Hidden World (Aiobahn +81 Mix)/Kronos Island (&quot;Stars falling&quot; Remix)/I'm Here (&quot;Run Towards The Final Horizon&quot; Remix)"/>
    <s v="Laur, RIOT, ZARDONIC, Aiobahn, Tomoya Ohtani, Camellia, SEGA GAME MUSIC"/>
    <n v="4"/>
    <n v="4"/>
    <n v="2"/>
    <n v="2"/>
    <n v="5"/>
    <n v="48073"/>
    <m/>
    <m/>
    <n v="4"/>
    <n v="1"/>
    <b v="0"/>
  </r>
  <r>
    <x v="250"/>
    <s v="samuelbattista"/>
    <n v="2.6"/>
    <n v="1.6248076809271921"/>
    <s v="WHAT IS FOREVER FOR"/>
    <s v="Frost Children"/>
    <n v="5"/>
    <n v="2"/>
    <n v="1"/>
    <n v="1"/>
    <n v="4"/>
    <m/>
    <m/>
    <m/>
    <n v="2"/>
    <n v="1"/>
    <b v="0"/>
  </r>
  <r>
    <x v="250"/>
    <s v="currydestroyer27"/>
    <n v="3.6"/>
    <n v="1.7435595774162693"/>
    <s v="Fantasy"/>
    <s v="Big Scarr, Offset"/>
    <n v="2"/>
    <n v="5"/>
    <n v="5"/>
    <n v="5"/>
    <n v="1"/>
    <n v="31183026"/>
    <m/>
    <m/>
    <n v="5"/>
    <n v="1"/>
    <b v="0"/>
  </r>
  <r>
    <x v="251"/>
    <s v="alappatjoe"/>
    <n v="2.8"/>
    <n v="1.4696938456699069"/>
    <s v="SkyIs Falling"/>
    <s v="Nujabes, C.L. Smooth"/>
    <n v="1"/>
    <n v="4"/>
    <n v="2"/>
    <n v="2"/>
    <n v="5"/>
    <n v="3198502"/>
    <m/>
    <m/>
    <n v="2"/>
    <n v="1"/>
    <b v="0"/>
  </r>
  <r>
    <x v="251"/>
    <s v="danram"/>
    <n v="2.2000000000000002"/>
    <n v="0.74833147735478833"/>
    <s v="Headlines"/>
    <s v="Drake"/>
    <n v="2"/>
    <n v="1"/>
    <n v="3"/>
    <n v="3"/>
    <n v="2"/>
    <m/>
    <m/>
    <m/>
    <n v="1"/>
    <n v="1"/>
    <b v="1"/>
  </r>
  <r>
    <x v="251"/>
    <s v="loganworsdell"/>
    <n v="3.8"/>
    <n v="0.74833147735478833"/>
    <s v="Soap"/>
    <s v="Yves, PinkPantheress"/>
    <n v="3"/>
    <n v="5"/>
    <n v="4"/>
    <n v="4"/>
    <n v="3"/>
    <n v="3842210"/>
    <m/>
    <m/>
    <n v="5"/>
    <n v="1"/>
    <b v="0"/>
  </r>
  <r>
    <x v="251"/>
    <s v="samuelbattista"/>
    <n v="2.8"/>
    <n v="1.6"/>
    <s v="bad luck"/>
    <s v="We Came As Romans, Currents, After The Burial"/>
    <n v="5"/>
    <n v="3"/>
    <n v="1"/>
    <n v="1"/>
    <n v="4"/>
    <m/>
    <m/>
    <m/>
    <n v="3"/>
    <n v="1"/>
    <b v="0"/>
  </r>
  <r>
    <x v="251"/>
    <s v="currydestroyer27"/>
    <n v="3.4"/>
    <n v="1.6248076809271921"/>
    <s v="WHO? WHAT!"/>
    <s v="Travis Scott"/>
    <n v="4"/>
    <n v="2"/>
    <n v="5"/>
    <n v="5"/>
    <n v="1"/>
    <n v="234105448"/>
    <m/>
    <m/>
    <n v="4"/>
    <n v="1"/>
    <b v="0"/>
  </r>
  <r>
    <x v="252"/>
    <s v="alappatjoe"/>
    <n v="3"/>
    <n v="1.4142135623730951"/>
    <s v="Renegade"/>
    <s v="JAY-Z, Eminem"/>
    <n v="1"/>
    <n v="5"/>
    <n v="4"/>
    <n v="2"/>
    <n v="3"/>
    <n v="157491358"/>
    <m/>
    <m/>
    <n v="2"/>
    <n v="1"/>
    <b v="0"/>
  </r>
  <r>
    <x v="252"/>
    <s v="danram"/>
    <n v="3.8"/>
    <n v="1.1661903789690602"/>
    <s v="Loverboy"/>
    <s v="Mariah Carey, Cameo"/>
    <n v="4"/>
    <n v="2"/>
    <n v="3"/>
    <n v="5"/>
    <n v="5"/>
    <m/>
    <m/>
    <m/>
    <n v="5"/>
    <n v="1"/>
    <b v="0"/>
  </r>
  <r>
    <x v="252"/>
    <s v="loganworsdell"/>
    <n v="3.2"/>
    <n v="0.74833147735478833"/>
    <s v="Izzo (H.O.V.A)"/>
    <s v="JAY-Z"/>
    <n v="3"/>
    <n v="3"/>
    <n v="2"/>
    <n v="4"/>
    <n v="4"/>
    <n v="87151765"/>
    <m/>
    <m/>
    <n v="3"/>
    <n v="1"/>
    <b v="0"/>
  </r>
  <r>
    <x v="252"/>
    <s v="samuelbattista"/>
    <n v="1.8"/>
    <n v="1.6"/>
    <s v="How You Remind Me"/>
    <s v="Nickelback"/>
    <n v="5"/>
    <n v="1"/>
    <n v="1"/>
    <n v="1"/>
    <n v="1"/>
    <m/>
    <m/>
    <m/>
    <n v="1"/>
    <n v="1"/>
    <b v="1"/>
  </r>
  <r>
    <x v="252"/>
    <s v="currydestroyer27"/>
    <n v="3.2"/>
    <n v="1.1661903789690602"/>
    <s v="The Ruler's Back"/>
    <s v="JAY-Z"/>
    <n v="2"/>
    <n v="4"/>
    <n v="5"/>
    <n v="3"/>
    <n v="2"/>
    <n v="16555868"/>
    <m/>
    <m/>
    <n v="4"/>
    <n v="1"/>
    <b v="0"/>
  </r>
  <r>
    <x v="253"/>
    <s v="alappatjoe"/>
    <n v="3.6"/>
    <n v="1.3564659966250536"/>
    <s v="A Little More"/>
    <s v="mgk, Victoria Monét"/>
    <n v="2"/>
    <n v="5"/>
    <n v="5"/>
    <n v="4"/>
    <n v="2"/>
    <n v="18418386"/>
    <m/>
    <m/>
    <n v="5"/>
    <n v="1"/>
    <b v="0"/>
  </r>
  <r>
    <x v="253"/>
    <s v="danram"/>
    <n v="2.6"/>
    <n v="1.4966629547095767"/>
    <s v="A Dios Le Pido"/>
    <s v="Juanes"/>
    <n v="1"/>
    <n v="1"/>
    <n v="3"/>
    <n v="5"/>
    <n v="3"/>
    <m/>
    <m/>
    <m/>
    <n v="2"/>
    <n v="1"/>
    <b v="0"/>
  </r>
  <r>
    <x v="253"/>
    <s v="loganworsdell"/>
    <n v="2.8"/>
    <n v="1.1661903789690602"/>
    <s v="Delete"/>
    <s v="Ninajirachi"/>
    <n v="4"/>
    <n v="3"/>
    <n v="1"/>
    <n v="2"/>
    <n v="4"/>
    <n v="1283440"/>
    <m/>
    <m/>
    <n v="3"/>
    <n v="1"/>
    <b v="0"/>
  </r>
  <r>
    <x v="253"/>
    <s v="samuelbattista"/>
    <n v="3.4"/>
    <n v="1.6248076809271921"/>
    <s v="Bitter Everyday"/>
    <s v="Wednesday"/>
    <n v="5"/>
    <n v="2"/>
    <n v="4"/>
    <n v="1"/>
    <n v="5"/>
    <m/>
    <m/>
    <m/>
    <n v="4"/>
    <n v="1"/>
    <b v="0"/>
  </r>
  <r>
    <x v="253"/>
    <s v="currydestroyer27"/>
    <n v="2.6"/>
    <n v="1.019803902718557"/>
    <s v="千本桜"/>
    <s v="Ado"/>
    <n v="3"/>
    <n v="4"/>
    <n v="2"/>
    <n v="3"/>
    <n v="1"/>
    <n v="17561216"/>
    <s v="International"/>
    <s v="J-Pop"/>
    <n v="1"/>
    <n v="1"/>
    <b v="1"/>
  </r>
  <r>
    <x v="254"/>
    <s v="alappatjoe"/>
    <n v="2.8"/>
    <n v="1.1661903789690602"/>
    <s v="Black Rose"/>
    <s v="TAEMIN, Kid Milli"/>
    <n v="1"/>
    <n v="2"/>
    <n v="4"/>
    <n v="4"/>
    <n v="3"/>
    <n v="8694782"/>
    <m/>
    <m/>
    <n v="2"/>
    <n v="1"/>
    <b v="0"/>
  </r>
  <r>
    <x v="254"/>
    <s v="danram"/>
    <n v="2.8"/>
    <n v="1.1661903789690602"/>
    <s v="SORRY PAPI"/>
    <s v="Bad Bunny"/>
    <n v="4"/>
    <n v="1"/>
    <n v="2"/>
    <n v="3"/>
    <n v="4"/>
    <m/>
    <m/>
    <m/>
    <n v="2"/>
    <n v="1"/>
    <b v="0"/>
  </r>
  <r>
    <x v="254"/>
    <s v="loganworsdell"/>
    <n v="3.8"/>
    <n v="1.6"/>
    <s v="Vacation"/>
    <s v="Dirty Heads"/>
    <n v="3"/>
    <n v="5"/>
    <n v="1"/>
    <n v="5"/>
    <n v="5"/>
    <n v="289988563"/>
    <m/>
    <m/>
    <n v="5"/>
    <n v="1"/>
    <b v="0"/>
  </r>
  <r>
    <x v="254"/>
    <s v="samuelbattista"/>
    <n v="3.2"/>
    <n v="1.6"/>
    <s v="Children of the Baked Potato"/>
    <s v="Thundercat, Remi Wolf"/>
    <n v="5"/>
    <n v="3"/>
    <n v="5"/>
    <n v="1"/>
    <n v="2"/>
    <m/>
    <m/>
    <m/>
    <n v="4"/>
    <n v="1"/>
    <b v="0"/>
  </r>
  <r>
    <x v="254"/>
    <s v="currydestroyer27"/>
    <n v="2.4"/>
    <n v="1.019803902718557"/>
    <s v="Doo Wop"/>
    <s v="Ms. Lauryn Hill"/>
    <n v="2"/>
    <n v="4"/>
    <n v="3"/>
    <n v="2"/>
    <n v="1"/>
    <n v="584007082"/>
    <m/>
    <m/>
    <n v="1"/>
    <n v="1"/>
    <b v="1"/>
  </r>
  <r>
    <x v="255"/>
    <s v="alappatjoe"/>
    <n v="2.6"/>
    <n v="1.019803902718557"/>
    <s v="Stir Fry"/>
    <s v="Migos"/>
    <n v="1"/>
    <n v="3"/>
    <n v="3"/>
    <n v="4"/>
    <n v="2"/>
    <n v="768689647"/>
    <m/>
    <m/>
    <n v="2"/>
    <n v="1"/>
    <b v="0"/>
  </r>
  <r>
    <x v="255"/>
    <s v="danram"/>
    <n v="2"/>
    <n v="1.5491933384829668"/>
    <s v="DIE TRYING"/>
    <s v="PARTYNEXTDOOR, Drake, Yebba"/>
    <n v="5"/>
    <n v="1"/>
    <n v="1"/>
    <n v="2"/>
    <n v="1"/>
    <m/>
    <m/>
    <m/>
    <n v="1"/>
    <n v="1"/>
    <b v="1"/>
  </r>
  <r>
    <x v="255"/>
    <s v="loganworsdell"/>
    <n v="3"/>
    <n v="0.89442719099991586"/>
    <s v="Risk"/>
    <s v="FKJ, Bas"/>
    <n v="4"/>
    <n v="2"/>
    <n v="2"/>
    <n v="3"/>
    <n v="4"/>
    <n v="78875281"/>
    <m/>
    <m/>
    <n v="3"/>
    <n v="1"/>
    <b v="0"/>
  </r>
  <r>
    <x v="255"/>
    <s v="samuelbattista"/>
    <n v="3.2"/>
    <n v="1.4696938456699069"/>
    <s v="Acid Rain"/>
    <s v="Liquid Tension Experiment"/>
    <n v="2"/>
    <n v="4"/>
    <n v="4"/>
    <n v="1"/>
    <n v="5"/>
    <m/>
    <m/>
    <m/>
    <n v="4"/>
    <n v="1"/>
    <b v="0"/>
  </r>
  <r>
    <x v="255"/>
    <s v="currydestroyer27"/>
    <n v="4.2"/>
    <n v="0.9797958971132712"/>
    <s v="wgft"/>
    <s v="Gunna, Burna Boy"/>
    <n v="3"/>
    <n v="5"/>
    <n v="5"/>
    <n v="5"/>
    <n v="3"/>
    <n v="29052565"/>
    <m/>
    <m/>
    <n v="5"/>
    <n v="1"/>
    <b v="0"/>
  </r>
  <r>
    <x v="256"/>
    <s v="alappatjoe"/>
    <n v="2.6"/>
    <n v="1.3564659966250536"/>
    <s v="34+35"/>
    <s v="Ariana Grande"/>
    <n v="1"/>
    <n v="2"/>
    <n v="3"/>
    <n v="5"/>
    <n v="2"/>
    <n v="1110598675"/>
    <m/>
    <m/>
    <n v="1"/>
    <n v="2"/>
    <b v="0"/>
  </r>
  <r>
    <x v="256"/>
    <s v="danram"/>
    <n v="2.6"/>
    <n v="1.3564659966250536"/>
    <n v="1985"/>
    <s v="Bowling for Soup"/>
    <n v="5"/>
    <n v="1"/>
    <n v="2"/>
    <n v="2"/>
    <n v="3"/>
    <m/>
    <m/>
    <m/>
    <n v="1"/>
    <n v="1"/>
    <b v="1"/>
  </r>
  <r>
    <x v="256"/>
    <s v="loganworsdell"/>
    <n v="3.4"/>
    <n v="1.2"/>
    <s v="1-800-273-8255"/>
    <s v="Logic, Alessia Cara, Khalid"/>
    <n v="4"/>
    <n v="4"/>
    <n v="1"/>
    <n v="4"/>
    <n v="4"/>
    <n v="1445280075"/>
    <m/>
    <m/>
    <n v="4"/>
    <n v="1"/>
    <b v="0"/>
  </r>
  <r>
    <x v="256"/>
    <s v="samuelbattista"/>
    <n v="3.6"/>
    <n v="1.4966629547095767"/>
    <s v="82 92"/>
    <s v="Statik Selektah, Termanology, Mac Miller"/>
    <n v="3"/>
    <n v="5"/>
    <n v="4"/>
    <n v="1"/>
    <n v="5"/>
    <m/>
    <m/>
    <m/>
    <n v="5"/>
    <n v="1"/>
    <b v="0"/>
  </r>
  <r>
    <x v="256"/>
    <s v="currydestroyer27"/>
    <n v="2.8"/>
    <n v="1.3266499161421599"/>
    <s v="679"/>
    <s v="Fetty Wap, Remy Boyz"/>
    <n v="2"/>
    <n v="3"/>
    <n v="5"/>
    <n v="3"/>
    <n v="1"/>
    <n v="917532229"/>
    <m/>
    <m/>
    <n v="3"/>
    <n v="1"/>
    <b v="0"/>
  </r>
  <r>
    <x v="257"/>
    <s v="alappatjoe"/>
    <n v="2.4"/>
    <n v="1.7435595774162693"/>
    <s v="OVR"/>
    <s v="3ee"/>
    <n v="1"/>
    <n v="5"/>
    <n v="1"/>
    <n v="1"/>
    <n v="4"/>
    <n v="15238513"/>
    <m/>
    <m/>
    <n v="1"/>
    <n v="1"/>
    <b v="1"/>
  </r>
  <r>
    <x v="257"/>
    <s v="danram"/>
    <n v="3.2"/>
    <n v="1.3266499161421599"/>
    <s v="Sugar Talking"/>
    <s v="Sabrina Carpenter"/>
    <n v="3"/>
    <n v="1"/>
    <n v="4"/>
    <n v="3"/>
    <n v="5"/>
    <m/>
    <m/>
    <m/>
    <n v="4"/>
    <n v="1"/>
    <b v="0"/>
  </r>
  <r>
    <x v="257"/>
    <s v="loganworsdell"/>
    <n v="2.6"/>
    <n v="0.8"/>
    <n v="1.5"/>
    <s v="21 Savage"/>
    <n v="2"/>
    <n v="3"/>
    <n v="2"/>
    <n v="4"/>
    <n v="2"/>
    <n v="109001147"/>
    <m/>
    <m/>
    <n v="2"/>
    <n v="1"/>
    <b v="0"/>
  </r>
  <r>
    <x v="257"/>
    <s v="samuelbattista"/>
    <n v="3.2"/>
    <n v="0.74833147735478833"/>
    <s v="LOVE SONG"/>
    <s v="Justin Bieber"/>
    <n v="4"/>
    <n v="4"/>
    <n v="3"/>
    <n v="2"/>
    <n v="3"/>
    <m/>
    <m/>
    <m/>
    <n v="3"/>
    <n v="1"/>
    <b v="0"/>
  </r>
  <r>
    <x v="257"/>
    <s v="currydestroyer27"/>
    <n v="3.6"/>
    <n v="1.7435595774162693"/>
    <s v="Rockefeller Street"/>
    <s v="Getter Jaani"/>
    <n v="5"/>
    <n v="2"/>
    <n v="5"/>
    <n v="5"/>
    <n v="1"/>
    <n v="88200964"/>
    <s v="International"/>
    <s v="Nightcore"/>
    <n v="5"/>
    <n v="1"/>
    <b v="0"/>
  </r>
  <r>
    <x v="258"/>
    <s v="alappatjoe"/>
    <n v="2"/>
    <n v="0.63245553203367588"/>
    <s v="That Girl"/>
    <s v="Emotional Oranges"/>
    <n v="1"/>
    <n v="2"/>
    <n v="2"/>
    <n v="3"/>
    <n v="2"/>
    <n v="2576802"/>
    <m/>
    <m/>
    <n v="1"/>
    <n v="1"/>
    <b v="1"/>
  </r>
  <r>
    <x v="258"/>
    <s v="danram"/>
    <n v="4.5999999999999996"/>
    <n v="0.4898979485566356"/>
    <s v="Electroman Adventures"/>
    <s v="Waterflame (Geometry Dash)"/>
    <n v="5"/>
    <n v="4"/>
    <n v="4"/>
    <n v="5"/>
    <n v="5"/>
    <m/>
    <m/>
    <m/>
    <n v="5"/>
    <n v="1"/>
    <b v="0"/>
  </r>
  <r>
    <x v="258"/>
    <s v="loganworsdell"/>
    <n v="3"/>
    <n v="1.4142135623730951"/>
    <n v="26"/>
    <s v="Lauv"/>
    <n v="3"/>
    <n v="5"/>
    <n v="1"/>
    <n v="2"/>
    <n v="4"/>
    <n v="40018210"/>
    <m/>
    <m/>
    <n v="4"/>
    <n v="1"/>
    <b v="0"/>
  </r>
  <r>
    <x v="258"/>
    <s v="samuelbattista"/>
    <n v="2.8"/>
    <n v="0.9797958971132712"/>
    <s v="THE PARTY SONG"/>
    <s v="Joey Valence &amp; Brae"/>
    <n v="4"/>
    <n v="3"/>
    <n v="3"/>
    <n v="1"/>
    <n v="3"/>
    <m/>
    <m/>
    <m/>
    <n v="3"/>
    <n v="1"/>
    <b v="0"/>
  </r>
  <r>
    <x v="258"/>
    <s v="currydestroyer27"/>
    <n v="2.6"/>
    <n v="1.6248076809271921"/>
    <s v="Written In The Stars"/>
    <s v="Tinie Tempah, Eric Turner"/>
    <n v="2"/>
    <n v="1"/>
    <n v="5"/>
    <n v="4"/>
    <n v="1"/>
    <n v="103173730"/>
    <m/>
    <m/>
    <n v="2"/>
    <n v="1"/>
    <b v="0"/>
  </r>
  <r>
    <x v="259"/>
    <s v="alappatjoe"/>
    <n v="2.6"/>
    <n v="1.6248076809271921"/>
    <s v="in plain sight"/>
    <s v="Khalid"/>
    <n v="1"/>
    <n v="2"/>
    <n v="1"/>
    <n v="5"/>
    <n v="4"/>
    <n v="6566270"/>
    <m/>
    <m/>
    <n v="2"/>
    <n v="1"/>
    <b v="0"/>
  </r>
  <r>
    <x v="259"/>
    <s v="danram"/>
    <n v="4.2"/>
    <n v="1.1661903789690602"/>
    <s v="Sandstorm"/>
    <s v="Darude"/>
    <n v="5"/>
    <n v="5"/>
    <n v="4"/>
    <n v="2"/>
    <n v="5"/>
    <m/>
    <m/>
    <m/>
    <n v="5"/>
    <n v="1"/>
    <b v="0"/>
  </r>
  <r>
    <x v="259"/>
    <s v="loganworsdell"/>
    <n v="3"/>
    <n v="0.89442719099991586"/>
    <s v="Rosa Parks"/>
    <s v="Outkast"/>
    <n v="2"/>
    <n v="4"/>
    <n v="2"/>
    <n v="4"/>
    <n v="3"/>
    <n v="161402495"/>
    <m/>
    <m/>
    <n v="3"/>
    <n v="1"/>
    <b v="0"/>
  </r>
  <r>
    <x v="259"/>
    <s v="samuelbattista"/>
    <n v="3"/>
    <n v="1.4142135623730951"/>
    <s v="BOYS WITH THE CHARACTERISTICS OF WOLVES"/>
    <s v="Unknown Mortal Orchestra"/>
    <n v="4"/>
    <n v="3"/>
    <n v="5"/>
    <n v="1"/>
    <n v="2"/>
    <m/>
    <m/>
    <m/>
    <n v="4"/>
    <n v="1"/>
    <b v="0"/>
  </r>
  <r>
    <x v="259"/>
    <s v="currydestroyer27"/>
    <n v="2.2000000000000002"/>
    <n v="0.9797958971132712"/>
    <s v="Clarity"/>
    <s v="Zedd, Foxes"/>
    <n v="3"/>
    <n v="1"/>
    <n v="3"/>
    <n v="3"/>
    <n v="1"/>
    <n v="724665251"/>
    <m/>
    <m/>
    <n v="1"/>
    <n v="1"/>
    <b v="1"/>
  </r>
  <r>
    <x v="260"/>
    <s v="alappatjoe"/>
    <n v="3"/>
    <n v="0.89442719099991586"/>
    <s v="Gonna Fly Now"/>
    <s v="Maynard Ferguson"/>
    <n v="2"/>
    <n v="2"/>
    <n v="3"/>
    <n v="4"/>
    <n v="4"/>
    <n v="2809920"/>
    <m/>
    <m/>
    <n v="3"/>
    <n v="1"/>
    <b v="0"/>
  </r>
  <r>
    <x v="260"/>
    <s v="danram"/>
    <n v="2.8"/>
    <n v="1.1661903789690602"/>
    <s v="What I've Done"/>
    <s v="Linkin Park"/>
    <n v="4"/>
    <n v="1"/>
    <n v="4"/>
    <n v="3"/>
    <n v="2"/>
    <m/>
    <m/>
    <m/>
    <n v="2"/>
    <n v="1"/>
    <b v="0"/>
  </r>
  <r>
    <x v="260"/>
    <s v="loganworsdell"/>
    <n v="2"/>
    <n v="0.89442719099991586"/>
    <s v="i"/>
    <s v="Kendrick Lamar"/>
    <n v="1"/>
    <n v="3"/>
    <n v="1"/>
    <n v="2"/>
    <n v="3"/>
    <n v="257855439"/>
    <m/>
    <m/>
    <n v="1"/>
    <n v="1"/>
    <b v="1"/>
  </r>
  <r>
    <x v="260"/>
    <s v="samuelbattista"/>
    <n v="3"/>
    <n v="1.4142135623730951"/>
    <s v="Master Exploder"/>
    <s v="Tenacious D"/>
    <n v="3"/>
    <n v="4"/>
    <n v="2"/>
    <n v="1"/>
    <n v="5"/>
    <m/>
    <m/>
    <m/>
    <n v="4"/>
    <n v="1"/>
    <b v="0"/>
  </r>
  <r>
    <x v="260"/>
    <s v="currydestroyer27"/>
    <n v="4.2"/>
    <n v="1.6"/>
    <s v="Some Nights"/>
    <s v="fun."/>
    <n v="5"/>
    <n v="5"/>
    <n v="5"/>
    <n v="5"/>
    <n v="1"/>
    <n v="777149172"/>
    <m/>
    <m/>
    <n v="5"/>
    <n v="1"/>
    <b v="0"/>
  </r>
  <r>
    <x v="261"/>
    <s v="alappatjoe"/>
    <n v="3.8"/>
    <n v="1.1661903789690602"/>
    <s v="body"/>
    <s v="DAYOUNG"/>
    <n v="2"/>
    <n v="3"/>
    <n v="4"/>
    <n v="5"/>
    <n v="5"/>
    <n v="3582368"/>
    <m/>
    <m/>
    <n v="4"/>
    <n v="1"/>
    <b v="0"/>
  </r>
  <r>
    <x v="261"/>
    <s v="danram"/>
    <n v="4.2"/>
    <n v="0.39999999999999997"/>
    <s v="Paco"/>
    <s v="Gilberto Gil"/>
    <n v="4"/>
    <n v="4"/>
    <n v="5"/>
    <n v="4"/>
    <n v="4"/>
    <m/>
    <m/>
    <m/>
    <n v="5"/>
    <n v="1"/>
    <b v="0"/>
  </r>
  <r>
    <x v="261"/>
    <s v="loganworsdell"/>
    <n v="2.6"/>
    <n v="1.4966629547095767"/>
    <s v="FOCUS"/>
    <s v="_BY.ALEXANDER, HAWA, Julius Rodriguez"/>
    <n v="5"/>
    <n v="1"/>
    <n v="1"/>
    <n v="3"/>
    <n v="3"/>
    <n v="1339284"/>
    <m/>
    <m/>
    <n v="2"/>
    <n v="1"/>
    <b v="0"/>
  </r>
  <r>
    <x v="261"/>
    <s v="samuelbattista"/>
    <n v="1.4"/>
    <n v="0.4898979485566356"/>
    <s v="Roundabaout"/>
    <s v="Yes"/>
    <n v="1"/>
    <n v="2"/>
    <n v="2"/>
    <n v="1"/>
    <n v="1"/>
    <m/>
    <m/>
    <m/>
    <n v="1"/>
    <n v="1"/>
    <b v="1"/>
  </r>
  <r>
    <x v="261"/>
    <s v="currydestroyer27"/>
    <n v="3"/>
    <n v="1.0954451150103321"/>
    <s v="Headshots (4 da Locals)"/>
    <s v="Isaiah Rashad"/>
    <n v="3"/>
    <n v="5"/>
    <n v="3"/>
    <n v="2"/>
    <n v="2"/>
    <n v="142206003"/>
    <m/>
    <m/>
    <n v="3"/>
    <n v="1"/>
    <b v="0"/>
  </r>
  <r>
    <x v="262"/>
    <s v="alappatjoe"/>
    <n v="2.4"/>
    <n v="0.8"/>
    <s v="La forza della banda"/>
    <s v="Shablo, Mimi, Tormento"/>
    <n v="1"/>
    <n v="3"/>
    <n v="2"/>
    <n v="3"/>
    <n v="3"/>
    <n v="32132"/>
    <m/>
    <m/>
    <n v="1"/>
    <n v="1"/>
    <b v="1"/>
  </r>
  <r>
    <x v="262"/>
    <s v="danram"/>
    <n v="4.4000000000000004"/>
    <n v="1.2"/>
    <s v="Live Like You Were Dying"/>
    <s v="Tim McGraw"/>
    <n v="5"/>
    <n v="5"/>
    <n v="5"/>
    <n v="2"/>
    <n v="5"/>
    <m/>
    <m/>
    <m/>
    <n v="5"/>
    <n v="1"/>
    <b v="0"/>
  </r>
  <r>
    <x v="262"/>
    <s v="loganworsdell"/>
    <n v="3"/>
    <n v="1.6733200530681511"/>
    <s v="Drip Sweat"/>
    <s v="KAYTRANADA, Channel Tres"/>
    <n v="4"/>
    <n v="1"/>
    <n v="1"/>
    <n v="5"/>
    <n v="4"/>
    <n v="8527740"/>
    <m/>
    <m/>
    <n v="4"/>
    <n v="1"/>
    <b v="0"/>
  </r>
  <r>
    <x v="262"/>
    <s v="samuelbattista"/>
    <n v="2.6"/>
    <n v="1.019803902718557"/>
    <s v="The Trees"/>
    <s v="Rush"/>
    <n v="3"/>
    <n v="4"/>
    <n v="3"/>
    <n v="1"/>
    <n v="2"/>
    <m/>
    <m/>
    <m/>
    <n v="2"/>
    <n v="1"/>
    <b v="0"/>
  </r>
  <r>
    <x v="262"/>
    <s v="currydestroyer27"/>
    <n v="2.6"/>
    <n v="1.2"/>
    <s v="Sin"/>
    <s v="Young Thug, Jaden"/>
    <n v="2"/>
    <n v="2"/>
    <n v="4"/>
    <n v="4"/>
    <n v="1"/>
    <n v="138178299"/>
    <m/>
    <m/>
    <n v="3"/>
    <n v="1"/>
    <b v="0"/>
  </r>
  <r>
    <x v="263"/>
    <s v="alappatjoe"/>
    <n v="3.2"/>
    <n v="1.4696938456699069"/>
    <s v="Cosmic Sans"/>
    <s v="Cory Wong, Tom Misch"/>
    <n v="1"/>
    <n v="4"/>
    <n v="5"/>
    <n v="2"/>
    <n v="4"/>
    <n v="13252644"/>
    <m/>
    <m/>
    <n v="4"/>
    <n v="1"/>
    <b v="0"/>
  </r>
  <r>
    <x v="263"/>
    <s v="danram"/>
    <n v="2.6"/>
    <n v="1.019803902718557"/>
    <s v="Desenfocao'"/>
    <s v="Rauw Alejandro"/>
    <n v="2"/>
    <n v="1"/>
    <n v="3"/>
    <n v="4"/>
    <n v="3"/>
    <m/>
    <m/>
    <m/>
    <n v="2"/>
    <n v="1"/>
    <b v="0"/>
  </r>
  <r>
    <x v="263"/>
    <s v="loganworsdell"/>
    <n v="4.4000000000000004"/>
    <n v="0.8"/>
    <s v="Stab The Eye"/>
    <s v="Qteku"/>
    <n v="5"/>
    <n v="3"/>
    <n v="4"/>
    <n v="5"/>
    <n v="5"/>
    <n v="100972"/>
    <m/>
    <m/>
    <n v="5"/>
    <n v="1"/>
    <b v="0"/>
  </r>
  <r>
    <x v="263"/>
    <s v="samuelbattista"/>
    <n v="2"/>
    <n v="1.0954451150103321"/>
    <s v="Wake Me up When September Ends"/>
    <s v="Green Day"/>
    <n v="4"/>
    <n v="2"/>
    <n v="1"/>
    <n v="1"/>
    <n v="2"/>
    <m/>
    <m/>
    <m/>
    <n v="1"/>
    <n v="1"/>
    <b v="1"/>
  </r>
  <r>
    <x v="263"/>
    <s v="currydestroyer27"/>
    <n v="2.8"/>
    <n v="1.3266499161421599"/>
    <s v="裸の勇者"/>
    <s v="Vaundy"/>
    <n v="3"/>
    <n v="5"/>
    <n v="2"/>
    <n v="3"/>
    <n v="1"/>
    <n v="98392322"/>
    <s v="International"/>
    <s v="J-Pop"/>
    <n v="3"/>
    <n v="1"/>
    <b v="0"/>
  </r>
  <r>
    <x v="264"/>
    <s v="alappatjoe"/>
    <n v="2.8"/>
    <n v="1.6"/>
    <s v="Hello?"/>
    <s v="Clairo, Rejjie Snow"/>
    <n v="1"/>
    <n v="4"/>
    <n v="1"/>
    <n v="3"/>
    <n v="5"/>
    <n v="291097884"/>
    <m/>
    <m/>
    <n v="3"/>
    <n v="1"/>
    <b v="0"/>
  </r>
  <r>
    <x v="264"/>
    <s v="danram"/>
    <n v="2.8"/>
    <n v="0.74833147735478833"/>
    <s v="The Less I Know The Better"/>
    <s v="Tame Impala"/>
    <n v="2"/>
    <n v="2"/>
    <n v="3"/>
    <n v="4"/>
    <n v="3"/>
    <m/>
    <m/>
    <m/>
    <n v="1"/>
    <n v="1"/>
    <b v="1"/>
  </r>
  <r>
    <x v="264"/>
    <s v="loganworsdell"/>
    <n v="2.8"/>
    <n v="1.3266499161421599"/>
    <s v="Capable of Love"/>
    <s v="PinkPantheress"/>
    <n v="3"/>
    <n v="3"/>
    <n v="2"/>
    <n v="5"/>
    <n v="1"/>
    <n v="24651391"/>
    <m/>
    <m/>
    <n v="2"/>
    <n v="1"/>
    <b v="0"/>
  </r>
  <r>
    <x v="264"/>
    <s v="samuelbattista"/>
    <n v="3.4"/>
    <n v="1.6248076809271921"/>
    <s v="No Surprises"/>
    <s v="Radiohead"/>
    <n v="5"/>
    <n v="1"/>
    <n v="5"/>
    <n v="2"/>
    <n v="4"/>
    <m/>
    <m/>
    <m/>
    <n v="5"/>
    <n v="1"/>
    <b v="0"/>
  </r>
  <r>
    <x v="264"/>
    <s v="currydestroyer27"/>
    <n v="3.2"/>
    <n v="1.4696938456699069"/>
    <s v="Take Me Home"/>
    <s v="PinkPantheress"/>
    <n v="4"/>
    <n v="5"/>
    <n v="4"/>
    <n v="1"/>
    <n v="2"/>
    <n v="57605118"/>
    <m/>
    <m/>
    <n v="4"/>
    <n v="1"/>
    <b v="0"/>
  </r>
  <r>
    <x v="265"/>
    <s v="alappatjoe"/>
    <n v="2.6"/>
    <n v="1.019803902718557"/>
    <s v="Cosmic"/>
    <s v="Celine Wayni"/>
    <n v="1"/>
    <n v="3"/>
    <n v="2"/>
    <n v="4"/>
    <n v="3"/>
    <n v="601382"/>
    <m/>
    <m/>
    <n v="2"/>
    <n v="1"/>
    <b v="0"/>
  </r>
  <r>
    <x v="265"/>
    <s v="danram"/>
    <n v="2"/>
    <n v="0.89442719099991586"/>
    <s v="don't wanna break up again"/>
    <s v="Ariana Grande"/>
    <n v="2"/>
    <n v="1"/>
    <n v="3"/>
    <n v="3"/>
    <n v="1"/>
    <m/>
    <m/>
    <m/>
    <n v="1"/>
    <n v="1"/>
    <b v="1"/>
  </r>
  <r>
    <x v="265"/>
    <s v="loganworsdell"/>
    <n v="4.5999999999999996"/>
    <n v="0.4898979485566356"/>
    <s v="ADD"/>
    <s v="Khantrast"/>
    <n v="4"/>
    <n v="5"/>
    <n v="5"/>
    <n v="5"/>
    <n v="4"/>
    <n v="912138"/>
    <m/>
    <m/>
    <n v="5"/>
    <n v="1"/>
    <b v="0"/>
  </r>
  <r>
    <x v="265"/>
    <s v="samuelbattista"/>
    <n v="2.8"/>
    <n v="1.6"/>
    <s v="Break Stuff"/>
    <s v="Limp Bizkit"/>
    <n v="3"/>
    <n v="4"/>
    <n v="1"/>
    <n v="1"/>
    <n v="5"/>
    <m/>
    <m/>
    <m/>
    <n v="3"/>
    <n v="1"/>
    <b v="0"/>
  </r>
  <r>
    <x v="265"/>
    <s v="currydestroyer27"/>
    <n v="3"/>
    <n v="1.2649110640673518"/>
    <s v="NOW OR NEVER"/>
    <s v="Tkandz, CXSPER"/>
    <n v="5"/>
    <n v="2"/>
    <n v="4"/>
    <n v="2"/>
    <n v="2"/>
    <n v="18204952"/>
    <m/>
    <m/>
    <n v="4"/>
    <n v="1"/>
    <b v="0"/>
  </r>
  <r>
    <x v="266"/>
    <s v="alappatjoe"/>
    <n v="3.4"/>
    <n v="1.9595917942265424"/>
    <s v="King Kunta"/>
    <s v="Kendrick Lamar"/>
    <n v="1"/>
    <n v="5"/>
    <n v="1"/>
    <n v="5"/>
    <n v="5"/>
    <n v="711030040"/>
    <m/>
    <m/>
    <n v="4"/>
    <n v="1"/>
    <b v="0"/>
  </r>
  <r>
    <x v="266"/>
    <s v="danram"/>
    <n v="3.8"/>
    <n v="1.1661903789690602"/>
    <s v="Cherry Waves"/>
    <s v="Deftones"/>
    <n v="5"/>
    <n v="2"/>
    <n v="5"/>
    <n v="3"/>
    <n v="4"/>
    <m/>
    <m/>
    <m/>
    <n v="5"/>
    <n v="1"/>
    <b v="0"/>
  </r>
  <r>
    <x v="266"/>
    <s v="loganworsdell"/>
    <n v="2.4"/>
    <n v="1.019803902718557"/>
    <s v="Black Catcher"/>
    <s v="VK Blanka"/>
    <n v="2"/>
    <n v="3"/>
    <n v="2"/>
    <n v="4"/>
    <n v="1"/>
    <n v="250881364"/>
    <m/>
    <m/>
    <n v="2"/>
    <n v="1"/>
    <b v="0"/>
  </r>
  <r>
    <x v="266"/>
    <s v="samuelbattista"/>
    <n v="3.2"/>
    <n v="1.1661903789690602"/>
    <s v="Spoonman"/>
    <s v="Soundgarden"/>
    <n v="4"/>
    <n v="4"/>
    <n v="4"/>
    <n v="1"/>
    <n v="3"/>
    <m/>
    <m/>
    <m/>
    <n v="3"/>
    <n v="1"/>
    <b v="0"/>
  </r>
  <r>
    <x v="266"/>
    <s v="currydestroyer27"/>
    <n v="2.2000000000000002"/>
    <n v="0.74833147735478833"/>
    <s v="Dj Got Us Fallin' In Love Again"/>
    <s v="Usher, Pitbull"/>
    <n v="3"/>
    <n v="1"/>
    <n v="3"/>
    <n v="2"/>
    <n v="2"/>
    <n v="1232343661"/>
    <m/>
    <m/>
    <n v="1"/>
    <n v="1"/>
    <b v="1"/>
  </r>
  <r>
    <x v="267"/>
    <s v="alappatjoe"/>
    <n v="2.8"/>
    <n v="1.1661903789690602"/>
    <s v="WHERE IS MY HUSBAND!"/>
    <s v="RAYE"/>
    <n v="1"/>
    <n v="4"/>
    <n v="3"/>
    <n v="4"/>
    <n v="2"/>
    <n v="44462153"/>
    <m/>
    <m/>
    <n v="2"/>
    <n v="1"/>
    <b v="0"/>
  </r>
  <r>
    <x v="267"/>
    <s v="danram"/>
    <n v="3.2"/>
    <n v="1.1661903789690602"/>
    <s v="The Fate of Ophelia"/>
    <s v="Taylor Swift"/>
    <n v="3"/>
    <n v="5"/>
    <n v="2"/>
    <n v="2"/>
    <n v="4"/>
    <m/>
    <m/>
    <m/>
    <n v="3"/>
    <n v="1"/>
    <b v="0"/>
  </r>
  <r>
    <x v="267"/>
    <s v="loganworsdell"/>
    <n v="2.4"/>
    <n v="1.4966629547095767"/>
    <s v="Flyers"/>
    <s v="BRADIO"/>
    <n v="2"/>
    <n v="1"/>
    <n v="1"/>
    <n v="5"/>
    <n v="3"/>
    <n v="63144734"/>
    <m/>
    <m/>
    <n v="1"/>
    <n v="1"/>
    <b v="1"/>
  </r>
  <r>
    <x v="267"/>
    <s v="samuelbattista"/>
    <n v="3.4"/>
    <n v="1.3564659966250536"/>
    <s v="Tommy The Cat"/>
    <s v="Primus"/>
    <n v="4"/>
    <n v="3"/>
    <n v="4"/>
    <n v="1"/>
    <n v="5"/>
    <m/>
    <m/>
    <m/>
    <n v="5"/>
    <n v="1"/>
    <b v="0"/>
  </r>
  <r>
    <x v="267"/>
    <s v="currydestroyer27"/>
    <n v="3.2"/>
    <n v="1.6"/>
    <s v="Beginner's Luck"/>
    <s v="Eels"/>
    <n v="5"/>
    <n v="2"/>
    <n v="5"/>
    <n v="3"/>
    <n v="1"/>
    <n v="3259201"/>
    <m/>
    <m/>
    <n v="4"/>
    <n v="1"/>
    <b v="0"/>
  </r>
  <r>
    <x v="268"/>
    <s v="alappatjoe"/>
    <n v="4"/>
    <n v="1.2649110640673518"/>
    <s v="Whoa"/>
    <s v="Snoh Aalegra"/>
    <n v="2"/>
    <n v="5"/>
    <n v="3"/>
    <n v="5"/>
    <n v="5"/>
    <n v="83857450"/>
    <m/>
    <m/>
    <n v="5"/>
    <n v="1"/>
    <b v="0"/>
  </r>
  <r>
    <x v="268"/>
    <s v="danram"/>
    <n v="2.8"/>
    <n v="0.9797958971132712"/>
    <s v="UN PESO"/>
    <s v="J Balvin, Bad Bunny, Marciano Cantero"/>
    <n v="3"/>
    <n v="1"/>
    <n v="4"/>
    <n v="3"/>
    <n v="3"/>
    <m/>
    <m/>
    <m/>
    <n v="3"/>
    <n v="1"/>
    <b v="0"/>
  </r>
  <r>
    <x v="268"/>
    <s v="loganworsdell"/>
    <n v="2.6"/>
    <n v="1.2"/>
    <s v="Slowly"/>
    <s v="Giraffage, Matosic"/>
    <n v="4"/>
    <n v="2"/>
    <n v="1"/>
    <n v="4"/>
    <n v="2"/>
    <n v="7415963"/>
    <m/>
    <m/>
    <n v="1"/>
    <n v="1"/>
    <b v="1"/>
  </r>
  <r>
    <x v="268"/>
    <s v="samuelbattista"/>
    <n v="3"/>
    <n v="1.6733200530681511"/>
    <s v="Gigglebutton"/>
    <s v="Thank You Scientist"/>
    <n v="1"/>
    <n v="4"/>
    <n v="5"/>
    <n v="1"/>
    <n v="4"/>
    <m/>
    <m/>
    <m/>
    <n v="4"/>
    <n v="1"/>
    <b v="0"/>
  </r>
  <r>
    <x v="268"/>
    <s v="currydestroyer27"/>
    <n v="2.6"/>
    <n v="1.3564659966250536"/>
    <s v="Brave Shine"/>
    <s v="Aimer"/>
    <n v="5"/>
    <n v="3"/>
    <n v="2"/>
    <n v="2"/>
    <n v="1"/>
    <n v="87984111"/>
    <s v="International"/>
    <s v="J-Pop"/>
    <n v="2"/>
    <n v="1"/>
    <b v="0"/>
  </r>
  <r>
    <x v="269"/>
    <s v="alappatjoe"/>
    <n v="3.2"/>
    <n v="1.1661903789690602"/>
    <s v="Lemonade"/>
    <s v="Internet Money, Gunna, Don Toliver, NAV"/>
    <n v="1"/>
    <n v="3"/>
    <n v="4"/>
    <n v="4"/>
    <n v="4"/>
    <n v="1488052688"/>
    <m/>
    <m/>
    <n v="4"/>
    <n v="1"/>
    <b v="0"/>
  </r>
  <r>
    <x v="269"/>
    <s v="danram"/>
    <n v="2.4"/>
    <n v="0.8"/>
    <s v="Stand By Me - Remastered"/>
    <s v="Oasis"/>
    <n v="3"/>
    <n v="1"/>
    <n v="3"/>
    <n v="2"/>
    <n v="3"/>
    <m/>
    <m/>
    <m/>
    <n v="1"/>
    <n v="1"/>
    <b v="1"/>
  </r>
  <r>
    <x v="269"/>
    <s v="loganworsdell"/>
    <n v="3.4"/>
    <n v="1.6248076809271921"/>
    <s v="In The Morning"/>
    <s v="Jay Prince"/>
    <n v="2"/>
    <n v="4"/>
    <n v="1"/>
    <n v="5"/>
    <n v="5"/>
    <n v="21698416"/>
    <m/>
    <m/>
    <n v="5"/>
    <n v="1"/>
    <b v="0"/>
  </r>
  <r>
    <x v="269"/>
    <s v="samuelbattista"/>
    <n v="3"/>
    <n v="1.6733200530681511"/>
    <s v="Drowning"/>
    <s v="Atreyu"/>
    <n v="5"/>
    <n v="5"/>
    <n v="2"/>
    <n v="1"/>
    <n v="2"/>
    <m/>
    <m/>
    <m/>
    <n v="3"/>
    <n v="1"/>
    <b v="0"/>
  </r>
  <r>
    <x v="269"/>
    <s v="currydestroyer27"/>
    <n v="3"/>
    <n v="1.4142135623730951"/>
    <s v="Ash"/>
    <s v="[Alexandros]"/>
    <n v="4"/>
    <n v="2"/>
    <n v="5"/>
    <n v="3"/>
    <n v="1"/>
    <n v="241212"/>
    <m/>
    <m/>
    <n v="2"/>
    <n v="1"/>
    <b v="0"/>
  </r>
  <r>
    <x v="270"/>
    <s v="alappatjoe"/>
    <n v="1.4"/>
    <n v="0.8"/>
    <s v="Breathe Deeper"/>
    <s v="Tame Impala"/>
    <n v="1"/>
    <n v="1"/>
    <n v="1"/>
    <n v="3"/>
    <n v="1"/>
    <n v="149543775"/>
    <m/>
    <m/>
    <n v="1"/>
    <n v="1"/>
    <b v="1"/>
  </r>
  <r>
    <x v="270"/>
    <s v="danram"/>
    <n v="4.2"/>
    <n v="0.9797958971132712"/>
    <s v="Dirty Diana"/>
    <s v="Younginsosleaze"/>
    <n v="5"/>
    <n v="3"/>
    <n v="5"/>
    <n v="5"/>
    <n v="3"/>
    <m/>
    <m/>
    <m/>
    <n v="5"/>
    <n v="1"/>
    <b v="0"/>
  </r>
  <r>
    <x v="270"/>
    <s v="loganworsdell"/>
    <n v="3.4"/>
    <n v="1.2"/>
    <s v="DIVE INTO STORM"/>
    <s v="SEGA SOUND TEAM, 庄司 英徳"/>
    <n v="2"/>
    <n v="5"/>
    <n v="2"/>
    <n v="4"/>
    <n v="4"/>
    <n v="52929"/>
    <m/>
    <m/>
    <n v="4"/>
    <n v="1"/>
    <b v="0"/>
  </r>
  <r>
    <x v="270"/>
    <s v="samuelbattista"/>
    <n v="3.2"/>
    <n v="1.3266499161421599"/>
    <s v="I Like It, I Love It"/>
    <s v="Tim McGraw"/>
    <n v="3"/>
    <n v="4"/>
    <n v="3"/>
    <n v="1"/>
    <n v="5"/>
    <m/>
    <m/>
    <m/>
    <n v="3"/>
    <n v="1"/>
    <b v="0"/>
  </r>
  <r>
    <x v="270"/>
    <s v="currydestroyer27"/>
    <n v="2.8"/>
    <n v="0.9797958971132712"/>
    <s v="Fever"/>
    <s v="Buckshot, fakemink"/>
    <n v="4"/>
    <n v="2"/>
    <n v="4"/>
    <n v="2"/>
    <n v="2"/>
    <n v="4518818"/>
    <m/>
    <m/>
    <n v="2"/>
    <n v="1"/>
    <b v="0"/>
  </r>
  <r>
    <x v="271"/>
    <s v="alappatjoe"/>
    <n v="2.2000000000000002"/>
    <n v="1.1661903789690602"/>
    <s v="Actor"/>
    <s v="Lilas"/>
    <n v="1"/>
    <n v="2"/>
    <n v="3"/>
    <n v="4"/>
    <n v="1"/>
    <n v="134523"/>
    <m/>
    <m/>
    <n v="1"/>
    <n v="1"/>
    <b v="1"/>
  </r>
  <r>
    <x v="271"/>
    <s v="danram"/>
    <n v="3.4"/>
    <n v="1.6248076809271921"/>
    <s v="PIXELATED KISSES"/>
    <s v="Joji"/>
    <n v="5"/>
    <n v="1"/>
    <n v="2"/>
    <n v="5"/>
    <n v="4"/>
    <m/>
    <m/>
    <m/>
    <n v="4"/>
    <n v="1"/>
    <b v="0"/>
  </r>
  <r>
    <x v="271"/>
    <s v="loganworsdell"/>
    <n v="2.4"/>
    <n v="0.8"/>
    <s v="Gloria !"/>
    <s v="Johnny Yukon"/>
    <n v="3"/>
    <n v="3"/>
    <n v="1"/>
    <n v="2"/>
    <n v="3"/>
    <n v="2623866"/>
    <m/>
    <m/>
    <n v="2"/>
    <n v="1"/>
    <b v="0"/>
  </r>
  <r>
    <x v="271"/>
    <s v="samuelbattista"/>
    <n v="4"/>
    <n v="1.5491933384829668"/>
    <s v="Norwegian Wood"/>
    <s v="Jacob Collier"/>
    <n v="4"/>
    <n v="5"/>
    <n v="5"/>
    <n v="1"/>
    <n v="5"/>
    <m/>
    <m/>
    <m/>
    <n v="5"/>
    <n v="1"/>
    <b v="0"/>
  </r>
  <r>
    <x v="271"/>
    <s v="currydestroyer27"/>
    <n v="3"/>
    <n v="0.89442719099991586"/>
    <s v="ワノ国 幕開け、幕引きのテーマ"/>
    <s v="Kohei Tanaka"/>
    <n v="2"/>
    <n v="4"/>
    <n v="4"/>
    <n v="3"/>
    <n v="2"/>
    <n v="3097071"/>
    <s v="International"/>
    <s v="Instrumental"/>
    <n v="3"/>
    <n v="1"/>
    <b v="0"/>
  </r>
  <r>
    <x v="272"/>
    <s v="alappatjoe"/>
    <n v="3"/>
    <n v="1.0954451150103321"/>
    <s v="Scatterbrain"/>
    <s v="Emei"/>
    <n v="1"/>
    <n v="4"/>
    <n v="3"/>
    <n v="4"/>
    <n v="3"/>
    <n v="37460702"/>
    <m/>
    <m/>
    <n v="2"/>
    <n v="1"/>
    <b v="0"/>
  </r>
  <r>
    <x v="272"/>
    <s v="danram"/>
    <n v="3.4"/>
    <n v="1.6248076809271921"/>
    <s v="malibU"/>
    <s v="rusowsky"/>
    <n v="5"/>
    <n v="1"/>
    <n v="4"/>
    <n v="5"/>
    <n v="2"/>
    <m/>
    <m/>
    <m/>
    <n v="5"/>
    <n v="1"/>
    <b v="0"/>
  </r>
  <r>
    <x v="272"/>
    <s v="loganworsdell"/>
    <n v="3"/>
    <n v="1.4142135623730951"/>
    <s v="nobody (make me feel)"/>
    <s v="oskar med k, Khalid"/>
    <n v="4"/>
    <n v="3"/>
    <n v="1"/>
    <n v="2"/>
    <n v="5"/>
    <n v="9486967"/>
    <m/>
    <m/>
    <n v="3"/>
    <n v="1"/>
    <b v="0"/>
  </r>
  <r>
    <x v="272"/>
    <s v="samuelbattista"/>
    <n v="2.4"/>
    <n v="1.019803902718557"/>
    <s v="Jacob's Ladder"/>
    <s v="Rush"/>
    <n v="3"/>
    <n v="2"/>
    <n v="2"/>
    <n v="1"/>
    <n v="4"/>
    <m/>
    <m/>
    <m/>
    <n v="1"/>
    <n v="1"/>
    <b v="1"/>
  </r>
  <r>
    <x v="272"/>
    <s v="currydestroyer27"/>
    <n v="3.2"/>
    <n v="1.6"/>
    <s v="INERTIA"/>
    <s v="SawanoHiroyuki[nzk], Rei"/>
    <n v="2"/>
    <n v="5"/>
    <n v="5"/>
    <n v="3"/>
    <n v="1"/>
    <n v="14695546"/>
    <m/>
    <m/>
    <n v="4"/>
    <n v="1"/>
    <b v="0"/>
  </r>
  <r>
    <x v="273"/>
    <s v="alappatjoe"/>
    <n v="4.2"/>
    <n v="0.9797958971132712"/>
    <s v="Voilà"/>
    <s v="André Rieu, Johann Strauss Orchestra, Emma Kok"/>
    <n v="3"/>
    <n v="3"/>
    <n v="5"/>
    <n v="5"/>
    <n v="5"/>
    <n v="70277000"/>
    <m/>
    <m/>
    <n v="5"/>
    <n v="1"/>
    <b v="0"/>
  </r>
  <r>
    <x v="273"/>
    <s v="danram"/>
    <n v="2.8"/>
    <n v="0.74833147735478833"/>
    <s v="Before I Forget"/>
    <s v="Slipknot"/>
    <n v="4"/>
    <n v="2"/>
    <n v="2"/>
    <n v="3"/>
    <n v="3"/>
    <m/>
    <m/>
    <m/>
    <n v="3"/>
    <n v="1"/>
    <b v="0"/>
  </r>
  <r>
    <x v="273"/>
    <s v="loganworsdell"/>
    <n v="1.8"/>
    <n v="1.1661903789690602"/>
    <s v="crossing field"/>
    <s v="LiSa"/>
    <n v="2"/>
    <n v="1"/>
    <n v="1"/>
    <n v="4"/>
    <n v="1"/>
    <n v="230722240"/>
    <m/>
    <m/>
    <n v="1"/>
    <n v="1"/>
    <b v="1"/>
  </r>
  <r>
    <x v="273"/>
    <s v="samuelbattista"/>
    <n v="3.8"/>
    <n v="1.1661903789690602"/>
    <s v="#thatPOWER"/>
    <s v="will.i.am, Justin Bieber"/>
    <n v="5"/>
    <n v="5"/>
    <n v="3"/>
    <n v="2"/>
    <n v="4"/>
    <m/>
    <m/>
    <m/>
    <n v="4"/>
    <n v="1"/>
    <b v="0"/>
  </r>
  <r>
    <x v="273"/>
    <s v="currydestroyer27"/>
    <n v="2.4"/>
    <n v="1.3564659966250536"/>
    <s v="Eightfold Fence"/>
    <s v="Jack Gardiner, Mariko Muranaka"/>
    <n v="1"/>
    <n v="4"/>
    <n v="4"/>
    <n v="1"/>
    <n v="2"/>
    <n v="46252"/>
    <m/>
    <m/>
    <n v="2"/>
    <n v="1"/>
    <b v="0"/>
  </r>
  <r>
    <x v="274"/>
    <s v="alappatjoe"/>
    <n v="2.2000000000000002"/>
    <n v="0.74833147735478833"/>
    <s v="Good Love"/>
    <s v="Otis Kane, KALLITECHNIS"/>
    <n v="1"/>
    <n v="3"/>
    <n v="2"/>
    <n v="3"/>
    <n v="2"/>
    <n v="3360522"/>
    <m/>
    <m/>
    <n v="2"/>
    <n v="1"/>
    <b v="0"/>
  </r>
  <r>
    <x v="274"/>
    <s v="danram"/>
    <n v="4.8"/>
    <n v="0.39999999999999997"/>
    <s v="Liebesleid (Love's Sorrow)"/>
    <s v="Fritz Kreisler, Sergei Rachmaninoff"/>
    <n v="5"/>
    <n v="4"/>
    <n v="5"/>
    <n v="5"/>
    <n v="5"/>
    <m/>
    <m/>
    <m/>
    <n v="5"/>
    <n v="1"/>
    <b v="0"/>
  </r>
  <r>
    <x v="274"/>
    <s v="loganworsdell"/>
    <n v="3.4"/>
    <n v="1.019803902718557"/>
    <s v="DON'T PINCH ME"/>
    <s v="Dev Lemons"/>
    <n v="4"/>
    <n v="5"/>
    <n v="3"/>
    <n v="2"/>
    <n v="3"/>
    <n v="178862"/>
    <m/>
    <m/>
    <n v="4"/>
    <n v="1"/>
    <b v="0"/>
  </r>
  <r>
    <x v="274"/>
    <s v="samuelbattista"/>
    <n v="2"/>
    <n v="1.2649110640673518"/>
    <s v="Animal"/>
    <s v="Neon Trees"/>
    <n v="3"/>
    <n v="1"/>
    <n v="1"/>
    <n v="1"/>
    <n v="4"/>
    <m/>
    <m/>
    <m/>
    <n v="1"/>
    <n v="1"/>
    <b v="1"/>
  </r>
  <r>
    <x v="274"/>
    <s v="currydestroyer27"/>
    <n v="2.6"/>
    <n v="1.2"/>
    <s v="Wish - Audiomack Trap Symphony Version"/>
    <s v="Trippie Redd"/>
    <n v="2"/>
    <n v="2"/>
    <n v="4"/>
    <n v="4"/>
    <n v="1"/>
    <n v="13851991"/>
    <m/>
    <m/>
    <n v="3"/>
    <n v="1"/>
    <b v="0"/>
  </r>
  <r>
    <x v="275"/>
    <s v="alappatjoe"/>
    <n v="2.2000000000000002"/>
    <n v="1.1661903789690602"/>
    <s v="Take Me Dancing"/>
    <s v="Doja Cat, SZA"/>
    <n v="1"/>
    <n v="1"/>
    <n v="3"/>
    <n v="4"/>
    <n v="2"/>
    <n v="10653455"/>
    <m/>
    <m/>
    <n v="2"/>
    <n v="1"/>
    <b v="0"/>
  </r>
  <r>
    <x v="275"/>
    <s v="danram"/>
    <n v="4"/>
    <n v="0.89442719099991586"/>
    <s v="Minor Threat"/>
    <s v="Minor Threat"/>
    <n v="5"/>
    <n v="3"/>
    <n v="4"/>
    <n v="3"/>
    <n v="5"/>
    <m/>
    <m/>
    <m/>
    <n v="4"/>
    <n v="1"/>
    <b v="0"/>
  </r>
  <r>
    <x v="275"/>
    <s v="loganworsdell"/>
    <n v="2.6"/>
    <n v="0.8"/>
    <s v="Dirt Off Your Shoulder/Lying From You"/>
    <s v="JAY-Z, Linkin Park"/>
    <n v="2"/>
    <n v="4"/>
    <n v="2"/>
    <n v="2"/>
    <n v="3"/>
    <n v="105258207"/>
    <m/>
    <m/>
    <n v="3"/>
    <n v="1"/>
    <b v="0"/>
  </r>
  <r>
    <x v="275"/>
    <s v="samuelbattista"/>
    <n v="1.6"/>
    <n v="0.8"/>
    <s v="can't slow down"/>
    <s v="almost Monday"/>
    <n v="3"/>
    <n v="2"/>
    <n v="1"/>
    <n v="1"/>
    <n v="1"/>
    <m/>
    <m/>
    <m/>
    <n v="1"/>
    <n v="1"/>
    <b v="1"/>
  </r>
  <r>
    <x v="275"/>
    <s v="currydestroyer27"/>
    <n v="4.5999999999999996"/>
    <n v="0.4898979485566356"/>
    <s v="Victory Lap"/>
    <s v="Puff Daddy, The Notorious B.I.G. Mase"/>
    <n v="4"/>
    <n v="5"/>
    <n v="5"/>
    <n v="5"/>
    <n v="4"/>
    <n v="77654635"/>
    <m/>
    <m/>
    <n v="5"/>
    <n v="1"/>
    <b v="0"/>
  </r>
  <r>
    <x v="276"/>
    <s v="alappatjoe"/>
    <n v="2.2000000000000002"/>
    <n v="0.74833147735478833"/>
    <s v="Mockingbird"/>
    <s v="Eminem"/>
    <n v="1"/>
    <n v="3"/>
    <n v="2"/>
    <n v="2"/>
    <n v="3"/>
    <n v="2264761399"/>
    <m/>
    <m/>
    <n v="1"/>
    <n v="1"/>
    <b v="1"/>
  </r>
  <r>
    <x v="276"/>
    <s v="danram"/>
    <n v="2.8"/>
    <n v="1.4696938456699069"/>
    <s v="SLOW DANCING IN THE DARK"/>
    <s v="Joji"/>
    <n v="4"/>
    <n v="1"/>
    <n v="1"/>
    <n v="4"/>
    <n v="4"/>
    <m/>
    <m/>
    <m/>
    <n v="3"/>
    <n v="1"/>
    <b v="0"/>
  </r>
  <r>
    <x v="276"/>
    <s v="loganworsdell"/>
    <n v="3.4"/>
    <n v="1.3564659966250536"/>
    <s v="Broken"/>
    <s v="Lund"/>
    <n v="2"/>
    <n v="5"/>
    <n v="3"/>
    <n v="5"/>
    <n v="2"/>
    <n v="404497138"/>
    <m/>
    <m/>
    <n v="4"/>
    <n v="1"/>
    <b v="0"/>
  </r>
  <r>
    <x v="276"/>
    <s v="samuelbattista"/>
    <n v="4"/>
    <n v="1.5491933384829668"/>
    <s v="Always On My Mind"/>
    <s v="Willie Nelson"/>
    <n v="5"/>
    <n v="4"/>
    <n v="5"/>
    <n v="1"/>
    <n v="5"/>
    <m/>
    <m/>
    <m/>
    <n v="5"/>
    <n v="1"/>
    <b v="0"/>
  </r>
  <r>
    <x v="276"/>
    <s v="currydestroyer27"/>
    <n v="2.6"/>
    <n v="1.019803902718557"/>
    <s v="Chandelier"/>
    <s v="Will Paquin"/>
    <n v="3"/>
    <n v="2"/>
    <n v="4"/>
    <n v="3"/>
    <n v="1"/>
    <n v="284273497"/>
    <m/>
    <m/>
    <n v="2"/>
    <n v="1"/>
    <b v="0"/>
  </r>
  <r>
    <x v="277"/>
    <s v="alappatjoe"/>
    <n v="3.2"/>
    <n v="1.3266499161421599"/>
    <s v="Blood Drain -Again-"/>
    <s v="Raito"/>
    <n v="1"/>
    <n v="5"/>
    <n v="4"/>
    <n v="3"/>
    <n v="3"/>
    <n v="1550906"/>
    <m/>
    <m/>
    <n v="3"/>
    <n v="1"/>
    <b v="0"/>
  </r>
  <r>
    <x v="277"/>
    <s v="danram"/>
    <n v="2.2000000000000002"/>
    <n v="0.9797958971132712"/>
    <s v="Friday I'm in Love"/>
    <s v="The Cure"/>
    <n v="2"/>
    <n v="1"/>
    <n v="2"/>
    <n v="2"/>
    <n v="4"/>
    <m/>
    <m/>
    <m/>
    <n v="1"/>
    <n v="1"/>
    <b v="1"/>
  </r>
  <r>
    <x v="277"/>
    <s v="loganworsdell"/>
    <n v="3.4"/>
    <n v="0.8"/>
    <n v="555"/>
    <s v="Jimmy Eat World"/>
    <n v="4"/>
    <n v="4"/>
    <n v="3"/>
    <n v="4"/>
    <n v="2"/>
    <n v="8189585"/>
    <m/>
    <m/>
    <n v="4"/>
    <n v="1"/>
    <b v="0"/>
  </r>
  <r>
    <x v="277"/>
    <s v="samuelbattista"/>
    <n v="3.6"/>
    <n v="1.7435595774162693"/>
    <s v="Townies"/>
    <s v="Wednesday"/>
    <n v="5"/>
    <n v="2"/>
    <n v="5"/>
    <n v="1"/>
    <n v="5"/>
    <m/>
    <m/>
    <m/>
    <n v="5"/>
    <n v="1"/>
    <b v="0"/>
  </r>
  <r>
    <x v="277"/>
    <s v="currydestroyer27"/>
    <n v="2.6"/>
    <n v="1.4966629547095767"/>
    <s v="AT THE PARTY"/>
    <s v="Kid Cudi, Pharrell Williams, Travis Scott"/>
    <n v="3"/>
    <n v="3"/>
    <n v="1"/>
    <n v="5"/>
    <n v="1"/>
    <n v="45244764"/>
    <m/>
    <m/>
    <n v="2"/>
    <n v="1"/>
    <b v="0"/>
  </r>
  <r>
    <x v="278"/>
    <s v="alappatjoe"/>
    <n v="2.6"/>
    <n v="1.019803902718557"/>
    <s v="MIRROR"/>
    <s v="Yerin Baek"/>
    <n v="1"/>
    <n v="2"/>
    <n v="3"/>
    <n v="4"/>
    <n v="3"/>
    <n v="516271"/>
    <m/>
    <m/>
    <n v="2"/>
    <n v="1"/>
    <b v="0"/>
  </r>
  <r>
    <x v="278"/>
    <s v="danram"/>
    <n v="3.8"/>
    <n v="0.74833147735478833"/>
    <s v="Always on My Mind"/>
    <s v="Pet Shop Boys"/>
    <n v="5"/>
    <n v="3"/>
    <n v="4"/>
    <n v="3"/>
    <n v="4"/>
    <m/>
    <m/>
    <m/>
    <n v="5"/>
    <n v="1"/>
    <b v="0"/>
  </r>
  <r>
    <x v="278"/>
    <s v="loganworsdell"/>
    <n v="3.2"/>
    <n v="1.4696938456699069"/>
    <s v="she call my phone again"/>
    <s v="Royce Fisherman"/>
    <n v="4"/>
    <n v="4"/>
    <n v="1"/>
    <n v="2"/>
    <n v="5"/>
    <n v="9533"/>
    <m/>
    <m/>
    <n v="3"/>
    <n v="1"/>
    <b v="0"/>
  </r>
  <r>
    <x v="278"/>
    <s v="samuelbattista"/>
    <n v="1.8"/>
    <n v="0.74833147735478833"/>
    <s v="300 dreams"/>
    <s v="After"/>
    <n v="3"/>
    <n v="1"/>
    <n v="2"/>
    <n v="1"/>
    <n v="2"/>
    <m/>
    <m/>
    <m/>
    <n v="1"/>
    <n v="1"/>
    <b v="1"/>
  </r>
  <r>
    <x v="278"/>
    <s v="currydestroyer27"/>
    <n v="3.6"/>
    <n v="1.7435595774162693"/>
    <s v="秋野桜"/>
    <s v="魔鬼花园"/>
    <n v="2"/>
    <n v="5"/>
    <n v="5"/>
    <n v="5"/>
    <n v="1"/>
    <n v="1271632"/>
    <s v="International"/>
    <s v="Instrumental"/>
    <n v="4"/>
    <n v="1"/>
    <b v="0"/>
  </r>
  <r>
    <x v="279"/>
    <s v="alappatjoe"/>
    <n v="4.4000000000000004"/>
    <n v="0.8"/>
    <s v="PT Cruiser"/>
    <s v="MoRuf, SZA"/>
    <n v="3"/>
    <n v="5"/>
    <n v="5"/>
    <n v="4"/>
    <n v="5"/>
    <n v="1029295"/>
    <m/>
    <m/>
    <n v="5"/>
    <n v="1"/>
    <b v="0"/>
  </r>
  <r>
    <x v="279"/>
    <s v="danram"/>
    <n v="2.2000000000000002"/>
    <n v="0.9797958971132712"/>
    <s v="Bound 2"/>
    <s v="Kanye West"/>
    <n v="4"/>
    <n v="1"/>
    <n v="2"/>
    <n v="2"/>
    <n v="2"/>
    <m/>
    <m/>
    <m/>
    <n v="1"/>
    <n v="1"/>
    <b v="1"/>
  </r>
  <r>
    <x v="279"/>
    <s v="loganworsdell"/>
    <n v="2.2000000000000002"/>
    <n v="0.9797958971132712"/>
    <s v="Just How You Are"/>
    <s v="Leon Thomas"/>
    <n v="1"/>
    <n v="3"/>
    <n v="1"/>
    <n v="3"/>
    <n v="3"/>
    <n v="4685657"/>
    <m/>
    <m/>
    <n v="1"/>
    <n v="2"/>
    <b v="0"/>
  </r>
  <r>
    <x v="279"/>
    <s v="samuelbattista"/>
    <n v="2.8"/>
    <n v="1.1661903789690602"/>
    <s v="GBP"/>
    <s v="Central Cee, 21 Savage"/>
    <n v="2"/>
    <n v="4"/>
    <n v="3"/>
    <n v="1"/>
    <n v="4"/>
    <m/>
    <m/>
    <m/>
    <n v="3"/>
    <n v="1"/>
    <b v="0"/>
  </r>
  <r>
    <x v="279"/>
    <s v="currydestroyer27"/>
    <n v="3.4"/>
    <n v="1.6248076809271921"/>
    <s v="Aoku Aoku Hikaru"/>
    <s v="Lanndo, ZUTOMAYO, ACANE, nulut"/>
    <n v="5"/>
    <n v="2"/>
    <n v="4"/>
    <n v="5"/>
    <n v="1"/>
    <n v="2150213"/>
    <s v="International"/>
    <s v="J-Pop"/>
    <n v="4"/>
    <n v="1"/>
    <b v="0"/>
  </r>
  <r>
    <x v="280"/>
    <s v="alappatjoe"/>
    <n v="4.2"/>
    <n v="1.6"/>
    <s v="Lavender Town"/>
    <s v="Louie Zong"/>
    <n v="1"/>
    <n v="5"/>
    <n v="5"/>
    <n v="5"/>
    <n v="5"/>
    <n v="169282"/>
    <m/>
    <m/>
    <n v="5"/>
    <n v="1"/>
    <b v="0"/>
  </r>
  <r>
    <x v="280"/>
    <s v="danram"/>
    <n v="2.2000000000000002"/>
    <n v="0.74833147735478833"/>
    <s v="Somebody's Watching Me"/>
    <s v="Rockwell"/>
    <n v="3"/>
    <n v="3"/>
    <n v="2"/>
    <n v="1"/>
    <n v="2"/>
    <m/>
    <m/>
    <m/>
    <n v="1"/>
    <n v="1"/>
    <b v="1"/>
  </r>
  <r>
    <x v="280"/>
    <s v="loganworsdell"/>
    <n v="3.4"/>
    <n v="0.8"/>
    <s v="This is Halloween"/>
    <s v="The Citizens of Halloween"/>
    <n v="2"/>
    <n v="4"/>
    <n v="4"/>
    <n v="3"/>
    <n v="4"/>
    <n v="203493341"/>
    <m/>
    <m/>
    <n v="4"/>
    <n v="1"/>
    <b v="0"/>
  </r>
  <r>
    <x v="280"/>
    <s v="samuelbattista"/>
    <n v="2.8"/>
    <n v="1.3266499161421599"/>
    <s v="Pet Sematary"/>
    <s v="Ramones"/>
    <n v="5"/>
    <n v="1"/>
    <n v="3"/>
    <n v="2"/>
    <n v="3"/>
    <m/>
    <m/>
    <m/>
    <n v="3"/>
    <n v="1"/>
    <b v="0"/>
  </r>
  <r>
    <x v="280"/>
    <s v="currydestroyer27"/>
    <n v="2.4"/>
    <n v="1.3564659966250536"/>
    <s v="Hex Girls"/>
    <s v="Moon Sisters"/>
    <n v="4"/>
    <n v="2"/>
    <n v="1"/>
    <n v="4"/>
    <n v="1"/>
    <n v="12725756"/>
    <m/>
    <m/>
    <n v="2"/>
    <n v="1"/>
    <b v="0"/>
  </r>
  <r>
    <x v="281"/>
    <s v="alappatjoe"/>
    <n v="2.6"/>
    <n v="1.019803902718557"/>
    <s v="Unhinged"/>
    <s v="Masego"/>
    <n v="2"/>
    <n v="3"/>
    <n v="3"/>
    <n v="1"/>
    <n v="4"/>
    <n v="2711618"/>
    <m/>
    <m/>
    <n v="2"/>
    <n v="1"/>
    <b v="0"/>
  </r>
  <r>
    <x v="281"/>
    <s v="danram"/>
    <n v="3.6"/>
    <n v="1.019803902718557"/>
    <s v="Life Is Simple in the Moonlight"/>
    <s v="The Strokes"/>
    <n v="4"/>
    <n v="2"/>
    <n v="5"/>
    <n v="4"/>
    <n v="3"/>
    <m/>
    <m/>
    <m/>
    <n v="5"/>
    <n v="1"/>
    <b v="0"/>
  </r>
  <r>
    <x v="281"/>
    <s v="loganworsdell"/>
    <n v="3.4"/>
    <n v="1.9595917942265424"/>
    <s v="WE ON GO II"/>
    <s v="BIA, A$AP Ferg, Denzel Curry"/>
    <n v="5"/>
    <n v="1"/>
    <n v="1"/>
    <n v="5"/>
    <n v="5"/>
    <n v="768671"/>
    <m/>
    <m/>
    <n v="4"/>
    <n v="1"/>
    <b v="0"/>
  </r>
  <r>
    <x v="281"/>
    <s v="samuelbattista"/>
    <n v="3"/>
    <n v="0.89442719099991586"/>
    <s v="Liminality"/>
    <s v="SERAPHINE NOIR"/>
    <n v="3"/>
    <n v="4"/>
    <n v="4"/>
    <n v="2"/>
    <n v="2"/>
    <m/>
    <m/>
    <m/>
    <n v="3"/>
    <n v="1"/>
    <b v="0"/>
  </r>
  <r>
    <x v="281"/>
    <s v="currydestroyer27"/>
    <n v="2.4"/>
    <n v="1.4966629547095767"/>
    <s v="IRIS OUT"/>
    <s v="Kenshi Yonezu"/>
    <n v="1"/>
    <n v="5"/>
    <n v="2"/>
    <n v="3"/>
    <n v="1"/>
    <n v="80421305"/>
    <s v="International"/>
    <s v="J-Pop"/>
    <n v="1"/>
    <n v="1"/>
    <b v="1"/>
  </r>
  <r>
    <x v="282"/>
    <s v="alappatjoe"/>
    <n v="2.6"/>
    <n v="1.3564659966250536"/>
    <s v="Star"/>
    <s v="LOONA"/>
    <n v="1"/>
    <n v="2"/>
    <n v="2"/>
    <n v="5"/>
    <n v="3"/>
    <n v="27234353"/>
    <m/>
    <m/>
    <n v="1"/>
    <n v="1"/>
    <b v="1"/>
  </r>
  <r>
    <x v="282"/>
    <s v="danram"/>
    <n v="3.6"/>
    <n v="1.3564659966250536"/>
    <s v="from below with love"/>
    <s v="kensuke ushio"/>
    <n v="2"/>
    <n v="5"/>
    <n v="5"/>
    <n v="4"/>
    <n v="2"/>
    <m/>
    <m/>
    <m/>
    <n v="5"/>
    <n v="1"/>
    <b v="0"/>
  </r>
  <r>
    <x v="282"/>
    <s v="loganworsdell"/>
    <n v="3"/>
    <n v="0.63245553203367588"/>
    <s v="In Your Corner"/>
    <s v="Pale Jay"/>
    <n v="3"/>
    <n v="3"/>
    <n v="3"/>
    <n v="2"/>
    <n v="4"/>
    <n v="7190327"/>
    <m/>
    <m/>
    <n v="3"/>
    <n v="1"/>
    <b v="0"/>
  </r>
  <r>
    <x v="282"/>
    <s v="samuelbattista"/>
    <n v="2.6"/>
    <n v="1.9595917942265424"/>
    <s v="Rise &amp; Fall"/>
    <s v="Currents"/>
    <n v="5"/>
    <n v="1"/>
    <n v="1"/>
    <n v="1"/>
    <n v="5"/>
    <m/>
    <m/>
    <m/>
    <n v="2"/>
    <n v="1"/>
    <b v="0"/>
  </r>
  <r>
    <x v="282"/>
    <s v="currydestroyer27"/>
    <n v="3.2"/>
    <n v="1.1661903789690602"/>
    <s v="JANE DOE"/>
    <s v="Kenshi Yonezu, Hikaru Utada"/>
    <n v="4"/>
    <n v="4"/>
    <n v="4"/>
    <n v="3"/>
    <n v="1"/>
    <n v="38492421"/>
    <s v="International"/>
    <s v="J-Pop"/>
    <n v="4"/>
    <n v="1"/>
    <b v="0"/>
  </r>
  <r>
    <x v="283"/>
    <s v="alappatjoe"/>
    <n v="2"/>
    <n v="1.2649110640673518"/>
    <s v="Three Man Weave"/>
    <s v="Injury Reserve"/>
    <n v="1"/>
    <n v="3"/>
    <n v="1"/>
    <n v="1"/>
    <n v="4"/>
    <n v="12628324"/>
    <m/>
    <m/>
    <n v="1"/>
    <n v="1"/>
    <b v="1"/>
  </r>
  <r>
    <x v="283"/>
    <s v="danram"/>
    <n v="3.4"/>
    <n v="1.6248076809271921"/>
    <s v="What Did I Miss?"/>
    <s v="Drake"/>
    <n v="5"/>
    <n v="1"/>
    <n v="4"/>
    <n v="5"/>
    <n v="2"/>
    <m/>
    <m/>
    <m/>
    <n v="5"/>
    <n v="1"/>
    <b v="0"/>
  </r>
  <r>
    <x v="283"/>
    <s v="loganworsdell"/>
    <n v="3"/>
    <n v="0.89442719099991586"/>
    <s v="Porn (Ode to Sade)"/>
    <s v="Shayhan"/>
    <n v="4"/>
    <n v="4"/>
    <n v="2"/>
    <n v="2"/>
    <n v="3"/>
    <n v="998784"/>
    <m/>
    <m/>
    <n v="2"/>
    <n v="1"/>
    <b v="0"/>
  </r>
  <r>
    <x v="283"/>
    <s v="samuelbattista"/>
    <n v="3.4"/>
    <n v="1.3564659966250536"/>
    <s v="The Great Pumpkin Waltz"/>
    <s v="Vince Guaraldi"/>
    <n v="2"/>
    <n v="2"/>
    <n v="5"/>
    <n v="3"/>
    <n v="5"/>
    <m/>
    <m/>
    <m/>
    <n v="4"/>
    <n v="1"/>
    <b v="0"/>
  </r>
  <r>
    <x v="283"/>
    <s v="currydestroyer27"/>
    <n v="3.2"/>
    <n v="1.3266499161421599"/>
    <s v="in the pool"/>
    <s v="kensuke ushio"/>
    <n v="3"/>
    <n v="5"/>
    <n v="3"/>
    <n v="4"/>
    <n v="1"/>
    <n v="6240954"/>
    <s v="International"/>
    <s v="Instrumental"/>
    <n v="3"/>
    <n v="1"/>
    <b v="0"/>
  </r>
  <r>
    <x v="284"/>
    <s v="alappatjoe"/>
    <n v="4.5999999999999996"/>
    <n v="0.8"/>
    <s v="iSpy"/>
    <s v="KYLE, Lil Yachty"/>
    <n v="3"/>
    <n v="5"/>
    <n v="5"/>
    <n v="5"/>
    <n v="5"/>
    <n v="1030274924"/>
    <m/>
    <m/>
    <n v="5"/>
    <n v="1"/>
    <b v="0"/>
  </r>
  <r>
    <x v="284"/>
    <s v="danram"/>
    <n v="4.2"/>
    <n v="0.39999999999999997"/>
    <s v="Otro Trago (Remix)"/>
    <s v="Sech, Darell, Anuel AA, Ozuna, Nicky Jam"/>
    <n v="5"/>
    <n v="4"/>
    <n v="4"/>
    <n v="4"/>
    <n v="4"/>
    <m/>
    <m/>
    <m/>
    <n v="4"/>
    <n v="1"/>
    <b v="0"/>
  </r>
  <r>
    <x v="284"/>
    <s v="loganworsdell"/>
    <n v="2.8"/>
    <n v="0.74833147735478833"/>
    <s v="Marinate"/>
    <s v="Zack Fox"/>
    <n v="4"/>
    <n v="3"/>
    <n v="2"/>
    <n v="2"/>
    <n v="3"/>
    <n v="8158786"/>
    <m/>
    <m/>
    <n v="3"/>
    <n v="1"/>
    <b v="0"/>
  </r>
  <r>
    <x v="284"/>
    <s v="samuelbattista"/>
    <n v="1.2"/>
    <n v="0.4"/>
    <s v="Money for Nothing"/>
    <s v="Dire Straits"/>
    <n v="1"/>
    <n v="1"/>
    <n v="1"/>
    <n v="1"/>
    <n v="2"/>
    <m/>
    <m/>
    <m/>
    <n v="1"/>
    <n v="1"/>
    <b v="1"/>
  </r>
  <r>
    <x v="284"/>
    <s v="currydestroyer27"/>
    <n v="2.2000000000000002"/>
    <n v="0.74833147735478833"/>
    <s v="Umbrella"/>
    <s v="Metro Boomin, 21 Savage, Young Nudy"/>
    <n v="2"/>
    <n v="2"/>
    <n v="3"/>
    <n v="3"/>
    <n v="1"/>
    <n v="173845154"/>
    <m/>
    <m/>
    <n v="2"/>
    <n v="1"/>
    <b v="0"/>
  </r>
  <r>
    <x v="285"/>
    <s v="alappatjoe"/>
    <n v="4"/>
    <n v="1.5491933384829668"/>
    <s v="BURNING UP"/>
    <s v="MEOVV"/>
    <n v="1"/>
    <n v="5"/>
    <n v="4"/>
    <n v="5"/>
    <n v="5"/>
    <n v="10653015"/>
    <m/>
    <m/>
    <n v="5"/>
    <n v="1"/>
    <b v="0"/>
  </r>
  <r>
    <x v="285"/>
    <s v="danram"/>
    <n v="2.6"/>
    <n v="1.3564659966250536"/>
    <s v="ALAKRAN"/>
    <s v="Feid"/>
    <n v="5"/>
    <n v="1"/>
    <n v="3"/>
    <n v="2"/>
    <n v="2"/>
    <m/>
    <m/>
    <m/>
    <n v="3"/>
    <n v="1"/>
    <b v="0"/>
  </r>
  <r>
    <x v="285"/>
    <s v="loganworsdell"/>
    <n v="2.6"/>
    <n v="1.2"/>
    <s v="Binary Garden"/>
    <s v="TURQUOISEDEATH"/>
    <n v="2"/>
    <n v="2"/>
    <n v="1"/>
    <n v="4"/>
    <n v="4"/>
    <n v="69196"/>
    <m/>
    <m/>
    <n v="2"/>
    <n v="1"/>
    <b v="0"/>
  </r>
  <r>
    <x v="285"/>
    <s v="samuelbattista"/>
    <n v="2.4"/>
    <n v="0.8"/>
    <s v="Rodeo Clown"/>
    <s v="flipturn"/>
    <n v="3"/>
    <n v="3"/>
    <n v="2"/>
    <n v="1"/>
    <n v="3"/>
    <m/>
    <m/>
    <m/>
    <n v="1"/>
    <n v="1"/>
    <b v="1"/>
  </r>
  <r>
    <x v="285"/>
    <s v="currydestroyer27"/>
    <n v="3.4"/>
    <n v="1.3564659966250536"/>
    <s v="in the sea"/>
    <s v="kensuke ushio"/>
    <n v="4"/>
    <n v="4"/>
    <n v="5"/>
    <n v="3"/>
    <n v="1"/>
    <n v="7031234"/>
    <s v="International"/>
    <s v="Instrumental"/>
    <n v="4"/>
    <n v="1"/>
    <b v="0"/>
  </r>
  <r>
    <x v="286"/>
    <s v="alappatjoe"/>
    <n v="2"/>
    <n v="0.89442719099991586"/>
    <s v="Mona Lisa"/>
    <s v="lucasp007"/>
    <n v="1"/>
    <n v="1"/>
    <n v="3"/>
    <n v="3"/>
    <n v="2"/>
    <n v="849214"/>
    <m/>
    <m/>
    <n v="1"/>
    <n v="1"/>
    <b v="1"/>
  </r>
  <r>
    <x v="286"/>
    <s v="danram"/>
    <n v="3.2"/>
    <n v="1.4696938456699069"/>
    <s v="Summer Montage / Madeline"/>
    <s v="Justin Hurwitz"/>
    <n v="2"/>
    <n v="2"/>
    <n v="5"/>
    <n v="2"/>
    <n v="5"/>
    <m/>
    <m/>
    <m/>
    <n v="4"/>
    <n v="1"/>
    <b v="0"/>
  </r>
  <r>
    <x v="286"/>
    <s v="loganworsdell"/>
    <n v="3.2"/>
    <n v="0.74833147735478833"/>
    <s v="You You You"/>
    <s v="Carter Ace"/>
    <n v="3"/>
    <n v="4"/>
    <n v="2"/>
    <n v="4"/>
    <n v="3"/>
    <n v="426068"/>
    <m/>
    <m/>
    <n v="3"/>
    <n v="1"/>
    <b v="0"/>
  </r>
  <r>
    <x v="286"/>
    <s v="samuelbattista"/>
    <n v="2.6"/>
    <n v="1.3564659966250536"/>
    <s v="Tonight Tonight"/>
    <s v="Hot Chelle Rae"/>
    <n v="4"/>
    <n v="3"/>
    <n v="1"/>
    <n v="1"/>
    <n v="4"/>
    <m/>
    <m/>
    <m/>
    <n v="2"/>
    <n v="1"/>
    <b v="0"/>
  </r>
  <r>
    <x v="286"/>
    <s v="currydestroyer27"/>
    <n v="4"/>
    <n v="1.5491933384829668"/>
    <s v="HAWATARI NIOKU CENTI"/>
    <s v="MAXIMUM THE HORMONE"/>
    <n v="5"/>
    <n v="5"/>
    <n v="4"/>
    <n v="5"/>
    <n v="1"/>
    <n v="25396467"/>
    <s v="International"/>
    <s v="J-Metal"/>
    <n v="5"/>
    <n v="1"/>
    <b v="0"/>
  </r>
  <r>
    <x v="287"/>
    <s v="alappatjoe"/>
    <n v="2.6"/>
    <n v="1.6248076809271921"/>
    <s v="HONDA"/>
    <s v="Friday Night Plans"/>
    <n v="1"/>
    <n v="1"/>
    <n v="4"/>
    <n v="5"/>
    <n v="2"/>
    <n v="9606114"/>
    <m/>
    <m/>
    <n v="3"/>
    <n v="1"/>
    <b v="0"/>
  </r>
  <r>
    <x v="287"/>
    <s v="danram"/>
    <n v="4"/>
    <n v="0.89442719099991586"/>
    <s v="Excuse"/>
    <s v="Parannoul"/>
    <n v="5"/>
    <n v="3"/>
    <n v="5"/>
    <n v="4"/>
    <n v="3"/>
    <m/>
    <m/>
    <m/>
    <n v="5"/>
    <n v="1"/>
    <b v="0"/>
  </r>
  <r>
    <x v="287"/>
    <s v="loganworsdell"/>
    <n v="3.4"/>
    <n v="1.4966629547095767"/>
    <s v="Dreaming"/>
    <s v="T-Pain"/>
    <n v="3"/>
    <n v="5"/>
    <n v="1"/>
    <n v="3"/>
    <n v="5"/>
    <n v="1766745"/>
    <m/>
    <m/>
    <n v="4"/>
    <n v="1"/>
    <b v="0"/>
  </r>
  <r>
    <x v="287"/>
    <s v="samuelbattista"/>
    <n v="2.6"/>
    <n v="1.2"/>
    <s v="Too Far"/>
    <s v="Improvement Movement"/>
    <n v="2"/>
    <n v="4"/>
    <n v="2"/>
    <n v="1"/>
    <n v="4"/>
    <m/>
    <m/>
    <m/>
    <n v="2"/>
    <n v="1"/>
    <b v="0"/>
  </r>
  <r>
    <x v="287"/>
    <s v="currydestroyer27"/>
    <n v="2.4"/>
    <n v="1.019803902718557"/>
    <s v="Nope your too late I already died"/>
    <s v="wifiskeleton, i wanna be a jack-o-lantern"/>
    <n v="4"/>
    <n v="2"/>
    <n v="3"/>
    <n v="2"/>
    <n v="1"/>
    <n v="343628897"/>
    <m/>
    <m/>
    <n v="1"/>
    <n v="1"/>
    <b v="1"/>
  </r>
  <r>
    <x v="288"/>
    <s v="alappatjoe"/>
    <n v="2.4"/>
    <n v="1.3564659966250536"/>
    <s v="+57"/>
    <s v="KAROL G, Feid, DFZM, Ovy On the Drums, J Balvin, Maluma, Ryan Castro, Blessd"/>
    <n v="1"/>
    <n v="1"/>
    <n v="4"/>
    <n v="2"/>
    <n v="4"/>
    <n v="292138285"/>
    <m/>
    <m/>
    <n v="1"/>
    <n v="1"/>
    <b v="1"/>
  </r>
  <r>
    <x v="288"/>
    <s v="danram"/>
    <n v="3"/>
    <n v="1.4142135623730951"/>
    <s v="Don't Play"/>
    <s v="Jungle, Mood Talk"/>
    <n v="2"/>
    <n v="3"/>
    <n v="1"/>
    <n v="4"/>
    <n v="5"/>
    <m/>
    <m/>
    <m/>
    <n v="4"/>
    <n v="1"/>
    <b v="0"/>
  </r>
  <r>
    <x v="288"/>
    <s v="loganworsdell"/>
    <n v="2.6"/>
    <n v="1.019803902718557"/>
    <s v="SUPERMODEL"/>
    <s v="Måneskin"/>
    <n v="3"/>
    <n v="4"/>
    <n v="2"/>
    <n v="1"/>
    <n v="3"/>
    <n v="392960632"/>
    <m/>
    <m/>
    <n v="2"/>
    <n v="1"/>
    <b v="0"/>
  </r>
  <r>
    <x v="288"/>
    <s v="samuelbattista"/>
    <n v="2.6"/>
    <n v="1.019803902718557"/>
    <s v="Reason for existence"/>
    <s v="Tsukuyomi"/>
    <n v="4"/>
    <n v="2"/>
    <n v="3"/>
    <n v="3"/>
    <n v="1"/>
    <m/>
    <m/>
    <m/>
    <n v="2"/>
    <n v="1"/>
    <b v="0"/>
  </r>
  <r>
    <x v="288"/>
    <s v="currydestroyer27"/>
    <n v="4.4000000000000004"/>
    <n v="1.2"/>
    <s v="Avid"/>
    <s v="SawanoHiroyuki[nzk], mizuki"/>
    <n v="5"/>
    <n v="5"/>
    <n v="5"/>
    <n v="5"/>
    <n v="2"/>
    <n v="41320194"/>
    <s v="International"/>
    <m/>
    <n v="5"/>
    <n v="1"/>
    <b v="0"/>
  </r>
  <r>
    <x v="289"/>
    <s v="alappatjoe"/>
    <n v="3.4"/>
    <n v="1.2"/>
    <s v="Up to Speed, Pt. 1"/>
    <s v="SonicPicnic"/>
    <n v="1"/>
    <n v="4"/>
    <n v="4"/>
    <n v="4"/>
    <n v="4"/>
    <n v="113498"/>
    <m/>
    <m/>
    <n v="5"/>
    <n v="1"/>
    <b v="0"/>
  </r>
  <r>
    <x v="289"/>
    <s v="danram"/>
    <n v="3.4"/>
    <n v="1.019803902718557"/>
    <s v="Hoy no me siento bien"/>
    <s v="Alejandro Sanz, Grupo Frontera"/>
    <n v="4"/>
    <n v="3"/>
    <n v="5"/>
    <n v="2"/>
    <n v="3"/>
    <m/>
    <m/>
    <m/>
    <n v="4"/>
    <n v="1"/>
    <b v="0"/>
  </r>
  <r>
    <x v="289"/>
    <s v="loganworsdell"/>
    <n v="3.2"/>
    <n v="1.6"/>
    <s v="Welcome To The Circus"/>
    <s v="Five Finger Death Punch"/>
    <n v="5"/>
    <n v="5"/>
    <n v="1"/>
    <n v="3"/>
    <n v="2"/>
    <n v="102322448"/>
    <m/>
    <m/>
    <n v="3"/>
    <n v="1"/>
    <b v="0"/>
  </r>
  <r>
    <x v="289"/>
    <s v="samuelbattista"/>
    <n v="2.6"/>
    <n v="1.3564659966250536"/>
    <s v="Rio"/>
    <s v="Duran Duran"/>
    <n v="3"/>
    <n v="2"/>
    <n v="2"/>
    <n v="1"/>
    <n v="5"/>
    <m/>
    <m/>
    <m/>
    <n v="2"/>
    <n v="1"/>
    <b v="0"/>
  </r>
  <r>
    <x v="289"/>
    <s v="currydestroyer27"/>
    <n v="2.4"/>
    <n v="1.4966629547095767"/>
    <s v="Addicted to You"/>
    <s v="Shakira"/>
    <n v="2"/>
    <n v="1"/>
    <n v="3"/>
    <n v="5"/>
    <n v="1"/>
    <n v="259522378"/>
    <s v="International"/>
    <m/>
    <n v="1"/>
    <n v="1"/>
    <b v="1"/>
  </r>
  <r>
    <x v="290"/>
    <s v="alappatjoe"/>
    <n v="4.2"/>
    <n v="1.1661903789690602"/>
    <s v="A Way of Life"/>
    <s v="MOSQ"/>
    <n v="2"/>
    <n v="5"/>
    <n v="5"/>
    <n v="5"/>
    <n v="4"/>
    <n v="169521"/>
    <m/>
    <m/>
    <n v="5"/>
    <n v="1"/>
    <b v="0"/>
  </r>
  <r>
    <x v="290"/>
    <s v="danram"/>
    <n v="2.4"/>
    <n v="1.019803902718557"/>
    <s v="Wednesday Morning Bonk (It's 9aM)"/>
    <s v="Megabonk"/>
    <n v="1"/>
    <n v="2"/>
    <n v="4"/>
    <n v="2"/>
    <n v="3"/>
    <m/>
    <m/>
    <m/>
    <n v="1"/>
    <n v="1"/>
    <b v="1"/>
  </r>
  <r>
    <x v="290"/>
    <s v="loganworsdell"/>
    <n v="2.8"/>
    <n v="1.1661903789690602"/>
    <s v="Re:Re:"/>
    <s v="ASIAN KUNG-FU GENERATION"/>
    <n v="4"/>
    <n v="4"/>
    <n v="2"/>
    <n v="3"/>
    <n v="1"/>
    <n v="15351230"/>
    <m/>
    <m/>
    <n v="3"/>
    <n v="1"/>
    <b v="0"/>
  </r>
  <r>
    <x v="290"/>
    <s v="samuelbattista"/>
    <n v="2.6"/>
    <n v="1.4966629547095767"/>
    <s v="Mother"/>
    <s v="Tyler, The Creator"/>
    <n v="3"/>
    <n v="1"/>
    <n v="3"/>
    <n v="1"/>
    <n v="5"/>
    <m/>
    <m/>
    <m/>
    <n v="2"/>
    <n v="1"/>
    <b v="0"/>
  </r>
  <r>
    <x v="290"/>
    <s v="currydestroyer27"/>
    <n v="3"/>
    <n v="1.4142135623730951"/>
    <s v="DON'T KILL THE PARTY"/>
    <s v="Ty Dolla $ign, Juicy J, Quavo"/>
    <n v="5"/>
    <n v="3"/>
    <n v="1"/>
    <n v="4"/>
    <n v="2"/>
    <n v="8693234"/>
    <s v="Rap"/>
    <m/>
    <n v="4"/>
    <n v="1"/>
    <b v="0"/>
  </r>
  <r>
    <x v="291"/>
    <s v="alappatjoe"/>
    <n v="3.4"/>
    <n v="1.019803902718557"/>
    <s v="West Coast Love"/>
    <s v="Emotional Oranges"/>
    <n v="2"/>
    <n v="5"/>
    <n v="3"/>
    <n v="4"/>
    <n v="3"/>
    <n v="114352637"/>
    <m/>
    <m/>
    <n v="4"/>
    <n v="1"/>
    <b v="0"/>
  </r>
  <r>
    <x v="291"/>
    <s v="danram"/>
    <n v="4.4000000000000004"/>
    <n v="1.2"/>
    <s v="Off With Their Heads"/>
    <s v="There Will Be Fireworks"/>
    <n v="5"/>
    <n v="2"/>
    <n v="5"/>
    <n v="5"/>
    <n v="5"/>
    <m/>
    <m/>
    <m/>
    <n v="5"/>
    <n v="1"/>
    <b v="0"/>
  </r>
  <r>
    <x v="291"/>
    <s v="loganworsdell"/>
    <n v="2.8"/>
    <n v="1.1661903789690602"/>
    <s v="Automatic"/>
    <s v="half•alive"/>
    <n v="4"/>
    <n v="3"/>
    <n v="1"/>
    <n v="2"/>
    <n v="4"/>
    <n v="10171701"/>
    <m/>
    <m/>
    <n v="3"/>
    <n v="1"/>
    <b v="0"/>
  </r>
  <r>
    <x v="291"/>
    <s v="samuelbattista"/>
    <n v="1.8"/>
    <n v="0.74833147735478833"/>
    <s v="The Sound of Muzak"/>
    <s v="Porcupine Tree"/>
    <n v="3"/>
    <n v="1"/>
    <n v="2"/>
    <n v="1"/>
    <n v="2"/>
    <m/>
    <m/>
    <m/>
    <n v="1"/>
    <n v="1"/>
    <b v="1"/>
  </r>
  <r>
    <x v="291"/>
    <s v="currydestroyer27"/>
    <n v="2.6"/>
    <n v="1.3564659966250536"/>
    <s v="Now or Never"/>
    <s v="Kendrick Lamar, Mary J. Blige"/>
    <n v="1"/>
    <n v="4"/>
    <n v="4"/>
    <n v="3"/>
    <n v="1"/>
    <n v="113515477"/>
    <s v="Rap"/>
    <m/>
    <n v="2"/>
    <n v="1"/>
    <b v="0"/>
  </r>
  <r>
    <x v="292"/>
    <s v="alappatjoe"/>
    <n v="3.4"/>
    <n v="1.3564659966250536"/>
    <s v="No Role Modelz"/>
    <s v="J. Cole"/>
    <n v="1"/>
    <n v="3"/>
    <n v="5"/>
    <n v="4"/>
    <n v="4"/>
    <n v="2744909412"/>
    <m/>
    <m/>
    <n v="5"/>
    <n v="1"/>
    <b v="0"/>
  </r>
  <r>
    <x v="292"/>
    <s v="danram"/>
    <n v="2.2000000000000002"/>
    <n v="0.74833147735478833"/>
    <s v="Greatness"/>
    <s v="Quavo"/>
    <n v="3"/>
    <n v="1"/>
    <n v="3"/>
    <n v="2"/>
    <n v="2"/>
    <m/>
    <m/>
    <m/>
    <n v="1"/>
    <n v="1"/>
    <b v="1"/>
  </r>
  <r>
    <x v="292"/>
    <s v="loganworsdell"/>
    <n v="3"/>
    <n v="1.4142135623730951"/>
    <s v="NEW PERSON SAME OLD JUGG"/>
    <s v="LEM, Young Nudy, Tame Impala"/>
    <n v="4"/>
    <n v="2"/>
    <n v="1"/>
    <n v="5"/>
    <n v="3"/>
    <n v="77376"/>
    <m/>
    <m/>
    <n v="2"/>
    <n v="1"/>
    <b v="0"/>
  </r>
  <r>
    <x v="292"/>
    <s v="samuelbattista"/>
    <n v="3.2"/>
    <n v="1.4696938456699069"/>
    <s v="Down with the Sickness"/>
    <s v="Disturbed"/>
    <n v="2"/>
    <n v="4"/>
    <n v="4"/>
    <n v="1"/>
    <n v="5"/>
    <m/>
    <m/>
    <m/>
    <n v="3"/>
    <n v="1"/>
    <b v="0"/>
  </r>
  <r>
    <x v="292"/>
    <s v="currydestroyer27"/>
    <n v="3.2"/>
    <n v="1.6"/>
    <s v="Like a Prayer - Choir Version"/>
    <s v="I'll Take You There"/>
    <n v="5"/>
    <n v="5"/>
    <n v="2"/>
    <n v="3"/>
    <n v="1"/>
    <n v="134528498"/>
    <m/>
    <m/>
    <n v="4"/>
    <n v="1"/>
    <b v="0"/>
  </r>
  <r>
    <x v="293"/>
    <s v="alappatjoe"/>
    <n v="3"/>
    <n v="1.2649110640673518"/>
    <s v="Betting Woman"/>
    <s v="Ella Maddux"/>
    <n v="1"/>
    <n v="2"/>
    <n v="4"/>
    <n v="4"/>
    <n v="4"/>
    <n v="117001"/>
    <m/>
    <m/>
    <n v="2"/>
    <n v="1"/>
    <b v="0"/>
  </r>
  <r>
    <x v="293"/>
    <s v="danram"/>
    <n v="3"/>
    <n v="1.2649110640673518"/>
    <s v="KETU TeCRÉ"/>
    <s v="Bad Bunny"/>
    <n v="3"/>
    <n v="1"/>
    <n v="3"/>
    <n v="3"/>
    <n v="5"/>
    <m/>
    <m/>
    <m/>
    <n v="2"/>
    <n v="1"/>
    <b v="0"/>
  </r>
  <r>
    <x v="293"/>
    <s v="loganworsdell"/>
    <n v="3.4"/>
    <n v="1.6248076809271921"/>
    <s v="START UP A RUMOUR"/>
    <s v="Sam Gellaitry"/>
    <n v="4"/>
    <n v="5"/>
    <n v="1"/>
    <n v="5"/>
    <n v="2"/>
    <n v="2036863"/>
    <m/>
    <m/>
    <n v="4"/>
    <n v="1"/>
    <b v="0"/>
  </r>
  <r>
    <x v="293"/>
    <s v="samuelbattista"/>
    <n v="3.6"/>
    <n v="1.4966629547095767"/>
    <s v="Happy Birthday"/>
    <s v="Black Country, New Road"/>
    <n v="5"/>
    <n v="4"/>
    <n v="5"/>
    <n v="1"/>
    <n v="3"/>
    <m/>
    <m/>
    <m/>
    <n v="5"/>
    <n v="1"/>
    <b v="0"/>
  </r>
  <r>
    <x v="293"/>
    <s v="currydestroyer27"/>
    <n v="2"/>
    <n v="0.63245553203367588"/>
    <s v="You Say Run"/>
    <s v="Yuki Hayashi"/>
    <n v="2"/>
    <n v="3"/>
    <n v="2"/>
    <n v="2"/>
    <n v="1"/>
    <n v="91624662"/>
    <m/>
    <m/>
    <n v="1"/>
    <n v="1"/>
    <b v="1"/>
  </r>
  <r>
    <x v="294"/>
    <s v="alappatjoe"/>
    <n v="2.6"/>
    <n v="1.4966629547095767"/>
    <s v="At the Top of the World"/>
    <s v="LaKesha Nugent"/>
    <n v="1"/>
    <n v="1"/>
    <n v="3"/>
    <n v="5"/>
    <n v="3"/>
    <n v="2554848"/>
    <m/>
    <m/>
    <n v="2"/>
    <n v="1"/>
    <b v="0"/>
  </r>
  <r>
    <x v="294"/>
    <s v="danram"/>
    <n v="3.2"/>
    <n v="1.1661903789690602"/>
    <s v="Death Cup"/>
    <s v="Mom Jeans"/>
    <n v="3"/>
    <n v="2"/>
    <n v="5"/>
    <n v="2"/>
    <n v="4"/>
    <m/>
    <m/>
    <m/>
    <n v="3"/>
    <n v="1"/>
    <b v="0"/>
  </r>
  <r>
    <x v="294"/>
    <s v="loganworsdell"/>
    <n v="3.6"/>
    <n v="1.3564659966250536"/>
    <s v="Compliance"/>
    <s v="Muse"/>
    <n v="2"/>
    <n v="5"/>
    <n v="2"/>
    <n v="4"/>
    <n v="5"/>
    <n v="39364699"/>
    <m/>
    <m/>
    <n v="5"/>
    <n v="1"/>
    <b v="0"/>
  </r>
  <r>
    <x v="294"/>
    <s v="samuelbattista"/>
    <n v="2.4"/>
    <n v="1.4966629547095767"/>
    <s v="Today"/>
    <s v="The Smashing Pumpkins"/>
    <n v="5"/>
    <n v="3"/>
    <n v="1"/>
    <n v="1"/>
    <n v="2"/>
    <m/>
    <m/>
    <m/>
    <n v="1"/>
    <n v="1"/>
    <b v="1"/>
  </r>
  <r>
    <x v="294"/>
    <s v="currydestroyer27"/>
    <n v="3.2"/>
    <n v="1.1661903789690602"/>
    <s v="August"/>
    <s v="flipturn"/>
    <n v="4"/>
    <n v="4"/>
    <n v="4"/>
    <n v="3"/>
    <n v="1"/>
    <n v="80792120"/>
    <m/>
    <m/>
    <n v="3"/>
    <n v="1"/>
    <b v="0"/>
  </r>
  <r>
    <x v="295"/>
    <s v="alappatjoe"/>
    <n v="2"/>
    <n v="0.89442719099991586"/>
    <s v="hair down"/>
    <s v="thủy"/>
    <n v="1"/>
    <n v="1"/>
    <n v="2"/>
    <n v="3"/>
    <n v="3"/>
    <n v="4459280"/>
    <m/>
    <m/>
    <n v="1"/>
    <n v="1"/>
    <b v="1"/>
  </r>
  <r>
    <x v="295"/>
    <s v="danram"/>
    <n v="3.8"/>
    <n v="1.1661903789690602"/>
    <s v="Dream A Little Dream Of Me"/>
    <s v="Ella Fitzgerald, Louis Armstrong"/>
    <n v="3"/>
    <n v="4"/>
    <n v="5"/>
    <n v="2"/>
    <n v="5"/>
    <m/>
    <m/>
    <m/>
    <n v="5"/>
    <n v="1"/>
    <b v="0"/>
  </r>
  <r>
    <x v="295"/>
    <s v="loganworsdell"/>
    <n v="3.4"/>
    <n v="1.3564659966250536"/>
    <s v="GEEKIN"/>
    <s v="DavidTheTragic, Kenny Mason"/>
    <n v="5"/>
    <n v="2"/>
    <n v="3"/>
    <n v="5"/>
    <n v="2"/>
    <n v="17741"/>
    <m/>
    <m/>
    <n v="4"/>
    <n v="1"/>
    <b v="0"/>
  </r>
  <r>
    <x v="295"/>
    <s v="samuelbattista"/>
    <n v="3.2"/>
    <n v="1.4696938456699069"/>
    <s v="Don't Take Me Alive"/>
    <s v="Steely Dan"/>
    <n v="2"/>
    <n v="5"/>
    <n v="4"/>
    <n v="1"/>
    <n v="4"/>
    <m/>
    <m/>
    <m/>
    <n v="3"/>
    <n v="1"/>
    <b v="0"/>
  </r>
  <r>
    <x v="295"/>
    <s v="currydestroyer27"/>
    <n v="2.6"/>
    <n v="1.3564659966250536"/>
    <s v="Mr. Brightside"/>
    <s v="The Killers"/>
    <n v="4"/>
    <n v="3"/>
    <n v="1"/>
    <n v="4"/>
    <n v="1"/>
    <n v="2883211530"/>
    <m/>
    <m/>
    <n v="2"/>
    <n v="1"/>
    <b v="0"/>
  </r>
  <r>
    <x v="296"/>
    <s v="alappatjoe"/>
    <n v="2.8"/>
    <n v="1.6"/>
    <s v="Alter Ego"/>
    <s v="Doechii, JT"/>
    <n v="1"/>
    <n v="4"/>
    <n v="1"/>
    <n v="3"/>
    <n v="5"/>
    <n v="123603897"/>
    <m/>
    <m/>
    <n v="3"/>
    <n v="1"/>
    <b v="0"/>
  </r>
  <r>
    <x v="296"/>
    <s v="danram"/>
    <n v="2.6"/>
    <n v="1.019803902718557"/>
    <s v="Survivor"/>
    <s v="Destiny's Child"/>
    <n v="2"/>
    <n v="1"/>
    <n v="3"/>
    <n v="4"/>
    <n v="3"/>
    <m/>
    <m/>
    <m/>
    <n v="1"/>
    <n v="1"/>
    <b v="1"/>
  </r>
  <r>
    <x v="296"/>
    <s v="loganworsdell"/>
    <n v="3"/>
    <n v="0.89442719099991586"/>
    <s v="Pink Roses"/>
    <s v="Say She She"/>
    <n v="4"/>
    <n v="3"/>
    <n v="4"/>
    <n v="2"/>
    <n v="2"/>
    <n v="814362"/>
    <m/>
    <m/>
    <n v="4"/>
    <n v="1"/>
    <b v="0"/>
  </r>
  <r>
    <x v="296"/>
    <s v="samuelbattista"/>
    <n v="4"/>
    <n v="1.5491933384829668"/>
    <s v="Somethin' Bad"/>
    <s v="Miranda Lambert, Carrie Underwood"/>
    <n v="5"/>
    <n v="5"/>
    <n v="5"/>
    <n v="1"/>
    <n v="4"/>
    <m/>
    <m/>
    <m/>
    <n v="5"/>
    <n v="1"/>
    <b v="0"/>
  </r>
  <r>
    <x v="296"/>
    <s v="currydestroyer27"/>
    <n v="2.6"/>
    <n v="1.3564659966250536"/>
    <s v="DRUM GO DUM"/>
    <s v="K/DA, Wolftyla, Bekuh Boom, Aluna, League of Legends"/>
    <n v="3"/>
    <n v="2"/>
    <n v="2"/>
    <n v="5"/>
    <n v="1"/>
    <n v="116439807"/>
    <m/>
    <m/>
    <n v="2"/>
    <n v="1"/>
    <b v="0"/>
  </r>
  <r>
    <x v="297"/>
    <s v="alappatjoe"/>
    <n v="3"/>
    <n v="0.63245553203367588"/>
    <s v="hella jealous"/>
    <s v="TYLER LEWIS"/>
    <n v="2"/>
    <n v="3"/>
    <n v="3"/>
    <n v="3"/>
    <n v="4"/>
    <n v="175039"/>
    <m/>
    <m/>
    <n v="3"/>
    <n v="1"/>
    <b v="0"/>
  </r>
  <r>
    <x v="297"/>
    <s v="danram"/>
    <n v="5"/>
    <n v="0"/>
    <s v="Flamingo"/>
    <s v="Kero Kero Bonito"/>
    <n v="5"/>
    <n v="5"/>
    <n v="5"/>
    <n v="5"/>
    <n v="5"/>
    <m/>
    <m/>
    <m/>
    <n v="5"/>
    <n v="1"/>
    <b v="0"/>
  </r>
  <r>
    <x v="297"/>
    <s v="loganworsdell"/>
    <n v="2.4"/>
    <n v="1.019803902718557"/>
    <s v="Outside All Night"/>
    <s v="Brent Faiyaz, N3WYRKLA, A$AP Rocky"/>
    <n v="3"/>
    <n v="2"/>
    <n v="1"/>
    <n v="4"/>
    <n v="2"/>
    <n v="91725718"/>
    <m/>
    <m/>
    <n v="2"/>
    <n v="1"/>
    <b v="0"/>
  </r>
  <r>
    <x v="297"/>
    <s v="samuelbattista"/>
    <n v="3.2"/>
    <n v="1.1661903789690602"/>
    <s v="Fly"/>
    <s v="Wishy"/>
    <n v="4"/>
    <n v="4"/>
    <n v="4"/>
    <n v="1"/>
    <n v="3"/>
    <m/>
    <m/>
    <m/>
    <n v="4"/>
    <n v="1"/>
    <b v="0"/>
  </r>
  <r>
    <x v="297"/>
    <s v="currydestroyer27"/>
    <n v="1.4"/>
    <n v="0.4898979485566356"/>
    <s v="Dark Necessities"/>
    <s v="Red Hot Chili Peppers"/>
    <n v="1"/>
    <n v="1"/>
    <n v="2"/>
    <n v="2"/>
    <n v="1"/>
    <n v="604699673"/>
    <m/>
    <m/>
    <n v="1"/>
    <n v="1"/>
    <b v="1"/>
  </r>
  <r>
    <x v="298"/>
    <s v="alappatjoe"/>
    <n v="2.2000000000000002"/>
    <n v="0.74833147735478833"/>
    <s v="FOMO"/>
    <s v="Amber Mark"/>
    <n v="1"/>
    <n v="3"/>
    <n v="2"/>
    <n v="3"/>
    <n v="2"/>
    <n v="2687646"/>
    <m/>
    <m/>
    <n v="2"/>
    <n v="1"/>
    <b v="0"/>
  </r>
  <r>
    <x v="298"/>
    <s v="danram"/>
    <n v="2"/>
    <n v="0.89442719099991586"/>
    <s v="Selfish"/>
    <s v="PnB Rock"/>
    <n v="3"/>
    <n v="1"/>
    <n v="1"/>
    <n v="2"/>
    <n v="3"/>
    <m/>
    <m/>
    <m/>
    <n v="1"/>
    <n v="1"/>
    <b v="1"/>
  </r>
  <r>
    <x v="298"/>
    <s v="loganworsdell"/>
    <n v="4.4000000000000004"/>
    <n v="0.4898979485566356"/>
    <s v="Soft"/>
    <s v="LANY"/>
    <n v="4"/>
    <n v="5"/>
    <n v="4"/>
    <n v="5"/>
    <n v="4"/>
    <n v="5574221"/>
    <m/>
    <m/>
    <n v="5"/>
    <n v="1"/>
    <b v="0"/>
  </r>
  <r>
    <x v="298"/>
    <s v="samuelbattista"/>
    <n v="4"/>
    <n v="1.5491933384829668"/>
    <s v="Love Takes Miles"/>
    <s v="Cameron Winter"/>
    <n v="5"/>
    <n v="4"/>
    <n v="5"/>
    <n v="1"/>
    <n v="5"/>
    <m/>
    <m/>
    <m/>
    <n v="4"/>
    <n v="1"/>
    <b v="0"/>
  </r>
  <r>
    <x v="298"/>
    <s v="currydestroyer27"/>
    <n v="2.4"/>
    <n v="1.019803902718557"/>
    <s v="Radio"/>
    <s v="Bershy"/>
    <n v="2"/>
    <n v="2"/>
    <n v="3"/>
    <n v="4"/>
    <n v="1"/>
    <n v="14600593"/>
    <m/>
    <m/>
    <n v="3"/>
    <n v="1"/>
    <b v="0"/>
  </r>
  <r>
    <x v="299"/>
    <s v="alappatjoe"/>
    <n v="1.6"/>
    <n v="0.4898979485566356"/>
    <s v="nah"/>
    <s v="Khalid"/>
    <n v="1"/>
    <n v="2"/>
    <n v="1"/>
    <n v="2"/>
    <n v="2"/>
    <n v="10420999"/>
    <m/>
    <m/>
    <n v="1"/>
    <n v="1"/>
    <b v="1"/>
  </r>
  <r>
    <x v="299"/>
    <s v="danram"/>
    <n v="1.8"/>
    <n v="0.74833147735478833"/>
    <s v="VOY A LLeVARTE PA PR"/>
    <s v="Bad Bunny"/>
    <n v="2"/>
    <n v="1"/>
    <n v="2"/>
    <n v="1"/>
    <n v="3"/>
    <m/>
    <m/>
    <m/>
    <n v="2"/>
    <n v="1"/>
    <b v="0"/>
  </r>
  <r>
    <x v="299"/>
    <s v="loganworsdell"/>
    <n v="4.4000000000000004"/>
    <n v="0.8"/>
    <s v="F*Me"/>
    <s v="Shygirl, Club Shy, Yseult"/>
    <n v="5"/>
    <n v="5"/>
    <n v="3"/>
    <n v="4"/>
    <n v="5"/>
    <n v="5904596"/>
    <m/>
    <m/>
    <n v="5"/>
    <n v="1"/>
    <b v="0"/>
  </r>
  <r>
    <x v="299"/>
    <s v="samuelbattista"/>
    <n v="4"/>
    <n v="0.63245553203367588"/>
    <s v="Long Game"/>
    <s v="Emily Nenni"/>
    <n v="4"/>
    <n v="4"/>
    <n v="5"/>
    <n v="3"/>
    <n v="4"/>
    <m/>
    <m/>
    <m/>
    <n v="4"/>
    <n v="1"/>
    <b v="0"/>
  </r>
  <r>
    <x v="299"/>
    <s v="currydestroyer27"/>
    <n v="3.2"/>
    <n v="1.3266499161421599"/>
    <s v="UNDEAD"/>
    <s v="YOASOBI"/>
    <n v="3"/>
    <n v="3"/>
    <n v="4"/>
    <n v="5"/>
    <n v="1"/>
    <n v="68471199"/>
    <s v="International"/>
    <s v="J-Pop"/>
    <n v="3"/>
    <n v="1"/>
    <b v="0"/>
  </r>
  <r>
    <x v="300"/>
    <s v="alappatjoe"/>
    <n v="4.2"/>
    <n v="0.9797958971132712"/>
    <s v="Kung Fu Fighting"/>
    <s v="Carl Douglas"/>
    <n v="3"/>
    <n v="5"/>
    <n v="5"/>
    <n v="3"/>
    <n v="5"/>
    <n v="304986622"/>
    <m/>
    <m/>
    <n v="5"/>
    <n v="1"/>
    <b v="0"/>
  </r>
  <r>
    <x v="300"/>
    <s v="danram"/>
    <n v="3.2"/>
    <n v="1.833030277982336"/>
    <s v="We Are Charlie Kirk"/>
    <s v="Spalexma"/>
    <n v="5"/>
    <n v="1"/>
    <n v="4"/>
    <n v="5"/>
    <n v="1"/>
    <m/>
    <m/>
    <m/>
    <n v="4"/>
    <n v="1"/>
    <b v="0"/>
  </r>
  <r>
    <x v="300"/>
    <s v="loganworsdell"/>
    <n v="3"/>
    <n v="1.0954451150103321"/>
    <s v="FDT"/>
    <s v="YG, Nipsey Hussle"/>
    <n v="1"/>
    <n v="4"/>
    <n v="3"/>
    <n v="4"/>
    <n v="3"/>
    <n v="44205572"/>
    <m/>
    <m/>
    <n v="3"/>
    <n v="1"/>
    <b v="0"/>
  </r>
  <r>
    <x v="300"/>
    <s v="samuelbattista"/>
    <n v="2"/>
    <n v="1.0954451150103321"/>
    <s v="100 Horses"/>
    <s v="Geese"/>
    <n v="2"/>
    <n v="2"/>
    <n v="1"/>
    <n v="1"/>
    <n v="4"/>
    <m/>
    <m/>
    <m/>
    <n v="1"/>
    <n v="1"/>
    <b v="1"/>
  </r>
  <r>
    <x v="300"/>
    <s v="currydestroyer27"/>
    <n v="2.6"/>
    <n v="0.8"/>
    <s v="Golden"/>
    <s v="HUNTR/X, EJAE, AUDREY NUNA, REI AMI, KPop Demon Hunters Cast"/>
    <n v="4"/>
    <n v="3"/>
    <n v="2"/>
    <n v="2"/>
    <n v="2"/>
    <n v="1115299910"/>
    <s v="International"/>
    <s v="K-Pop"/>
    <n v="2"/>
    <n v="1"/>
    <b v="0"/>
  </r>
  <r>
    <x v="301"/>
    <s v="alappatjoe"/>
    <n v="3"/>
    <n v="1.0954451150103321"/>
    <s v="cut"/>
    <s v="Tori Kelly"/>
    <n v="1"/>
    <n v="4"/>
    <n v="3"/>
    <n v="3"/>
    <n v="4"/>
    <n v="7794487"/>
    <m/>
    <m/>
    <n v="3"/>
    <n v="1"/>
    <b v="0"/>
  </r>
  <r>
    <x v="301"/>
    <s v="danram"/>
    <n v="4.8"/>
    <n v="0.39999999999999997"/>
    <s v="El Dueno De Tu Amor"/>
    <s v="Danny Lux"/>
    <n v="5"/>
    <n v="5"/>
    <n v="5"/>
    <n v="4"/>
    <n v="5"/>
    <m/>
    <m/>
    <m/>
    <n v="5"/>
    <n v="1"/>
    <b v="0"/>
  </r>
  <r>
    <x v="301"/>
    <s v="loganworsdell"/>
    <n v="3.2"/>
    <n v="1.1661903789690602"/>
    <s v="LET'S JUST CRASH"/>
    <s v="Mori Calliope"/>
    <n v="4"/>
    <n v="3"/>
    <n v="2"/>
    <n v="5"/>
    <n v="2"/>
    <n v="1890020"/>
    <m/>
    <m/>
    <n v="4"/>
    <n v="1"/>
    <b v="0"/>
  </r>
  <r>
    <x v="301"/>
    <s v="samuelbattista"/>
    <n v="1.8"/>
    <n v="0.9797958971132712"/>
    <n v="1979"/>
    <s v="The Smashing Pumpkins"/>
    <n v="3"/>
    <n v="1"/>
    <n v="1"/>
    <n v="1"/>
    <n v="3"/>
    <m/>
    <m/>
    <m/>
    <n v="1"/>
    <n v="1"/>
    <b v="1"/>
  </r>
  <r>
    <x v="301"/>
    <s v="currydestroyer27"/>
    <n v="2.2000000000000002"/>
    <n v="0.9797958971132712"/>
    <s v="My Old Ways"/>
    <s v="Tame Impala"/>
    <n v="2"/>
    <n v="2"/>
    <n v="4"/>
    <n v="2"/>
    <n v="1"/>
    <n v="37589054"/>
    <m/>
    <m/>
    <n v="2"/>
    <n v="1"/>
    <b v="0"/>
  </r>
  <r>
    <x v="302"/>
    <s v="alappatjoe"/>
    <n v="3.4"/>
    <n v="1.4966629547095767"/>
    <s v="Muscle Memory"/>
    <s v="kamille, Nile Rodgers"/>
    <n v="1"/>
    <n v="5"/>
    <n v="3"/>
    <n v="5"/>
    <n v="3"/>
    <n v="1249971"/>
    <m/>
    <m/>
    <n v="5"/>
    <n v="1"/>
    <b v="0"/>
  </r>
  <r>
    <x v="302"/>
    <s v="danram"/>
    <n v="3.2"/>
    <n v="1.6"/>
    <s v="safety"/>
    <s v="2hollis"/>
    <n v="5"/>
    <n v="3"/>
    <n v="1"/>
    <n v="2"/>
    <n v="5"/>
    <m/>
    <m/>
    <m/>
    <n v="4"/>
    <n v="1"/>
    <b v="0"/>
  </r>
  <r>
    <x v="302"/>
    <s v="loganworsdell"/>
    <n v="2.8"/>
    <n v="1.1661903789690602"/>
    <s v="Genziara"/>
    <s v="GENZIE"/>
    <n v="3"/>
    <n v="1"/>
    <n v="2"/>
    <n v="4"/>
    <n v="4"/>
    <n v="35252384"/>
    <m/>
    <m/>
    <n v="2"/>
    <n v="1"/>
    <b v="0"/>
  </r>
  <r>
    <x v="302"/>
    <s v="samuelbattista"/>
    <n v="3.2"/>
    <n v="1.4696938456699069"/>
    <s v="MONDAY"/>
    <s v="Quadeca"/>
    <n v="4"/>
    <n v="4"/>
    <n v="5"/>
    <n v="1"/>
    <n v="2"/>
    <m/>
    <m/>
    <m/>
    <n v="3"/>
    <n v="1"/>
    <b v="0"/>
  </r>
  <r>
    <x v="302"/>
    <s v="currydestroyer27"/>
    <n v="2.4"/>
    <n v="1.019803902718557"/>
    <s v="her"/>
    <s v="JVKE, Annika Wells"/>
    <n v="2"/>
    <n v="2"/>
    <n v="4"/>
    <n v="3"/>
    <n v="1"/>
    <n v="11157250"/>
    <m/>
    <m/>
    <n v="1"/>
    <n v="1"/>
    <b v="1"/>
  </r>
  <r>
    <x v="303"/>
    <s v="alappatjoe"/>
    <n v="3"/>
    <n v="1.6733200530681511"/>
    <s v="Sun Spat"/>
    <s v="EMEFE"/>
    <n v="1"/>
    <n v="2"/>
    <n v="5"/>
    <n v="2"/>
    <n v="5"/>
    <n v="3130178"/>
    <m/>
    <m/>
    <n v="3"/>
    <n v="1"/>
    <b v="0"/>
  </r>
  <r>
    <x v="303"/>
    <s v="danram"/>
    <n v="2.8"/>
    <n v="1.6"/>
    <s v="SOMETHING ABOU T YOU"/>
    <s v="Drake, PARTYNEXTDOOR"/>
    <n v="5"/>
    <n v="1"/>
    <n v="3"/>
    <n v="4"/>
    <n v="1"/>
    <m/>
    <m/>
    <m/>
    <n v="2"/>
    <n v="1"/>
    <b v="0"/>
  </r>
  <r>
    <x v="303"/>
    <s v="loganworsdell"/>
    <n v="2.4"/>
    <n v="0.8"/>
    <s v="PASAJERO"/>
    <s v="Mora"/>
    <n v="2"/>
    <n v="3"/>
    <n v="1"/>
    <n v="3"/>
    <n v="3"/>
    <n v="98967162"/>
    <m/>
    <m/>
    <n v="1"/>
    <n v="1"/>
    <b v="1"/>
  </r>
  <r>
    <x v="303"/>
    <s v="samuelbattista"/>
    <n v="3.2"/>
    <n v="1.1661903789690602"/>
    <s v="最後の楽園"/>
    <s v="Haruomi Hosono"/>
    <n v="3"/>
    <n v="4"/>
    <n v="4"/>
    <n v="1"/>
    <n v="4"/>
    <m/>
    <m/>
    <m/>
    <n v="4"/>
    <n v="1"/>
    <b v="0"/>
  </r>
  <r>
    <x v="303"/>
    <s v="currydestroyer27"/>
    <n v="3.6"/>
    <n v="1.3564659966250536"/>
    <s v="Off the Wall!"/>
    <s v="XXXTENTACION, Ski Mask the Slump God"/>
    <n v="4"/>
    <n v="5"/>
    <n v="2"/>
    <n v="5"/>
    <n v="2"/>
    <n v="157307754"/>
    <m/>
    <m/>
    <n v="5"/>
    <n v="1"/>
    <b v="0"/>
  </r>
  <r>
    <x v="304"/>
    <s v="alappatjoe"/>
    <n v="3.2"/>
    <n v="1.1661903789690602"/>
    <s v="euphoria"/>
    <s v="Kendrick Lamar"/>
    <n v="2"/>
    <n v="4"/>
    <n v="5"/>
    <n v="3"/>
    <n v="2"/>
    <n v="435208155"/>
    <m/>
    <m/>
    <n v="3"/>
    <n v="1"/>
    <b v="0"/>
  </r>
  <r>
    <x v="304"/>
    <s v="danram"/>
    <n v="2.4"/>
    <n v="1.3564659966250536"/>
    <s v="Hit 'Em Up"/>
    <s v="2Pac, Outlawz"/>
    <n v="1"/>
    <n v="2"/>
    <n v="2"/>
    <n v="2"/>
    <n v="5"/>
    <m/>
    <m/>
    <m/>
    <n v="2"/>
    <n v="1"/>
    <b v="0"/>
  </r>
  <r>
    <x v="304"/>
    <s v="loganworsdell"/>
    <n v="1.4"/>
    <n v="0.8"/>
    <s v="I Hope"/>
    <s v="Jay Lewis, Gorilla Mode Dezz, Mista Cain"/>
    <n v="3"/>
    <n v="1"/>
    <n v="1"/>
    <n v="1"/>
    <n v="1"/>
    <n v="24008703"/>
    <m/>
    <m/>
    <n v="1"/>
    <n v="1"/>
    <b v="1"/>
  </r>
  <r>
    <x v="304"/>
    <s v="samuelbattista"/>
    <n v="4"/>
    <n v="0.63245553203367588"/>
    <s v="Fuck You"/>
    <s v="CeeLo Green"/>
    <n v="4"/>
    <n v="5"/>
    <n v="3"/>
    <n v="4"/>
    <n v="4"/>
    <m/>
    <m/>
    <m/>
    <n v="4"/>
    <n v="1"/>
    <b v="0"/>
  </r>
  <r>
    <x v="304"/>
    <s v="currydestroyer27"/>
    <n v="4"/>
    <n v="0.89442719099991586"/>
    <s v="I Don't Fuck With You"/>
    <s v="Big Sean, E-40"/>
    <n v="5"/>
    <n v="3"/>
    <n v="4"/>
    <n v="5"/>
    <n v="3"/>
    <n v="901848484"/>
    <m/>
    <m/>
    <n v="5"/>
    <n v="1"/>
    <b v="0"/>
  </r>
  <r>
    <x v="305"/>
    <s v="alappatjoe"/>
    <n v="3"/>
    <n v="1.6733200530681511"/>
    <s v="SUGA ON THE RIM"/>
    <s v="Kyle Dion"/>
    <n v="1"/>
    <n v="5"/>
    <n v="2"/>
    <n v="5"/>
    <n v="2"/>
    <n v="372740"/>
    <m/>
    <m/>
    <n v="4"/>
    <n v="1"/>
    <b v="0"/>
  </r>
  <r>
    <x v="305"/>
    <s v="danram"/>
    <n v="4.5999999999999996"/>
    <n v="0.4898979485566356"/>
    <s v="Heaven or Las Vegas"/>
    <s v="Cocteau Twins"/>
    <n v="5"/>
    <n v="4"/>
    <n v="5"/>
    <n v="4"/>
    <n v="5"/>
    <m/>
    <m/>
    <m/>
    <n v="5"/>
    <n v="1"/>
    <b v="0"/>
  </r>
  <r>
    <x v="305"/>
    <s v="loganworsdell"/>
    <n v="2.6"/>
    <n v="1.019803902718557"/>
    <s v="THE SUN"/>
    <s v="KayCyy, Gesaffelstein"/>
    <n v="4"/>
    <n v="2"/>
    <n v="1"/>
    <n v="3"/>
    <n v="3"/>
    <n v="17683058"/>
    <m/>
    <m/>
    <n v="2"/>
    <n v="1"/>
    <b v="0"/>
  </r>
  <r>
    <x v="305"/>
    <s v="samuelbattista"/>
    <n v="2.6"/>
    <n v="1.3564659966250536"/>
    <s v="RYDEEN"/>
    <s v="YELLOW MAGIC ORCHESTRA"/>
    <n v="3"/>
    <n v="1"/>
    <n v="4"/>
    <n v="1"/>
    <n v="4"/>
    <m/>
    <m/>
    <m/>
    <n v="3"/>
    <n v="1"/>
    <b v="0"/>
  </r>
  <r>
    <x v="305"/>
    <s v="currydestroyer27"/>
    <n v="2.2000000000000002"/>
    <n v="0.74833147735478833"/>
    <s v="veil"/>
    <s v="須田景凪"/>
    <n v="2"/>
    <n v="3"/>
    <n v="3"/>
    <n v="2"/>
    <n v="1"/>
    <n v="112881295"/>
    <s v="International"/>
    <s v="J-Pop"/>
    <n v="1"/>
    <n v="1"/>
    <b v="1"/>
  </r>
  <r>
    <x v="306"/>
    <s v="alappatjoe"/>
    <n v="3"/>
    <n v="1.0954451150103321"/>
    <s v="yūsei"/>
    <s v="yesmcx"/>
    <n v="1"/>
    <n v="4"/>
    <n v="4"/>
    <n v="3"/>
    <n v="3"/>
    <n v="849914"/>
    <m/>
    <m/>
    <n v="3"/>
    <n v="1"/>
    <b v="0"/>
  </r>
  <r>
    <x v="306"/>
    <s v="danram"/>
    <n v="2.2000000000000002"/>
    <n v="0.74833147735478833"/>
    <s v="Black Star"/>
    <s v="Radiohead"/>
    <n v="3"/>
    <n v="1"/>
    <n v="3"/>
    <n v="2"/>
    <n v="2"/>
    <m/>
    <m/>
    <m/>
    <n v="2"/>
    <n v="1"/>
    <b v="0"/>
  </r>
  <r>
    <x v="306"/>
    <s v="loganworsdell"/>
    <n v="2"/>
    <n v="1.0954451150103321"/>
    <s v="God Save The Girl"/>
    <s v="Riovaz"/>
    <n v="2"/>
    <n v="2"/>
    <n v="1"/>
    <n v="4"/>
    <n v="1"/>
    <n v="8924805"/>
    <m/>
    <m/>
    <n v="1"/>
    <n v="1"/>
    <b v="1"/>
  </r>
  <r>
    <x v="306"/>
    <s v="samuelbattista"/>
    <n v="3.4"/>
    <n v="1.3564659966250536"/>
    <s v="Guitars, Cadillacs"/>
    <s v="Dwight Yoakam"/>
    <n v="4"/>
    <n v="3"/>
    <n v="5"/>
    <n v="1"/>
    <n v="4"/>
    <m/>
    <m/>
    <m/>
    <n v="4"/>
    <n v="1"/>
    <b v="0"/>
  </r>
  <r>
    <x v="306"/>
    <s v="currydestroyer27"/>
    <n v="4.4000000000000004"/>
    <n v="1.2"/>
    <s v="evangelium"/>
    <s v="Nyu"/>
    <n v="5"/>
    <n v="5"/>
    <n v="2"/>
    <n v="5"/>
    <n v="5"/>
    <n v="9713"/>
    <m/>
    <m/>
    <n v="5"/>
    <n v="1"/>
    <b v="0"/>
  </r>
  <r>
    <x v="307"/>
    <s v="alappatjoe"/>
    <n v="3.4"/>
    <n v="1.6248076809271921"/>
    <s v="Hair Down"/>
    <s v="SiR, Kendrick Lamar"/>
    <n v="1"/>
    <n v="5"/>
    <n v="4"/>
    <n v="5"/>
    <n v="2"/>
    <n v="180210079"/>
    <m/>
    <m/>
    <n v="4"/>
    <n v="1"/>
    <b v="0"/>
  </r>
  <r>
    <x v="307"/>
    <s v="danram"/>
    <n v="3.6"/>
    <n v="1.2"/>
    <s v="I'll Fly Away"/>
    <s v="Treme Brass Band"/>
    <n v="2"/>
    <n v="3"/>
    <n v="5"/>
    <n v="3"/>
    <n v="5"/>
    <m/>
    <m/>
    <m/>
    <n v="5"/>
    <n v="1"/>
    <b v="0"/>
  </r>
  <r>
    <x v="307"/>
    <s v="loganworsdell"/>
    <n v="3.4"/>
    <n v="1.2"/>
    <s v="People's Choice"/>
    <s v="Jansport J, Coast Contra"/>
    <n v="5"/>
    <n v="4"/>
    <n v="2"/>
    <n v="2"/>
    <n v="4"/>
    <n v="323619"/>
    <m/>
    <m/>
    <n v="3"/>
    <n v="1"/>
    <b v="0"/>
  </r>
  <r>
    <x v="307"/>
    <s v="samuelbattista"/>
    <n v="2.4"/>
    <n v="0.8"/>
    <s v="風街ろまん"/>
    <s v="Happy End"/>
    <n v="3"/>
    <n v="2"/>
    <n v="3"/>
    <n v="1"/>
    <n v="3"/>
    <m/>
    <m/>
    <m/>
    <n v="2"/>
    <n v="1"/>
    <b v="0"/>
  </r>
  <r>
    <x v="307"/>
    <s v="currydestroyer27"/>
    <n v="2.2000000000000002"/>
    <n v="1.4696938456699069"/>
    <s v="Trunks"/>
    <s v="A$AP Rocky"/>
    <n v="4"/>
    <n v="1"/>
    <n v="1"/>
    <n v="4"/>
    <n v="1"/>
    <n v="21178971"/>
    <m/>
    <m/>
    <n v="1"/>
    <n v="1"/>
    <b v="1"/>
  </r>
  <r>
    <x v="308"/>
    <s v="alappatjoe"/>
    <n v="2.6"/>
    <n v="1.019803902718557"/>
    <s v="A Nonsense Christmas"/>
    <s v="Sabrina Carpenter"/>
    <n v="1"/>
    <n v="2"/>
    <n v="4"/>
    <n v="3"/>
    <n v="3"/>
    <n v="204286106"/>
    <m/>
    <m/>
    <n v="3"/>
    <n v="1"/>
    <b v="0"/>
  </r>
  <r>
    <x v="308"/>
    <s v="danram"/>
    <n v="2"/>
    <n v="1.2649110640673518"/>
    <s v="Wonderful Christmastime"/>
    <s v="Paul McCartney"/>
    <n v="3"/>
    <n v="1"/>
    <n v="1"/>
    <n v="1"/>
    <n v="4"/>
    <m/>
    <m/>
    <m/>
    <n v="2"/>
    <n v="1"/>
    <b v="0"/>
  </r>
  <r>
    <x v="308"/>
    <s v="loganworsdell"/>
    <n v="3.4"/>
    <n v="0.8"/>
    <s v="Jingle Bell Rock"/>
    <s v="aespa"/>
    <n v="4"/>
    <n v="4"/>
    <n v="3"/>
    <n v="4"/>
    <n v="2"/>
    <n v="12423526"/>
    <m/>
    <m/>
    <n v="4"/>
    <n v="1"/>
    <b v="0"/>
  </r>
  <r>
    <x v="308"/>
    <s v="samuelbattista"/>
    <n v="5"/>
    <n v="0"/>
    <s v="Santa Claus And His Old Lady"/>
    <s v="Cheech &amp; Chong"/>
    <n v="5"/>
    <n v="5"/>
    <n v="5"/>
    <n v="5"/>
    <n v="5"/>
    <m/>
    <m/>
    <m/>
    <n v="5"/>
    <n v="1"/>
    <b v="0"/>
  </r>
  <r>
    <x v="308"/>
    <s v="currydestroyer27"/>
    <n v="2"/>
    <n v="0.63245553203367588"/>
    <s v="Carol of the Bells"/>
    <s v="Cathedral Choir"/>
    <n v="2"/>
    <n v="3"/>
    <n v="2"/>
    <n v="2"/>
    <n v="1"/>
    <n v="14721426"/>
    <m/>
    <m/>
    <n v="1"/>
    <n v="1"/>
    <b v="1"/>
  </r>
  <r>
    <x v="309"/>
    <s v="alappatjoe"/>
    <n v="3"/>
    <n v="1.6733200530681511"/>
    <s v="SOULSOUP"/>
    <s v="OFFICIAL HIGE DANDISM"/>
    <n v="1"/>
    <n v="2"/>
    <n v="5"/>
    <n v="2"/>
    <n v="5"/>
    <n v="44388974"/>
    <m/>
    <m/>
    <n v="3"/>
    <n v="1"/>
    <b v="0"/>
  </r>
  <r>
    <x v="309"/>
    <s v="danram"/>
    <n v="3.8"/>
    <n v="0.4"/>
    <s v="Preoccupied"/>
    <s v="Mac DeMarco"/>
    <n v="4"/>
    <n v="4"/>
    <n v="4"/>
    <n v="3"/>
    <n v="4"/>
    <m/>
    <m/>
    <m/>
    <n v="5"/>
    <n v="1"/>
    <b v="0"/>
  </r>
  <r>
    <x v="309"/>
    <s v="loganworsdell"/>
    <n v="3"/>
    <n v="1.0954451150103321"/>
    <s v="Tainted Glow"/>
    <s v="Ferdous"/>
    <n v="3"/>
    <n v="3"/>
    <n v="2"/>
    <n v="5"/>
    <n v="2"/>
    <n v="64738"/>
    <m/>
    <m/>
    <n v="2"/>
    <n v="1"/>
    <b v="0"/>
  </r>
  <r>
    <x v="309"/>
    <s v="samuelbattista"/>
    <n v="2"/>
    <n v="0.89442719099991586"/>
    <s v="Layla"/>
    <s v="Derek &amp; The Dominos"/>
    <n v="2"/>
    <n v="1"/>
    <n v="3"/>
    <n v="1"/>
    <n v="3"/>
    <m/>
    <m/>
    <m/>
    <n v="1"/>
    <n v="1"/>
    <b v="1"/>
  </r>
  <r>
    <x v="309"/>
    <s v="currydestroyer27"/>
    <n v="3.2"/>
    <n v="1.833030277982336"/>
    <s v="Follow You"/>
    <s v="Bring Me The Horizon"/>
    <n v="5"/>
    <n v="5"/>
    <n v="1"/>
    <n v="4"/>
    <n v="1"/>
    <n v="29039747"/>
    <m/>
    <m/>
    <n v="4"/>
    <n v="1"/>
    <b v="0"/>
  </r>
  <r>
    <x v="310"/>
    <s v="alappatjoe"/>
    <n v="1.6"/>
    <n v="0.4898979485566356"/>
    <s v="Fly"/>
    <s v="Tone Stith"/>
    <n v="1"/>
    <n v="1"/>
    <n v="2"/>
    <n v="2"/>
    <n v="2"/>
    <n v="744690"/>
    <m/>
    <m/>
    <n v="1"/>
    <n v="1"/>
    <b v="1"/>
  </r>
  <r>
    <x v="310"/>
    <s v="danram"/>
    <n v="3.8"/>
    <n v="1.1661903789690602"/>
    <s v="Coral Cave"/>
    <s v="Ape Escape"/>
    <n v="2"/>
    <n v="3"/>
    <n v="4"/>
    <n v="5"/>
    <n v="5"/>
    <m/>
    <m/>
    <m/>
    <n v="5"/>
    <n v="1"/>
    <b v="0"/>
  </r>
  <r>
    <x v="310"/>
    <s v="loganworsdell"/>
    <n v="3.6"/>
    <n v="1.4966629547095767"/>
    <s v="Die4u"/>
    <s v="Bring Me The Horizon"/>
    <n v="5"/>
    <n v="5"/>
    <n v="1"/>
    <n v="3"/>
    <n v="4"/>
    <n v="123467482"/>
    <m/>
    <m/>
    <n v="4"/>
    <n v="1"/>
    <b v="0"/>
  </r>
  <r>
    <x v="310"/>
    <s v="samuelbattista"/>
    <n v="3"/>
    <n v="1.4142135623730951"/>
    <s v="Zombie"/>
    <s v="YUNGBLUD, The Smashing Pumpkins"/>
    <n v="4"/>
    <n v="2"/>
    <n v="5"/>
    <n v="1"/>
    <n v="3"/>
    <m/>
    <m/>
    <m/>
    <n v="3"/>
    <n v="1"/>
    <b v="0"/>
  </r>
  <r>
    <x v="310"/>
    <s v="currydestroyer27"/>
    <n v="3"/>
    <n v="1.0954451150103321"/>
    <s v="LOSER"/>
    <s v="Kenshi Yonezu"/>
    <n v="3"/>
    <n v="4"/>
    <n v="3"/>
    <n v="4"/>
    <n v="1"/>
    <n v="87835145"/>
    <s v="International"/>
    <s v="J-Pop"/>
    <n v="2"/>
    <n v="1"/>
    <b v="0"/>
  </r>
  <r>
    <x v="311"/>
    <s v="alappatjoe"/>
    <n v="3.8"/>
    <n v="0.74833147735478833"/>
    <s v="TOO BAD"/>
    <s v="G-DRAGON, Anderson .Paak"/>
    <n v="3"/>
    <n v="4"/>
    <n v="4"/>
    <n v="5"/>
    <n v="3"/>
    <n v="53835808"/>
    <m/>
    <m/>
    <n v="5"/>
    <n v="1"/>
    <b v="0"/>
  </r>
  <r>
    <x v="311"/>
    <s v="danram"/>
    <n v="2.8"/>
    <n v="1.3266499161421599"/>
    <s v="I MIXX U"/>
    <s v="Feid"/>
    <n v="5"/>
    <n v="1"/>
    <n v="3"/>
    <n v="3"/>
    <n v="2"/>
    <m/>
    <m/>
    <m/>
    <n v="2"/>
    <n v="1"/>
    <b v="0"/>
  </r>
  <r>
    <x v="311"/>
    <s v="loganworsdell"/>
    <n v="2.4"/>
    <n v="1.3564659966250536"/>
    <s v="RABBITHOLE"/>
    <s v="Emei"/>
    <n v="1"/>
    <n v="2"/>
    <n v="2"/>
    <n v="2"/>
    <n v="5"/>
    <n v="4395196"/>
    <m/>
    <m/>
    <n v="1"/>
    <n v="1"/>
    <b v="1"/>
  </r>
  <r>
    <x v="311"/>
    <s v="samuelbattista"/>
    <n v="3"/>
    <n v="1.6733200530681511"/>
    <s v="Jamie's Cryin'"/>
    <s v="Van Halen"/>
    <n v="4"/>
    <n v="5"/>
    <n v="1"/>
    <n v="1"/>
    <n v="4"/>
    <m/>
    <m/>
    <m/>
    <n v="4"/>
    <n v="1"/>
    <b v="0"/>
  </r>
  <r>
    <x v="311"/>
    <s v="currydestroyer27"/>
    <n v="3"/>
    <n v="1.4142135623730951"/>
    <s v="Ye Ishq Hai"/>
    <s v="Pritam, Shreya Ghoshai, Irshad Kamil"/>
    <n v="2"/>
    <n v="3"/>
    <n v="5"/>
    <n v="4"/>
    <n v="1"/>
    <n v="130297544"/>
    <s v="International"/>
    <m/>
    <n v="3"/>
    <n v="1"/>
    <b v="0"/>
  </r>
  <r>
    <x v="312"/>
    <s v="alappatjoe"/>
    <n v="1.8"/>
    <n v="1.1661903789690602"/>
    <s v="Hey Jude"/>
    <s v="The Beatles"/>
    <n v="1"/>
    <n v="1"/>
    <n v="1"/>
    <n v="2"/>
    <n v="4"/>
    <n v="722039358"/>
    <m/>
    <m/>
    <n v="1"/>
    <n v="1"/>
    <b v="1"/>
  </r>
  <r>
    <x v="312"/>
    <s v="danram"/>
    <n v="3.4"/>
    <n v="1.3564659966250536"/>
    <s v="Helter Skelter"/>
    <s v="The Beatles"/>
    <n v="2"/>
    <n v="2"/>
    <n v="5"/>
    <n v="3"/>
    <n v="5"/>
    <m/>
    <m/>
    <m/>
    <n v="4"/>
    <n v="1"/>
    <b v="0"/>
  </r>
  <r>
    <x v="312"/>
    <s v="loganworsdell"/>
    <n v="3"/>
    <n v="1.4142135623730951"/>
    <s v="Bulletproof"/>
    <s v="Godsmack"/>
    <n v="4"/>
    <n v="3"/>
    <n v="2"/>
    <n v="5"/>
    <n v="1"/>
    <m/>
    <m/>
    <m/>
    <n v="2"/>
    <n v="1"/>
    <b v="0"/>
  </r>
  <r>
    <x v="312"/>
    <s v="samuelbattista"/>
    <n v="3.4"/>
    <n v="1.3564659966250536"/>
    <s v="Peace Frog"/>
    <s v="The Doors"/>
    <n v="5"/>
    <n v="4"/>
    <n v="4"/>
    <n v="1"/>
    <n v="3"/>
    <m/>
    <m/>
    <m/>
    <n v="4"/>
    <n v="1"/>
    <b v="0"/>
  </r>
  <r>
    <x v="312"/>
    <s v="currydestroyer27"/>
    <n v="3.4"/>
    <n v="1.019803902718557"/>
    <s v="Awake"/>
    <s v="Godsmack"/>
    <n v="3"/>
    <n v="5"/>
    <n v="3"/>
    <n v="4"/>
    <n v="2"/>
    <n v="182506409"/>
    <m/>
    <m/>
    <n v="3"/>
    <n v="1"/>
    <b v="0"/>
  </r>
  <r>
    <x v="313"/>
    <s v="alappatjoe"/>
    <n v="4.2"/>
    <n v="1.6"/>
    <s v="Jananto"/>
    <s v="Zeina"/>
    <n v="1"/>
    <n v="5"/>
    <n v="5"/>
    <n v="5"/>
    <n v="5"/>
    <n v="4219006"/>
    <m/>
    <m/>
    <n v="5"/>
    <n v="1"/>
    <b v="0"/>
  </r>
  <r>
    <x v="313"/>
    <s v="danram"/>
    <n v="2.6"/>
    <n v="1.3564659966250536"/>
    <s v="The Concept"/>
    <s v="Teenage Fanclub"/>
    <n v="4"/>
    <n v="1"/>
    <n v="1"/>
    <n v="3"/>
    <n v="4"/>
    <m/>
    <m/>
    <m/>
    <n v="2"/>
    <n v="1"/>
    <b v="0"/>
  </r>
  <r>
    <x v="313"/>
    <s v="loganworsdell"/>
    <n v="3.2"/>
    <n v="0.74833147735478833"/>
    <s v="Its All Your Fault"/>
    <s v="Logic"/>
    <n v="3"/>
    <n v="4"/>
    <n v="2"/>
    <n v="4"/>
    <n v="3"/>
    <n v="176536"/>
    <m/>
    <m/>
    <n v="4"/>
    <n v="1"/>
    <b v="0"/>
  </r>
  <r>
    <x v="313"/>
    <s v="samuelbattista"/>
    <n v="2.6"/>
    <n v="1.3564659966250536"/>
    <s v="Look What You've Done"/>
    <s v="Radio Free Alice"/>
    <n v="5"/>
    <n v="2"/>
    <n v="3"/>
    <n v="1"/>
    <n v="2"/>
    <m/>
    <m/>
    <m/>
    <n v="2"/>
    <n v="1"/>
    <b v="0"/>
  </r>
  <r>
    <x v="313"/>
    <s v="currydestroyer27"/>
    <n v="2.4"/>
    <n v="1.019803902718557"/>
    <s v="Messages from the Stars"/>
    <s v="Dabeull, Rude Jude, HolyBrune"/>
    <n v="2"/>
    <n v="3"/>
    <n v="4"/>
    <n v="2"/>
    <n v="1"/>
    <n v="14711563"/>
    <m/>
    <m/>
    <n v="1"/>
    <n v="1"/>
    <b v="1"/>
  </r>
  <r>
    <x v="314"/>
    <s v="alappatjoe"/>
    <n v="3"/>
    <n v="1.2649110640673518"/>
    <s v="Jacinthe Theme: Flamenco Style"/>
    <s v="Discetto"/>
    <n v="1"/>
    <n v="4"/>
    <n v="4"/>
    <n v="4"/>
    <n v="2"/>
    <n v="49380"/>
    <m/>
    <m/>
    <n v="3"/>
    <n v="1"/>
    <b v="0"/>
  </r>
  <r>
    <x v="314"/>
    <s v="danram"/>
    <n v="3.6"/>
    <n v="0.8"/>
    <s v="El Dia De Mi Suerte"/>
    <s v="Willie Colon, Hector Lavoe"/>
    <n v="4"/>
    <n v="3"/>
    <n v="5"/>
    <n v="3"/>
    <n v="3"/>
    <m/>
    <m/>
    <m/>
    <n v="5"/>
    <n v="1"/>
    <b v="0"/>
  </r>
  <r>
    <x v="314"/>
    <s v="loganworsdell"/>
    <n v="3.4"/>
    <n v="1.3564659966250536"/>
    <s v="VENENO"/>
    <s v="RØZ, DannyLux"/>
    <n v="5"/>
    <n v="2"/>
    <n v="3"/>
    <n v="2"/>
    <n v="5"/>
    <n v="923690"/>
    <m/>
    <m/>
    <n v="4"/>
    <n v="1"/>
    <b v="0"/>
  </r>
  <r>
    <x v="314"/>
    <s v="samuelbattista"/>
    <n v="2.8"/>
    <n v="1.6"/>
    <s v="Green River"/>
    <s v="Creedence Clearwater Revivial"/>
    <n v="3"/>
    <n v="5"/>
    <n v="1"/>
    <n v="1"/>
    <n v="4"/>
    <m/>
    <m/>
    <m/>
    <n v="2"/>
    <n v="1"/>
    <b v="0"/>
  </r>
  <r>
    <x v="314"/>
    <s v="currydestroyer27"/>
    <n v="2.2000000000000002"/>
    <n v="1.4696938456699069"/>
    <s v="SO BAD"/>
    <s v="STAYC"/>
    <n v="2"/>
    <n v="1"/>
    <n v="2"/>
    <n v="5"/>
    <n v="1"/>
    <n v="78894106"/>
    <s v="International"/>
    <s v="K-Pop"/>
    <n v="1"/>
    <n v="1"/>
    <b v="1"/>
  </r>
  <r>
    <x v="315"/>
    <s v="alappatjoe"/>
    <n v="2.2000000000000002"/>
    <n v="0.9797958971132712"/>
    <s v="All Night Radio"/>
    <s v="Ado"/>
    <n v="1"/>
    <n v="3"/>
    <n v="3"/>
    <n v="3"/>
    <n v="1"/>
    <n v="24560592"/>
    <m/>
    <m/>
    <n v="1"/>
    <n v="1"/>
    <b v="1"/>
  </r>
  <r>
    <x v="315"/>
    <s v="danram"/>
    <n v="4.5999999999999996"/>
    <n v="0.4898979485566356"/>
    <s v="Orpo"/>
    <s v="GORILLA GLUE, LIL NAKUR"/>
    <n v="5"/>
    <n v="4"/>
    <n v="5"/>
    <n v="4"/>
    <n v="5"/>
    <m/>
    <m/>
    <m/>
    <n v="5"/>
    <n v="1"/>
    <b v="0"/>
  </r>
  <r>
    <x v="315"/>
    <s v="loganworsdell"/>
    <n v="2.4"/>
    <n v="1.019803902718557"/>
    <s v="Troublemaker"/>
    <s v="Black Pontiac"/>
    <n v="4"/>
    <n v="2"/>
    <n v="1"/>
    <n v="2"/>
    <n v="3"/>
    <n v="5245288"/>
    <m/>
    <m/>
    <n v="3"/>
    <n v="1"/>
    <b v="0"/>
  </r>
  <r>
    <x v="315"/>
    <s v="samuelbattista"/>
    <n v="2.2000000000000002"/>
    <n v="1.1661903789690602"/>
    <s v="I Heard it Through the Grapevine"/>
    <s v="Marvin Gaye"/>
    <n v="3"/>
    <n v="1"/>
    <n v="2"/>
    <n v="1"/>
    <n v="4"/>
    <m/>
    <m/>
    <m/>
    <n v="2"/>
    <n v="1"/>
    <b v="0"/>
  </r>
  <r>
    <x v="315"/>
    <s v="currydestroyer27"/>
    <n v="3.6"/>
    <n v="1.3564659966250536"/>
    <s v="Rock Dancer"/>
    <s v="Nino (BG)"/>
    <n v="2"/>
    <n v="5"/>
    <n v="4"/>
    <n v="5"/>
    <n v="2"/>
    <n v="309313"/>
    <m/>
    <m/>
    <n v="4"/>
    <n v="1"/>
    <b v="0"/>
  </r>
  <r>
    <x v="316"/>
    <s v="alappatjoe"/>
    <n v="2.8"/>
    <n v="1.1661903789690602"/>
    <s v="Galaxy"/>
    <s v="Kungs, Theophilus London"/>
    <n v="1"/>
    <n v="3"/>
    <n v="2"/>
    <n v="4"/>
    <n v="4"/>
    <n v="591893"/>
    <m/>
    <m/>
    <n v="2"/>
    <n v="1"/>
    <b v="0"/>
  </r>
  <r>
    <x v="316"/>
    <s v="danram"/>
    <n v="3"/>
    <n v="0.63245553203367588"/>
    <s v="True (feelings for you)"/>
    <s v="Model Man"/>
    <n v="3"/>
    <n v="2"/>
    <n v="4"/>
    <n v="3"/>
    <n v="3"/>
    <m/>
    <m/>
    <m/>
    <n v="4"/>
    <n v="1"/>
    <b v="0"/>
  </r>
  <r>
    <x v="316"/>
    <s v="loganworsdell"/>
    <n v="2.8"/>
    <n v="1.4696938456699069"/>
    <s v="I Just Might"/>
    <s v="Bruno Mars"/>
    <n v="2"/>
    <n v="4"/>
    <n v="1"/>
    <n v="2"/>
    <n v="5"/>
    <n v="21538206"/>
    <m/>
    <m/>
    <n v="3"/>
    <n v="1"/>
    <b v="0"/>
  </r>
  <r>
    <x v="316"/>
    <s v="samuelbattista"/>
    <n v="2.2000000000000002"/>
    <n v="1.6"/>
    <s v="Box In The Basement"/>
    <s v="nothing,nowhere."/>
    <n v="5"/>
    <n v="1"/>
    <n v="3"/>
    <n v="1"/>
    <n v="1"/>
    <m/>
    <m/>
    <m/>
    <n v="1"/>
    <n v="1"/>
    <b v="1"/>
  </r>
  <r>
    <x v="316"/>
    <s v="currydestroyer27"/>
    <n v="4.2"/>
    <n v="1.1661903789690602"/>
    <s v="POWER"/>
    <s v="ONE OR EIGHT"/>
    <n v="4"/>
    <n v="5"/>
    <n v="5"/>
    <n v="5"/>
    <n v="2"/>
    <n v="148327"/>
    <m/>
    <m/>
    <n v="5"/>
    <n v="1"/>
    <b v="0"/>
  </r>
  <r>
    <x v="317"/>
    <s v="alappatjoe"/>
    <n v="2.6"/>
    <n v="1.019803902718557"/>
    <s v="CHOOSE LIFE"/>
    <s v="ALI, Ashley"/>
    <n v="1"/>
    <n v="3"/>
    <n v="3"/>
    <n v="4"/>
    <n v="2"/>
    <n v="111574"/>
    <m/>
    <m/>
    <n v="2"/>
    <n v="1"/>
    <b v="0"/>
  </r>
  <r>
    <x v="317"/>
    <s v="danram"/>
    <n v="4.8"/>
    <n v="0.39999999999999997"/>
    <s v="4 The Betta"/>
    <s v="LUCKI"/>
    <n v="5"/>
    <n v="4"/>
    <n v="5"/>
    <n v="5"/>
    <n v="5"/>
    <m/>
    <m/>
    <m/>
    <n v="5"/>
    <n v="1"/>
    <b v="0"/>
  </r>
  <r>
    <x v="317"/>
    <s v="loganworsdell"/>
    <n v="1.8"/>
    <n v="0.74833147735478833"/>
    <s v="NERVOUS"/>
    <s v="Sam Gellaitry"/>
    <n v="2"/>
    <n v="1"/>
    <n v="1"/>
    <n v="2"/>
    <n v="3"/>
    <n v="465407"/>
    <m/>
    <m/>
    <n v="1"/>
    <n v="1"/>
    <b v="1"/>
  </r>
  <r>
    <x v="317"/>
    <s v="samuelbattista"/>
    <n v="2.6"/>
    <n v="1.2"/>
    <s v="Man Made of Meat"/>
    <s v="Viagra Boys"/>
    <n v="4"/>
    <n v="2"/>
    <n v="2"/>
    <n v="1"/>
    <n v="4"/>
    <m/>
    <m/>
    <m/>
    <n v="3"/>
    <n v="1"/>
    <b v="0"/>
  </r>
  <r>
    <x v="317"/>
    <s v="currydestroyer27"/>
    <n v="3.2"/>
    <n v="1.3266499161421599"/>
    <s v="Queen of the Palace"/>
    <s v="Guest Who"/>
    <n v="3"/>
    <n v="5"/>
    <n v="4"/>
    <n v="3"/>
    <n v="1"/>
    <n v="221995"/>
    <m/>
    <m/>
    <n v="4"/>
    <n v="1"/>
    <b v="0"/>
  </r>
  <r>
    <x v="318"/>
    <s v="alappatjoe"/>
    <n v="4"/>
    <n v="1.5491933384829668"/>
    <s v="Canari Battle"/>
    <s v="Discetto"/>
    <n v="1"/>
    <n v="5"/>
    <n v="4"/>
    <n v="5"/>
    <n v="5"/>
    <n v="4915"/>
    <m/>
    <m/>
    <n v="5"/>
    <n v="1"/>
    <b v="0"/>
  </r>
  <r>
    <x v="318"/>
    <s v="danram"/>
    <n v="2.4"/>
    <n v="0.4898979485566356"/>
    <s v="Raindance"/>
    <s v="Dave, Tems"/>
    <n v="2"/>
    <n v="2"/>
    <n v="2"/>
    <n v="3"/>
    <n v="3"/>
    <m/>
    <m/>
    <m/>
    <n v="2"/>
    <n v="1"/>
    <b v="0"/>
  </r>
  <r>
    <x v="318"/>
    <s v="loganworsdell"/>
    <n v="3.6"/>
    <n v="1.3564659966250536"/>
    <s v="4L"/>
    <s v="Ghais Guevara"/>
    <n v="5"/>
    <n v="4"/>
    <n v="1"/>
    <n v="4"/>
    <n v="4"/>
    <n v="101552"/>
    <m/>
    <m/>
    <n v="4"/>
    <n v="1"/>
    <b v="0"/>
  </r>
  <r>
    <x v="318"/>
    <s v="samuelbattista"/>
    <n v="2"/>
    <n v="0.89442719099991586"/>
    <s v="Possum Kingdom"/>
    <s v="Toadies"/>
    <n v="3"/>
    <n v="1"/>
    <n v="3"/>
    <n v="1"/>
    <n v="2"/>
    <m/>
    <m/>
    <m/>
    <n v="1"/>
    <n v="1"/>
    <b v="1"/>
  </r>
  <r>
    <x v="318"/>
    <s v="currydestroyer27"/>
    <n v="3"/>
    <n v="1.4142135623730951"/>
    <s v="Psychics in LA"/>
    <s v="Peach Pit"/>
    <n v="4"/>
    <n v="3"/>
    <n v="5"/>
    <n v="2"/>
    <n v="1"/>
    <n v="13475904"/>
    <m/>
    <m/>
    <n v="3"/>
    <n v="1"/>
    <b v="0"/>
  </r>
  <r>
    <x v="319"/>
    <s v="alappatjoe"/>
    <n v="3.2"/>
    <n v="1.4696938456699069"/>
    <s v="In A House That's Burning Down"/>
    <s v="Ric Wilson, YaSi, KOLA"/>
    <n v="1"/>
    <n v="5"/>
    <n v="4"/>
    <n v="4"/>
    <n v="2"/>
    <n v="75696"/>
    <m/>
    <m/>
    <n v="4"/>
    <n v="1"/>
    <b v="0"/>
  </r>
  <r>
    <x v="319"/>
    <s v="danram"/>
    <n v="4.5999999999999996"/>
    <n v="0.8"/>
    <s v="Roc"/>
    <s v="2slimey"/>
    <n v="5"/>
    <n v="3"/>
    <n v="5"/>
    <n v="5"/>
    <n v="5"/>
    <m/>
    <m/>
    <m/>
    <n v="5"/>
    <n v="1"/>
    <b v="0"/>
  </r>
  <r>
    <x v="319"/>
    <s v="loganworsdell"/>
    <n v="2.4"/>
    <n v="1.019803902718557"/>
    <s v="father"/>
    <s v="Jim Legxacy"/>
    <n v="2"/>
    <n v="1"/>
    <n v="2"/>
    <n v="3"/>
    <n v="4"/>
    <n v="8087825"/>
    <m/>
    <m/>
    <n v="2"/>
    <n v="1"/>
    <b v="0"/>
  </r>
  <r>
    <x v="319"/>
    <s v="samuelbattista"/>
    <n v="2"/>
    <n v="0.89442719099991586"/>
    <s v="Use Me"/>
    <s v="Bill Withers"/>
    <n v="3"/>
    <n v="2"/>
    <n v="1"/>
    <n v="1"/>
    <n v="3"/>
    <m/>
    <m/>
    <m/>
    <n v="1"/>
    <n v="1"/>
    <b v="1"/>
  </r>
  <r>
    <x v="319"/>
    <s v="currydestroyer27"/>
    <n v="2.8"/>
    <n v="1.1661903789690602"/>
    <s v="React"/>
    <s v="Erick Sermon, Redman"/>
    <n v="4"/>
    <n v="4"/>
    <n v="3"/>
    <n v="2"/>
    <n v="1"/>
    <n v="13121440"/>
    <m/>
    <m/>
    <n v="3"/>
    <n v="1"/>
    <b v="0"/>
  </r>
  <r>
    <x v="320"/>
    <s v="alappatjoe"/>
    <n v="3.6"/>
    <n v="1.4966629547095767"/>
    <s v="Fly As Me (Sam)"/>
    <s v="Bruno Mars, Anderson.Paak, Silk Sonic"/>
    <n v="1"/>
    <n v="5"/>
    <n v="4"/>
    <n v="3"/>
    <n v="5"/>
    <n v="123136607"/>
    <m/>
    <m/>
    <n v="4"/>
    <n v="1"/>
    <b v="0"/>
  </r>
  <r>
    <x v="320"/>
    <s v="danram"/>
    <n v="2.4"/>
    <n v="1.019803902718557"/>
    <s v="Written in The Stars (Heran)"/>
    <s v="Tinie Tempah, Eric Turner"/>
    <n v="3"/>
    <n v="1"/>
    <n v="2"/>
    <n v="4"/>
    <n v="2"/>
    <m/>
    <m/>
    <m/>
    <n v="2"/>
    <n v="1"/>
    <b v="0"/>
  </r>
  <r>
    <x v="320"/>
    <s v="loganworsdell"/>
    <n v="3.6"/>
    <n v="1.4966629547095767"/>
    <s v="Kingdom Hearts Key (Heran)"/>
    <s v="JPEGMAFIA, Danny Brown, redveil"/>
    <n v="5"/>
    <n v="4"/>
    <n v="1"/>
    <n v="5"/>
    <n v="3"/>
    <n v="23075194"/>
    <m/>
    <m/>
    <n v="4"/>
    <n v="1"/>
    <b v="0"/>
  </r>
  <r>
    <x v="320"/>
    <s v="samuelbattista"/>
    <n v="3.2"/>
    <n v="1.4696938456699069"/>
    <s v="Holy Wars...The Punishment Due (Daniel)"/>
    <s v="Megadeth"/>
    <n v="4"/>
    <n v="2"/>
    <n v="5"/>
    <n v="1"/>
    <n v="4"/>
    <m/>
    <m/>
    <m/>
    <n v="3"/>
    <n v="1"/>
    <b v="0"/>
  </r>
  <r>
    <x v="320"/>
    <s v="currydestroyer27"/>
    <n v="2.2000000000000002"/>
    <n v="0.74833147735478833"/>
    <s v="BABY SAID (Sam)"/>
    <s v="Maneskin"/>
    <n v="2"/>
    <n v="3"/>
    <n v="3"/>
    <n v="2"/>
    <n v="1"/>
    <n v="267761467"/>
    <m/>
    <m/>
    <n v="1"/>
    <n v="1"/>
    <b v="1"/>
  </r>
  <r>
    <x v="321"/>
    <s v="alappatjoe"/>
    <n v="1.8"/>
    <n v="0.4"/>
    <s v="Sweet Disposition"/>
    <s v="The Temper Trap"/>
    <n v="1"/>
    <n v="2"/>
    <n v="2"/>
    <n v="2"/>
    <n v="2"/>
    <n v="854578875"/>
    <m/>
    <m/>
    <n v="1"/>
    <n v="1"/>
    <b v="1"/>
  </r>
  <r>
    <x v="321"/>
    <s v="danram"/>
    <n v="4.5999999999999996"/>
    <n v="0.8"/>
    <s v="Pop a lot"/>
    <s v="2slimey"/>
    <n v="5"/>
    <n v="3"/>
    <n v="5"/>
    <n v="5"/>
    <n v="5"/>
    <m/>
    <m/>
    <m/>
    <n v="5"/>
    <n v="1"/>
    <b v="0"/>
  </r>
  <r>
    <x v="321"/>
    <s v="loganworsdell"/>
    <n v="3.2"/>
    <n v="1.1661903789690602"/>
    <s v="BRUISED"/>
    <s v="sign crushes motorists, KayCyy"/>
    <n v="4"/>
    <n v="4"/>
    <n v="1"/>
    <n v="4"/>
    <n v="3"/>
    <n v="500476"/>
    <m/>
    <m/>
    <n v="4"/>
    <n v="1"/>
    <b v="0"/>
  </r>
  <r>
    <x v="321"/>
    <s v="samuelbattista"/>
    <n v="2.4"/>
    <n v="1.3564659966250536"/>
    <s v="Mercy Mercy Me (The Ecology)"/>
    <s v="Marvin Gaye"/>
    <n v="2"/>
    <n v="1"/>
    <n v="4"/>
    <n v="1"/>
    <n v="4"/>
    <m/>
    <m/>
    <m/>
    <n v="2"/>
    <n v="1"/>
    <b v="0"/>
  </r>
  <r>
    <x v="321"/>
    <s v="currydestroyer27"/>
    <n v="3"/>
    <n v="1.2649110640673518"/>
    <s v="bloodline"/>
    <s v="Ariana Grande"/>
    <n v="3"/>
    <n v="5"/>
    <n v="3"/>
    <n v="3"/>
    <n v="1"/>
    <n v="594579602"/>
    <m/>
    <m/>
    <n v="3"/>
    <n v="1"/>
    <b v="0"/>
  </r>
  <r>
    <x v="322"/>
    <s v="alappatjoe"/>
    <n v="2.6"/>
    <n v="1.2"/>
    <s v="Alrighty Aphrodite"/>
    <s v="Peach Pit"/>
    <n v="1"/>
    <n v="4"/>
    <n v="4"/>
    <n v="2"/>
    <n v="2"/>
    <n v="165995906"/>
    <m/>
    <m/>
    <n v="2"/>
    <n v="1"/>
    <b v="0"/>
  </r>
  <r>
    <x v="322"/>
    <s v="danram"/>
    <n v="3.8"/>
    <n v="0.74833147735478833"/>
    <s v="Solo de Mi"/>
    <s v="Bad Bunny"/>
    <n v="4"/>
    <n v="3"/>
    <n v="3"/>
    <n v="5"/>
    <n v="4"/>
    <m/>
    <m/>
    <m/>
    <n v="5"/>
    <n v="1"/>
    <b v="0"/>
  </r>
  <r>
    <x v="322"/>
    <s v="loganworsdell"/>
    <n v="2.4"/>
    <n v="0.8"/>
    <s v="luv stuck"/>
    <s v="salute, piri"/>
    <n v="3"/>
    <n v="2"/>
    <n v="1"/>
    <n v="3"/>
    <n v="3"/>
    <n v="3347104"/>
    <m/>
    <m/>
    <n v="1"/>
    <n v="1"/>
    <b v="1"/>
  </r>
  <r>
    <x v="322"/>
    <s v="samuelbattista"/>
    <n v="3.6"/>
    <n v="1.7435595774162693"/>
    <s v="Don't Know Why"/>
    <s v="Norah Jones"/>
    <n v="2"/>
    <n v="5"/>
    <n v="5"/>
    <n v="1"/>
    <n v="5"/>
    <m/>
    <m/>
    <m/>
    <n v="4"/>
    <n v="1"/>
    <b v="0"/>
  </r>
  <r>
    <x v="322"/>
    <s v="currydestroyer27"/>
    <n v="2.6"/>
    <n v="1.6248076809271921"/>
    <s v="PUNK ROCKY"/>
    <s v="A$AP Rocky"/>
    <n v="5"/>
    <n v="1"/>
    <n v="2"/>
    <n v="4"/>
    <n v="1"/>
    <m/>
    <m/>
    <m/>
    <n v="3"/>
    <n v="1"/>
    <b v="0"/>
  </r>
  <r>
    <x v="323"/>
    <s v="alappatjoe"/>
    <n v="3.2"/>
    <n v="1.1661903789690602"/>
    <s v="untitled 08 | 09.06.2014"/>
    <s v="Kendrick Lamar"/>
    <n v="1"/>
    <n v="4"/>
    <n v="4"/>
    <n v="4"/>
    <n v="3"/>
    <n v="123461567"/>
    <m/>
    <m/>
    <n v="4"/>
    <n v="1"/>
    <b v="0"/>
  </r>
  <r>
    <x v="323"/>
    <s v="danram"/>
    <n v="2.4"/>
    <n v="0.4898979485566356"/>
    <s v="Ocean Avenue"/>
    <s v="Yellowcard"/>
    <n v="3"/>
    <n v="2"/>
    <n v="3"/>
    <n v="2"/>
    <n v="2"/>
    <m/>
    <m/>
    <m/>
    <n v="2"/>
    <n v="1"/>
    <b v="0"/>
  </r>
  <r>
    <x v="323"/>
    <s v="loganworsdell"/>
    <n v="5"/>
    <n v="0"/>
    <s v="Stay With Me"/>
    <s v="1nonly"/>
    <n v="5"/>
    <n v="5"/>
    <n v="5"/>
    <n v="5"/>
    <n v="5"/>
    <n v="506058763"/>
    <m/>
    <m/>
    <n v="5"/>
    <n v="1"/>
    <b v="0"/>
  </r>
  <r>
    <x v="323"/>
    <s v="samuelbattista"/>
    <n v="2.4"/>
    <n v="1.019803902718557"/>
    <s v="The Distance"/>
    <s v="CAKE"/>
    <n v="2"/>
    <n v="3"/>
    <n v="2"/>
    <n v="1"/>
    <n v="4"/>
    <m/>
    <m/>
    <m/>
    <n v="3"/>
    <n v="1"/>
    <b v="0"/>
  </r>
  <r>
    <x v="323"/>
    <s v="currydestroyer27"/>
    <n v="2"/>
    <n v="1.2649110640673518"/>
    <s v="The Color Violet"/>
    <s v="Tory Lanez"/>
    <n v="4"/>
    <n v="1"/>
    <n v="1"/>
    <n v="3"/>
    <n v="1"/>
    <n v="1384143778"/>
    <m/>
    <m/>
    <n v="1"/>
    <n v="1"/>
    <b v="1"/>
  </r>
  <r>
    <x v="324"/>
    <s v="alappatjoe"/>
    <n v="4.4000000000000004"/>
    <n v="0.8"/>
    <s v="Birthday"/>
    <s v="Twista, Gucci Mane, Busta Rhymes, Akon, R Kelly, Boosie Badazz"/>
    <n v="3"/>
    <n v="5"/>
    <n v="5"/>
    <n v="5"/>
    <n v="4"/>
    <n v="1574909"/>
    <m/>
    <m/>
    <n v="5"/>
    <n v="1"/>
    <b v="0"/>
  </r>
  <r>
    <x v="324"/>
    <s v="danram"/>
    <n v="2.2000000000000002"/>
    <n v="1.4696938456699069"/>
    <s v="Celebration"/>
    <s v="Madonna"/>
    <n v="5"/>
    <n v="1"/>
    <n v="1"/>
    <n v="2"/>
    <n v="2"/>
    <m/>
    <m/>
    <m/>
    <n v="2"/>
    <n v="1"/>
    <b v="0"/>
  </r>
  <r>
    <x v="324"/>
    <s v="loganworsdell"/>
    <n v="3.6"/>
    <n v="0.4898979485566356"/>
    <s v="BIRTHDAY BEHAVIOR"/>
    <s v="BIA, Young Miko"/>
    <n v="4"/>
    <n v="4"/>
    <n v="3"/>
    <n v="4"/>
    <n v="3"/>
    <n v="2527382"/>
    <m/>
    <m/>
    <n v="4"/>
    <n v="1"/>
    <b v="0"/>
  </r>
  <r>
    <x v="324"/>
    <s v="samuelbattista"/>
    <n v="3.4"/>
    <n v="1.019803902718557"/>
    <s v="Birthday Rap"/>
    <s v="Jack Black, Jason Momoa"/>
    <n v="2"/>
    <n v="3"/>
    <n v="4"/>
    <n v="3"/>
    <n v="5"/>
    <m/>
    <m/>
    <m/>
    <n v="3"/>
    <n v="1"/>
    <b v="0"/>
  </r>
  <r>
    <x v="324"/>
    <s v="currydestroyer27"/>
    <n v="1.4"/>
    <n v="0.4898979485566356"/>
    <s v="In Da Club"/>
    <s v="50 Cent"/>
    <n v="1"/>
    <n v="2"/>
    <n v="2"/>
    <n v="1"/>
    <n v="1"/>
    <n v="2026602521"/>
    <m/>
    <m/>
    <n v="1"/>
    <n v="1"/>
    <b v="1"/>
  </r>
  <r>
    <x v="325"/>
    <s v="alappatjoe"/>
    <n v="2.8"/>
    <n v="1.1661903789690602"/>
    <s v="Maki vs the HEI"/>
    <s v="D.Meletis"/>
    <n v="1"/>
    <n v="2"/>
    <n v="4"/>
    <n v="3"/>
    <n v="4"/>
    <n v="147160"/>
    <m/>
    <m/>
    <n v="3"/>
    <n v="1"/>
    <b v="0"/>
  </r>
  <r>
    <x v="325"/>
    <s v="danram"/>
    <n v="3.4"/>
    <n v="1.3564659966250536"/>
    <s v="Electricityscape"/>
    <s v="The Strokes"/>
    <n v="4"/>
    <n v="1"/>
    <n v="3"/>
    <n v="4"/>
    <n v="5"/>
    <m/>
    <m/>
    <m/>
    <n v="4"/>
    <n v="1"/>
    <b v="0"/>
  </r>
  <r>
    <x v="325"/>
    <s v="loganworsdell"/>
    <n v="2.4"/>
    <n v="1.019803902718557"/>
    <s v="diamonds are forever"/>
    <s v="bbno$"/>
    <n v="3"/>
    <n v="4"/>
    <n v="1"/>
    <n v="2"/>
    <n v="2"/>
    <n v="4435661"/>
    <m/>
    <m/>
    <n v="1"/>
    <n v="1"/>
    <b v="1"/>
  </r>
  <r>
    <x v="325"/>
    <s v="samuelbattista"/>
    <n v="2.6"/>
    <n v="1.3564659966250536"/>
    <s v="Charlie's Garden"/>
    <s v="Djo"/>
    <n v="2"/>
    <n v="5"/>
    <n v="2"/>
    <n v="1"/>
    <n v="3"/>
    <m/>
    <m/>
    <m/>
    <n v="2"/>
    <n v="1"/>
    <b v="0"/>
  </r>
  <r>
    <x v="325"/>
    <s v="currydestroyer27"/>
    <n v="3.8"/>
    <n v="1.6"/>
    <s v="Return To Sender"/>
    <s v="MX LONELY"/>
    <n v="5"/>
    <n v="3"/>
    <n v="5"/>
    <n v="5"/>
    <n v="1"/>
    <n v="87955"/>
    <m/>
    <m/>
    <n v="5"/>
    <n v="1"/>
    <b v="0"/>
  </r>
  <r>
    <x v="326"/>
    <s v="alappatjoe"/>
    <n v="2.8"/>
    <n v="1.1661903789690602"/>
    <s v="Reclusive"/>
    <s v="Elmiene"/>
    <n v="1"/>
    <n v="2"/>
    <n v="3"/>
    <n v="4"/>
    <n v="4"/>
    <n v="1588366"/>
    <m/>
    <m/>
    <n v="2"/>
    <n v="1"/>
    <b v="0"/>
  </r>
  <r>
    <x v="326"/>
    <s v="danram"/>
    <n v="3.6"/>
    <n v="1.7435595774162693"/>
    <s v="Hate Me"/>
    <s v="Lil Yachty, ian"/>
    <n v="5"/>
    <n v="1"/>
    <n v="5"/>
    <n v="5"/>
    <n v="2"/>
    <m/>
    <m/>
    <m/>
    <n v="5"/>
    <n v="1"/>
    <b v="0"/>
  </r>
  <r>
    <x v="326"/>
    <s v="loganworsdell"/>
    <n v="2.4"/>
    <n v="0.4898979485566356"/>
    <s v="Stoked"/>
    <s v="Weston Estate"/>
    <n v="2"/>
    <n v="3"/>
    <n v="2"/>
    <n v="2"/>
    <n v="3"/>
    <n v="16738020"/>
    <m/>
    <m/>
    <n v="1"/>
    <n v="1"/>
    <b v="1"/>
  </r>
  <r>
    <x v="326"/>
    <s v="samuelbattista"/>
    <n v="3.4"/>
    <n v="1.3564659966250536"/>
    <s v="Burning Down the House"/>
    <s v="Paramore"/>
    <n v="3"/>
    <n v="4"/>
    <n v="4"/>
    <n v="1"/>
    <n v="5"/>
    <m/>
    <m/>
    <m/>
    <n v="4"/>
    <n v="1"/>
    <b v="0"/>
  </r>
  <r>
    <x v="326"/>
    <s v="currydestroyer27"/>
    <n v="2.8"/>
    <n v="1.6"/>
    <s v="Here With Me"/>
    <s v="Drama"/>
    <n v="4"/>
    <n v="5"/>
    <n v="1"/>
    <n v="3"/>
    <n v="1"/>
    <n v="607854"/>
    <m/>
    <m/>
    <n v="3"/>
    <n v="1"/>
    <b v="0"/>
  </r>
  <r>
    <x v="327"/>
    <s v="alappatjoe"/>
    <n v="4.2"/>
    <n v="1.6"/>
    <n v="100"/>
    <s v="Ella Mai"/>
    <n v="1"/>
    <n v="5"/>
    <n v="5"/>
    <n v="5"/>
    <n v="5"/>
    <n v="2990864"/>
    <m/>
    <m/>
    <n v="5"/>
    <n v="1"/>
    <b v="0"/>
  </r>
  <r>
    <x v="327"/>
    <s v="danram"/>
    <n v="2.8"/>
    <n v="0.74833147735478833"/>
    <s v="MI EX TENIA RAZON"/>
    <s v="Karol G"/>
    <n v="3"/>
    <n v="2"/>
    <n v="4"/>
    <n v="3"/>
    <n v="2"/>
    <m/>
    <m/>
    <m/>
    <n v="2"/>
    <n v="1"/>
    <b v="0"/>
  </r>
  <r>
    <x v="327"/>
    <s v="loganworsdell"/>
    <n v="3.6"/>
    <n v="0.4898979485566356"/>
    <s v="Dance"/>
    <s v="Jay Safari"/>
    <n v="4"/>
    <n v="3"/>
    <n v="3"/>
    <n v="4"/>
    <n v="4"/>
    <n v="9849223"/>
    <m/>
    <m/>
    <n v="4"/>
    <n v="1"/>
    <b v="0"/>
  </r>
  <r>
    <x v="327"/>
    <s v="samuelbattista"/>
    <n v="3"/>
    <n v="1.4142135623730951"/>
    <s v="Icky Thump"/>
    <s v="The White Stripes"/>
    <n v="5"/>
    <n v="4"/>
    <n v="2"/>
    <n v="1"/>
    <n v="3"/>
    <m/>
    <m/>
    <m/>
    <n v="3"/>
    <n v="1"/>
    <b v="0"/>
  </r>
  <r>
    <x v="327"/>
    <s v="currydestroyer27"/>
    <n v="1.4"/>
    <n v="0.4898979485566356"/>
    <s v="GIRLLIKEYOU"/>
    <s v="3ee, aria., karinovaa"/>
    <n v="2"/>
    <n v="1"/>
    <n v="1"/>
    <n v="2"/>
    <n v="1"/>
    <n v="225025"/>
    <m/>
    <m/>
    <n v="1"/>
    <n v="1"/>
    <b v="1"/>
  </r>
  <r>
    <x v="328"/>
    <s v="alappatjoe"/>
    <n v="2.4"/>
    <n v="1.2"/>
    <s v="Be A Flower"/>
    <s v="Ryokuoushoku Shakai"/>
    <n v="1"/>
    <n v="3"/>
    <n v="4"/>
    <n v="3"/>
    <n v="1"/>
    <n v="11759049"/>
    <m/>
    <m/>
    <n v="1"/>
    <n v="1"/>
    <b v="1"/>
  </r>
  <r>
    <x v="328"/>
    <s v="danram"/>
    <n v="3.8"/>
    <n v="0.9797958971132712"/>
    <s v="Kass's Theme"/>
    <s v="The 8-Bit Big Band"/>
    <n v="2"/>
    <n v="4"/>
    <n v="5"/>
    <n v="4"/>
    <n v="4"/>
    <m/>
    <m/>
    <m/>
    <n v="5"/>
    <n v="1"/>
    <b v="0"/>
  </r>
  <r>
    <x v="328"/>
    <s v="loganworsdell"/>
    <n v="3.6"/>
    <n v="1.2"/>
    <s v="LACONE"/>
    <s v="Polimá Westcoast, Quevedo, Mora"/>
    <n v="3"/>
    <n v="2"/>
    <n v="3"/>
    <n v="5"/>
    <n v="5"/>
    <n v="144442321"/>
    <m/>
    <m/>
    <n v="4"/>
    <n v="1"/>
    <b v="0"/>
  </r>
  <r>
    <x v="328"/>
    <s v="samuelbattista"/>
    <n v="2.8"/>
    <n v="1.6"/>
    <s v="The Good Life"/>
    <s v="Three Days Grace"/>
    <n v="4"/>
    <n v="5"/>
    <n v="1"/>
    <n v="1"/>
    <n v="3"/>
    <m/>
    <m/>
    <m/>
    <n v="3"/>
    <n v="1"/>
    <b v="0"/>
  </r>
  <r>
    <x v="328"/>
    <s v="currydestroyer27"/>
    <n v="2.4"/>
    <n v="1.3564659966250536"/>
    <s v="Wonderwall"/>
    <s v="Oasis"/>
    <n v="5"/>
    <n v="1"/>
    <n v="2"/>
    <n v="2"/>
    <n v="2"/>
    <n v="2659571487"/>
    <m/>
    <m/>
    <n v="2"/>
    <n v="1"/>
    <b v="0"/>
  </r>
  <r>
    <x v="329"/>
    <s v="alappatjoe"/>
    <n v="3.8"/>
    <n v="1.4696938456699069"/>
    <s v="LA MuDANZA"/>
    <s v="Bad Bunny"/>
    <n v="1"/>
    <n v="4"/>
    <n v="5"/>
    <n v="4"/>
    <n v="5"/>
    <n v="231368636"/>
    <m/>
    <m/>
    <n v="4"/>
    <n v="1"/>
    <b v="0"/>
  </r>
  <r>
    <x v="329"/>
    <s v="danram"/>
    <n v="2.8"/>
    <n v="0.9797958971132712"/>
    <s v="VUELVE CANDY B"/>
    <s v="Bad Bunny"/>
    <n v="3"/>
    <n v="1"/>
    <n v="3"/>
    <n v="3"/>
    <n v="4"/>
    <m/>
    <m/>
    <m/>
    <n v="3"/>
    <n v="1"/>
    <b v="0"/>
  </r>
  <r>
    <x v="329"/>
    <s v="loganworsdell"/>
    <n v="4.4000000000000004"/>
    <n v="0.8"/>
    <s v="GEEKALEEK"/>
    <s v="OHGEESY, BIA"/>
    <n v="5"/>
    <n v="5"/>
    <n v="4"/>
    <n v="5"/>
    <n v="3"/>
    <n v="113944118"/>
    <m/>
    <m/>
    <n v="5"/>
    <n v="1"/>
    <b v="0"/>
  </r>
  <r>
    <x v="329"/>
    <s v="samuelbattista"/>
    <n v="2"/>
    <n v="0.63245553203367588"/>
    <s v="Cops &amp; Robbers"/>
    <s v="Sammy Virji, Skepta"/>
    <n v="2"/>
    <n v="3"/>
    <n v="2"/>
    <n v="1"/>
    <n v="2"/>
    <m/>
    <m/>
    <m/>
    <n v="1"/>
    <n v="1"/>
    <b v="1"/>
  </r>
  <r>
    <x v="329"/>
    <s v="currydestroyer27"/>
    <n v="2"/>
    <n v="1.0954451150103321"/>
    <s v="Muevelo"/>
    <s v="Kali Uchis"/>
    <n v="4"/>
    <n v="2"/>
    <n v="1"/>
    <n v="2"/>
    <n v="1"/>
    <n v="44372242"/>
    <s v="International"/>
    <s v="Latin"/>
    <n v="2"/>
    <n v="1"/>
    <b v="0"/>
  </r>
  <r>
    <x v="330"/>
    <s v="alappatjoe"/>
    <n v="3.6"/>
    <n v="1.7435595774162693"/>
    <s v="What's The Difference"/>
    <s v="Dr. Dre, Eminem, Xzibit"/>
    <n v="1"/>
    <n v="5"/>
    <n v="5"/>
    <n v="5"/>
    <n v="2"/>
    <n v="566821068"/>
    <m/>
    <m/>
    <n v="4"/>
    <n v="1"/>
    <b v="0"/>
  </r>
  <r>
    <x v="330"/>
    <s v="danram"/>
    <n v="4.2"/>
    <n v="0.74833147735478833"/>
    <s v="Last of a Dying Breed"/>
    <s v="Joji"/>
    <n v="5"/>
    <n v="3"/>
    <n v="4"/>
    <n v="4"/>
    <n v="5"/>
    <m/>
    <m/>
    <m/>
    <n v="5"/>
    <n v="1"/>
    <b v="0"/>
  </r>
  <r>
    <x v="330"/>
    <s v="loganworsdell"/>
    <n v="2.8"/>
    <n v="1.1661903789690602"/>
    <s v="Gemstone"/>
    <s v="Don Toliver"/>
    <n v="2"/>
    <n v="4"/>
    <n v="1"/>
    <n v="3"/>
    <n v="4"/>
    <m/>
    <m/>
    <m/>
    <n v="3"/>
    <n v="1"/>
    <b v="0"/>
  </r>
  <r>
    <x v="330"/>
    <s v="samuelbattista"/>
    <n v="2.6"/>
    <n v="1.019803902718557"/>
    <s v="Kilby Girl"/>
    <s v="The Backseat Lovers"/>
    <n v="4"/>
    <n v="2"/>
    <n v="3"/>
    <n v="1"/>
    <n v="3"/>
    <m/>
    <m/>
    <m/>
    <n v="2"/>
    <n v="1"/>
    <b v="0"/>
  </r>
  <r>
    <x v="330"/>
    <s v="currydestroyer27"/>
    <n v="1.8"/>
    <n v="0.74833147735478833"/>
    <s v="Body"/>
    <s v="Don Toliver"/>
    <n v="3"/>
    <n v="1"/>
    <n v="2"/>
    <n v="2"/>
    <n v="1"/>
    <n v="22825650"/>
    <m/>
    <m/>
    <n v="1"/>
    <n v="1"/>
    <b v="1"/>
  </r>
  <r>
    <x v="331"/>
    <s v="alappatjoe"/>
    <n v="3.2"/>
    <n v="1.3266499161421599"/>
    <s v="Stay With Me"/>
    <s v="Cory Wong, Stephen Day"/>
    <n v="1"/>
    <n v="5"/>
    <n v="3"/>
    <n v="4"/>
    <n v="3"/>
    <n v="109699"/>
    <m/>
    <m/>
    <n v="4"/>
    <n v="1"/>
    <b v="0"/>
  </r>
  <r>
    <x v="331"/>
    <s v="danram"/>
    <n v="2.4"/>
    <n v="1.4966629547095767"/>
    <s v="Sweet Home"/>
    <s v="Don Toliver"/>
    <n v="3"/>
    <n v="1"/>
    <n v="5"/>
    <n v="2"/>
    <n v="1"/>
    <m/>
    <m/>
    <m/>
    <n v="2"/>
    <n v="1"/>
    <b v="0"/>
  </r>
  <r>
    <x v="331"/>
    <s v="loganworsdell"/>
    <n v="2.6"/>
    <n v="0.8"/>
    <s v="Afterbody"/>
    <s v="Jae Stephens"/>
    <n v="2"/>
    <n v="4"/>
    <n v="2"/>
    <n v="3"/>
    <n v="2"/>
    <n v="4916207"/>
    <m/>
    <m/>
    <n v="3"/>
    <n v="1"/>
    <b v="0"/>
  </r>
  <r>
    <x v="331"/>
    <s v="samuelbattista"/>
    <n v="2.4"/>
    <n v="1.3564659966250536"/>
    <s v="Black Butterflies and déjà vu"/>
    <s v="The Maine"/>
    <n v="4"/>
    <n v="2"/>
    <n v="1"/>
    <n v="1"/>
    <n v="4"/>
    <m/>
    <m/>
    <m/>
    <n v="1"/>
    <n v="1"/>
    <b v="1"/>
  </r>
  <r>
    <x v="331"/>
    <s v="currydestroyer27"/>
    <n v="4.4000000000000004"/>
    <n v="0.8"/>
    <s v="STOLE YA FLOW"/>
    <s v="A$AP Rocky"/>
    <n v="5"/>
    <n v="3"/>
    <n v="4"/>
    <n v="5"/>
    <n v="5"/>
    <n v="24036771"/>
    <m/>
    <m/>
    <n v="5"/>
    <n v="1"/>
    <b v="0"/>
  </r>
  <r>
    <x v="332"/>
    <s v="alappatjoe"/>
    <n v="3.6"/>
    <n v="1.019803902718557"/>
    <s v="ABC"/>
    <s v="Polyphia, Sophia Black"/>
    <n v="2"/>
    <n v="5"/>
    <n v="4"/>
    <n v="3"/>
    <n v="4"/>
    <n v="49575012"/>
    <m/>
    <m/>
    <n v="5"/>
    <n v="1"/>
    <b v="0"/>
  </r>
  <r>
    <x v="332"/>
    <s v="danram"/>
    <n v="2.4"/>
    <n v="1.4966629547095767"/>
    <s v="Re: Re:"/>
    <s v="ASIAN KUNG-FU GENERATION"/>
    <n v="3"/>
    <n v="1"/>
    <n v="2"/>
    <n v="5"/>
    <n v="1"/>
    <m/>
    <m/>
    <m/>
    <n v="2"/>
    <n v="1"/>
    <b v="0"/>
  </r>
  <r>
    <x v="332"/>
    <s v="loganworsdell"/>
    <n v="3"/>
    <n v="1.6733200530681511"/>
    <s v="No Problems"/>
    <s v="Ginger Root"/>
    <n v="4"/>
    <n v="4"/>
    <n v="1"/>
    <n v="1"/>
    <n v="5"/>
    <m/>
    <m/>
    <m/>
    <n v="3"/>
    <n v="1"/>
    <b v="0"/>
  </r>
  <r>
    <x v="332"/>
    <s v="samuelbattista"/>
    <n v="2.4"/>
    <n v="1.3564659966250536"/>
    <s v="あの空の向こうがわへ"/>
    <s v="Junk Fujiyama"/>
    <n v="1"/>
    <n v="2"/>
    <n v="5"/>
    <n v="2"/>
    <n v="2"/>
    <m/>
    <m/>
    <m/>
    <n v="1"/>
    <n v="1"/>
    <b v="1"/>
  </r>
  <r>
    <x v="332"/>
    <s v="currydestroyer27"/>
    <n v="3.6"/>
    <n v="0.8"/>
    <s v="Delete"/>
    <s v="Ninajirachi"/>
    <n v="5"/>
    <n v="3"/>
    <n v="3"/>
    <n v="4"/>
    <n v="3"/>
    <n v="4623836"/>
    <m/>
    <m/>
    <n v="4"/>
    <n v="1"/>
    <b v="0"/>
  </r>
  <r>
    <x v="333"/>
    <s v="alappatjoe"/>
    <n v="3.4"/>
    <n v="1.3564659966250536"/>
    <s v="BANG BANG"/>
    <s v="IVE"/>
    <n v="1"/>
    <n v="3"/>
    <n v="4"/>
    <n v="5"/>
    <n v="4"/>
    <n v="7492615"/>
    <m/>
    <m/>
    <n v="4"/>
    <n v="1"/>
    <b v="0"/>
  </r>
  <r>
    <x v="333"/>
    <s v="danram"/>
    <n v="4"/>
    <n v="1.2649110640673518"/>
    <s v="Poor Boxer Shorts"/>
    <s v="Mom Jeans."/>
    <n v="5"/>
    <n v="2"/>
    <n v="5"/>
    <n v="3"/>
    <n v="5"/>
    <m/>
    <m/>
    <m/>
    <n v="5"/>
    <n v="1"/>
    <b v="0"/>
  </r>
  <r>
    <x v="333"/>
    <s v="loganworsdell"/>
    <n v="2.4"/>
    <n v="1.019803902718557"/>
    <s v="oh, you don't say?!!"/>
    <s v="sssss, graphite"/>
    <n v="2"/>
    <n v="4"/>
    <n v="1"/>
    <n v="2"/>
    <n v="3"/>
    <n v="2082913"/>
    <m/>
    <m/>
    <n v="2"/>
    <n v="1"/>
    <b v="0"/>
  </r>
  <r>
    <x v="333"/>
    <s v="samuelbattista"/>
    <n v="2.2000000000000002"/>
    <n v="1.1661903789690602"/>
    <s v="Buddy Holly"/>
    <s v="Weezer"/>
    <n v="4"/>
    <n v="1"/>
    <n v="3"/>
    <n v="1"/>
    <n v="2"/>
    <m/>
    <m/>
    <m/>
    <n v="1"/>
    <n v="1"/>
    <b v="1"/>
  </r>
  <r>
    <x v="333"/>
    <s v="currydestroyer27"/>
    <n v="3"/>
    <n v="1.4142135623730951"/>
    <s v="Babydoll"/>
    <s v="Dominic Fike"/>
    <n v="3"/>
    <n v="5"/>
    <n v="2"/>
    <n v="4"/>
    <n v="1"/>
    <n v="885351902"/>
    <m/>
    <m/>
    <n v="3"/>
    <n v="1"/>
    <b v="0"/>
  </r>
  <r>
    <x v="334"/>
    <s v="alappatjoe"/>
    <n v="3.2"/>
    <n v="1.3266499161421599"/>
    <s v="iluvslapbass"/>
    <s v="prodBigMike"/>
    <n v="1"/>
    <n v="5"/>
    <n v="4"/>
    <n v="3"/>
    <n v="3"/>
    <n v="2554825"/>
    <m/>
    <m/>
    <n v="3"/>
    <n v="1"/>
    <b v="0"/>
  </r>
  <r>
    <x v="334"/>
    <s v="danram"/>
    <n v="2.6"/>
    <n v="1.3564659966250536"/>
    <s v="SKELETONS"/>
    <s v="Travis Scott"/>
    <n v="5"/>
    <n v="1"/>
    <n v="3"/>
    <n v="2"/>
    <n v="2"/>
    <m/>
    <m/>
    <m/>
    <n v="2"/>
    <n v="1"/>
    <b v="0"/>
  </r>
  <r>
    <x v="334"/>
    <s v="loganworsdell"/>
    <n v="3.4"/>
    <n v="1.2"/>
    <s v="Masterpiece"/>
    <s v="Barny Fletcher"/>
    <n v="2"/>
    <n v="4"/>
    <n v="2"/>
    <n v="4"/>
    <n v="5"/>
    <n v="162689"/>
    <m/>
    <m/>
    <n v="4"/>
    <n v="1"/>
    <b v="0"/>
  </r>
  <r>
    <x v="334"/>
    <s v="samuelbattista"/>
    <n v="2.4"/>
    <n v="1.2"/>
    <s v="Carry on Wayward Son"/>
    <s v="Kansas"/>
    <n v="3"/>
    <n v="3"/>
    <n v="1"/>
    <n v="1"/>
    <n v="4"/>
    <m/>
    <m/>
    <m/>
    <n v="1"/>
    <n v="1"/>
    <b v="1"/>
  </r>
  <r>
    <x v="334"/>
    <s v="currydestroyer27"/>
    <n v="3.4"/>
    <n v="1.6248076809271921"/>
    <s v="ぐらでーしょん"/>
    <s v="KANA-BOON, Yuho Kitazawa"/>
    <n v="4"/>
    <n v="2"/>
    <n v="5"/>
    <n v="5"/>
    <n v="1"/>
    <n v="14069292"/>
    <s v="International"/>
    <s v="J-Pop"/>
    <n v="5"/>
    <n v="1"/>
    <b v="0"/>
  </r>
  <r>
    <x v="335"/>
    <s v="alappatjoe"/>
    <n v="2"/>
    <n v="0.63245553203367588"/>
    <s v="Prism Parade"/>
    <s v="Kuma Slaps"/>
    <n v="1"/>
    <n v="3"/>
    <n v="2"/>
    <n v="2"/>
    <n v="2"/>
    <n v="43022"/>
    <m/>
    <m/>
    <n v="1"/>
    <n v="1"/>
    <b v="1"/>
  </r>
  <r>
    <x v="335"/>
    <s v="danram"/>
    <n v="2.4"/>
    <n v="1.3564659966250536"/>
    <s v="One of Your Girls"/>
    <s v="Troye Sivan"/>
    <n v="2"/>
    <n v="1"/>
    <n v="1"/>
    <n v="4"/>
    <n v="4"/>
    <m/>
    <m/>
    <m/>
    <n v="2"/>
    <n v="1"/>
    <b v="0"/>
  </r>
  <r>
    <x v="335"/>
    <s v="loganworsdell"/>
    <n v="4.2"/>
    <n v="0.74833147735478833"/>
    <s v="FAT BOY"/>
    <s v="SEGA SOUND TEAM, 庄司 英徳"/>
    <n v="3"/>
    <n v="4"/>
    <n v="4"/>
    <n v="5"/>
    <n v="5"/>
    <n v="74168"/>
    <m/>
    <m/>
    <n v="5"/>
    <n v="1"/>
    <b v="0"/>
  </r>
  <r>
    <x v="335"/>
    <s v="samuelbattista"/>
    <n v="3.8"/>
    <n v="1.6"/>
    <s v="Jesus, Etc."/>
    <s v="Wilco"/>
    <n v="5"/>
    <n v="5"/>
    <n v="5"/>
    <n v="1"/>
    <n v="3"/>
    <m/>
    <m/>
    <m/>
    <n v="4"/>
    <n v="1"/>
    <b v="0"/>
  </r>
  <r>
    <x v="335"/>
    <s v="currydestroyer27"/>
    <n v="2.6"/>
    <n v="1.019803902718557"/>
    <s v="Papermoon"/>
    <s v="Tommy heavenly6"/>
    <n v="4"/>
    <n v="2"/>
    <n v="3"/>
    <n v="3"/>
    <n v="1"/>
    <n v="26454975"/>
    <s v="International"/>
    <s v="J-Pop"/>
    <n v="3"/>
    <n v="1"/>
    <b v="0"/>
  </r>
  <r>
    <x v="336"/>
    <s v="alappatjoe"/>
    <n v="5"/>
    <n v="0"/>
    <s v="Flexicution"/>
    <s v="Logic"/>
    <n v="5"/>
    <n v="5"/>
    <n v="5"/>
    <n v="5"/>
    <n v="5"/>
    <n v="221276394"/>
    <m/>
    <m/>
    <n v="5"/>
    <n v="1"/>
    <b v="0"/>
  </r>
  <r>
    <x v="336"/>
    <s v="danram"/>
    <n v="1.8"/>
    <n v="0.74833147735478833"/>
    <s v="GIMME CHEESEBURGER"/>
    <s v="Kill Karl"/>
    <n v="1"/>
    <n v="3"/>
    <n v="1"/>
    <n v="2"/>
    <n v="2"/>
    <m/>
    <m/>
    <m/>
    <n v="1"/>
    <n v="1"/>
    <b v="1"/>
  </r>
  <r>
    <x v="336"/>
    <s v="loganworsdell"/>
    <n v="2.8"/>
    <n v="1.1661903789690602"/>
    <s v="Beach Boogie"/>
    <s v="Three Beat Slide"/>
    <n v="3"/>
    <n v="1"/>
    <n v="2"/>
    <n v="4"/>
    <n v="4"/>
    <n v="32121"/>
    <m/>
    <m/>
    <n v="3"/>
    <n v="1"/>
    <b v="0"/>
  </r>
  <r>
    <x v="336"/>
    <s v="samuelbattista"/>
    <n v="2.6"/>
    <n v="1.019803902718557"/>
    <s v="I Want To Be Neenja"/>
    <s v="Jennifer Murphy Go Girl"/>
    <n v="2"/>
    <n v="4"/>
    <n v="3"/>
    <n v="1"/>
    <n v="3"/>
    <m/>
    <m/>
    <m/>
    <n v="2"/>
    <n v="1"/>
    <b v="0"/>
  </r>
  <r>
    <x v="336"/>
    <s v="currydestroyer27"/>
    <n v="2.8"/>
    <n v="1.1661903789690602"/>
    <s v="Gnarly"/>
    <s v="KATSEYE"/>
    <n v="4"/>
    <n v="2"/>
    <n v="4"/>
    <n v="3"/>
    <n v="1"/>
    <n v="447687501"/>
    <s v="International"/>
    <s v="K-Pop"/>
    <n v="3"/>
    <n v="1"/>
    <b v="0"/>
  </r>
  <r>
    <x v="337"/>
    <s v="alappatjoe"/>
    <n v="2.2000000000000002"/>
    <n v="1.1661903789690602"/>
    <s v="Velvet"/>
    <s v="Koven Wei, SUGAR"/>
    <n v="1"/>
    <n v="4"/>
    <n v="1"/>
    <n v="2"/>
    <n v="3"/>
    <n v="293341"/>
    <m/>
    <m/>
    <n v="1"/>
    <n v="1"/>
    <b v="1"/>
  </r>
  <r>
    <x v="337"/>
    <s v="danram"/>
    <n v="3.2"/>
    <n v="1.3266499161421599"/>
    <s v="Atop a Cake"/>
    <s v="Alvvays"/>
    <n v="3"/>
    <n v="3"/>
    <n v="5"/>
    <n v="4"/>
    <n v="1"/>
    <m/>
    <m/>
    <m/>
    <n v="4"/>
    <n v="1"/>
    <b v="0"/>
  </r>
  <r>
    <x v="337"/>
    <s v="loganworsdell"/>
    <n v="4.8"/>
    <n v="0.39999999999999997"/>
    <s v="Smoke Break"/>
    <s v="Sam Austins"/>
    <n v="5"/>
    <n v="5"/>
    <n v="4"/>
    <n v="5"/>
    <n v="5"/>
    <n v="248069"/>
    <m/>
    <m/>
    <n v="5"/>
    <n v="1"/>
    <b v="0"/>
  </r>
  <r>
    <x v="337"/>
    <s v="samuelbattista"/>
    <n v="2.4"/>
    <n v="1.019803902718557"/>
    <s v="She Knows Too Much"/>
    <s v="Thundercat, Mac Miller"/>
    <n v="2"/>
    <n v="2"/>
    <n v="3"/>
    <n v="1"/>
    <n v="4"/>
    <m/>
    <m/>
    <m/>
    <n v="2"/>
    <n v="1"/>
    <b v="0"/>
  </r>
  <r>
    <x v="337"/>
    <s v="currydestroyer27"/>
    <n v="2.4"/>
    <n v="1.019803902718557"/>
    <s v="Johnny Glamour"/>
    <s v="rusowsky, Las Ketchup"/>
    <n v="4"/>
    <n v="1"/>
    <n v="2"/>
    <n v="3"/>
    <n v="2"/>
    <n v="28106984"/>
    <s v="International"/>
    <s v="Latin"/>
    <n v="2"/>
    <n v="1"/>
    <b v="0"/>
  </r>
  <r>
    <x v="338"/>
    <s v="alappatjoe"/>
    <n v="3"/>
    <n v="1.2649110640673518"/>
    <s v="ROCK THE BOAT"/>
    <s v="XG"/>
    <n v="2"/>
    <n v="4"/>
    <n v="2"/>
    <n v="5"/>
    <n v="2"/>
    <n v="4938767"/>
    <m/>
    <m/>
    <n v="4"/>
    <n v="1"/>
    <b v="0"/>
  </r>
  <r>
    <x v="338"/>
    <s v="danram"/>
    <n v="2.6"/>
    <n v="1.3564659966250536"/>
    <s v="Dramatic Girl"/>
    <s v="Baby Keem"/>
    <n v="1"/>
    <n v="1"/>
    <n v="3"/>
    <n v="4"/>
    <n v="4"/>
    <m/>
    <m/>
    <m/>
    <n v="2"/>
    <n v="1"/>
    <b v="0"/>
  </r>
  <r>
    <x v="338"/>
    <s v="loganworsdell"/>
    <n v="2.6"/>
    <n v="0.8"/>
    <s v="SADLY, I STILL LOVE YOU"/>
    <s v="Evenson"/>
    <n v="3"/>
    <n v="3"/>
    <n v="1"/>
    <n v="3"/>
    <n v="3"/>
    <n v="431150"/>
    <m/>
    <m/>
    <n v="1"/>
    <n v="1"/>
    <b v="1"/>
  </r>
  <r>
    <x v="338"/>
    <s v="samuelbattista"/>
    <n v="4"/>
    <n v="1.5491933384829668"/>
    <s v="You Make Loving Fun"/>
    <s v="Fleetwood Mac"/>
    <n v="5"/>
    <n v="5"/>
    <n v="4"/>
    <n v="1"/>
    <n v="5"/>
    <m/>
    <m/>
    <m/>
    <n v="5"/>
    <n v="1"/>
    <b v="0"/>
  </r>
  <r>
    <x v="338"/>
    <s v="currydestroyer27"/>
    <n v="2.8"/>
    <n v="1.4696938456699069"/>
    <s v="星が降るユメ (Fate/Grand Order -絶対魔獣戦線バビロニア-)"/>
    <s v="KOKO!"/>
    <n v="4"/>
    <n v="2"/>
    <n v="5"/>
    <n v="2"/>
    <n v="1"/>
    <n v="18676"/>
    <s v="International"/>
    <s v="J-Pop"/>
    <n v="3"/>
    <n v="1"/>
    <b v="0"/>
  </r>
  <r>
    <x v="339"/>
    <s v="alappatjoe"/>
    <n v="3"/>
    <n v="1.0954451150103321"/>
    <s v="High Maintenance"/>
    <s v="Paul Russell"/>
    <n v="1"/>
    <n v="3"/>
    <n v="4"/>
    <n v="4"/>
    <n v="3"/>
    <n v="899366"/>
    <m/>
    <m/>
    <n v="3"/>
    <n v="1"/>
    <b v="0"/>
  </r>
  <r>
    <x v="339"/>
    <s v="danram"/>
    <n v="2.4"/>
    <n v="1.7435595774162693"/>
    <s v="Even Flow"/>
    <s v="Pearl Jam"/>
    <n v="5"/>
    <n v="1"/>
    <n v="1"/>
    <n v="1"/>
    <n v="4"/>
    <m/>
    <m/>
    <m/>
    <n v="1"/>
    <n v="1"/>
    <b v="1"/>
  </r>
  <r>
    <x v="339"/>
    <s v="loganworsdell"/>
    <n v="2.8"/>
    <n v="1.1661903789690602"/>
    <s v="POISON FLIP - LeeJi Remix"/>
    <s v="berryblue, LeeJi"/>
    <n v="4"/>
    <n v="4"/>
    <n v="2"/>
    <n v="3"/>
    <n v="1"/>
    <n v="3977554"/>
    <m/>
    <m/>
    <n v="2"/>
    <n v="1"/>
    <b v="0"/>
  </r>
  <r>
    <x v="339"/>
    <s v="samuelbattista"/>
    <n v="3"/>
    <n v="1.0954451150103321"/>
    <s v="Fame"/>
    <s v="David Bowie"/>
    <n v="3"/>
    <n v="2"/>
    <n v="3"/>
    <n v="2"/>
    <n v="5"/>
    <m/>
    <m/>
    <m/>
    <n v="3"/>
    <n v="1"/>
    <b v="0"/>
  </r>
  <r>
    <x v="339"/>
    <s v="currydestroyer27"/>
    <n v="3.8"/>
    <n v="1.4696938456699069"/>
    <s v="Calone"/>
    <s v="Tiffany Day"/>
    <n v="2"/>
    <n v="5"/>
    <n v="5"/>
    <n v="5"/>
    <n v="2"/>
    <n v="6523283"/>
    <m/>
    <m/>
    <n v="5"/>
    <n v="1"/>
    <b v="0"/>
  </r>
  <r>
    <x v="340"/>
    <s v="alappatjoe"/>
    <n v="2.2000000000000002"/>
    <n v="1.4696938456699069"/>
    <s v="Tank!"/>
    <s v="Plantina Jazz"/>
    <n v="1"/>
    <n v="1"/>
    <n v="2"/>
    <n v="2"/>
    <n v="5"/>
    <m/>
    <m/>
    <m/>
    <n v="1"/>
    <n v="1"/>
    <b v="1"/>
  </r>
  <r>
    <x v="340"/>
    <s v="danram"/>
    <n v="3.4"/>
    <n v="0.8"/>
    <s v="Celebration"/>
    <s v="Kanye West"/>
    <n v="4"/>
    <n v="2"/>
    <n v="4"/>
    <n v="4"/>
    <n v="3"/>
    <m/>
    <m/>
    <m/>
    <n v="4"/>
    <n v="1"/>
    <b v="0"/>
  </r>
  <r>
    <x v="340"/>
    <s v="loganworsdell"/>
    <n v="2.8"/>
    <n v="1.3266499161421599"/>
    <s v="Giving My Life"/>
    <s v="I-Exist"/>
    <n v="5"/>
    <n v="3"/>
    <n v="1"/>
    <n v="3"/>
    <n v="2"/>
    <n v="3084581"/>
    <m/>
    <m/>
    <n v="2"/>
    <n v="1"/>
    <b v="0"/>
  </r>
  <r>
    <x v="340"/>
    <s v="samuelbattista"/>
    <n v="3.2"/>
    <n v="1.3266499161421599"/>
    <s v="Over the Hills and Far Away"/>
    <s v="Led Zeppelin"/>
    <n v="3"/>
    <n v="5"/>
    <n v="3"/>
    <n v="1"/>
    <n v="4"/>
    <m/>
    <m/>
    <m/>
    <n v="3"/>
    <n v="1"/>
    <b v="0"/>
  </r>
  <r>
    <x v="340"/>
    <s v="currydestroyer27"/>
    <n v="3.4"/>
    <n v="1.6248076809271921"/>
    <s v="Why So Lonely"/>
    <s v="Wonder Girls"/>
    <n v="2"/>
    <n v="4"/>
    <n v="5"/>
    <n v="5"/>
    <n v="1"/>
    <n v="51437088"/>
    <s v="International"/>
    <s v="K-Pop"/>
    <n v="5"/>
    <n v="1"/>
    <b v="0"/>
  </r>
  <r>
    <x v="341"/>
    <s v="alappatjoe"/>
    <n v="4.4000000000000004"/>
    <n v="0.8"/>
    <s v="Fantasy"/>
    <s v="Earth, Wind &amp; Fire"/>
    <n v="3"/>
    <n v="5"/>
    <n v="5"/>
    <n v="4"/>
    <n v="5"/>
    <n v="500399"/>
    <m/>
    <m/>
    <n v="5"/>
    <n v="1"/>
    <b v="0"/>
  </r>
  <r>
    <x v="341"/>
    <s v="danram"/>
    <n v="3.2"/>
    <n v="1.3266499161421599"/>
    <s v="Cherub Rock"/>
    <s v="The Smashing Pumpkins"/>
    <n v="5"/>
    <n v="4"/>
    <n v="3"/>
    <n v="1"/>
    <n v="3"/>
    <m/>
    <m/>
    <m/>
    <n v="4"/>
    <n v="1"/>
    <b v="0"/>
  </r>
  <r>
    <x v="341"/>
    <s v="loganworsdell"/>
    <n v="1.8"/>
    <n v="0.74833147735478833"/>
    <s v="Circus"/>
    <s v="Britney Spears"/>
    <n v="2"/>
    <n v="1"/>
    <n v="1"/>
    <n v="3"/>
    <n v="2"/>
    <n v="615686798"/>
    <m/>
    <m/>
    <n v="1"/>
    <n v="1"/>
    <b v="1"/>
  </r>
  <r>
    <x v="341"/>
    <s v="samuelbattista"/>
    <n v="2.8"/>
    <n v="0.9797958971132712"/>
    <s v="Let's Dance"/>
    <s v="David Bowie"/>
    <n v="4"/>
    <n v="2"/>
    <n v="2"/>
    <n v="2"/>
    <n v="4"/>
    <m/>
    <m/>
    <m/>
    <n v="2"/>
    <n v="1"/>
    <b v="0"/>
  </r>
  <r>
    <x v="341"/>
    <s v="currydestroyer27"/>
    <n v="2.8"/>
    <n v="1.6"/>
    <s v="House Money"/>
    <s v="Baby Keem"/>
    <n v="1"/>
    <n v="3"/>
    <n v="4"/>
    <n v="5"/>
    <n v="1"/>
    <n v="8605116"/>
    <m/>
    <m/>
    <n v="3"/>
    <n v="1"/>
    <b v="0"/>
  </r>
  <r>
    <x v="342"/>
    <s v="alappatjoe"/>
    <n v="4.2"/>
    <n v="1.6"/>
    <s v="Alley Oop"/>
    <s v="Chris Patrick"/>
    <n v="1"/>
    <n v="5"/>
    <n v="5"/>
    <n v="5"/>
    <n v="5"/>
    <n v="200272"/>
    <m/>
    <m/>
    <n v="5"/>
    <n v="1"/>
    <b v="0"/>
  </r>
  <r>
    <x v="342"/>
    <s v="danram"/>
    <n v="2.8"/>
    <n v="1.1661903789690602"/>
    <s v="Morado"/>
    <s v="J Balvin"/>
    <n v="3"/>
    <n v="1"/>
    <n v="4"/>
    <n v="4"/>
    <n v="2"/>
    <m/>
    <m/>
    <m/>
    <n v="3"/>
    <n v="1"/>
    <b v="0"/>
  </r>
  <r>
    <x v="342"/>
    <s v="loganworsdell"/>
    <n v="2.8"/>
    <n v="0.9797958971132712"/>
    <s v="Not Fair"/>
    <s v="Leon Thomas"/>
    <n v="2"/>
    <n v="4"/>
    <n v="2"/>
    <n v="2"/>
    <n v="4"/>
    <n v="28904515"/>
    <m/>
    <m/>
    <n v="2"/>
    <n v="1"/>
    <b v="0"/>
  </r>
  <r>
    <x v="342"/>
    <s v="samuelbattista"/>
    <n v="3"/>
    <n v="1.2649110640673518"/>
    <s v="Na Na Na (Na Na Na Na Na Na Na Na Na)"/>
    <s v="My Chemical Romance"/>
    <n v="5"/>
    <n v="3"/>
    <n v="3"/>
    <n v="1"/>
    <n v="3"/>
    <m/>
    <m/>
    <m/>
    <n v="4"/>
    <n v="1"/>
    <b v="0"/>
  </r>
  <r>
    <x v="342"/>
    <s v="currydestroyer27"/>
    <n v="2.2000000000000002"/>
    <n v="1.1661903789690602"/>
    <s v="Stateside"/>
    <s v="PinkPantheress, Zara Larsson"/>
    <n v="4"/>
    <n v="2"/>
    <n v="1"/>
    <n v="3"/>
    <n v="1"/>
    <n v="199894899"/>
    <m/>
    <m/>
    <n v="1"/>
    <n v="1"/>
    <b v="1"/>
  </r>
  <r>
    <x v="343"/>
    <s v="alappatjoe"/>
    <n v="3.2"/>
    <n v="1.4696938456699069"/>
    <s v="Malaguena"/>
    <s v="Stan Kenton"/>
    <n v="1"/>
    <n v="4"/>
    <n v="4"/>
    <n v="2"/>
    <n v="5"/>
    <n v="1534730"/>
    <m/>
    <m/>
    <n v="3"/>
    <n v="1"/>
    <b v="0"/>
  </r>
  <r>
    <x v="343"/>
    <s v="danram"/>
    <n v="2.2000000000000002"/>
    <n v="0.74833147735478833"/>
    <s v="Ca$ino"/>
    <s v="Baby Keem"/>
    <n v="3"/>
    <n v="1"/>
    <n v="2"/>
    <n v="3"/>
    <n v="2"/>
    <m/>
    <m/>
    <m/>
    <n v="1"/>
    <n v="1"/>
    <b v="1"/>
  </r>
  <r>
    <x v="343"/>
    <s v="loganworsdell"/>
    <n v="3.6"/>
    <n v="0.8"/>
    <s v="L.U.C.K.Y"/>
    <s v="Fcukers"/>
    <n v="5"/>
    <n v="3"/>
    <n v="3"/>
    <n v="4"/>
    <n v="3"/>
    <n v="1842445"/>
    <m/>
    <m/>
    <n v="4"/>
    <n v="1"/>
    <b v="0"/>
  </r>
  <r>
    <x v="343"/>
    <s v="samuelbattista"/>
    <n v="2.4"/>
    <n v="1.3564659966250536"/>
    <s v="This Must Be the Place (Naive Melody)"/>
    <s v="Talking Heads"/>
    <n v="4"/>
    <n v="2"/>
    <n v="1"/>
    <n v="1"/>
    <n v="4"/>
    <m/>
    <m/>
    <m/>
    <n v="2"/>
    <n v="1"/>
    <b v="0"/>
  </r>
  <r>
    <x v="343"/>
    <s v="currydestroyer27"/>
    <n v="3.6"/>
    <n v="1.7435595774162693"/>
    <s v="Kuchizuke Diamond"/>
    <s v="WEAVER"/>
    <n v="2"/>
    <n v="5"/>
    <n v="5"/>
    <n v="5"/>
    <n v="1"/>
    <n v="29201838"/>
    <s v="International"/>
    <s v="J-Pop"/>
    <n v="5"/>
    <n v="1"/>
    <b v="0"/>
  </r>
  <r>
    <x v="344"/>
    <s v="alappatjoe"/>
    <n v="3.6"/>
    <n v="0.8"/>
    <s v="Love Hangover"/>
    <s v="JENNIE, Dominic Fike"/>
    <n v="2"/>
    <n v="4"/>
    <n v="4"/>
    <n v="4"/>
    <n v="4"/>
    <n v="214363435"/>
    <m/>
    <m/>
    <n v="4"/>
    <n v="1"/>
    <b v="0"/>
  </r>
  <r>
    <x v="344"/>
    <s v="danram"/>
    <n v="1.6"/>
    <n v="0.8"/>
    <s v="Smooth Criminal"/>
    <s v="Michael Jackson"/>
    <n v="1"/>
    <n v="1"/>
    <n v="1"/>
    <n v="2"/>
    <n v="3"/>
    <n v="1041810083"/>
    <m/>
    <m/>
    <n v="1"/>
    <n v="1"/>
    <b v="1"/>
  </r>
  <r>
    <x v="344"/>
    <s v="loganworsdell"/>
    <n v="2.8"/>
    <n v="0.9797958971132712"/>
    <s v="What You Waiting For?"/>
    <s v="Gwen Stefani"/>
    <n v="4"/>
    <n v="3"/>
    <n v="3"/>
    <n v="3"/>
    <n v="1"/>
    <n v="221913357"/>
    <m/>
    <m/>
    <n v="2"/>
    <n v="1"/>
    <b v="0"/>
  </r>
  <r>
    <x v="344"/>
    <s v="samuelbattista"/>
    <n v="3"/>
    <n v="1.6733200530681511"/>
    <s v="Careless Whisper"/>
    <s v="George Micheal"/>
    <n v="5"/>
    <n v="2"/>
    <n v="2"/>
    <n v="1"/>
    <n v="5"/>
    <n v="1478643412"/>
    <m/>
    <m/>
    <n v="3"/>
    <n v="1"/>
    <b v="0"/>
  </r>
  <r>
    <x v="344"/>
    <s v="currydestroyer27"/>
    <n v="4"/>
    <n v="1.2649110640673518"/>
    <s v="百花繚乱"/>
    <s v="Lilas"/>
    <n v="3"/>
    <n v="5"/>
    <n v="5"/>
    <n v="5"/>
    <n v="2"/>
    <n v="53686900"/>
    <s v="International"/>
    <s v="J-Pop"/>
    <n v="5"/>
    <n v="1"/>
    <b v="0"/>
  </r>
  <r>
    <x v="345"/>
    <s v="alappatjoe"/>
    <n v="4.5999999999999996"/>
    <n v="0.8"/>
    <s v="Shout"/>
    <s v="Otis Day &amp; The Knights"/>
    <n v="3"/>
    <n v="5"/>
    <n v="5"/>
    <n v="5"/>
    <n v="5"/>
    <n v="2674004"/>
    <m/>
    <m/>
    <n v="5"/>
    <n v="1"/>
    <b v="0"/>
  </r>
  <r>
    <x v="345"/>
    <s v="danram"/>
    <n v="2.4"/>
    <n v="1.2"/>
    <s v="Gimme! Gimme! Gimme!"/>
    <s v="ABBA"/>
    <n v="4"/>
    <n v="1"/>
    <n v="3"/>
    <n v="1"/>
    <n v="3"/>
    <m/>
    <m/>
    <m/>
    <n v="3"/>
    <n v="1"/>
    <b v="0"/>
  </r>
  <r>
    <x v="345"/>
    <s v="loganworsdell"/>
    <n v="1.6"/>
    <n v="0.4898979485566356"/>
    <s v="Fire Burning"/>
    <s v="Sean Kingston"/>
    <n v="2"/>
    <n v="2"/>
    <n v="1"/>
    <n v="2"/>
    <n v="1"/>
    <n v="449377562"/>
    <m/>
    <m/>
    <n v="1"/>
    <n v="1"/>
    <b v="1"/>
  </r>
  <r>
    <x v="345"/>
    <s v="samuelbattista"/>
    <n v="4"/>
    <n v="0.63245553203367588"/>
    <s v="I Did This To Myself"/>
    <s v="Thundercat, Lil Yachty, Flying Lotus"/>
    <n v="5"/>
    <n v="4"/>
    <n v="4"/>
    <n v="3"/>
    <n v="4"/>
    <m/>
    <m/>
    <m/>
    <n v="4"/>
    <n v="1"/>
    <b v="0"/>
  </r>
  <r>
    <x v="345"/>
    <s v="currydestroyer27"/>
    <n v="2.4"/>
    <n v="1.019803902718557"/>
    <s v="STUPID IN LOVE"/>
    <s v="Huh Yunjin, Max"/>
    <n v="1"/>
    <n v="3"/>
    <n v="2"/>
    <n v="4"/>
    <n v="2"/>
    <n v="150438279"/>
    <m/>
    <m/>
    <n v="2"/>
    <n v="1"/>
    <b v="0"/>
  </r>
  <r>
    <x v="346"/>
    <s v="alappatjoe"/>
    <n v="2.6"/>
    <n v="1.019803902718557"/>
    <s v="Bloom"/>
    <s v="Systems Nominal"/>
    <n v="1"/>
    <n v="3"/>
    <n v="2"/>
    <n v="3"/>
    <n v="4"/>
    <n v="999"/>
    <m/>
    <m/>
    <n v="1"/>
    <n v="1"/>
    <b v="1"/>
  </r>
  <r>
    <x v="346"/>
    <s v="danram"/>
    <n v="2.6"/>
    <n v="1.6248076809271921"/>
    <s v="GANTEL y BELLAKz"/>
    <s v="Omar Courtz, BASSYY"/>
    <n v="2"/>
    <n v="1"/>
    <n v="1"/>
    <n v="4"/>
    <n v="5"/>
    <m/>
    <m/>
    <m/>
    <n v="2"/>
    <n v="1"/>
    <b v="0"/>
  </r>
  <r>
    <x v="346"/>
    <s v="loganworsdell"/>
    <n v="3.8"/>
    <n v="0.9797958971132712"/>
    <s v="Don't Think Twice"/>
    <s v="Hikaru Utada"/>
    <n v="3"/>
    <n v="5"/>
    <n v="3"/>
    <n v="5"/>
    <n v="3"/>
    <n v="28484670"/>
    <m/>
    <m/>
    <n v="5"/>
    <n v="1"/>
    <b v="0"/>
  </r>
  <r>
    <x v="346"/>
    <s v="samuelbattista"/>
    <n v="3.2"/>
    <n v="1.4696938456699069"/>
    <s v="Schism"/>
    <s v="TOOL"/>
    <n v="5"/>
    <n v="4"/>
    <n v="4"/>
    <n v="1"/>
    <n v="2"/>
    <m/>
    <m/>
    <m/>
    <n v="4"/>
    <n v="1"/>
    <b v="0"/>
  </r>
  <r>
    <x v="346"/>
    <s v="currydestroyer27"/>
    <n v="2.8"/>
    <n v="1.4696938456699069"/>
    <s v="Cloud 9"/>
    <s v="Beach Bunny"/>
    <n v="4"/>
    <n v="2"/>
    <n v="5"/>
    <n v="2"/>
    <n v="1"/>
    <n v="592653379"/>
    <m/>
    <m/>
    <n v="3"/>
    <n v="1"/>
    <b v="0"/>
  </r>
  <r>
    <x v="347"/>
    <s v="alappatjoe"/>
    <n v="3.4"/>
    <n v="1.019803902718557"/>
    <s v="Let The Wound Heal"/>
    <s v="Death Drive, Tori Hall"/>
    <n v="4"/>
    <n v="3"/>
    <n v="5"/>
    <n v="2"/>
    <n v="3"/>
    <n v="7703"/>
    <m/>
    <m/>
    <n v="3"/>
    <n v="1"/>
    <b v="0"/>
  </r>
  <r>
    <x v="347"/>
    <s v="danram"/>
    <n v="3.8"/>
    <n v="1.1661903789690602"/>
    <s v="I'm with You"/>
    <s v="GROUPLOVE"/>
    <n v="3"/>
    <n v="5"/>
    <n v="4"/>
    <n v="5"/>
    <n v="2"/>
    <m/>
    <m/>
    <m/>
    <n v="5"/>
    <n v="1"/>
    <b v="0"/>
  </r>
  <r>
    <x v="347"/>
    <s v="loganworsdell"/>
    <n v="2"/>
    <n v="1.2649110640673518"/>
    <s v="22:22"/>
    <s v="Ghali"/>
    <n v="1"/>
    <n v="1"/>
    <n v="1"/>
    <n v="3"/>
    <n v="4"/>
    <n v="36396255"/>
    <m/>
    <m/>
    <n v="1"/>
    <n v="1"/>
    <b v="1"/>
  </r>
  <r>
    <x v="347"/>
    <s v="samuelbattista"/>
    <n v="3.4"/>
    <n v="1.6248076809271921"/>
    <s v="The Great Divide"/>
    <s v="Noah Kahan"/>
    <n v="5"/>
    <n v="4"/>
    <n v="2"/>
    <n v="1"/>
    <n v="5"/>
    <m/>
    <m/>
    <m/>
    <n v="4"/>
    <n v="1"/>
    <b v="0"/>
  </r>
  <r>
    <x v="347"/>
    <s v="currydestroyer27"/>
    <n v="2.4"/>
    <n v="1.019803902718557"/>
    <s v="Blame Brett"/>
    <s v="The Beaches"/>
    <n v="2"/>
    <n v="2"/>
    <n v="3"/>
    <n v="4"/>
    <n v="1"/>
    <n v="121942474"/>
    <m/>
    <m/>
    <n v="2"/>
    <n v="1"/>
    <b v="0"/>
  </r>
  <r>
    <x v="348"/>
    <s v="alappatjoe"/>
    <n v="4.4000000000000004"/>
    <n v="1.2"/>
    <s v="Drips"/>
    <s v="Eminem, Obie Trice"/>
    <n v="2"/>
    <n v="5"/>
    <n v="5"/>
    <n v="5"/>
    <n v="5"/>
    <n v="53237219"/>
    <m/>
    <m/>
    <n v="5"/>
    <n v="1"/>
    <b v="0"/>
  </r>
  <r>
    <x v="348"/>
    <s v="danram"/>
    <n v="3.2"/>
    <n v="1.1661903789690602"/>
    <s v="Roman Holiday"/>
    <s v="Fontaines D.C."/>
    <n v="1"/>
    <n v="3"/>
    <n v="4"/>
    <n v="4"/>
    <n v="4"/>
    <m/>
    <m/>
    <m/>
    <n v="4"/>
    <n v="1"/>
    <b v="0"/>
  </r>
  <r>
    <x v="348"/>
    <s v="loganworsdell"/>
    <n v="3"/>
    <n v="1.4142135623730951"/>
    <s v="Mutant Brain"/>
    <s v="Sam i, Ape Drums, Agent Sasco (Assassin)"/>
    <n v="5"/>
    <n v="4"/>
    <n v="2"/>
    <n v="3"/>
    <n v="1"/>
    <n v="7039574"/>
    <m/>
    <m/>
    <n v="3"/>
    <n v="1"/>
    <b v="0"/>
  </r>
  <r>
    <x v="348"/>
    <s v="samuelbattista"/>
    <n v="2"/>
    <n v="0.89442719099991586"/>
    <s v="DNA"/>
    <s v="HENGE"/>
    <n v="3"/>
    <n v="2"/>
    <n v="1"/>
    <n v="1"/>
    <n v="3"/>
    <m/>
    <m/>
    <m/>
    <n v="1"/>
    <n v="1"/>
    <b v="1"/>
  </r>
  <r>
    <x v="348"/>
    <s v="currydestroyer27"/>
    <n v="2.4"/>
    <n v="1.019803902718557"/>
    <s v="Tomorrow Never Knows"/>
    <s v="The Beatles"/>
    <n v="4"/>
    <n v="1"/>
    <n v="3"/>
    <n v="2"/>
    <n v="2"/>
    <n v="48273128"/>
    <m/>
    <m/>
    <n v="2"/>
    <n v="1"/>
    <b v="0"/>
  </r>
  <r>
    <x v="349"/>
    <s v="alappatjoe"/>
    <n v="3.6"/>
    <n v="1.3564659966250536"/>
    <s v="Na Na"/>
    <s v="Trey Songz"/>
    <n v="1"/>
    <n v="4"/>
    <n v="4"/>
    <n v="5"/>
    <n v="4"/>
    <n v="393340072"/>
    <m/>
    <m/>
    <n v="5"/>
    <n v="1"/>
    <b v="0"/>
  </r>
  <r>
    <x v="349"/>
    <s v="danram"/>
    <n v="2.2000000000000002"/>
    <n v="0.74833147735478833"/>
    <s v="All Of My Friends"/>
    <s v="Jack Harlow"/>
    <n v="3"/>
    <n v="1"/>
    <n v="3"/>
    <n v="2"/>
    <n v="2"/>
    <m/>
    <m/>
    <m/>
    <n v="1"/>
    <n v="1"/>
    <b v="1"/>
  </r>
  <r>
    <x v="349"/>
    <s v="loganworsdell"/>
    <n v="3.2"/>
    <n v="1.6"/>
    <s v="Should've Been Us"/>
    <s v="Tori Kelly"/>
    <n v="2"/>
    <n v="5"/>
    <n v="1"/>
    <n v="3"/>
    <n v="5"/>
    <n v="94384963"/>
    <m/>
    <m/>
    <n v="3"/>
    <n v="1"/>
    <b v="0"/>
  </r>
  <r>
    <x v="349"/>
    <s v="samuelbattista"/>
    <n v="2.6"/>
    <n v="1.019803902718557"/>
    <s v="Trade Places"/>
    <s v="Jack Harlow"/>
    <n v="4"/>
    <n v="3"/>
    <n v="2"/>
    <n v="1"/>
    <n v="3"/>
    <m/>
    <m/>
    <m/>
    <n v="2"/>
    <n v="1"/>
    <b v="0"/>
  </r>
  <r>
    <x v="349"/>
    <s v="currydestroyer27"/>
    <n v="3.4"/>
    <n v="1.6248076809271921"/>
    <s v="Orange County"/>
    <s v="Gorillaz, Bizarrap, Kara Jackson, Anoushka Shankar"/>
    <n v="5"/>
    <n v="2"/>
    <n v="5"/>
    <n v="4"/>
    <n v="1"/>
    <n v="19964771"/>
    <m/>
    <m/>
    <n v="4"/>
    <n v="1"/>
    <b v="0"/>
  </r>
  <r>
    <x v="350"/>
    <s v="alappatjoe"/>
    <n v="3"/>
    <n v="1.6733200530681511"/>
    <s v="STCKSHFT"/>
    <s v="3ee"/>
    <n v="1"/>
    <n v="2"/>
    <n v="2"/>
    <n v="5"/>
    <n v="5"/>
    <n v="552462"/>
    <m/>
    <m/>
    <n v="3"/>
    <n v="1"/>
    <b v="0"/>
  </r>
  <r>
    <x v="350"/>
    <s v="danram"/>
    <n v="2.4"/>
    <n v="1.3564659966250536"/>
    <s v="Aquel Lugar"/>
    <s v="Adolescent's Orquesta"/>
    <n v="2"/>
    <n v="1"/>
    <n v="5"/>
    <n v="2"/>
    <n v="2"/>
    <m/>
    <m/>
    <m/>
    <n v="1"/>
    <n v="1"/>
    <b v="1"/>
  </r>
  <r>
    <x v="350"/>
    <s v="loganworsdell"/>
    <n v="3.6"/>
    <n v="0.4898979485566356"/>
    <s v="LONDON"/>
    <s v="BIA, J. Cole"/>
    <n v="4"/>
    <n v="3"/>
    <n v="3"/>
    <n v="4"/>
    <n v="4"/>
    <n v="62353211"/>
    <m/>
    <m/>
    <n v="5"/>
    <n v="1"/>
    <b v="0"/>
  </r>
  <r>
    <x v="350"/>
    <s v="samuelbattista"/>
    <n v="3"/>
    <n v="1.0954451150103321"/>
    <s v="Pasadena"/>
    <s v="Young Mister"/>
    <n v="3"/>
    <n v="4"/>
    <n v="4"/>
    <n v="1"/>
    <n v="3"/>
    <m/>
    <m/>
    <m/>
    <n v="2"/>
    <n v="1"/>
    <b v="0"/>
  </r>
  <r>
    <x v="350"/>
    <s v="currydestroyer27"/>
    <n v="3"/>
    <n v="1.7888543819998317"/>
    <s v="Wild Irish Roses"/>
    <s v="Smino"/>
    <n v="5"/>
    <n v="5"/>
    <n v="1"/>
    <n v="3"/>
    <n v="1"/>
    <n v="146322028"/>
    <m/>
    <m/>
    <n v="4"/>
    <n v="1"/>
    <b v="0"/>
  </r>
  <r>
    <x v="351"/>
    <s v="alappatjoe"/>
    <n v="2.4"/>
    <n v="0.8"/>
    <s v="On My Soul"/>
    <s v="Bruno Mars"/>
    <n v="1"/>
    <n v="3"/>
    <n v="2"/>
    <n v="3"/>
    <n v="3"/>
    <n v="21699476"/>
    <m/>
    <m/>
    <n v="1"/>
    <n v="1"/>
    <b v="1"/>
  </r>
  <r>
    <x v="351"/>
    <s v="danram"/>
    <n v="2.4"/>
    <n v="1.4966629547095767"/>
    <s v="Moonage Daydream"/>
    <s v="David Bowie"/>
    <n v="3"/>
    <n v="1"/>
    <n v="5"/>
    <n v="1"/>
    <n v="2"/>
    <m/>
    <m/>
    <m/>
    <n v="2"/>
    <n v="1"/>
    <b v="0"/>
  </r>
  <r>
    <x v="351"/>
    <s v="loganworsdell"/>
    <n v="2.8"/>
    <n v="1.1661903789690602"/>
    <s v="Jennifer"/>
    <s v="Ghali, Soolking"/>
    <n v="2"/>
    <n v="4"/>
    <n v="3"/>
    <n v="4"/>
    <n v="1"/>
    <n v="40739731"/>
    <m/>
    <m/>
    <n v="3"/>
    <n v="1"/>
    <b v="0"/>
  </r>
  <r>
    <x v="351"/>
    <s v="samuelbattista"/>
    <n v="3"/>
    <n v="1.6733200530681511"/>
    <s v="1000 Ways"/>
    <s v="Chet Faker"/>
    <n v="5"/>
    <n v="2"/>
    <n v="1"/>
    <n v="2"/>
    <n v="5"/>
    <m/>
    <m/>
    <m/>
    <n v="4"/>
    <n v="1"/>
    <b v="0"/>
  </r>
  <r>
    <x v="351"/>
    <s v="currydestroyer27"/>
    <n v="4.4000000000000004"/>
    <n v="0.4898979485566356"/>
    <s v="Kammy (like i do)"/>
    <s v="Fred again.."/>
    <n v="4"/>
    <n v="5"/>
    <n v="4"/>
    <n v="5"/>
    <n v="4"/>
    <n v="46388248"/>
    <m/>
    <m/>
    <n v="5"/>
    <n v="1"/>
    <b v="0"/>
  </r>
  <r>
    <x v="352"/>
    <s v="alappatjoe"/>
    <n v="3.2"/>
    <n v="1.3266499161421599"/>
    <s v="Primavera"/>
    <s v="Ludovico Einaudi"/>
    <n v="1"/>
    <n v="5"/>
    <n v="4"/>
    <n v="3"/>
    <n v="3"/>
    <n v="148630997"/>
    <m/>
    <m/>
    <n v="4"/>
    <n v="1"/>
    <b v="0"/>
  </r>
  <r>
    <x v="352"/>
    <s v="danram"/>
    <n v="4.4000000000000004"/>
    <n v="0.8"/>
    <s v="Overture to &quot;The School for Scandal&quot;"/>
    <s v="Samuel Barber"/>
    <n v="5"/>
    <n v="4"/>
    <n v="3"/>
    <n v="5"/>
    <n v="5"/>
    <m/>
    <m/>
    <m/>
    <n v="5"/>
    <n v="1"/>
    <b v="0"/>
  </r>
  <r>
    <x v="352"/>
    <s v="loganworsdell"/>
    <n v="2.2000000000000002"/>
    <n v="0.4"/>
    <s v="il vento d'oro"/>
    <s v="Yugo Kanno"/>
    <n v="3"/>
    <n v="2"/>
    <n v="2"/>
    <n v="2"/>
    <n v="2"/>
    <n v="126098751"/>
    <m/>
    <m/>
    <n v="1"/>
    <n v="1"/>
    <b v="1"/>
  </r>
  <r>
    <x v="352"/>
    <s v="samuelbattista"/>
    <n v="3"/>
    <n v="1.4142135623730951"/>
    <s v="Cello Suite No.1 in G Major"/>
    <s v="Johann Sebastian Bach, Yo-Yo Ma"/>
    <n v="2"/>
    <n v="3"/>
    <n v="5"/>
    <n v="1"/>
    <n v="4"/>
    <m/>
    <m/>
    <m/>
    <n v="3"/>
    <n v="1"/>
    <b v="0"/>
  </r>
  <r>
    <x v="352"/>
    <s v="currydestroyer27"/>
    <n v="2.2000000000000002"/>
    <n v="1.4696938456699069"/>
    <s v="L no Theme"/>
    <s v="Hideki Taniuchi"/>
    <n v="4"/>
    <n v="1"/>
    <n v="1"/>
    <n v="4"/>
    <n v="1"/>
    <n v="13741081"/>
    <m/>
    <m/>
    <n v="2"/>
    <n v="1"/>
    <b v="0"/>
  </r>
  <r>
    <x v="353"/>
    <s v="alappatjoe"/>
    <n v="2.6"/>
    <n v="1.019803902718557"/>
    <s v="Skunk"/>
    <s v="Bump2Soul"/>
    <n v="1"/>
    <n v="3"/>
    <n v="2"/>
    <n v="3"/>
    <n v="4"/>
    <n v="15691"/>
    <m/>
    <m/>
    <n v="2"/>
    <n v="1"/>
    <b v="0"/>
  </r>
  <r>
    <x v="353"/>
    <s v="danram"/>
    <n v="1.6"/>
    <n v="0.4898979485566356"/>
    <s v="La rebuena mi fai"/>
    <s v="Feid"/>
    <n v="2"/>
    <n v="1"/>
    <n v="1"/>
    <n v="2"/>
    <n v="2"/>
    <m/>
    <m/>
    <m/>
    <n v="1"/>
    <n v="1"/>
    <b v="1"/>
  </r>
  <r>
    <x v="353"/>
    <s v="loganworsdell"/>
    <n v="3.6"/>
    <n v="0.8"/>
    <s v="Mona Lisa Motion"/>
    <s v="ZAH1DE"/>
    <n v="3"/>
    <n v="4"/>
    <n v="3"/>
    <n v="5"/>
    <n v="3"/>
    <n v="37039781"/>
    <m/>
    <m/>
    <n v="4"/>
    <n v="1"/>
    <b v="0"/>
  </r>
  <r>
    <x v="353"/>
    <s v="samuelbattista"/>
    <n v="3.8"/>
    <n v="1.4696938456699069"/>
    <s v="White Rabbit"/>
    <s v="Jefferson Airplane"/>
    <n v="4"/>
    <n v="5"/>
    <n v="4"/>
    <n v="1"/>
    <n v="5"/>
    <m/>
    <m/>
    <m/>
    <n v="5"/>
    <n v="1"/>
    <b v="0"/>
  </r>
  <r>
    <x v="353"/>
    <s v="currydestroyer27"/>
    <n v="3.4"/>
    <n v="1.6248076809271921"/>
    <s v="All I Think About Now"/>
    <s v="Pixies"/>
    <n v="5"/>
    <n v="2"/>
    <n v="5"/>
    <n v="4"/>
    <n v="1"/>
    <n v="124162146"/>
    <m/>
    <m/>
    <n v="3"/>
    <n v="1"/>
    <b v="0"/>
  </r>
  <r>
    <x v="354"/>
    <s v="alappatjoe"/>
    <n v="2.4"/>
    <n v="1.3564659966250536"/>
    <s v="Casanova"/>
    <s v="I'MIN, King Sis"/>
    <n v="1"/>
    <n v="4"/>
    <n v="1"/>
    <n v="2"/>
    <n v="4"/>
    <n v="104044"/>
    <m/>
    <m/>
    <n v="1"/>
    <n v="1"/>
    <b v="1"/>
  </r>
  <r>
    <x v="354"/>
    <s v="danram"/>
    <n v="2.8"/>
    <n v="0.4"/>
    <s v="Boleritoxx"/>
    <s v="Feid"/>
    <n v="2"/>
    <n v="3"/>
    <n v="3"/>
    <n v="3"/>
    <n v="3"/>
    <m/>
    <m/>
    <m/>
    <n v="3"/>
    <n v="1"/>
    <b v="0"/>
  </r>
  <r>
    <x v="354"/>
    <s v="loganworsdell"/>
    <n v="4.4000000000000004"/>
    <n v="1.2"/>
    <s v="Belladona"/>
    <s v="Kenia OS"/>
    <n v="5"/>
    <n v="5"/>
    <n v="2"/>
    <n v="5"/>
    <n v="5"/>
    <n v="11869636"/>
    <m/>
    <m/>
    <n v="5"/>
    <n v="1"/>
    <b v="0"/>
  </r>
  <r>
    <x v="354"/>
    <s v="samuelbattista"/>
    <n v="2.8"/>
    <n v="1.4696938456699069"/>
    <s v="Brain Stew"/>
    <s v="Green Day"/>
    <n v="4"/>
    <n v="2"/>
    <n v="5"/>
    <n v="1"/>
    <n v="2"/>
    <m/>
    <m/>
    <m/>
    <n v="4"/>
    <n v="1"/>
    <b v="0"/>
  </r>
  <r>
    <x v="354"/>
    <s v="currydestroyer27"/>
    <n v="2.6"/>
    <n v="1.3564659966250536"/>
    <s v="Lose My Mind"/>
    <s v="Jamie Jones, Connie Constance"/>
    <n v="3"/>
    <n v="1"/>
    <n v="4"/>
    <n v="4"/>
    <n v="1"/>
    <n v="67833731"/>
    <m/>
    <m/>
    <n v="2"/>
    <n v="1"/>
    <b v="0"/>
  </r>
  <r>
    <x v="355"/>
    <s v="alappatjoe"/>
    <n v="3.6"/>
    <n v="1.3564659966250536"/>
    <s v="SHUT UP"/>
    <s v="Tone Stith"/>
    <n v="1"/>
    <n v="5"/>
    <n v="4"/>
    <n v="4"/>
    <n v="4"/>
    <n v="1312985"/>
    <m/>
    <m/>
    <n v="4"/>
    <n v="1"/>
    <b v="0"/>
  </r>
  <r>
    <x v="355"/>
    <s v="danram"/>
    <n v="2.4"/>
    <n v="1.2"/>
    <s v="Lucid Dreams"/>
    <s v="Juice WRLD"/>
    <n v="4"/>
    <n v="1"/>
    <n v="1"/>
    <n v="3"/>
    <n v="3"/>
    <n v="3096931516"/>
    <m/>
    <m/>
    <n v="2"/>
    <n v="1"/>
    <b v="0"/>
  </r>
  <r>
    <x v="355"/>
    <s v="loganworsdell"/>
    <n v="4"/>
    <n v="1.2649110640673518"/>
    <s v="Let King Tonka Talk"/>
    <s v="Yeat, King Kylie"/>
    <n v="5"/>
    <n v="3"/>
    <n v="2"/>
    <n v="5"/>
    <n v="5"/>
    <n v="1932257"/>
    <m/>
    <m/>
    <n v="5"/>
    <n v="1"/>
    <b v="0"/>
  </r>
  <r>
    <x v="355"/>
    <s v="samuelbattista"/>
    <n v="2.2000000000000002"/>
    <n v="0.4"/>
    <s v="Shape Of My Heart"/>
    <s v="Sting"/>
    <n v="2"/>
    <n v="2"/>
    <n v="3"/>
    <n v="2"/>
    <n v="2"/>
    <m/>
    <m/>
    <m/>
    <n v="1"/>
    <n v="1"/>
    <b v="1"/>
  </r>
  <r>
    <x v="355"/>
    <s v="currydestroyer27"/>
    <n v="2.8"/>
    <n v="1.6"/>
    <s v="Dumbest Girl Alive"/>
    <s v="100 Gecs"/>
    <n v="3"/>
    <n v="4"/>
    <n v="5"/>
    <n v="1"/>
    <n v="1"/>
    <n v="33736434"/>
    <m/>
    <m/>
    <n v="3"/>
    <n v="1"/>
    <b v="0"/>
  </r>
  <r>
    <x v="356"/>
    <s v="alappatjoe"/>
    <n v="3.2"/>
    <n v="1.6"/>
    <s v="La Copa de La Vida"/>
    <s v="Ricky Martin"/>
    <n v="1"/>
    <n v="5"/>
    <n v="2"/>
    <n v="5"/>
    <n v="3"/>
    <n v="24327117"/>
    <s v="International"/>
    <s v="Latin"/>
    <n v="4"/>
    <n v="1"/>
    <b v="0"/>
  </r>
  <r>
    <x v="356"/>
    <s v="danram"/>
    <n v="2.4"/>
    <n v="1.3564659966250536"/>
    <s v="Bamboleo"/>
    <s v="Gipsy Kings"/>
    <n v="4"/>
    <n v="2"/>
    <n v="4"/>
    <n v="1"/>
    <n v="1"/>
    <m/>
    <s v="International"/>
    <s v="Latin"/>
    <n v="2"/>
    <n v="1"/>
    <b v="0"/>
  </r>
  <r>
    <x v="356"/>
    <s v="loganworsdell"/>
    <n v="3.2"/>
    <n v="0.74833147735478833"/>
    <s v="Oro De Ley"/>
    <s v="Luis Miguel"/>
    <n v="2"/>
    <n v="3"/>
    <n v="3"/>
    <n v="4"/>
    <n v="4"/>
    <n v="102922808"/>
    <s v="International"/>
    <s v="Latin"/>
    <n v="3"/>
    <n v="1"/>
    <b v="0"/>
  </r>
  <r>
    <x v="356"/>
    <s v="samuelbattista"/>
    <n v="4.4000000000000004"/>
    <n v="0.8"/>
    <s v="Soy De San Luis"/>
    <s v="Texas Tornados"/>
    <n v="5"/>
    <n v="4"/>
    <n v="5"/>
    <n v="3"/>
    <n v="5"/>
    <m/>
    <s v="International"/>
    <s v="Latin"/>
    <n v="5"/>
    <n v="1"/>
    <b v="0"/>
  </r>
  <r>
    <x v="356"/>
    <s v="currydestroyer27"/>
    <n v="1.8"/>
    <n v="0.74833147735478833"/>
    <s v="Suavemente"/>
    <s v="Elvis Crespo"/>
    <n v="3"/>
    <n v="1"/>
    <n v="1"/>
    <n v="2"/>
    <n v="2"/>
    <n v="497713658"/>
    <s v="International"/>
    <s v="Latin"/>
    <n v="1"/>
    <n v="1"/>
    <b v="1"/>
  </r>
  <r>
    <x v="357"/>
    <s v="alappatjoe"/>
    <n v="2.8"/>
    <n v="1.1661903789690602"/>
    <s v="AIZO"/>
    <s v="King Gnu"/>
    <n v="1"/>
    <n v="4"/>
    <n v="3"/>
    <n v="4"/>
    <n v="2"/>
    <n v="63541600"/>
    <m/>
    <m/>
    <n v="3"/>
    <n v="1"/>
    <b v="0"/>
  </r>
  <r>
    <x v="357"/>
    <s v="danram"/>
    <n v="3.8"/>
    <n v="0.9797958971132712"/>
    <s v="Polar Opposites"/>
    <s v="Drake"/>
    <n v="4"/>
    <n v="2"/>
    <n v="4"/>
    <n v="5"/>
    <n v="4"/>
    <m/>
    <m/>
    <m/>
    <n v="4"/>
    <n v="1"/>
    <b v="0"/>
  </r>
  <r>
    <x v="357"/>
    <s v="loganworsdell"/>
    <n v="2"/>
    <n v="0.89442719099991586"/>
    <s v="Medellín Takai"/>
    <s v="Feid, Yuki Chiba"/>
    <n v="2"/>
    <n v="1"/>
    <n v="1"/>
    <n v="3"/>
    <n v="3"/>
    <n v="2034855"/>
    <m/>
    <m/>
    <n v="1"/>
    <n v="1"/>
    <b v="1"/>
  </r>
  <r>
    <x v="357"/>
    <s v="samuelbattista"/>
    <n v="4.2"/>
    <n v="1.6"/>
    <s v="B.Y.O.B"/>
    <s v="System of A Down"/>
    <n v="5"/>
    <n v="5"/>
    <n v="5"/>
    <n v="1"/>
    <n v="5"/>
    <m/>
    <m/>
    <m/>
    <n v="5"/>
    <n v="1"/>
    <b v="0"/>
  </r>
  <r>
    <x v="357"/>
    <s v="currydestroyer27"/>
    <n v="2.2000000000000002"/>
    <n v="0.74833147735478833"/>
    <s v="Jane!"/>
    <s v="The Long Faces"/>
    <n v="3"/>
    <n v="3"/>
    <n v="2"/>
    <n v="2"/>
    <n v="1"/>
    <n v="44341200"/>
    <m/>
    <m/>
    <n v="2"/>
    <n v="1"/>
    <b v="0"/>
  </r>
  <r>
    <x v="358"/>
    <s v="alappatjoe"/>
    <n v="2.6"/>
    <n v="1.3564659966250536"/>
    <s v="The Spider's thread"/>
    <s v="Penthouse"/>
    <n v="1"/>
    <n v="2"/>
    <n v="5"/>
    <n v="3"/>
    <n v="2"/>
    <n v="3502951"/>
    <m/>
    <m/>
    <n v="2"/>
    <n v="1"/>
    <b v="0"/>
  </r>
  <r>
    <x v="358"/>
    <s v="danram"/>
    <n v="3.2"/>
    <n v="0.4"/>
    <s v="Que vuelta vox"/>
    <s v="Feid"/>
    <n v="3"/>
    <n v="3"/>
    <n v="3"/>
    <n v="4"/>
    <n v="3"/>
    <m/>
    <m/>
    <m/>
    <n v="3"/>
    <n v="1"/>
    <b v="0"/>
  </r>
  <r>
    <x v="358"/>
    <s v="loganworsdell"/>
    <n v="3.2"/>
    <n v="1.4696938456699069"/>
    <s v="THEMSELVES"/>
    <s v="Jordan Ward"/>
    <n v="2"/>
    <n v="4"/>
    <n v="1"/>
    <n v="5"/>
    <n v="4"/>
    <n v="2516288"/>
    <m/>
    <m/>
    <n v="4"/>
    <n v="1"/>
    <b v="0"/>
  </r>
  <r>
    <x v="358"/>
    <s v="samuelbattista"/>
    <n v="4"/>
    <n v="1.5491933384829668"/>
    <s v="Du hast"/>
    <s v="Rammstein"/>
    <n v="5"/>
    <n v="5"/>
    <n v="4"/>
    <n v="1"/>
    <n v="5"/>
    <m/>
    <m/>
    <m/>
    <n v="5"/>
    <n v="1"/>
    <b v="0"/>
  </r>
  <r>
    <x v="358"/>
    <s v="currydestroyer27"/>
    <n v="2"/>
    <n v="1.0954451150103321"/>
    <s v="Hello Juliet"/>
    <s v="Clarion"/>
    <n v="4"/>
    <n v="1"/>
    <n v="2"/>
    <n v="2"/>
    <n v="1"/>
    <n v="31070154"/>
    <m/>
    <m/>
    <n v="1"/>
    <n v="1"/>
    <b v="1"/>
  </r>
  <r>
    <x v="359"/>
    <s v="alappatjoe"/>
    <n v="2.8"/>
    <n v="1.1661903789690602"/>
    <s v="Things We Do"/>
    <s v="Charli Taft"/>
    <n v="1"/>
    <n v="4"/>
    <n v="2"/>
    <n v="3"/>
    <n v="4"/>
    <n v="27607"/>
    <m/>
    <m/>
    <n v="3"/>
    <n v="1"/>
    <b v="0"/>
  </r>
  <r>
    <x v="359"/>
    <s v="danram"/>
    <n v="2"/>
    <n v="0.89442719099991586"/>
    <s v="Ojitos Lindos"/>
    <s v="Bad Bunny"/>
    <n v="3"/>
    <n v="1"/>
    <n v="1"/>
    <n v="2"/>
    <n v="3"/>
    <m/>
    <m/>
    <m/>
    <n v="1"/>
    <n v="1"/>
    <b v="1"/>
  </r>
  <r>
    <x v="359"/>
    <s v="loganworsdell"/>
    <n v="5"/>
    <n v="0"/>
    <s v="Semicolon"/>
    <s v="The Lonely Island, Solange"/>
    <n v="5"/>
    <n v="5"/>
    <n v="5"/>
    <n v="5"/>
    <n v="5"/>
    <n v="9584714"/>
    <m/>
    <m/>
    <n v="5"/>
    <n v="1"/>
    <b v="0"/>
  </r>
  <r>
    <x v="359"/>
    <s v="samuelbattista"/>
    <n v="2.4"/>
    <n v="1.019803902718557"/>
    <s v="Strangers"/>
    <s v="Black Country, New Road"/>
    <n v="2"/>
    <n v="3"/>
    <n v="4"/>
    <n v="1"/>
    <n v="2"/>
    <m/>
    <m/>
    <m/>
    <n v="2"/>
    <n v="1"/>
    <b v="0"/>
  </r>
  <r>
    <x v="359"/>
    <s v="currydestroyer27"/>
    <n v="2.8"/>
    <n v="1.1661903789690602"/>
    <s v="Rosa Pastel"/>
    <s v="Belanova"/>
    <n v="4"/>
    <n v="2"/>
    <n v="3"/>
    <n v="4"/>
    <n v="1"/>
    <n v="782300747"/>
    <s v="International"/>
    <s v="Latin"/>
    <n v="3"/>
    <n v="1"/>
    <b v="0"/>
  </r>
  <r>
    <x v="360"/>
    <s v="alappatjoe"/>
    <n v="3.2"/>
    <n v="1.6"/>
    <s v="rockstar"/>
    <s v="Post Malone, 21 Savage"/>
    <n v="1"/>
    <n v="5"/>
    <n v="5"/>
    <n v="2"/>
    <n v="3"/>
    <n v="3355842640"/>
    <m/>
    <m/>
    <n v="4"/>
    <n v="1"/>
    <b v="0"/>
  </r>
  <r>
    <x v="360"/>
    <s v="danram"/>
    <n v="2.6"/>
    <n v="1.3564659966250536"/>
    <s v="Starboy"/>
    <s v="The Weeknd"/>
    <n v="2"/>
    <n v="1"/>
    <n v="3"/>
    <n v="5"/>
    <n v="2"/>
    <n v="4454441248"/>
    <m/>
    <m/>
    <n v="1"/>
    <n v="1"/>
    <b v="1"/>
  </r>
  <r>
    <x v="360"/>
    <s v="loganworsdell"/>
    <n v="3.4"/>
    <n v="1.3564659966250536"/>
    <s v="STAY"/>
    <s v="The Kid LAROI, Justin Bieber"/>
    <n v="3"/>
    <n v="4"/>
    <n v="1"/>
    <n v="4"/>
    <n v="5"/>
    <n v="3845407785"/>
    <m/>
    <m/>
    <n v="5"/>
    <n v="1"/>
    <b v="0"/>
  </r>
  <r>
    <x v="360"/>
    <s v="samuelbattista"/>
    <n v="3"/>
    <n v="1.4142135623730951"/>
    <s v="Yellow"/>
    <s v="Coldplay"/>
    <n v="5"/>
    <n v="3"/>
    <n v="2"/>
    <n v="1"/>
    <n v="4"/>
    <n v="3675355740"/>
    <m/>
    <m/>
    <n v="3"/>
    <n v="1"/>
    <b v="0"/>
  </r>
  <r>
    <x v="360"/>
    <s v="currydestroyer27"/>
    <n v="2.8"/>
    <n v="1.1661903789690602"/>
    <s v="I Wonder"/>
    <s v="Kanye West"/>
    <n v="4"/>
    <n v="2"/>
    <n v="4"/>
    <n v="3"/>
    <n v="1"/>
    <n v="1122696375"/>
    <m/>
    <m/>
    <n v="2"/>
    <n v="1"/>
    <b v="0"/>
  </r>
  <r>
    <x v="361"/>
    <s v="alappatjoe"/>
    <n v="2.6"/>
    <n v="1.6248076809271921"/>
    <s v="All Hands on Deck"/>
    <s v="Tinashe"/>
    <n v="1"/>
    <n v="5"/>
    <n v="1"/>
    <n v="4"/>
    <n v="2"/>
    <n v="61595263"/>
    <m/>
    <m/>
    <n v="2"/>
    <n v="1"/>
    <b v="0"/>
  </r>
  <r>
    <x v="361"/>
    <s v="danram"/>
    <n v="3.4"/>
    <n v="1.019803902718557"/>
    <s v="The Manifesto"/>
    <s v="Gorillaz, Trueno, Proof"/>
    <n v="4"/>
    <n v="3"/>
    <n v="5"/>
    <n v="2"/>
    <n v="3"/>
    <m/>
    <m/>
    <m/>
    <n v="4"/>
    <n v="1"/>
    <b v="0"/>
  </r>
  <r>
    <x v="361"/>
    <s v="loganworsdell"/>
    <n v="3.6"/>
    <n v="1.4966629547095767"/>
    <s v="WARDA"/>
    <s v="Inkonnu, Manal"/>
    <n v="5"/>
    <n v="1"/>
    <n v="4"/>
    <n v="3"/>
    <n v="5"/>
    <n v="1442105"/>
    <m/>
    <m/>
    <n v="5"/>
    <n v="1"/>
    <b v="0"/>
  </r>
  <r>
    <x v="361"/>
    <s v="samuelbattista"/>
    <n v="2.4"/>
    <n v="1.019803902718557"/>
    <s v="Hey Ya!"/>
    <s v="Outkast"/>
    <n v="2"/>
    <n v="2"/>
    <n v="3"/>
    <n v="1"/>
    <n v="4"/>
    <m/>
    <m/>
    <m/>
    <n v="1"/>
    <n v="1"/>
    <b v="1"/>
  </r>
  <r>
    <x v="361"/>
    <s v="currydestroyer27"/>
    <n v="3"/>
    <n v="1.4142135623730951"/>
    <s v="Hotel Room Service"/>
    <s v="Pitbull"/>
    <n v="3"/>
    <n v="4"/>
    <n v="2"/>
    <n v="5"/>
    <n v="1"/>
    <n v="911629054"/>
    <m/>
    <m/>
    <n v="3"/>
    <n v="1"/>
    <b v="0"/>
  </r>
  <r>
    <x v="362"/>
    <s v="alappatjoe"/>
    <n v="1.4"/>
    <n v="0.4898979485566356"/>
    <s v="So Easy (To Fall In Love)"/>
    <s v="Olivia Dean"/>
    <n v="1"/>
    <n v="2"/>
    <n v="2"/>
    <n v="1"/>
    <n v="1"/>
    <n v="671164017"/>
    <m/>
    <m/>
    <n v="1"/>
    <n v="1"/>
    <b v="1"/>
  </r>
  <r>
    <x v="362"/>
    <s v="danram"/>
    <n v="4.2"/>
    <n v="0.74833147735478833"/>
    <s v="The Moon Cave"/>
    <s v="Asha Puthli, Bobby Womack, Dave Jolicoeur"/>
    <n v="3"/>
    <n v="4"/>
    <n v="5"/>
    <n v="4"/>
    <n v="5"/>
    <m/>
    <m/>
    <m/>
    <n v="5"/>
    <n v="1"/>
    <b v="0"/>
  </r>
  <r>
    <x v="362"/>
    <s v="loganworsdell"/>
    <n v="2.8"/>
    <n v="1.3266499161421599"/>
    <s v="SFWA"/>
    <s v="Jasòn  Brulée "/>
    <n v="2"/>
    <n v="3"/>
    <n v="1"/>
    <n v="5"/>
    <n v="3"/>
    <n v="999"/>
    <m/>
    <m/>
    <n v="3"/>
    <n v="1"/>
    <b v="0"/>
  </r>
  <r>
    <x v="362"/>
    <s v="samuelbattista"/>
    <n v="4"/>
    <n v="1.0954451150103321"/>
    <s v="I See Myself"/>
    <s v="Geese"/>
    <n v="5"/>
    <n v="5"/>
    <n v="4"/>
    <n v="2"/>
    <n v="4"/>
    <m/>
    <m/>
    <m/>
    <n v="4"/>
    <n v="1"/>
    <b v="0"/>
  </r>
  <r>
    <x v="362"/>
    <s v="currydestroyer27"/>
    <n v="2.6"/>
    <n v="1.019803902718557"/>
    <s v="Drop the Guillotine"/>
    <s v="Peach Pit"/>
    <n v="4"/>
    <n v="1"/>
    <n v="3"/>
    <n v="3"/>
    <n v="2"/>
    <n v="61120119"/>
    <m/>
    <m/>
    <n v="2"/>
    <n v="1"/>
    <b v="0"/>
  </r>
  <r>
    <x v="363"/>
    <s v="alappatjoe"/>
    <n v="4"/>
    <n v="1.5491933384829668"/>
    <s v="Reply To This"/>
    <s v="Charlie Puth"/>
    <n v="1"/>
    <n v="5"/>
    <n v="4"/>
    <n v="5"/>
    <n v="5"/>
    <n v="551083"/>
    <m/>
    <m/>
    <n v="5"/>
    <n v="1"/>
    <b v="0"/>
  </r>
  <r>
    <x v="363"/>
    <s v="danram"/>
    <n v="3.6"/>
    <n v="0.8"/>
    <s v="Doblexxo"/>
    <s v="J Balvin, Feid"/>
    <n v="5"/>
    <n v="3"/>
    <n v="3"/>
    <n v="4"/>
    <n v="3"/>
    <m/>
    <m/>
    <m/>
    <n v="4"/>
    <n v="1"/>
    <b v="0"/>
  </r>
  <r>
    <x v="363"/>
    <s v="loganworsdell"/>
    <n v="2.8"/>
    <n v="1.1661903789690602"/>
    <s v="Dangerous Lover"/>
    <s v="Sekou"/>
    <n v="2"/>
    <n v="4"/>
    <n v="1"/>
    <n v="3"/>
    <n v="4"/>
    <n v="229859"/>
    <m/>
    <m/>
    <n v="3"/>
    <n v="1"/>
    <b v="0"/>
  </r>
  <r>
    <x v="363"/>
    <s v="samuelbattista"/>
    <n v="2.6"/>
    <n v="1.6248076809271921"/>
    <s v="Hysteria"/>
    <s v="Muse"/>
    <n v="4"/>
    <n v="2"/>
    <n v="5"/>
    <n v="1"/>
    <n v="1"/>
    <m/>
    <m/>
    <m/>
    <n v="2"/>
    <n v="1"/>
    <b v="0"/>
  </r>
  <r>
    <x v="363"/>
    <s v="currydestroyer27"/>
    <n v="2"/>
    <n v="0.63245553203367588"/>
    <s v="Aggression from Saturn"/>
    <s v="Tory Lanez"/>
    <n v="3"/>
    <n v="1"/>
    <n v="2"/>
    <n v="2"/>
    <n v="2"/>
    <n v="446454"/>
    <m/>
    <m/>
    <n v="1"/>
    <n v="1"/>
    <b v="1"/>
  </r>
  <r>
    <x v="364"/>
    <s v="alappatjoe"/>
    <n v="2.2000000000000002"/>
    <n v="1.6"/>
    <s v="Playing God"/>
    <s v="Polyphia"/>
    <n v="1"/>
    <n v="1"/>
    <n v="5"/>
    <n v="1"/>
    <n v="3"/>
    <n v="87025174"/>
    <m/>
    <m/>
    <n v="1"/>
    <n v="1"/>
    <b v="1"/>
  </r>
  <r>
    <x v="364"/>
    <s v="danram"/>
    <n v="4.8"/>
    <n v="0.39999999999999997"/>
    <s v="Time Alone With You"/>
    <s v="Jacob Collier, Daniel Caesar"/>
    <n v="5"/>
    <n v="5"/>
    <n v="4"/>
    <n v="5"/>
    <n v="5"/>
    <m/>
    <m/>
    <m/>
    <n v="5"/>
    <n v="1"/>
    <b v="0"/>
  </r>
  <r>
    <x v="364"/>
    <s v="loganworsdell"/>
    <n v="3"/>
    <n v="1.2649110640673518"/>
    <s v="All I Need"/>
    <s v="Jacob Collier, Mahalia, Ty Dolla $ign"/>
    <n v="4"/>
    <n v="4"/>
    <n v="1"/>
    <n v="2"/>
    <n v="4"/>
    <n v="42029556"/>
    <m/>
    <m/>
    <n v="4"/>
    <n v="1"/>
    <b v="0"/>
  </r>
  <r>
    <x v="364"/>
    <s v="samuelbattista"/>
    <n v="2.4"/>
    <n v="0.4898979485566356"/>
    <s v="Another One Bites The Dust"/>
    <s v="Queen"/>
    <n v="3"/>
    <n v="2"/>
    <n v="2"/>
    <n v="3"/>
    <n v="2"/>
    <m/>
    <m/>
    <m/>
    <n v="2"/>
    <n v="1"/>
    <b v="0"/>
  </r>
  <r>
    <x v="364"/>
    <s v="currydestroyer27"/>
    <n v="2.6"/>
    <n v="1.019803902718557"/>
    <s v="Figure it Out"/>
    <s v="Royal Blood"/>
    <n v="2"/>
    <n v="3"/>
    <n v="3"/>
    <n v="4"/>
    <n v="1"/>
    <n v="302855954"/>
    <m/>
    <m/>
    <n v="3"/>
    <n v="1"/>
    <b v="0"/>
  </r>
  <r>
    <x v="365"/>
    <s v="alappatjoe"/>
    <n v="3"/>
    <n v="1.4142135623730951"/>
    <s v="YOU SHOULD BE MINE"/>
    <s v="Full Circle Boys"/>
    <n v="2"/>
    <n v="1"/>
    <n v="3"/>
    <n v="5"/>
    <n v="4"/>
    <n v="437441"/>
    <m/>
    <m/>
    <n v="2"/>
    <n v="1"/>
    <b v="0"/>
  </r>
  <r>
    <x v="365"/>
    <s v="danram"/>
    <n v="3.4"/>
    <n v="1.3564659966250536"/>
    <s v="COQUETA"/>
    <s v="Grupo Frontera"/>
    <n v="5"/>
    <n v="2"/>
    <n v="5"/>
    <n v="2"/>
    <n v="3"/>
    <m/>
    <m/>
    <m/>
    <n v="4"/>
    <n v="1"/>
    <b v="0"/>
  </r>
  <r>
    <x v="365"/>
    <s v="loganworsdell"/>
    <n v="2.2000000000000002"/>
    <n v="1.1661903789690602"/>
    <s v="Layaway Luv"/>
    <s v="Ariel"/>
    <n v="1"/>
    <n v="3"/>
    <n v="1"/>
    <n v="4"/>
    <n v="2"/>
    <n v="240345"/>
    <m/>
    <m/>
    <n v="1"/>
    <n v="1"/>
    <b v="1"/>
  </r>
  <r>
    <x v="365"/>
    <s v="samuelbattista"/>
    <n v="3"/>
    <n v="1.4142135623730951"/>
    <s v="Sarniezz"/>
    <s v="Angine de Poitrine"/>
    <n v="3"/>
    <n v="4"/>
    <n v="2"/>
    <n v="1"/>
    <n v="5"/>
    <m/>
    <m/>
    <m/>
    <n v="2"/>
    <n v="1"/>
    <b v="0"/>
  </r>
  <r>
    <x v="365"/>
    <s v="currydestroyer27"/>
    <n v="3.4"/>
    <n v="1.3564659966250536"/>
    <s v="Bully"/>
    <s v="Kanye West, CeeLo Green"/>
    <n v="4"/>
    <n v="5"/>
    <n v="4"/>
    <n v="3"/>
    <n v="1"/>
    <n v="14075973"/>
    <m/>
    <m/>
    <n v="4"/>
    <n v="1"/>
    <b v="0"/>
  </r>
  <r>
    <x v="366"/>
    <s v="alappatjoe"/>
    <n v="4"/>
    <n v="1.5491933384829668"/>
    <s v="Checklist"/>
    <s v="MAX, Chromeo"/>
    <n v="1"/>
    <n v="5"/>
    <n v="4"/>
    <n v="5"/>
    <n v="5"/>
    <n v="49352659"/>
    <m/>
    <m/>
    <n v="5"/>
    <n v="1"/>
    <b v="0"/>
  </r>
  <r>
    <x v="366"/>
    <s v="danram"/>
    <n v="3.6"/>
    <n v="0.8"/>
    <s v="Selfless"/>
    <s v="The Strokes"/>
    <n v="4"/>
    <n v="3"/>
    <n v="5"/>
    <n v="3"/>
    <n v="3"/>
    <m/>
    <m/>
    <m/>
    <n v="4"/>
    <n v="1"/>
    <b v="0"/>
  </r>
  <r>
    <x v="366"/>
    <s v="loganworsdell"/>
    <n v="2"/>
    <n v="0"/>
    <s v="Dive Into Me"/>
    <s v="Alok, Khalid"/>
    <n v="2"/>
    <n v="2"/>
    <n v="2"/>
    <n v="2"/>
    <n v="2"/>
    <n v="6374589"/>
    <m/>
    <m/>
    <n v="1"/>
    <n v="1"/>
    <b v="1"/>
  </r>
  <r>
    <x v="366"/>
    <s v="samuelbattista"/>
    <n v="3"/>
    <n v="1.0954451150103321"/>
    <s v="Head Over Heels"/>
    <s v="Tears For Fears, Dave Bascombe"/>
    <n v="3"/>
    <n v="4"/>
    <n v="3"/>
    <n v="1"/>
    <n v="4"/>
    <m/>
    <m/>
    <m/>
    <n v="3"/>
    <n v="1"/>
    <b v="0"/>
  </r>
  <r>
    <x v="366"/>
    <s v="currydestroyer27"/>
    <n v="2.4"/>
    <n v="1.7435595774162693"/>
    <s v="HARUKAZE"/>
    <s v="Scandal"/>
    <n v="5"/>
    <n v="1"/>
    <n v="1"/>
    <n v="4"/>
    <n v="1"/>
    <n v="17492397"/>
    <s v="International"/>
    <s v="J-Pop"/>
    <n v="2"/>
    <n v="1"/>
    <b v="0"/>
  </r>
  <r>
    <x v="367"/>
    <s v="alappatjoe"/>
    <n v="2.6"/>
    <n v="1.019803902718557"/>
    <s v="CRUSH"/>
    <s v="Zamir, Chevy"/>
    <n v="1"/>
    <n v="3"/>
    <n v="3"/>
    <n v="4"/>
    <n v="2"/>
    <n v="590185"/>
    <m/>
    <m/>
    <n v="3"/>
    <n v="1"/>
    <b v="0"/>
  </r>
  <r>
    <x v="367"/>
    <s v="danram"/>
    <n v="3"/>
    <n v="1.2649110640673518"/>
    <s v="BOBOMENSOTONTO"/>
    <s v="nsqk, EasyKid"/>
    <n v="4"/>
    <n v="2"/>
    <n v="2"/>
    <n v="2"/>
    <n v="5"/>
    <m/>
    <m/>
    <m/>
    <n v="4"/>
    <n v="1"/>
    <b v="0"/>
  </r>
  <r>
    <x v="367"/>
    <s v="loganworsdell"/>
    <n v="2.4"/>
    <n v="1.2"/>
    <s v="Krillin's Fumble"/>
    <s v="Tory Lanez"/>
    <n v="3"/>
    <n v="4"/>
    <n v="1"/>
    <n v="3"/>
    <n v="1"/>
    <n v="485714"/>
    <m/>
    <m/>
    <n v="1"/>
    <n v="1"/>
    <b v="1"/>
  </r>
  <r>
    <x v="367"/>
    <s v="samuelbattista"/>
    <n v="2.4"/>
    <n v="1.3564659966250536"/>
    <s v="Designer"/>
    <s v="Balu Brigada"/>
    <n v="2"/>
    <n v="1"/>
    <n v="4"/>
    <n v="1"/>
    <n v="4"/>
    <m/>
    <m/>
    <m/>
    <n v="2"/>
    <n v="1"/>
    <b v="0"/>
  </r>
  <r>
    <x v="367"/>
    <s v="currydestroyer27"/>
    <n v="4.5999999999999996"/>
    <n v="0.8"/>
    <s v="Blame"/>
    <s v="Gabriels"/>
    <n v="5"/>
    <n v="5"/>
    <n v="5"/>
    <n v="5"/>
    <n v="3"/>
    <n v="22397353"/>
    <m/>
    <m/>
    <n v="5"/>
    <n v="1"/>
    <b v="0"/>
  </r>
  <r>
    <x v="368"/>
    <s v="alappatjoe"/>
    <n v="2.8"/>
    <n v="1.1661903789690602"/>
    <s v="Jupiter, the Bringer of Jollity"/>
    <s v="Gustav Holst, BBC Symphony Orchestra, Sir Malcom Sargent"/>
    <n v="1"/>
    <n v="2"/>
    <n v="3"/>
    <n v="4"/>
    <n v="4"/>
    <n v="1685405"/>
    <m/>
    <m/>
    <n v="3"/>
    <n v="1"/>
    <b v="0"/>
  </r>
  <r>
    <x v="368"/>
    <s v="danram"/>
    <n v="1.8"/>
    <n v="0.74833147735478833"/>
    <s v="TRANKAITO"/>
    <s v="Feid"/>
    <n v="3"/>
    <n v="1"/>
    <n v="2"/>
    <n v="1"/>
    <n v="2"/>
    <m/>
    <m/>
    <m/>
    <n v="1"/>
    <n v="1"/>
    <b v="1"/>
  </r>
  <r>
    <x v="368"/>
    <s v="loganworsdell"/>
    <n v="2.8"/>
    <n v="0.9797958971132712"/>
    <s v="Look at the Sky"/>
    <s v="Porter Robinson"/>
    <n v="4"/>
    <n v="3"/>
    <n v="1"/>
    <n v="3"/>
    <n v="3"/>
    <n v="45251200"/>
    <m/>
    <m/>
    <n v="2"/>
    <n v="1"/>
    <b v="0"/>
  </r>
  <r>
    <x v="368"/>
    <s v="samuelbattista"/>
    <n v="4.4000000000000004"/>
    <n v="1.2"/>
    <s v="Evangeline"/>
    <s v="Tyson Motsenbocker"/>
    <n v="5"/>
    <n v="5"/>
    <n v="5"/>
    <n v="2"/>
    <n v="5"/>
    <m/>
    <m/>
    <m/>
    <n v="5"/>
    <n v="1"/>
    <b v="0"/>
  </r>
  <r>
    <x v="368"/>
    <s v="currydestroyer27"/>
    <n v="3.2"/>
    <n v="1.4696938456699069"/>
    <s v="アイドル"/>
    <s v="Yoasobi"/>
    <n v="2"/>
    <n v="4"/>
    <n v="4"/>
    <n v="5"/>
    <n v="1"/>
    <n v="555431457"/>
    <s v="International"/>
    <s v="J-Pop"/>
    <n v="4"/>
    <n v="1"/>
    <b v="0"/>
  </r>
  <r>
    <x v="369"/>
    <s v="alappatjoe"/>
    <n v="4.2"/>
    <n v="1.6"/>
    <s v="I Do / Options"/>
    <s v="Kevin Ross"/>
    <n v="1"/>
    <n v="5"/>
    <n v="5"/>
    <n v="5"/>
    <n v="5"/>
    <n v="1644676"/>
    <m/>
    <m/>
    <n v="5"/>
    <n v="1"/>
    <b v="0"/>
  </r>
  <r>
    <x v="369"/>
    <s v="danram"/>
    <n v="2.6"/>
    <n v="0.8"/>
    <s v="Go With The Flow"/>
    <s v="Queens of the Stone Age"/>
    <n v="3"/>
    <n v="3"/>
    <n v="3"/>
    <n v="3"/>
    <n v="1"/>
    <m/>
    <m/>
    <m/>
    <n v="2"/>
    <n v="1"/>
    <b v="0"/>
  </r>
  <r>
    <x v="369"/>
    <s v="loganworsdell"/>
    <n v="2.2000000000000002"/>
    <n v="1.1661903789690602"/>
    <s v="Rift"/>
    <s v="Good Kid"/>
    <n v="4"/>
    <n v="2"/>
    <n v="1"/>
    <n v="1"/>
    <n v="3"/>
    <n v="5079007"/>
    <m/>
    <m/>
    <n v="1"/>
    <n v="1"/>
    <b v="1"/>
  </r>
  <r>
    <x v="369"/>
    <s v="samuelbattista"/>
    <n v="2.8"/>
    <n v="0.9797958971132712"/>
    <s v="Hot for Teacher"/>
    <s v="Van Halen"/>
    <n v="2"/>
    <n v="4"/>
    <n v="2"/>
    <n v="2"/>
    <n v="4"/>
    <m/>
    <m/>
    <m/>
    <n v="3"/>
    <n v="1"/>
    <b v="0"/>
  </r>
  <r>
    <x v="369"/>
    <s v="currydestroyer27"/>
    <n v="3.2"/>
    <n v="1.4696938456699069"/>
    <s v="Permanent High School"/>
    <s v="The Voidz"/>
    <n v="5"/>
    <n v="1"/>
    <n v="4"/>
    <n v="4"/>
    <n v="2"/>
    <n v="10291807"/>
    <m/>
    <m/>
    <n v="4"/>
    <n v="1"/>
    <b v="0"/>
  </r>
  <r>
    <x v="370"/>
    <s v="alappatjoe"/>
    <n v="4.2"/>
    <n v="1.6"/>
    <s v="IRL"/>
    <s v="Devon Gilfillian, Cory Wong"/>
    <n v="1"/>
    <n v="5"/>
    <n v="5"/>
    <n v="5"/>
    <n v="5"/>
    <n v="68118"/>
    <m/>
    <m/>
    <n v="5"/>
    <n v="1"/>
    <b v="0"/>
  </r>
  <r>
    <x v="370"/>
    <s v="danram"/>
    <n v="3.6"/>
    <n v="1.019803902718557"/>
    <s v="LADY GAGA"/>
    <s v="Peso Pluma, Gabito Ballesteros"/>
    <n v="5"/>
    <n v="2"/>
    <n v="4"/>
    <n v="3"/>
    <n v="4"/>
    <m/>
    <m/>
    <m/>
    <n v="4"/>
    <n v="1"/>
    <b v="0"/>
  </r>
  <r>
    <x v="370"/>
    <s v="loganworsdell"/>
    <n v="1.8"/>
    <n v="0.74833147735478833"/>
    <s v="GESHUOU"/>
    <s v="INOHA"/>
    <n v="2"/>
    <n v="1"/>
    <n v="1"/>
    <n v="2"/>
    <n v="3"/>
    <n v="13682833"/>
    <m/>
    <m/>
    <n v="1"/>
    <n v="1"/>
    <b v="1"/>
  </r>
  <r>
    <x v="370"/>
    <s v="samuelbattista"/>
    <n v="2.4"/>
    <n v="1.019803902718557"/>
    <s v="Purple Rain"/>
    <s v="Prince"/>
    <n v="4"/>
    <n v="3"/>
    <n v="2"/>
    <n v="1"/>
    <n v="2"/>
    <m/>
    <m/>
    <m/>
    <n v="2"/>
    <n v="1"/>
    <b v="0"/>
  </r>
  <r>
    <x v="370"/>
    <s v="currydestroyer27"/>
    <n v="3"/>
    <n v="1.0954451150103321"/>
    <s v="YAOKE"/>
    <s v="blank paper"/>
    <n v="3"/>
    <n v="4"/>
    <n v="3"/>
    <n v="4"/>
    <n v="1"/>
    <n v="283434"/>
    <s v="International"/>
    <s v="J-Pop"/>
    <n v="3"/>
    <n v="1"/>
    <b v="0"/>
  </r>
  <r>
    <x v="371"/>
    <s v="alappatjoe"/>
    <n v="3.6"/>
    <n v="1.4966629547095767"/>
    <s v="He's Good"/>
    <s v="Kate Stewart"/>
    <n v="1"/>
    <n v="5"/>
    <n v="5"/>
    <n v="3"/>
    <n v="4"/>
    <n v="2696068"/>
    <m/>
    <m/>
    <n v="5"/>
    <n v="1"/>
    <b v="0"/>
  </r>
  <r>
    <x v="371"/>
    <s v="danram"/>
    <n v="3.4"/>
    <n v="1.9595917942265424"/>
    <s v="Q U E V A S H A C E R H O Y ?"/>
    <s v="Omar Courtz, De La Rose"/>
    <n v="5"/>
    <n v="1"/>
    <n v="1"/>
    <n v="5"/>
    <n v="5"/>
    <m/>
    <m/>
    <m/>
    <n v="4"/>
    <n v="1"/>
    <b v="0"/>
  </r>
  <r>
    <x v="371"/>
    <s v="loganworsdell"/>
    <n v="3.2"/>
    <n v="0.74833147735478833"/>
    <s v="Don't Look Down"/>
    <s v="Jai Wolf, BANKS"/>
    <n v="4"/>
    <n v="3"/>
    <n v="3"/>
    <n v="4"/>
    <n v="2"/>
    <n v="7636893"/>
    <m/>
    <m/>
    <n v="3"/>
    <n v="1"/>
    <b v="0"/>
  </r>
  <r>
    <x v="371"/>
    <s v="samuelbattista"/>
    <n v="3"/>
    <n v="1.0954451150103321"/>
    <s v="Far Beyond the Sun"/>
    <s v="Yngwei Malmsteen"/>
    <n v="3"/>
    <n v="4"/>
    <n v="4"/>
    <n v="1"/>
    <n v="3"/>
    <m/>
    <m/>
    <m/>
    <n v="2"/>
    <n v="1"/>
    <b v="0"/>
  </r>
  <r>
    <x v="371"/>
    <s v="currydestroyer27"/>
    <n v="1.8"/>
    <n v="0.4"/>
    <s v="CATCH"/>
    <s v="THREEE"/>
    <n v="2"/>
    <n v="2"/>
    <n v="2"/>
    <n v="2"/>
    <n v="1"/>
    <n v="1193083"/>
    <s v="International"/>
    <s v="J-Pop"/>
    <n v="1"/>
    <n v="1"/>
    <b v="1"/>
  </r>
  <r>
    <x v="372"/>
    <s v="alappatjoe"/>
    <n v="2.6"/>
    <n v="1.3564659966250536"/>
    <s v="Hopscotch"/>
    <s v="Tinashe"/>
    <n v="1"/>
    <n v="4"/>
    <n v="3"/>
    <n v="4"/>
    <n v="1"/>
    <n v="8969134"/>
    <m/>
    <m/>
    <n v="3"/>
    <n v="1"/>
    <b v="0"/>
  </r>
  <r>
    <x v="372"/>
    <s v="danram"/>
    <n v="4.5999999999999996"/>
    <n v="0.4898979485566356"/>
    <s v="I Think I Kinda, You Know - Duet"/>
    <s v="Olivia Rodrigo, Joshua Bassett, Disney"/>
    <n v="4"/>
    <n v="5"/>
    <n v="4"/>
    <n v="5"/>
    <n v="5"/>
    <m/>
    <m/>
    <m/>
    <n v="5"/>
    <n v="1"/>
    <b v="0"/>
  </r>
  <r>
    <x v="372"/>
    <s v="loganworsdell"/>
    <n v="2.4"/>
    <n v="0.8"/>
    <s v="damn"/>
    <s v="bbno$, Lzr"/>
    <n v="2"/>
    <n v="2"/>
    <n v="2"/>
    <n v="2"/>
    <n v="4"/>
    <n v="836195"/>
    <m/>
    <m/>
    <n v="2"/>
    <n v="1"/>
    <b v="0"/>
  </r>
  <r>
    <x v="372"/>
    <s v="samuelbattista"/>
    <n v="1.6"/>
    <n v="0.8"/>
    <s v="Brighter"/>
    <s v="Paramore"/>
    <n v="3"/>
    <n v="1"/>
    <n v="1"/>
    <n v="1"/>
    <n v="2"/>
    <m/>
    <m/>
    <m/>
    <n v="1"/>
    <n v="1"/>
    <b v="1"/>
  </r>
  <r>
    <x v="372"/>
    <s v="currydestroyer27"/>
    <n v="3.8"/>
    <n v="0.9797958971132712"/>
    <s v="Slaughter Ya Daughter"/>
    <s v="21 Savage, Key, ILOVEMAKONNEN"/>
    <n v="5"/>
    <n v="3"/>
    <n v="5"/>
    <n v="3"/>
    <n v="3"/>
    <n v="5576157"/>
    <m/>
    <m/>
    <n v="4"/>
    <n v="1"/>
    <b v="0"/>
  </r>
  <r>
    <x v="373"/>
    <s v="alappatjoe"/>
    <n v="2.8"/>
    <n v="1.4696938456699069"/>
    <s v="Hopeless Romantic"/>
    <s v="Ashley Alisha"/>
    <n v="1"/>
    <n v="4"/>
    <n v="2"/>
    <n v="5"/>
    <n v="2"/>
    <n v="453599"/>
    <m/>
    <m/>
    <n v="3"/>
    <n v="1"/>
    <b v="0"/>
  </r>
  <r>
    <x v="373"/>
    <s v="danram"/>
    <n v="2.8"/>
    <n v="0.4"/>
    <s v="SI SABE FERXXO"/>
    <s v="Blessd, Feid"/>
    <n v="3"/>
    <n v="2"/>
    <n v="3"/>
    <n v="3"/>
    <n v="3"/>
    <m/>
    <m/>
    <m/>
    <n v="2"/>
    <n v="1"/>
    <b v="0"/>
  </r>
  <r>
    <x v="373"/>
    <s v="loganworsdell"/>
    <n v="2.4"/>
    <n v="1.3564659966250536"/>
    <s v="LOVE ON ME"/>
    <s v="Sam Gellaitry"/>
    <n v="2"/>
    <n v="1"/>
    <n v="1"/>
    <n v="4"/>
    <n v="4"/>
    <n v="564864"/>
    <m/>
    <m/>
    <n v="1"/>
    <n v="1"/>
    <b v="1"/>
  </r>
  <r>
    <x v="373"/>
    <s v="samuelbattista"/>
    <n v="4"/>
    <n v="1.5491933384829668"/>
    <s v="Turtles All the Way Down"/>
    <s v="Sturgill Simpson"/>
    <n v="5"/>
    <n v="5"/>
    <n v="4"/>
    <n v="1"/>
    <n v="5"/>
    <m/>
    <m/>
    <m/>
    <n v="5"/>
    <n v="1"/>
    <b v="0"/>
  </r>
  <r>
    <x v="373"/>
    <s v="currydestroyer27"/>
    <n v="3"/>
    <n v="1.4142135623730951"/>
    <s v="P.O.V"/>
    <s v="Clipse, Tyler The Creator, Pusha T, Malice"/>
    <n v="4"/>
    <n v="3"/>
    <n v="5"/>
    <n v="2"/>
    <n v="1"/>
    <n v="30886385"/>
    <m/>
    <m/>
    <n v="4"/>
    <n v="1"/>
    <b v="0"/>
  </r>
  <r>
    <x v="374"/>
    <s v="alappatjoe"/>
    <n v="2.2000000000000002"/>
    <n v="1.4696938456699069"/>
    <s v="TOP NOTCH"/>
    <s v="Ace Hashimoto, 3ee"/>
    <n v="1"/>
    <n v="4"/>
    <n v="1"/>
    <n v="4"/>
    <n v="1"/>
    <n v="21602"/>
    <m/>
    <m/>
    <n v="1"/>
    <n v="1"/>
    <b v="1"/>
  </r>
  <r>
    <x v="374"/>
    <s v="danram"/>
    <n v="3.4"/>
    <n v="1.3564659966250536"/>
    <s v="When It Started"/>
    <s v="The Strokes"/>
    <n v="5"/>
    <n v="2"/>
    <n v="5"/>
    <n v="2"/>
    <n v="3"/>
    <m/>
    <m/>
    <m/>
    <n v="4"/>
    <n v="1"/>
    <b v="0"/>
  </r>
  <r>
    <x v="374"/>
    <s v="loganworsdell"/>
    <n v="3"/>
    <n v="0.63245553203367588"/>
    <s v="Tokyo Drifting"/>
    <s v="Glass Animals, Denzel Curry"/>
    <n v="2"/>
    <n v="3"/>
    <n v="3"/>
    <n v="3"/>
    <n v="4"/>
    <n v="167436878"/>
    <m/>
    <m/>
    <n v="3"/>
    <n v="1"/>
    <b v="0"/>
  </r>
  <r>
    <x v="374"/>
    <s v="samuelbattista"/>
    <n v="2.4"/>
    <n v="1.4966629547095767"/>
    <s v="FIX UR FACE"/>
    <s v="mgk, Fred Durst"/>
    <n v="3"/>
    <n v="1"/>
    <n v="2"/>
    <n v="1"/>
    <n v="5"/>
    <m/>
    <m/>
    <m/>
    <n v="2"/>
    <n v="1"/>
    <b v="0"/>
  </r>
  <r>
    <x v="374"/>
    <s v="currydestroyer27"/>
    <n v="4"/>
    <n v="1.0954451150103321"/>
    <s v="Butterfly"/>
    <s v="Crazy Town"/>
    <n v="4"/>
    <n v="5"/>
    <n v="4"/>
    <n v="5"/>
    <n v="2"/>
    <n v="682482647"/>
    <m/>
    <m/>
    <n v="5"/>
    <n v="1"/>
    <b v="0"/>
  </r>
  <r>
    <x v="375"/>
    <s v="alappatjoe"/>
    <n v="2.8"/>
    <n v="1.1661903789690602"/>
    <s v="Madwoman"/>
    <s v="Laufey"/>
    <n v="1"/>
    <n v="4"/>
    <n v="4"/>
    <n v="3"/>
    <n v="2"/>
    <n v="10646029"/>
    <m/>
    <m/>
    <n v="2"/>
    <n v="1"/>
    <b v="0"/>
  </r>
  <r>
    <x v="375"/>
    <s v="danram"/>
    <n v="4.2"/>
    <n v="0.74833147735478833"/>
    <s v="Ojitos Rojos"/>
    <s v="Grupo Frontera"/>
    <n v="4"/>
    <n v="3"/>
    <n v="5"/>
    <n v="4"/>
    <n v="5"/>
    <m/>
    <m/>
    <m/>
    <n v="5"/>
    <n v="1"/>
    <b v="0"/>
  </r>
  <r>
    <x v="375"/>
    <s v="loganworsdell"/>
    <n v="1.8"/>
    <n v="0.74833147735478833"/>
    <s v="Drifting"/>
    <s v="Omar Apollo"/>
    <n v="2"/>
    <n v="1"/>
    <n v="1"/>
    <n v="2"/>
    <n v="3"/>
    <n v="4120670"/>
    <m/>
    <m/>
    <n v="1"/>
    <n v="1"/>
    <b v="1"/>
  </r>
  <r>
    <x v="375"/>
    <s v="samuelbattista"/>
    <n v="3.2"/>
    <n v="1.3266499161421599"/>
    <s v="Wristwatch"/>
    <s v="MJ Lenderman"/>
    <n v="3"/>
    <n v="5"/>
    <n v="3"/>
    <n v="1"/>
    <n v="4"/>
    <m/>
    <m/>
    <m/>
    <n v="4"/>
    <n v="1"/>
    <b v="0"/>
  </r>
  <r>
    <x v="375"/>
    <s v="currydestroyer27"/>
    <n v="3"/>
    <n v="1.6733200530681511"/>
    <s v="Os-宇宙人"/>
    <s v="Erio wo Kamattechan"/>
    <n v="5"/>
    <n v="2"/>
    <n v="2"/>
    <n v="5"/>
    <n v="1"/>
    <n v="1535515"/>
    <s v="International"/>
    <s v="J-Pop"/>
    <n v="3"/>
    <n v="1"/>
    <b v="0"/>
  </r>
  <r>
    <x v="376"/>
    <s v="alappatjoe"/>
    <n v="2.8"/>
    <n v="1.3266499161421599"/>
    <s v="Godzilla"/>
    <s v="Eminem, Juice WRLD"/>
    <n v="1"/>
    <n v="3"/>
    <n v="5"/>
    <n v="2"/>
    <n v="3"/>
    <n v="1883697711"/>
    <m/>
    <m/>
    <n v="2"/>
    <n v="1"/>
    <b v="0"/>
  </r>
  <r>
    <x v="376"/>
    <s v="danram"/>
    <n v="3.2"/>
    <n v="1.1661903789690602"/>
    <s v="Stan"/>
    <s v="Eminem"/>
    <n v="5"/>
    <n v="2"/>
    <n v="4"/>
    <n v="3"/>
    <n v="2"/>
    <n v="1480393929"/>
    <m/>
    <m/>
    <n v="4"/>
    <n v="1"/>
    <b v="0"/>
  </r>
  <r>
    <x v="376"/>
    <s v="loganworsdell"/>
    <n v="2.6"/>
    <n v="1.6248076809271921"/>
    <s v="No Love"/>
    <s v="Eminem, Lil Wayne"/>
    <n v="2"/>
    <n v="1"/>
    <n v="1"/>
    <n v="4"/>
    <n v="5"/>
    <n v="411455629"/>
    <m/>
    <m/>
    <n v="1"/>
    <n v="1"/>
    <b v="1"/>
  </r>
  <r>
    <x v="376"/>
    <s v="samuelbattista"/>
    <n v="3"/>
    <n v="1.2649110640673518"/>
    <s v="The Monster"/>
    <s v="Eminem, Rihanna"/>
    <n v="4"/>
    <n v="4"/>
    <n v="2"/>
    <n v="1"/>
    <n v="4"/>
    <n v="1416594652"/>
    <m/>
    <m/>
    <n v="3"/>
    <n v="1"/>
    <b v="0"/>
  </r>
  <r>
    <x v="376"/>
    <s v="currydestroyer27"/>
    <n v="3.4"/>
    <n v="1.4966629547095767"/>
    <s v="Almost Famous"/>
    <s v="Eminem"/>
    <n v="3"/>
    <n v="5"/>
    <n v="3"/>
    <n v="5"/>
    <n v="1"/>
    <n v="58578554"/>
    <m/>
    <m/>
    <n v="5"/>
    <n v="1"/>
    <b v="0"/>
  </r>
  <r>
    <x v="377"/>
    <s v="alappatjoe"/>
    <n v="3.2"/>
    <n v="1.833030277982336"/>
    <s v="White Roses"/>
    <s v="Fetty Wap, Divinity, Ymanie"/>
    <n v="1"/>
    <n v="5"/>
    <n v="4"/>
    <n v="5"/>
    <n v="1"/>
    <n v="2721588"/>
    <m/>
    <m/>
    <n v="4"/>
    <n v="1"/>
    <b v="0"/>
  </r>
  <r>
    <x v="377"/>
    <s v="danram"/>
    <n v="2.4"/>
    <n v="0.8"/>
    <s v="OLD NAVY"/>
    <s v="Feid, Sky Rompiendo"/>
    <n v="3"/>
    <n v="1"/>
    <n v="2"/>
    <n v="3"/>
    <n v="3"/>
    <m/>
    <m/>
    <m/>
    <n v="1"/>
    <n v="1"/>
    <b v="1"/>
  </r>
  <r>
    <x v="377"/>
    <s v="loganworsdell"/>
    <n v="2.8"/>
    <n v="1.1661903789690602"/>
    <s v="Dreams, Fairytales, Fantasies"/>
    <s v="A$AP Ferg, Brent Faiyaz, Salaam Remi"/>
    <n v="4"/>
    <n v="3"/>
    <n v="1"/>
    <n v="2"/>
    <n v="4"/>
    <n v="519797799"/>
    <m/>
    <m/>
    <n v="3"/>
    <n v="1"/>
    <b v="0"/>
  </r>
  <r>
    <x v="377"/>
    <s v="samuelbattista"/>
    <n v="4"/>
    <n v="1.5491933384829668"/>
    <s v="Bow Down"/>
    <s v="Geese"/>
    <n v="5"/>
    <n v="4"/>
    <n v="5"/>
    <n v="1"/>
    <n v="5"/>
    <m/>
    <m/>
    <m/>
    <n v="5"/>
    <n v="1"/>
    <b v="0"/>
  </r>
  <r>
    <x v="377"/>
    <s v="currydestroyer27"/>
    <n v="2.6"/>
    <n v="0.8"/>
    <s v="the kill 2"/>
    <s v="Lex Amarni"/>
    <n v="2"/>
    <n v="2"/>
    <n v="3"/>
    <n v="4"/>
    <n v="2"/>
    <n v="15557854"/>
    <m/>
    <m/>
    <n v="2"/>
    <n v="1"/>
    <b v="0"/>
  </r>
  <r>
    <x v="378"/>
    <s v="alappatjoe"/>
    <n v="2.6"/>
    <n v="1.3564659966250536"/>
    <s v="Wonder Why"/>
    <s v="Eli Noir"/>
    <n v="1"/>
    <n v="3"/>
    <n v="1"/>
    <n v="4"/>
    <n v="4"/>
    <n v="3024642"/>
    <m/>
    <m/>
    <n v="3"/>
    <n v="1"/>
    <b v="0"/>
  </r>
  <r>
    <x v="378"/>
    <s v="danram"/>
    <n v="5"/>
    <n v="0"/>
    <s v="Aguanile"/>
    <s v="Willie Colon, Hector Lavoe"/>
    <n v="5"/>
    <n v="5"/>
    <n v="5"/>
    <n v="5"/>
    <n v="5"/>
    <m/>
    <m/>
    <m/>
    <n v="5"/>
    <n v="1"/>
    <b v="0"/>
  </r>
  <r>
    <x v="378"/>
    <s v="loganworsdell"/>
    <n v="2.4"/>
    <n v="0.8"/>
    <s v="little too quiet"/>
    <s v="Scro, Venus as a boy"/>
    <n v="2"/>
    <n v="4"/>
    <n v="2"/>
    <n v="2"/>
    <n v="2"/>
    <n v="1185020"/>
    <m/>
    <m/>
    <n v="1"/>
    <n v="1"/>
    <b v="1"/>
  </r>
  <r>
    <x v="378"/>
    <s v="samuelbattista"/>
    <n v="2.4"/>
    <n v="0.8"/>
    <s v="Cinderella Man"/>
    <s v="Rush"/>
    <n v="3"/>
    <n v="2"/>
    <n v="3"/>
    <n v="1"/>
    <n v="3"/>
    <m/>
    <m/>
    <m/>
    <n v="1"/>
    <n v="2"/>
    <b v="0"/>
  </r>
  <r>
    <x v="378"/>
    <s v="currydestroyer27"/>
    <n v="2.6"/>
    <n v="1.3564659966250536"/>
    <s v="Hate It"/>
    <s v="Unclekamo"/>
    <n v="4"/>
    <n v="1"/>
    <n v="4"/>
    <n v="3"/>
    <n v="1"/>
    <n v="47605"/>
    <m/>
    <m/>
    <n v="3"/>
    <n v="1"/>
    <b v="0"/>
  </r>
  <r>
    <x v="379"/>
    <s v="alappatjoe"/>
    <n v="3.8"/>
    <n v="1.6"/>
    <s v="Swoop"/>
    <s v="Max Drazen"/>
    <n v="1"/>
    <n v="5"/>
    <n v="3"/>
    <n v="5"/>
    <n v="5"/>
    <n v="2077799"/>
    <m/>
    <m/>
    <n v="5"/>
    <n v="1"/>
    <b v="0"/>
  </r>
  <r>
    <x v="379"/>
    <s v="danram"/>
    <n v="2.8"/>
    <n v="1.4696938456699069"/>
    <s v="Dreams"/>
    <s v="The Kooks"/>
    <n v="5"/>
    <n v="1"/>
    <n v="4"/>
    <n v="2"/>
    <n v="2"/>
    <m/>
    <m/>
    <m/>
    <n v="3"/>
    <n v="1"/>
    <b v="0"/>
  </r>
  <r>
    <x v="379"/>
    <s v="loganworsdell"/>
    <n v="3"/>
    <n v="1.2649110640673518"/>
    <s v="I'm Alright"/>
    <s v="Brasstracks, R.LUM.R"/>
    <n v="2"/>
    <n v="4"/>
    <n v="1"/>
    <n v="4"/>
    <n v="4"/>
    <n v="3205204"/>
    <m/>
    <m/>
    <n v="4"/>
    <n v="1"/>
    <b v="0"/>
  </r>
  <r>
    <x v="379"/>
    <s v="samuelbattista"/>
    <n v="2.6"/>
    <n v="1.019803902718557"/>
    <s v="Dancing Alone"/>
    <s v="David Alexander"/>
    <n v="4"/>
    <n v="3"/>
    <n v="2"/>
    <n v="1"/>
    <n v="3"/>
    <m/>
    <m/>
    <m/>
    <n v="1"/>
    <n v="1"/>
    <b v="1"/>
  </r>
  <r>
    <x v="379"/>
    <s v="currydestroyer27"/>
    <n v="2.8"/>
    <n v="1.3266499161421599"/>
    <s v="Partners In Crime"/>
    <s v="The Strokes"/>
    <n v="3"/>
    <n v="2"/>
    <n v="5"/>
    <n v="3"/>
    <n v="1"/>
    <n v="17026621"/>
    <m/>
    <m/>
    <n v="2"/>
    <n v="1"/>
    <b v="0"/>
  </r>
  <r>
    <x v="380"/>
    <s v="alappatjoe"/>
    <n v="4"/>
    <n v="1.5491933384829668"/>
    <s v="Balatro Main Theme (Dom Polombi Game Night)"/>
    <s v="Dom Palombi, Dave Pollack, Joe Etzine, Ryan Devlin, Tony Solis, Chloe Rowlands, Justin Salisbury"/>
    <n v="1"/>
    <n v="5"/>
    <n v="4"/>
    <n v="5"/>
    <n v="5"/>
    <n v="8502"/>
    <m/>
    <m/>
    <n v="5"/>
    <n v="1"/>
    <b v="0"/>
  </r>
  <r>
    <x v="380"/>
    <s v="danram"/>
    <n v="2.6"/>
    <n v="1.3564659966250536"/>
    <s v="Discourse is Dead and so Are Our Insides"/>
    <s v="Moving Boxes"/>
    <n v="3"/>
    <n v="2"/>
    <n v="5"/>
    <n v="2"/>
    <n v="1"/>
    <m/>
    <m/>
    <m/>
    <n v="3"/>
    <n v="1"/>
    <b v="0"/>
  </r>
  <r>
    <x v="380"/>
    <s v="loganworsdell"/>
    <n v="2"/>
    <n v="1.0954451150103321"/>
    <s v="over it"/>
    <s v="joss lockwood"/>
    <n v="2"/>
    <n v="1"/>
    <n v="1"/>
    <n v="4"/>
    <n v="2"/>
    <n v="36881"/>
    <m/>
    <m/>
    <n v="1"/>
    <n v="1"/>
    <b v="1"/>
  </r>
  <r>
    <x v="380"/>
    <s v="samuelbattista"/>
    <n v="2.6"/>
    <n v="1.019803902718557"/>
    <s v="McLean's Baby Boy"/>
    <s v="Neighbor Susan"/>
    <n v="4"/>
    <n v="3"/>
    <n v="2"/>
    <n v="1"/>
    <n v="3"/>
    <m/>
    <m/>
    <m/>
    <n v="2"/>
    <n v="1"/>
    <b v="0"/>
  </r>
  <r>
    <x v="380"/>
    <s v="currydestroyer27"/>
    <n v="3.8"/>
    <n v="0.74833147735478833"/>
    <s v="In Your Hands"/>
    <s v="furthernotice"/>
    <n v="5"/>
    <n v="4"/>
    <n v="3"/>
    <n v="3"/>
    <n v="4"/>
    <n v="25656"/>
    <m/>
    <m/>
    <n v="4"/>
    <n v="1"/>
    <b v="0"/>
  </r>
  <r>
    <x v="381"/>
    <s v="alappatjoe"/>
    <n v="2.2000000000000002"/>
    <n v="0.9797958971132712"/>
    <s v="One Two Three"/>
    <s v="Penthouse"/>
    <n v="1"/>
    <n v="2"/>
    <n v="4"/>
    <n v="2"/>
    <n v="2"/>
    <n v="1552467"/>
    <m/>
    <m/>
    <n v="2"/>
    <n v="1"/>
    <b v="0"/>
  </r>
  <r>
    <x v="381"/>
    <s v="danram"/>
    <n v="2.8"/>
    <n v="1.1661903789690602"/>
    <s v="Azul"/>
    <s v="J Balvin"/>
    <n v="2"/>
    <n v="1"/>
    <n v="3"/>
    <n v="4"/>
    <n v="4"/>
    <m/>
    <m/>
    <m/>
    <n v="3"/>
    <n v="1"/>
    <b v="0"/>
  </r>
  <r>
    <x v="381"/>
    <s v="loganworsdell"/>
    <n v="3.6"/>
    <n v="1.019803902718557"/>
    <s v="247"/>
    <s v="Mike Dimes"/>
    <n v="4"/>
    <n v="4"/>
    <n v="2"/>
    <n v="5"/>
    <n v="3"/>
    <n v="3596462"/>
    <m/>
    <m/>
    <n v="4"/>
    <n v="1"/>
    <b v="0"/>
  </r>
  <r>
    <x v="381"/>
    <s v="samuelbattista"/>
    <n v="4.5999999999999996"/>
    <n v="0.8"/>
    <s v="Serenata Nortena"/>
    <s v="Los Lobos"/>
    <n v="5"/>
    <n v="5"/>
    <n v="5"/>
    <n v="3"/>
    <n v="5"/>
    <m/>
    <m/>
    <m/>
    <n v="5"/>
    <n v="1"/>
    <b v="0"/>
  </r>
  <r>
    <x v="381"/>
    <s v="currydestroyer27"/>
    <n v="1.8"/>
    <n v="0.9797958971132712"/>
    <s v="Self Aware"/>
    <s v="Temper City"/>
    <n v="3"/>
    <n v="3"/>
    <n v="1"/>
    <n v="1"/>
    <n v="1"/>
    <n v="102134914"/>
    <m/>
    <m/>
    <n v="1"/>
    <n v="1"/>
    <b v="1"/>
  </r>
  <r>
    <x v="382"/>
    <s v="alappatjoe"/>
    <n v="1.4"/>
    <n v="0.4898979485566356"/>
    <s v="Girl Front"/>
    <s v="LOONA / ODD EYE CIRCLE"/>
    <n v="1"/>
    <n v="1"/>
    <n v="2"/>
    <n v="2"/>
    <n v="1"/>
    <n v="38635675"/>
    <m/>
    <m/>
    <n v="1"/>
    <n v="1"/>
    <b v="1"/>
  </r>
  <r>
    <x v="382"/>
    <s v="danram"/>
    <n v="3.8"/>
    <n v="0.9797958971132712"/>
    <s v="Love And Affection"/>
    <s v="Pressure"/>
    <n v="4"/>
    <n v="2"/>
    <n v="4"/>
    <n v="4"/>
    <n v="5"/>
    <m/>
    <m/>
    <m/>
    <n v="4"/>
    <n v="1"/>
    <b v="0"/>
  </r>
  <r>
    <x v="382"/>
    <s v="loganworsdell"/>
    <n v="2.8"/>
    <n v="0.9797958971132712"/>
    <s v="2SIDED"/>
    <s v="Arlo Parks"/>
    <n v="3"/>
    <n v="4"/>
    <n v="1"/>
    <n v="3"/>
    <n v="3"/>
    <n v="4721241"/>
    <m/>
    <m/>
    <n v="2"/>
    <n v="1"/>
    <b v="0"/>
  </r>
  <r>
    <x v="382"/>
    <s v="samuelbattista"/>
    <n v="3.2"/>
    <n v="1.6"/>
    <s v="Neon"/>
    <s v="John Mayer"/>
    <n v="5"/>
    <n v="5"/>
    <n v="3"/>
    <n v="1"/>
    <n v="2"/>
    <m/>
    <m/>
    <m/>
    <n v="3"/>
    <n v="1"/>
    <b v="0"/>
  </r>
  <r>
    <x v="382"/>
    <s v="currydestroyer27"/>
    <n v="3.8"/>
    <n v="1.1661903789690602"/>
    <s v="Partners in Crime"/>
    <s v="Set It Off, Ash Costello"/>
    <n v="2"/>
    <n v="3"/>
    <n v="5"/>
    <n v="5"/>
    <n v="4"/>
    <n v="221753447"/>
    <m/>
    <m/>
    <n v="5"/>
    <n v="1"/>
    <b v="0"/>
  </r>
  <r>
    <x v="383"/>
    <s v="alappatjoe"/>
    <n v="2.8"/>
    <n v="1.1661903789690602"/>
    <s v="Gimmie"/>
    <s v="Kyle Dion"/>
    <n v="1"/>
    <n v="4"/>
    <n v="2"/>
    <n v="4"/>
    <n v="3"/>
    <n v="656216"/>
    <m/>
    <m/>
    <n v="1"/>
    <n v="1"/>
    <b v="1"/>
  </r>
  <r>
    <x v="383"/>
    <s v="danram"/>
    <n v="3.4"/>
    <n v="1.6248076809271921"/>
    <s v="WO OH OH "/>
    <s v="Omar Courtz, ROA"/>
    <n v="2"/>
    <n v="1"/>
    <n v="5"/>
    <n v="5"/>
    <n v="4"/>
    <m/>
    <m/>
    <m/>
    <n v="5"/>
    <n v="1"/>
    <b v="0"/>
  </r>
  <r>
    <x v="383"/>
    <s v="loganworsdell"/>
    <n v="3.2"/>
    <n v="1.3266499161421599"/>
    <s v="TEQUILA MOCKINGBIRD"/>
    <s v="Smino"/>
    <n v="4"/>
    <n v="3"/>
    <n v="1"/>
    <n v="3"/>
    <n v="5"/>
    <n v="7286148"/>
    <m/>
    <m/>
    <n v="4"/>
    <n v="1"/>
    <b v="0"/>
  </r>
  <r>
    <x v="383"/>
    <s v="samuelbattista"/>
    <n v="2.8"/>
    <n v="1.4696938456699069"/>
    <s v="Wisteria"/>
    <s v="Remains"/>
    <n v="5"/>
    <n v="2"/>
    <n v="4"/>
    <n v="1"/>
    <n v="2"/>
    <m/>
    <m/>
    <m/>
    <n v="3"/>
    <n v="1"/>
    <b v="0"/>
  </r>
  <r>
    <x v="383"/>
    <s v="currydestroyer27"/>
    <n v="2.8"/>
    <n v="1.3266499161421599"/>
    <s v="Daze"/>
    <s v="Jin, MARiA"/>
    <n v="3"/>
    <n v="5"/>
    <n v="3"/>
    <n v="2"/>
    <n v="1"/>
    <n v="10039518"/>
    <s v="International"/>
    <s v="J-Pop"/>
    <n v="2"/>
    <n v="1"/>
    <b v="0"/>
  </r>
  <r>
    <x v="384"/>
    <s v="alappatjoe"/>
    <n v="2.6"/>
    <n v="1.019803902718557"/>
    <s v="Do It"/>
    <s v="Chloe x Halle"/>
    <n v="1"/>
    <n v="3"/>
    <n v="2"/>
    <n v="4"/>
    <n v="3"/>
    <n v="200889366"/>
    <m/>
    <m/>
    <n v="3"/>
    <n v="1"/>
    <b v="0"/>
  </r>
  <r>
    <x v="384"/>
    <s v="danram"/>
    <n v="4.4000000000000004"/>
    <n v="0.8"/>
    <s v="Moon River"/>
    <s v="Frank Ocean"/>
    <n v="4"/>
    <n v="5"/>
    <n v="5"/>
    <n v="3"/>
    <n v="5"/>
    <m/>
    <m/>
    <m/>
    <n v="5"/>
    <n v="1"/>
    <b v="0"/>
  </r>
  <r>
    <x v="384"/>
    <s v="loganworsdell"/>
    <n v="3.4"/>
    <n v="1.6248076809271921"/>
    <s v="Sad Song - Ossian Remix"/>
    <s v="Parson James, Ossian"/>
    <n v="5"/>
    <n v="4"/>
    <n v="1"/>
    <n v="5"/>
    <n v="2"/>
    <n v="352842"/>
    <m/>
    <m/>
    <n v="4"/>
    <n v="1"/>
    <b v="0"/>
  </r>
  <r>
    <x v="384"/>
    <s v="samuelbattista"/>
    <n v="2.4"/>
    <n v="1.3564659966250536"/>
    <s v="The Spirit Of Radio"/>
    <s v="Rush"/>
    <n v="2"/>
    <n v="1"/>
    <n v="4"/>
    <n v="1"/>
    <n v="4"/>
    <m/>
    <m/>
    <m/>
    <n v="2"/>
    <n v="1"/>
    <b v="0"/>
  </r>
  <r>
    <x v="384"/>
    <s v="currydestroyer27"/>
    <n v="2.2000000000000002"/>
    <n v="0.74833147735478833"/>
    <s v="Mayday"/>
    <s v="Tsukuyomi"/>
    <n v="3"/>
    <n v="2"/>
    <n v="3"/>
    <n v="2"/>
    <n v="1"/>
    <n v="4396802"/>
    <s v="International"/>
    <s v="J-Pop"/>
    <n v="1"/>
    <n v="1"/>
    <b v="1"/>
  </r>
  <r>
    <x v="385"/>
    <s v="alappatjoe"/>
    <n v="2.6"/>
    <n v="1.3564659966250536"/>
    <s v="ABG"/>
    <s v="Joh!"/>
    <n v="1"/>
    <n v="1"/>
    <n v="3"/>
    <n v="4"/>
    <n v="4"/>
    <n v="4824602"/>
    <m/>
    <m/>
    <n v="1"/>
    <n v="1"/>
    <b v="1"/>
  </r>
  <r>
    <x v="385"/>
    <s v="danram"/>
    <n v="3"/>
    <n v="0.63245553203367588"/>
    <s v="El Vallenato"/>
    <s v="Maluma"/>
    <n v="3"/>
    <n v="3"/>
    <n v="4"/>
    <n v="2"/>
    <n v="3"/>
    <m/>
    <m/>
    <m/>
    <n v="4"/>
    <n v="1"/>
    <b v="0"/>
  </r>
  <r>
    <x v="385"/>
    <s v="loganworsdell"/>
    <n v="2.8"/>
    <n v="1.6"/>
    <s v="I Just Wanna Run"/>
    <s v="The Downtown Fiction"/>
    <n v="5"/>
    <n v="4"/>
    <n v="1"/>
    <n v="3"/>
    <n v="1"/>
    <n v="80602608"/>
    <m/>
    <m/>
    <n v="3"/>
    <n v="1"/>
    <b v="0"/>
  </r>
  <r>
    <x v="385"/>
    <s v="samuelbattista"/>
    <n v="2.8"/>
    <n v="1.4696938456699069"/>
    <s v="Cliffs of Dover - Live"/>
    <s v="Eric Johnson"/>
    <n v="4"/>
    <n v="2"/>
    <n v="2"/>
    <n v="1"/>
    <n v="5"/>
    <m/>
    <m/>
    <m/>
    <n v="2"/>
    <n v="1"/>
    <b v="0"/>
  </r>
  <r>
    <x v="385"/>
    <s v="currydestroyer27"/>
    <n v="3.8"/>
    <n v="1.4696938456699069"/>
    <s v="Both"/>
    <s v="Gucci Mane, Drake, Lil Wayne"/>
    <n v="2"/>
    <n v="5"/>
    <n v="5"/>
    <n v="5"/>
    <n v="2"/>
    <n v="97073099"/>
    <m/>
    <m/>
    <n v="5"/>
    <n v="1"/>
    <b v="0"/>
  </r>
  <r>
    <x v="386"/>
    <s v="alappatjoe"/>
    <n v="3.6"/>
    <n v="0.4898979485566356"/>
    <s v="Free Your Mind"/>
    <s v="Prospa, Cloonee"/>
    <n v="3"/>
    <n v="4"/>
    <n v="3"/>
    <n v="4"/>
    <n v="4"/>
    <n v="28443444"/>
    <m/>
    <m/>
    <n v="4"/>
    <n v="1"/>
    <b v="0"/>
  </r>
  <r>
    <x v="386"/>
    <s v="danram"/>
    <n v="3.6"/>
    <n v="1.7435595774162693"/>
    <s v="BBY ROMEO"/>
    <s v="rusowsky, Ralphie Choo"/>
    <n v="5"/>
    <n v="1"/>
    <n v="5"/>
    <n v="5"/>
    <n v="2"/>
    <m/>
    <m/>
    <m/>
    <n v="5"/>
    <n v="1"/>
    <b v="0"/>
  </r>
  <r>
    <x v="386"/>
    <s v="loganworsdell"/>
    <n v="2.6"/>
    <n v="1.019803902718557"/>
    <s v="Lying Awake"/>
    <s v="Notes From Under Ground"/>
    <n v="4"/>
    <n v="3"/>
    <n v="1"/>
    <n v="2"/>
    <n v="3"/>
    <n v="309075"/>
    <m/>
    <m/>
    <n v="1"/>
    <n v="1"/>
    <b v="1"/>
  </r>
  <r>
    <x v="386"/>
    <s v="samuelbattista"/>
    <n v="2.6"/>
    <n v="1.6248076809271921"/>
    <s v="Tornado Of Souls"/>
    <s v="Megadeth"/>
    <n v="1"/>
    <n v="2"/>
    <n v="4"/>
    <n v="1"/>
    <n v="5"/>
    <m/>
    <m/>
    <m/>
    <n v="3"/>
    <n v="1"/>
    <b v="0"/>
  </r>
  <r>
    <x v="386"/>
    <s v="currydestroyer27"/>
    <n v="2.6"/>
    <n v="1.3564659966250536"/>
    <s v="This fffire"/>
    <s v="Franz Ferdinand"/>
    <n v="2"/>
    <n v="5"/>
    <n v="2"/>
    <n v="3"/>
    <n v="1"/>
    <n v="113491708"/>
    <m/>
    <m/>
    <n v="2"/>
    <n v="1"/>
    <b v="0"/>
  </r>
  <r>
    <x v="387"/>
    <s v="alappatjoe"/>
    <n v="4.8"/>
    <n v="0.39999999999999997"/>
    <s v="Let It Ride !"/>
    <s v="GRIM SAINT"/>
    <n v="4"/>
    <n v="5"/>
    <n v="5"/>
    <n v="5"/>
    <n v="5"/>
    <n v="698290"/>
    <m/>
    <m/>
    <n v="5"/>
    <n v="1"/>
    <b v="0"/>
  </r>
  <r>
    <x v="387"/>
    <s v="danram"/>
    <n v="3.2"/>
    <n v="1.1661903789690602"/>
    <s v="Lollipop"/>
    <s v="Lil Wayne"/>
    <n v="1"/>
    <n v="3"/>
    <n v="4"/>
    <n v="4"/>
    <n v="4"/>
    <m/>
    <m/>
    <m/>
    <n v="4"/>
    <n v="1"/>
    <b v="0"/>
  </r>
  <r>
    <x v="387"/>
    <s v="loganworsdell"/>
    <n v="1.6"/>
    <n v="0.8"/>
    <s v="atomic"/>
    <s v="Aziya"/>
    <n v="3"/>
    <n v="2"/>
    <n v="1"/>
    <n v="1"/>
    <n v="1"/>
    <n v="7074889"/>
    <m/>
    <m/>
    <n v="1"/>
    <n v="1"/>
    <b v="1"/>
  </r>
  <r>
    <x v="387"/>
    <s v="samuelbattista"/>
    <n v="2.6"/>
    <n v="0.8"/>
    <s v=" 2/14"/>
    <s v="The Band CAMINO"/>
    <n v="2"/>
    <n v="4"/>
    <n v="2"/>
    <n v="2"/>
    <n v="3"/>
    <m/>
    <m/>
    <m/>
    <n v="2"/>
    <n v="1"/>
    <b v="0"/>
  </r>
  <r>
    <x v="387"/>
    <s v="currydestroyer27"/>
    <n v="2.8"/>
    <n v="1.3266499161421599"/>
    <s v="Pocketful Of Sunshine"/>
    <s v="Natasha Bedingfield"/>
    <n v="5"/>
    <n v="1"/>
    <n v="3"/>
    <n v="3"/>
    <n v="2"/>
    <n v="634719925"/>
    <m/>
    <m/>
    <n v="3"/>
    <n v="1"/>
    <b v="0"/>
  </r>
  <r>
    <x v="388"/>
    <s v="alappatjoe"/>
    <n v="3.4"/>
    <n v="1.2"/>
    <s v="ウィーアー!"/>
    <s v="Hiroshi Kitadani"/>
    <n v="1"/>
    <n v="4"/>
    <n v="4"/>
    <n v="4"/>
    <n v="4"/>
    <n v="8317513"/>
    <m/>
    <m/>
    <n v="4"/>
    <n v="1"/>
    <b v="0"/>
  </r>
  <r>
    <x v="388"/>
    <s v="danram"/>
    <n v="3.2"/>
    <n v="1.6"/>
    <s v="Mehndi Laga Ke Rakhna"/>
    <s v="Lata Mangeshkar, Udit Narayan"/>
    <n v="3"/>
    <n v="1"/>
    <n v="5"/>
    <n v="5"/>
    <n v="2"/>
    <m/>
    <m/>
    <m/>
    <n v="3"/>
    <n v="1"/>
    <b v="0"/>
  </r>
  <r>
    <x v="388"/>
    <s v="loganworsdell"/>
    <n v="3.8"/>
    <n v="1.6"/>
    <s v="Fascination"/>
    <s v="Maiko Okamoto"/>
    <n v="5"/>
    <n v="5"/>
    <n v="1"/>
    <n v="3"/>
    <n v="5"/>
    <n v="3878438"/>
    <m/>
    <m/>
    <n v="5"/>
    <n v="1"/>
    <b v="0"/>
  </r>
  <r>
    <x v="388"/>
    <s v="samuelbattista"/>
    <n v="2.8"/>
    <n v="0.9797958971132712"/>
    <s v="電話しても"/>
    <s v="Kazuhito Murata"/>
    <n v="4"/>
    <n v="3"/>
    <n v="3"/>
    <n v="1"/>
    <n v="3"/>
    <m/>
    <m/>
    <m/>
    <n v="2"/>
    <n v="1"/>
    <b v="0"/>
  </r>
  <r>
    <x v="388"/>
    <s v="currydestroyer27"/>
    <n v="1.8"/>
    <n v="0.4"/>
    <s v="Kuch Kuch Hota Hai"/>
    <s v="Kavita Krishnamurthy, Jatin-Lalit, Udit Narayan, Alka Yagnik"/>
    <n v="2"/>
    <n v="2"/>
    <n v="2"/>
    <n v="2"/>
    <n v="1"/>
    <n v="106001536"/>
    <s v="International"/>
    <s v="Hindi"/>
    <n v="1"/>
    <n v="1"/>
    <b v="1"/>
  </r>
  <r>
    <x v="389"/>
    <s v="alappatjoe"/>
    <n v="3.4"/>
    <n v="1.6248076809271921"/>
    <s v="Traa"/>
    <s v="Softwilly, LEX PAIN, Jøjo"/>
    <n v="1"/>
    <n v="4"/>
    <n v="5"/>
    <n v="5"/>
    <n v="2"/>
    <n v="594071"/>
    <m/>
    <m/>
    <n v="5"/>
    <n v="1"/>
    <b v="0"/>
  </r>
  <r>
    <x v="389"/>
    <s v="danram"/>
    <n v="2.6"/>
    <n v="1.019803902718557"/>
    <s v="DETONO"/>
    <s v="Sech, Kris R."/>
    <n v="2"/>
    <n v="1"/>
    <n v="3"/>
    <n v="4"/>
    <n v="3"/>
    <m/>
    <m/>
    <m/>
    <n v="1"/>
    <n v="1"/>
    <b v="1"/>
  </r>
  <r>
    <x v="389"/>
    <s v="loganworsdell"/>
    <n v="3.4"/>
    <n v="1.019803902718557"/>
    <s v="petals on the floor"/>
    <s v="fxris, dazed?!"/>
    <n v="5"/>
    <n v="3"/>
    <n v="2"/>
    <n v="3"/>
    <n v="4"/>
    <n v="7201"/>
    <m/>
    <m/>
    <n v="4"/>
    <n v="1"/>
    <b v="0"/>
  </r>
  <r>
    <x v="389"/>
    <s v="samuelbattista"/>
    <n v="3"/>
    <n v="1.7888543819998317"/>
    <s v="Rollin' (Air Raid Vehicle)"/>
    <s v="Limp Bizkit"/>
    <n v="3"/>
    <n v="5"/>
    <n v="1"/>
    <n v="1"/>
    <n v="5"/>
    <m/>
    <m/>
    <m/>
    <n v="3"/>
    <n v="1"/>
    <b v="0"/>
  </r>
  <r>
    <x v="389"/>
    <s v="currydestroyer27"/>
    <n v="2.6"/>
    <n v="1.2"/>
    <s v="Hotel Room"/>
    <s v="Ax and the Hatchetmen"/>
    <n v="4"/>
    <n v="2"/>
    <n v="4"/>
    <n v="2"/>
    <n v="1"/>
    <n v="17920296"/>
    <m/>
    <m/>
    <n v="2"/>
    <n v="1"/>
    <b v="0"/>
  </r>
  <r>
    <x v="390"/>
    <s v="alappatjoe"/>
    <n v="2.8"/>
    <n v="1.3266499161421599"/>
    <s v="Made 4 Two"/>
    <s v="DAUL, Charli Taft, SIRUP"/>
    <n v="1"/>
    <n v="5"/>
    <n v="2"/>
    <n v="3"/>
    <n v="3"/>
    <n v="609152"/>
    <m/>
    <m/>
    <n v="3"/>
    <n v="1"/>
    <b v="0"/>
  </r>
  <r>
    <x v="390"/>
    <s v="danram"/>
    <n v="4.4000000000000004"/>
    <n v="0.8"/>
    <s v="Crocodile Woman"/>
    <s v="Saam Sultan"/>
    <n v="5"/>
    <n v="3"/>
    <n v="4"/>
    <n v="5"/>
    <n v="5"/>
    <m/>
    <m/>
    <m/>
    <n v="5"/>
    <n v="1"/>
    <b v="0"/>
  </r>
  <r>
    <x v="390"/>
    <s v="loganworsdell"/>
    <n v="1.6"/>
    <n v="0.8"/>
    <s v="Roommates"/>
    <s v="Malcolm Todd"/>
    <n v="3"/>
    <n v="1"/>
    <n v="1"/>
    <n v="1"/>
    <n v="2"/>
    <n v="237674788"/>
    <m/>
    <m/>
    <n v="1"/>
    <n v="1"/>
    <b v="1"/>
  </r>
  <r>
    <x v="390"/>
    <s v="samuelbattista"/>
    <n v="2.6"/>
    <n v="0.8"/>
    <s v="Fantasy"/>
    <s v="Demi Lovato, Cobrah"/>
    <n v="2"/>
    <n v="2"/>
    <n v="3"/>
    <n v="2"/>
    <n v="4"/>
    <m/>
    <m/>
    <m/>
    <n v="2"/>
    <n v="1"/>
    <b v="0"/>
  </r>
  <r>
    <x v="390"/>
    <s v="currydestroyer27"/>
    <n v="3.6"/>
    <n v="1.3564659966250536"/>
    <s v="Revive"/>
    <s v="ClariS"/>
    <n v="4"/>
    <n v="4"/>
    <n v="5"/>
    <n v="4"/>
    <n v="1"/>
    <n v="113822"/>
    <s v="International"/>
    <s v="J-Pop"/>
    <n v="4"/>
    <n v="1"/>
    <b v="0"/>
  </r>
  <r>
    <x v="391"/>
    <s v="alappatjoe"/>
    <n v="3.2"/>
    <n v="1.3266499161421599"/>
    <s v="PEPPERMINT GOLD"/>
    <s v="RC AVENUE"/>
    <n v="1"/>
    <n v="4"/>
    <n v="3"/>
    <n v="3"/>
    <n v="5"/>
    <n v="390554"/>
    <m/>
    <m/>
    <n v="4"/>
    <n v="1"/>
    <b v="0"/>
  </r>
  <r>
    <x v="391"/>
    <s v="danram"/>
    <n v="3"/>
    <n v="1.6733200530681511"/>
    <s v="Birds &amp; the Bees"/>
    <s v="Baby Keem"/>
    <n v="2"/>
    <n v="1"/>
    <n v="5"/>
    <n v="5"/>
    <n v="2"/>
    <m/>
    <m/>
    <m/>
    <n v="3"/>
    <n v="1"/>
    <b v="0"/>
  </r>
  <r>
    <x v="391"/>
    <s v="loganworsdell"/>
    <n v="3"/>
    <n v="0.89442719099991586"/>
    <s v="BIAF&lt;3"/>
    <s v="Young Miko"/>
    <n v="3"/>
    <n v="2"/>
    <n v="2"/>
    <n v="4"/>
    <n v="4"/>
    <n v="13418191"/>
    <m/>
    <m/>
    <n v="2"/>
    <n v="1"/>
    <b v="0"/>
  </r>
  <r>
    <x v="391"/>
    <s v="samuelbattista"/>
    <n v="3.8"/>
    <n v="1.1661903789690602"/>
    <s v="Gild the Lily"/>
    <s v="Billy Strings"/>
    <n v="5"/>
    <n v="5"/>
    <n v="4"/>
    <n v="2"/>
    <n v="3"/>
    <m/>
    <m/>
    <m/>
    <n v="5"/>
    <n v="1"/>
    <b v="0"/>
  </r>
  <r>
    <x v="391"/>
    <s v="currydestroyer27"/>
    <n v="2"/>
    <n v="1.2649110640673518"/>
    <s v="Remember When"/>
    <s v="Wallows"/>
    <n v="4"/>
    <n v="3"/>
    <n v="1"/>
    <n v="1"/>
    <n v="1"/>
    <n v="309043689"/>
    <m/>
    <m/>
    <n v="1"/>
    <n v="1"/>
    <b v="1"/>
  </r>
  <r>
    <x v="392"/>
    <s v="alappatjoe"/>
    <n v="4"/>
    <n v="0.63245553203367588"/>
    <s v="Love Me"/>
    <s v="Obie Trice, 50 Cent, Eminem"/>
    <n v="3"/>
    <n v="4"/>
    <n v="5"/>
    <n v="4"/>
    <n v="4"/>
    <n v="21533503"/>
    <m/>
    <m/>
    <n v="4"/>
    <n v="1"/>
    <b v="0"/>
  </r>
  <r>
    <x v="392"/>
    <s v="danram"/>
    <n v="2.6"/>
    <n v="1.4966629547095767"/>
    <s v="BedRock"/>
    <s v="osk"/>
    <n v="5"/>
    <n v="1"/>
    <n v="3"/>
    <n v="3"/>
    <n v="1"/>
    <m/>
    <m/>
    <m/>
    <n v="3"/>
    <n v="1"/>
    <b v="0"/>
  </r>
  <r>
    <x v="392"/>
    <s v="loganworsdell"/>
    <n v="1.8"/>
    <n v="0.74833147735478833"/>
    <s v="Ride"/>
    <s v="Twenty One Pilots"/>
    <n v="1"/>
    <n v="3"/>
    <n v="1"/>
    <n v="2"/>
    <n v="2"/>
    <n v="2275692459"/>
    <m/>
    <m/>
    <n v="1"/>
    <n v="1"/>
    <b v="1"/>
  </r>
  <r>
    <x v="392"/>
    <s v="samuelbattista"/>
    <n v="2"/>
    <n v="0.63245553203367588"/>
    <s v="The Metal"/>
    <s v="Tenacious D"/>
    <n v="2"/>
    <n v="2"/>
    <n v="2"/>
    <n v="1"/>
    <n v="3"/>
    <m/>
    <m/>
    <m/>
    <n v="2"/>
    <n v="1"/>
    <b v="0"/>
  </r>
  <r>
    <x v="392"/>
    <s v="currydestroyer27"/>
    <n v="4.5999999999999996"/>
    <n v="0.4898979485566356"/>
    <s v="Black America Again"/>
    <s v="Common, Stevie Wonder"/>
    <n v="4"/>
    <n v="5"/>
    <n v="4"/>
    <n v="5"/>
    <n v="5"/>
    <n v="2748910"/>
    <m/>
    <m/>
    <n v="5"/>
    <n v="1"/>
    <b v="0"/>
  </r>
  <r>
    <x v="393"/>
    <s v="alappatjoe"/>
    <n v="3.2"/>
    <n v="1.4696938456699069"/>
    <s v="Hvnly"/>
    <s v="Jenevieve, JIHYO"/>
    <n v="1"/>
    <n v="4"/>
    <n v="2"/>
    <n v="5"/>
    <n v="4"/>
    <n v="3347651"/>
    <m/>
    <m/>
    <n v="4"/>
    <n v="1"/>
    <b v="0"/>
  </r>
  <r>
    <x v="393"/>
    <s v="danram"/>
    <n v="2.4"/>
    <n v="0.8"/>
    <s v="Omerta"/>
    <s v="J Balvin, Ryan Castro"/>
    <n v="2"/>
    <n v="2"/>
    <n v="4"/>
    <n v="2"/>
    <n v="2"/>
    <m/>
    <m/>
    <m/>
    <n v="1"/>
    <n v="1"/>
    <b v="1"/>
  </r>
  <r>
    <x v="393"/>
    <s v="loganworsdell"/>
    <n v="2.8"/>
    <n v="1.6"/>
    <s v="settle4tonight"/>
    <s v="El!jah"/>
    <n v="5"/>
    <n v="1"/>
    <n v="1"/>
    <n v="4"/>
    <n v="3"/>
    <n v="2632819"/>
    <m/>
    <m/>
    <n v="3"/>
    <n v="1"/>
    <b v="0"/>
  </r>
  <r>
    <x v="393"/>
    <s v="samuelbattista"/>
    <n v="3.8"/>
    <n v="1.6"/>
    <s v="My Old School"/>
    <s v="Steely Dan"/>
    <n v="3"/>
    <n v="5"/>
    <n v="5"/>
    <n v="1"/>
    <n v="5"/>
    <m/>
    <m/>
    <m/>
    <n v="5"/>
    <n v="1"/>
    <b v="0"/>
  </r>
  <r>
    <x v="393"/>
    <s v="currydestroyer27"/>
    <n v="2.8"/>
    <n v="0.9797958971132712"/>
    <s v="Oxygen"/>
    <s v="Porch Light"/>
    <n v="4"/>
    <n v="3"/>
    <n v="3"/>
    <n v="3"/>
    <n v="1"/>
    <n v="16221185"/>
    <m/>
    <m/>
    <n v="2"/>
    <n v="1"/>
    <b v="0"/>
  </r>
  <r>
    <x v="394"/>
    <s v="alappatjoe"/>
    <n v="3.6"/>
    <n v="1.7435595774162693"/>
    <s v="HOTLINE"/>
    <s v="Mikayla Geier"/>
    <n v="1"/>
    <n v="5"/>
    <n v="5"/>
    <n v="5"/>
    <n v="2"/>
    <n v="1072094"/>
    <m/>
    <m/>
    <n v="5"/>
    <n v="1"/>
    <b v="0"/>
  </r>
  <r>
    <x v="394"/>
    <s v="danram"/>
    <n v="3.2"/>
    <n v="1.1661903789690602"/>
    <s v="One Way Trigger"/>
    <s v="The Strokes"/>
    <n v="2"/>
    <n v="2"/>
    <n v="4"/>
    <n v="3"/>
    <n v="5"/>
    <m/>
    <m/>
    <m/>
    <n v="4"/>
    <n v="1"/>
    <b v="0"/>
  </r>
  <r>
    <x v="394"/>
    <s v="loganworsdell"/>
    <n v="2.8"/>
    <n v="1.4696938456699069"/>
    <s v="takemylife"/>
    <s v="alkayn"/>
    <n v="5"/>
    <n v="1"/>
    <n v="2"/>
    <n v="2"/>
    <n v="4"/>
    <n v="17471"/>
    <m/>
    <m/>
    <n v="2"/>
    <n v="1"/>
    <b v="0"/>
  </r>
  <r>
    <x v="394"/>
    <s v="samuelbattista"/>
    <n v="2.6"/>
    <n v="0.8"/>
    <s v="Famous Last Words"/>
    <s v="My Chemical Romance"/>
    <n v="3"/>
    <n v="3"/>
    <n v="3"/>
    <n v="1"/>
    <n v="3"/>
    <m/>
    <m/>
    <m/>
    <n v="1"/>
    <n v="1"/>
    <b v="1"/>
  </r>
  <r>
    <x v="394"/>
    <s v="currydestroyer27"/>
    <n v="2.8"/>
    <n v="1.4696938456699069"/>
    <s v="Dead of Night"/>
    <s v="Jfarrari"/>
    <n v="4"/>
    <n v="4"/>
    <n v="1"/>
    <n v="4"/>
    <n v="1"/>
    <n v="892181"/>
    <m/>
    <m/>
    <n v="2"/>
    <n v="1"/>
    <b v="0"/>
  </r>
  <r>
    <x v="395"/>
    <s v="alappatjoe"/>
    <n v="2.6"/>
    <n v="1.3564659966250536"/>
    <s v="Way I Know"/>
    <s v="Lucus"/>
    <n v="1"/>
    <n v="5"/>
    <n v="2"/>
    <n v="3"/>
    <n v="2"/>
    <n v="50254"/>
    <m/>
    <m/>
    <n v="2"/>
    <n v="1"/>
    <b v="0"/>
  </r>
  <r>
    <x v="395"/>
    <s v="danram"/>
    <n v="4.2"/>
    <n v="0.9797958971132712"/>
    <s v="Sera que e amor"/>
    <s v="Arlindo Cruz"/>
    <n v="3"/>
    <n v="3"/>
    <n v="5"/>
    <n v="5"/>
    <n v="5"/>
    <m/>
    <m/>
    <m/>
    <n v="5"/>
    <n v="1"/>
    <b v="0"/>
  </r>
  <r>
    <x v="395"/>
    <s v="loganworsdell"/>
    <n v="1.6"/>
    <n v="0.8"/>
    <s v="Surf Swag"/>
    <s v="Lil Wayne"/>
    <n v="2"/>
    <n v="1"/>
    <n v="1"/>
    <n v="1"/>
    <n v="3"/>
    <n v="36103599"/>
    <m/>
    <m/>
    <n v="1"/>
    <n v="1"/>
    <b v="1"/>
  </r>
  <r>
    <x v="395"/>
    <s v="samuelbattista"/>
    <n v="3.6"/>
    <n v="1.019803902718557"/>
    <s v="Abbreviated"/>
    <s v="Ovven"/>
    <n v="5"/>
    <n v="4"/>
    <n v="3"/>
    <n v="2"/>
    <n v="4"/>
    <m/>
    <m/>
    <m/>
    <n v="4"/>
    <n v="1"/>
    <b v="0"/>
  </r>
  <r>
    <x v="395"/>
    <s v="currydestroyer27"/>
    <n v="3"/>
    <n v="1.2649110640673518"/>
    <s v="Are you Bored Yet?"/>
    <s v="Wallows, Clairo"/>
    <n v="4"/>
    <n v="2"/>
    <n v="4"/>
    <n v="4"/>
    <n v="1"/>
    <n v="1138755414"/>
    <m/>
    <m/>
    <n v="3"/>
    <n v="1"/>
    <b v="0"/>
  </r>
  <r>
    <x v="396"/>
    <s v="alappatjoe"/>
    <n v="3.4"/>
    <n v="1.3564659966250536"/>
    <s v="Crazy In Love"/>
    <s v="Beyoncé, JAY-Z"/>
    <n v="1"/>
    <n v="4"/>
    <n v="4"/>
    <n v="5"/>
    <n v="3"/>
    <n v="1865294672"/>
    <m/>
    <m/>
    <n v="4"/>
    <n v="1"/>
    <b v="0"/>
  </r>
  <r>
    <x v="396"/>
    <s v="danram"/>
    <n v="3.6"/>
    <n v="1.019803902718557"/>
    <s v="Despacito - Remix"/>
    <s v="Luis Fonsi, Daddy Yankee, Justin Bieber"/>
    <n v="5"/>
    <n v="2"/>
    <n v="3"/>
    <n v="4"/>
    <n v="4"/>
    <n v="1902534062"/>
    <m/>
    <m/>
    <n v="5"/>
    <n v="1"/>
    <b v="0"/>
  </r>
  <r>
    <x v="396"/>
    <s v="loganworsdell"/>
    <n v="1.8"/>
    <n v="0.9797958971132712"/>
    <s v="Forever"/>
    <s v="Drake, Kanye West, Lil Wayne, Eminem"/>
    <n v="3"/>
    <n v="1"/>
    <n v="1"/>
    <n v="3"/>
    <n v="1"/>
    <n v="778901810"/>
    <m/>
    <m/>
    <n v="1"/>
    <n v="1"/>
    <b v="1"/>
  </r>
  <r>
    <x v="396"/>
    <s v="samuelbattista"/>
    <n v="3.2"/>
    <n v="1.6"/>
    <s v="La Villa Strangiato"/>
    <s v="Rush"/>
    <n v="2"/>
    <n v="3"/>
    <n v="5"/>
    <n v="1"/>
    <n v="5"/>
    <n v="24281451"/>
    <m/>
    <m/>
    <n v="3"/>
    <n v="1"/>
    <b v="0"/>
  </r>
  <r>
    <x v="396"/>
    <s v="currydestroyer27"/>
    <n v="3"/>
    <n v="1.2649110640673518"/>
    <s v="Down"/>
    <s v="Jay Sean, Lil Wayne"/>
    <n v="4"/>
    <n v="5"/>
    <n v="2"/>
    <n v="2"/>
    <n v="2"/>
    <n v="1032268266"/>
    <m/>
    <m/>
    <n v="2"/>
    <n v="1"/>
    <b v="0"/>
  </r>
  <r>
    <x v="397"/>
    <s v="alappatjoe"/>
    <n v="2.8"/>
    <n v="1.1661903789690602"/>
    <s v="Pure Water"/>
    <s v="Mustard, Migos"/>
    <n v="1"/>
    <n v="4"/>
    <n v="3"/>
    <n v="4"/>
    <n v="2"/>
    <n v="853914738"/>
    <m/>
    <m/>
    <n v="3"/>
    <n v="1"/>
    <b v="0"/>
  </r>
  <r>
    <x v="397"/>
    <s v="danram"/>
    <n v="1.6"/>
    <n v="1.2"/>
    <s v="Cudi Montage"/>
    <s v="KIDS SEE GHOSTS"/>
    <n v="4"/>
    <n v="1"/>
    <n v="1"/>
    <n v="1"/>
    <n v="1"/>
    <m/>
    <m/>
    <m/>
    <n v="1"/>
    <n v="1"/>
    <b v="1"/>
  </r>
  <r>
    <x v="397"/>
    <s v="loganworsdell"/>
    <n v="3"/>
    <n v="1.0954451150103321"/>
    <s v="tarde o temprano"/>
    <s v="sArah"/>
    <n v="3"/>
    <n v="2"/>
    <n v="2"/>
    <n v="3"/>
    <n v="5"/>
    <n v="284522"/>
    <m/>
    <m/>
    <n v="4"/>
    <n v="1"/>
    <b v="0"/>
  </r>
  <r>
    <x v="397"/>
    <s v="samuelbattista"/>
    <n v="2.8"/>
    <n v="0.74833147735478833"/>
    <s v="Don't Wanna Fight"/>
    <s v="Alabama Shakes"/>
    <n v="2"/>
    <n v="3"/>
    <n v="4"/>
    <n v="2"/>
    <n v="3"/>
    <m/>
    <m/>
    <m/>
    <n v="2"/>
    <n v="1"/>
    <b v="0"/>
  </r>
  <r>
    <x v="397"/>
    <s v="currydestroyer27"/>
    <n v="4.8"/>
    <n v="0.39999999999999997"/>
    <s v="WTFU"/>
    <s v="Cheem"/>
    <n v="5"/>
    <n v="5"/>
    <n v="5"/>
    <n v="5"/>
    <n v="4"/>
    <n v="1174224"/>
    <m/>
    <m/>
    <n v="5"/>
    <n v="1"/>
    <b v="0"/>
  </r>
  <r>
    <x v="398"/>
    <s v="alappatjoe"/>
    <n v="3.4"/>
    <n v="1.6248076809271921"/>
    <s v="Mambo No. 5"/>
    <s v="Lou Bega"/>
    <n v="1"/>
    <n v="5"/>
    <n v="4"/>
    <n v="5"/>
    <n v="2"/>
    <n v="873385478"/>
    <m/>
    <m/>
    <n v="4"/>
    <n v="1"/>
    <b v="0"/>
  </r>
  <r>
    <x v="398"/>
    <s v="danram"/>
    <n v="4.5999999999999996"/>
    <n v="0.4898979485566356"/>
    <s v="Dark"/>
    <s v="Maddie Ashman"/>
    <n v="5"/>
    <n v="4"/>
    <n v="5"/>
    <n v="4"/>
    <n v="5"/>
    <m/>
    <m/>
    <m/>
    <n v="5"/>
    <n v="1"/>
    <b v="0"/>
  </r>
  <r>
    <x v="398"/>
    <s v="loganworsdell"/>
    <n v="2.8"/>
    <n v="0.4"/>
    <s v="I Can Only Imagine"/>
    <s v="David Guetta, Chris Brown, Lil Wayne"/>
    <n v="3"/>
    <n v="2"/>
    <n v="3"/>
    <n v="3"/>
    <n v="3"/>
    <n v="81200466"/>
    <m/>
    <m/>
    <n v="2"/>
    <n v="1"/>
    <b v="0"/>
  </r>
  <r>
    <x v="398"/>
    <s v="samuelbattista"/>
    <n v="2.8"/>
    <n v="1.1661903789690602"/>
    <s v="Sherpa"/>
    <s v="Angine de Poitrine"/>
    <n v="4"/>
    <n v="3"/>
    <n v="2"/>
    <n v="1"/>
    <n v="4"/>
    <m/>
    <m/>
    <m/>
    <n v="3"/>
    <n v="1"/>
    <b v="0"/>
  </r>
  <r>
    <x v="398"/>
    <s v="currydestroyer27"/>
    <n v="1.4"/>
    <n v="0.4898979485566356"/>
    <s v="Don't Speak"/>
    <s v="Culture Wars"/>
    <n v="2"/>
    <n v="1"/>
    <n v="1"/>
    <n v="2"/>
    <n v="1"/>
    <n v="3327264"/>
    <m/>
    <m/>
    <n v="1"/>
    <n v="1"/>
    <b v="1"/>
  </r>
  <r>
    <x v="399"/>
    <s v="alappatjoe"/>
    <n v="2.8"/>
    <n v="1.1661903789690602"/>
    <s v="On Sight"/>
    <s v="Squid the Kid,Taylr"/>
    <n v="1"/>
    <n v="3"/>
    <n v="4"/>
    <n v="4"/>
    <n v="2"/>
    <n v="297913"/>
    <m/>
    <m/>
    <n v="3"/>
    <n v="1"/>
    <b v="0"/>
  </r>
  <r>
    <x v="399"/>
    <s v="danram"/>
    <n v="2.2000000000000002"/>
    <n v="1.1661903789690602"/>
    <s v="esperando que vuelvas"/>
    <s v="Marc Segui"/>
    <n v="4"/>
    <n v="1"/>
    <n v="1"/>
    <n v="2"/>
    <n v="3"/>
    <m/>
    <m/>
    <m/>
    <n v="1"/>
    <n v="1"/>
    <b v="1"/>
  </r>
  <r>
    <x v="399"/>
    <s v="loganworsdell"/>
    <n v="3.8"/>
    <n v="1.4696938456699069"/>
    <s v="Kokiri Forest"/>
    <s v="Arcade Player"/>
    <n v="2"/>
    <n v="5"/>
    <n v="2"/>
    <n v="5"/>
    <n v="5"/>
    <n v="540724"/>
    <m/>
    <m/>
    <n v="4"/>
    <n v="1"/>
    <b v="0"/>
  </r>
  <r>
    <x v="399"/>
    <s v="samuelbattista"/>
    <n v="3.8"/>
    <n v="1.4696938456699069"/>
    <s v="Right Back to It"/>
    <s v="Waxahatchee, MJ Lenderman"/>
    <n v="5"/>
    <n v="4"/>
    <n v="5"/>
    <n v="1"/>
    <n v="4"/>
    <m/>
    <m/>
    <m/>
    <n v="4"/>
    <n v="1"/>
    <b v="0"/>
  </r>
  <r>
    <x v="399"/>
    <s v="currydestroyer27"/>
    <n v="2.4"/>
    <n v="0.8"/>
    <s v="Mystery Girl"/>
    <s v="Housecall"/>
    <n v="3"/>
    <n v="2"/>
    <n v="3"/>
    <n v="3"/>
    <n v="1"/>
    <n v="25643665"/>
    <m/>
    <m/>
    <n v="2"/>
    <n v="1"/>
    <b v="0"/>
  </r>
  <r>
    <x v="400"/>
    <s v="alappatjoe"/>
    <n v="3.4"/>
    <n v="1.3564659966250536"/>
    <s v="Personal"/>
    <s v="Emotional Oranges"/>
    <n v="1"/>
    <n v="4"/>
    <n v="4"/>
    <n v="5"/>
    <n v="3"/>
    <n v="27487291"/>
    <m/>
    <m/>
    <n v="5"/>
    <n v="1"/>
    <b v="0"/>
  </r>
  <r>
    <x v="400"/>
    <s v="danram"/>
    <n v="2.8"/>
    <n v="1.1661903789690602"/>
    <s v="Criminal (Over You)"/>
    <s v="Afgan, thuy"/>
    <n v="2"/>
    <n v="2"/>
    <n v="2"/>
    <n v="3"/>
    <n v="5"/>
    <m/>
    <m/>
    <m/>
    <n v="2"/>
    <n v="1"/>
    <b v="0"/>
  </r>
  <r>
    <x v="400"/>
    <s v="loganworsdell"/>
    <n v="3"/>
    <n v="1.4142135623730951"/>
    <s v="Waiting Room"/>
    <s v="Jenevieve, Jordan Ward"/>
    <n v="3"/>
    <n v="5"/>
    <n v="1"/>
    <n v="4"/>
    <n v="2"/>
    <n v="3558213"/>
    <m/>
    <m/>
    <n v="3"/>
    <n v="1"/>
    <b v="0"/>
  </r>
  <r>
    <x v="400"/>
    <s v="samuelbattista"/>
    <n v="3.2"/>
    <n v="1.833030277982336"/>
    <s v="un x100to"/>
    <s v="Grupo Frontera, Bad Bunny"/>
    <n v="5"/>
    <n v="1"/>
    <n v="5"/>
    <n v="1"/>
    <n v="4"/>
    <m/>
    <m/>
    <m/>
    <n v="4"/>
    <n v="1"/>
    <b v="0"/>
  </r>
  <r>
    <x v="400"/>
    <s v="currydestroyer27"/>
    <n v="2.6"/>
    <n v="1.019803902718557"/>
    <s v="crushcrushcrush"/>
    <s v="Paramore"/>
    <n v="4"/>
    <n v="3"/>
    <n v="3"/>
    <n v="2"/>
    <n v="1"/>
    <n v="341524500"/>
    <m/>
    <m/>
    <n v="1"/>
    <n v="1"/>
    <b v="1"/>
  </r>
  <r>
    <x v="401"/>
    <s v="alappatjoe"/>
    <n v="4.4000000000000004"/>
    <n v="1.2"/>
    <s v="Goals"/>
    <s v="LISA, Anitta, Rema, FIFA Sound"/>
    <n v="2"/>
    <n v="5"/>
    <n v="5"/>
    <n v="5"/>
    <n v="5"/>
    <n v="16906708"/>
    <m/>
    <m/>
    <n v="5"/>
    <n v="1"/>
    <b v="0"/>
  </r>
  <r>
    <x v="401"/>
    <s v="danram"/>
    <n v="2.6"/>
    <n v="1.3564659966250536"/>
    <s v="they already know"/>
    <s v="Feid, Munic HB"/>
    <n v="4"/>
    <n v="1"/>
    <n v="1"/>
    <n v="3"/>
    <n v="4"/>
    <m/>
    <m/>
    <m/>
    <n v="3"/>
    <n v="1"/>
    <b v="0"/>
  </r>
  <r>
    <x v="401"/>
    <s v="loganworsdell"/>
    <n v="3.4"/>
    <n v="1.2"/>
    <s v="Afterglow"/>
    <s v="Parker, Bianca"/>
    <n v="5"/>
    <n v="4"/>
    <n v="2"/>
    <n v="4"/>
    <n v="2"/>
    <n v="2346739"/>
    <m/>
    <m/>
    <n v="4"/>
    <n v="1"/>
    <b v="0"/>
  </r>
  <r>
    <x v="401"/>
    <s v="samuelbattista"/>
    <n v="2.2000000000000002"/>
    <n v="0.9797958971132712"/>
    <s v="Can You Feel It"/>
    <s v="Polyphia"/>
    <n v="1"/>
    <n v="3"/>
    <n v="3"/>
    <n v="1"/>
    <n v="3"/>
    <m/>
    <m/>
    <m/>
    <n v="1"/>
    <n v="1"/>
    <b v="1"/>
  </r>
  <r>
    <x v="401"/>
    <s v="currydestroyer27"/>
    <n v="2.4"/>
    <n v="1.019803902718557"/>
    <s v="hate that i made you love me"/>
    <s v="Ariana Grande"/>
    <n v="3"/>
    <n v="2"/>
    <n v="4"/>
    <n v="2"/>
    <n v="1"/>
    <n v="121911327"/>
    <m/>
    <m/>
    <n v="2"/>
    <n v="1"/>
    <b v="0"/>
  </r>
  <r>
    <x v="402"/>
    <s v="alappatjoe"/>
    <n v="2.8"/>
    <n v="0.9797958971132712"/>
    <s v="Noah"/>
    <s v="Emei"/>
    <n v="1"/>
    <n v="3"/>
    <n v="3"/>
    <n v="3"/>
    <n v="4"/>
    <n v="344473"/>
    <m/>
    <m/>
    <n v="2"/>
    <n v="1"/>
    <b v="0"/>
  </r>
  <r>
    <x v="402"/>
    <s v="danram"/>
    <n v="3"/>
    <n v="1.2649110640673518"/>
    <s v="$UELTA GATITA $UELTA"/>
    <s v="Omar Courtz, Dei V, Clarent, Tito &quot;El Bambino&quot;"/>
    <n v="2"/>
    <n v="2"/>
    <n v="4"/>
    <n v="5"/>
    <n v="2"/>
    <m/>
    <m/>
    <m/>
    <n v="4"/>
    <n v="1"/>
    <b v="0"/>
  </r>
  <r>
    <x v="402"/>
    <s v="loganworsdell"/>
    <n v="2.8"/>
    <n v="1.6"/>
    <s v="DARKER"/>
    <s v="Locksi, jdxp_"/>
    <n v="5"/>
    <n v="1"/>
    <n v="1"/>
    <n v="4"/>
    <n v="3"/>
    <n v="1398"/>
    <m/>
    <m/>
    <n v="3"/>
    <n v="1"/>
    <b v="0"/>
  </r>
  <r>
    <x v="402"/>
    <s v="samuelbattista"/>
    <n v="4"/>
    <n v="1.5491933384829668"/>
    <s v="Knockin"/>
    <s v="MJ Lenderman"/>
    <n v="4"/>
    <n v="5"/>
    <n v="5"/>
    <n v="1"/>
    <n v="5"/>
    <m/>
    <m/>
    <m/>
    <n v="5"/>
    <n v="1"/>
    <b v="0"/>
  </r>
  <r>
    <x v="402"/>
    <s v="currydestroyer27"/>
    <n v="2.4"/>
    <n v="1.019803902718557"/>
    <s v="Tic Tac"/>
    <s v="Future, Lil Uzi"/>
    <n v="3"/>
    <n v="4"/>
    <n v="2"/>
    <n v="2"/>
    <n v="1"/>
    <n v="69167321"/>
    <m/>
    <m/>
    <n v="1"/>
    <n v="1"/>
    <b v="1"/>
  </r>
  <r>
    <x v="403"/>
    <s v="alappatjoe"/>
    <n v="3.8"/>
    <n v="1.6"/>
    <s v="Sometimes"/>
    <s v="Babyface, Jenevieve"/>
    <n v="1"/>
    <n v="5"/>
    <n v="3"/>
    <n v="5"/>
    <n v="5"/>
    <n v="1371089"/>
    <m/>
    <m/>
    <n v="5"/>
    <n v="1"/>
    <b v="0"/>
  </r>
  <r>
    <x v="403"/>
    <s v="danram"/>
    <n v="2.4"/>
    <n v="1.019803902718557"/>
    <s v="El Ritmo Que Nos Une"/>
    <s v="Ryan Castro"/>
    <n v="2"/>
    <n v="1"/>
    <n v="4"/>
    <n v="3"/>
    <n v="2"/>
    <m/>
    <m/>
    <m/>
    <n v="2"/>
    <n v="1"/>
    <b v="0"/>
  </r>
  <r>
    <x v="403"/>
    <s v="loganworsdell"/>
    <n v="3.4"/>
    <n v="0.8"/>
    <s v="Heartless"/>
    <s v="Mia Takarabe, Steve Aoki"/>
    <n v="3"/>
    <n v="4"/>
    <n v="2"/>
    <n v="4"/>
    <n v="4"/>
    <n v="295053"/>
    <m/>
    <m/>
    <n v="4"/>
    <n v="1"/>
    <b v="0"/>
  </r>
  <r>
    <x v="403"/>
    <s v="samuelbattista"/>
    <n v="3.2"/>
    <n v="1.6"/>
    <s v="thumbs"/>
    <s v="jigitz, Lamb"/>
    <n v="5"/>
    <n v="2"/>
    <n v="5"/>
    <n v="1"/>
    <n v="3"/>
    <m/>
    <m/>
    <m/>
    <n v="3"/>
    <n v="1"/>
    <b v="0"/>
  </r>
  <r>
    <x v="403"/>
    <s v="currydestroyer27"/>
    <n v="2.2000000000000002"/>
    <n v="1.1661903789690602"/>
    <s v="Cicada"/>
    <s v="Good Kid"/>
    <n v="4"/>
    <n v="3"/>
    <n v="1"/>
    <n v="2"/>
    <n v="1"/>
    <n v="18565893"/>
    <m/>
    <m/>
    <n v="1"/>
    <n v="1"/>
    <b v="1"/>
  </r>
  <r>
    <x v="404"/>
    <s v="alappatjoe"/>
    <n v="3.8"/>
    <n v="1.4696938456699069"/>
    <s v="Rehab"/>
    <s v="Amy Winehouse"/>
    <n v="1"/>
    <n v="5"/>
    <n v="4"/>
    <n v="5"/>
    <n v="4"/>
    <n v="711656571"/>
    <m/>
    <m/>
    <n v="4"/>
    <n v="1"/>
    <b v="0"/>
  </r>
  <r>
    <x v="404"/>
    <s v="danram"/>
    <n v="4.2"/>
    <n v="1.1661903789690602"/>
    <s v="Hey Joe"/>
    <s v="Jimi Hendrix"/>
    <n v="5"/>
    <n v="4"/>
    <n v="5"/>
    <n v="2"/>
    <n v="5"/>
    <m/>
    <m/>
    <m/>
    <n v="5"/>
    <n v="1"/>
    <b v="0"/>
  </r>
  <r>
    <x v="404"/>
    <s v="loganworsdell"/>
    <n v="2.6"/>
    <n v="0.8"/>
    <s v="You Know I'm No Good"/>
    <s v="Amy Winehouse"/>
    <n v="2"/>
    <n v="2"/>
    <n v="2"/>
    <n v="4"/>
    <n v="3"/>
    <m/>
    <m/>
    <m/>
    <n v="2"/>
    <n v="1"/>
    <b v="0"/>
  </r>
  <r>
    <x v="404"/>
    <s v="samuelbattista"/>
    <n v="1.8"/>
    <n v="1.1661903789690602"/>
    <s v="Heart-Shaped Box"/>
    <s v="Nirvana"/>
    <n v="4"/>
    <n v="1"/>
    <n v="1"/>
    <n v="1"/>
    <n v="2"/>
    <m/>
    <m/>
    <m/>
    <n v="1"/>
    <n v="1"/>
    <b v="1"/>
  </r>
  <r>
    <x v="404"/>
    <s v="currydestroyer27"/>
    <n v="2.6"/>
    <n v="0.8"/>
    <s v="Paint It, Black"/>
    <s v="The Rolling Stones"/>
    <n v="3"/>
    <n v="3"/>
    <n v="3"/>
    <n v="3"/>
    <n v="1"/>
    <n v="1715089861"/>
    <m/>
    <m/>
    <n v="2"/>
    <n v="1"/>
    <b v="0"/>
  </r>
  <r>
    <x v="405"/>
    <s v="alappatjoe"/>
    <n v="3.2"/>
    <n v="1.1661903789690602"/>
    <s v="Take Me Home, Country Roads"/>
    <s v="John Denver"/>
    <n v="2"/>
    <n v="2"/>
    <n v="5"/>
    <n v="3"/>
    <n v="4"/>
    <n v="737228563"/>
    <m/>
    <m/>
    <n v="4"/>
    <n v="1"/>
    <b v="0"/>
  </r>
  <r>
    <x v="405"/>
    <s v="danram"/>
    <n v="1.8"/>
    <n v="0.74833147735478833"/>
    <s v="Look Alive"/>
    <s v="BlocBoy JB, Drake"/>
    <n v="1"/>
    <n v="1"/>
    <n v="3"/>
    <n v="2"/>
    <n v="2"/>
    <n v="1057549137"/>
    <m/>
    <m/>
    <n v="1"/>
    <n v="1"/>
    <b v="1"/>
  </r>
  <r>
    <x v="405"/>
    <s v="loganworsdell"/>
    <n v="4.5999999999999996"/>
    <n v="0.4898979485566356"/>
    <s v="CYKA"/>
    <s v="Pussy Riot, Vladimir Putin"/>
    <n v="5"/>
    <n v="4"/>
    <n v="4"/>
    <n v="5"/>
    <n v="5"/>
    <n v="9453"/>
    <m/>
    <m/>
    <n v="5"/>
    <n v="1"/>
    <b v="0"/>
  </r>
  <r>
    <x v="405"/>
    <s v="samuelbattista"/>
    <n v="2.4"/>
    <n v="1.2"/>
    <s v="Faint"/>
    <s v="Linkin Park"/>
    <n v="4"/>
    <n v="3"/>
    <n v="1"/>
    <n v="1"/>
    <n v="3"/>
    <n v="1374755482"/>
    <m/>
    <m/>
    <n v="2"/>
    <n v="1"/>
    <b v="0"/>
  </r>
  <r>
    <x v="405"/>
    <s v="currydestroyer27"/>
    <n v="3"/>
    <n v="1.4142135623730951"/>
    <s v="Monster"/>
    <s v="Eir Aoi"/>
    <n v="3"/>
    <n v="5"/>
    <n v="2"/>
    <n v="4"/>
    <n v="1"/>
    <n v="2339872"/>
    <s v="International"/>
    <s v="J-Pop"/>
    <n v="3"/>
    <n v="1"/>
    <b v="0"/>
  </r>
  <r>
    <x v="406"/>
    <s v="alappatjoe"/>
    <n v="2.6"/>
    <n v="1.019803902718557"/>
    <s v="Taco Tuesday"/>
    <s v="Migos"/>
    <n v="1"/>
    <n v="3"/>
    <n v="2"/>
    <n v="3"/>
    <n v="4"/>
    <n v="53747055"/>
    <m/>
    <m/>
    <n v="2"/>
    <n v="1"/>
    <b v="0"/>
  </r>
  <r>
    <x v="406"/>
    <s v="danram"/>
    <n v="2.2000000000000002"/>
    <n v="0.74833147735478833"/>
    <s v="COCO LOCO"/>
    <s v="Maluma"/>
    <n v="2"/>
    <n v="1"/>
    <n v="3"/>
    <n v="2"/>
    <n v="3"/>
    <m/>
    <m/>
    <m/>
    <n v="1"/>
    <n v="1"/>
    <b v="1"/>
  </r>
  <r>
    <x v="406"/>
    <s v="loganworsdell"/>
    <n v="2.8"/>
    <n v="1.1661903789690602"/>
    <s v="Wherever You Are"/>
    <s v="Rarri, Tory Lanez"/>
    <n v="3"/>
    <n v="4"/>
    <n v="1"/>
    <n v="4"/>
    <n v="2"/>
    <n v="5341292"/>
    <m/>
    <m/>
    <n v="3"/>
    <n v="1"/>
    <b v="0"/>
  </r>
  <r>
    <x v="406"/>
    <s v="samuelbattista"/>
    <n v="3.4"/>
    <n v="1.6248076809271921"/>
    <s v="Disenchanted"/>
    <s v="My Chemical Romance"/>
    <n v="5"/>
    <n v="2"/>
    <n v="4"/>
    <n v="1"/>
    <n v="5"/>
    <m/>
    <m/>
    <m/>
    <n v="4"/>
    <n v="1"/>
    <b v="0"/>
  </r>
  <r>
    <x v="406"/>
    <s v="currydestroyer27"/>
    <n v="4"/>
    <n v="1.5491933384829668"/>
    <s v="tolerance"/>
    <s v="Asal"/>
    <n v="4"/>
    <n v="5"/>
    <n v="5"/>
    <n v="5"/>
    <n v="1"/>
    <n v="18241540"/>
    <m/>
    <m/>
    <n v="5"/>
    <n v="1"/>
    <b v="0"/>
  </r>
  <r>
    <x v="407"/>
    <s v="alappatjoe"/>
    <n v="1.6"/>
    <n v="0.4898979485566356"/>
    <s v="Hurricane"/>
    <s v="Infinity Song"/>
    <n v="1"/>
    <n v="2"/>
    <n v="1"/>
    <n v="2"/>
    <n v="2"/>
    <n v="491871"/>
    <m/>
    <m/>
    <n v="1"/>
    <n v="1"/>
    <b v="1"/>
  </r>
  <r>
    <x v="407"/>
    <s v="danram"/>
    <n v="4.2"/>
    <n v="0.74833147735478833"/>
    <s v="Oye Mi Amor"/>
    <s v="Mana"/>
    <n v="4"/>
    <n v="3"/>
    <n v="5"/>
    <n v="4"/>
    <n v="5"/>
    <m/>
    <m/>
    <m/>
    <n v="5"/>
    <n v="1"/>
    <b v="0"/>
  </r>
  <r>
    <x v="407"/>
    <s v="loganworsdell"/>
    <n v="3.2"/>
    <n v="0.4"/>
    <s v="Somedays"/>
    <s v="Sonny Fondera, Jazzy, D.O.D"/>
    <n v="3"/>
    <n v="4"/>
    <n v="3"/>
    <n v="3"/>
    <n v="3"/>
    <n v="254694796"/>
    <m/>
    <m/>
    <n v="3"/>
    <n v="1"/>
    <b v="0"/>
  </r>
  <r>
    <x v="407"/>
    <s v="samuelbattista"/>
    <n v="2.4"/>
    <n v="1.3564659966250536"/>
    <s v="Lump"/>
    <s v="The Presidents Of The United States Of America"/>
    <n v="2"/>
    <n v="1"/>
    <n v="4"/>
    <n v="1"/>
    <n v="4"/>
    <m/>
    <m/>
    <m/>
    <n v="2"/>
    <n v="1"/>
    <b v="0"/>
  </r>
  <r>
    <x v="407"/>
    <s v="currydestroyer27"/>
    <n v="3.6"/>
    <n v="1.7435595774162693"/>
    <s v="Mr. Rager"/>
    <s v="Kid Cudi"/>
    <n v="5"/>
    <n v="5"/>
    <n v="2"/>
    <n v="5"/>
    <n v="1"/>
    <n v="759626236"/>
    <m/>
    <m/>
    <n v="4"/>
    <n v="1"/>
    <b v="0"/>
  </r>
  <r>
    <x v="408"/>
    <s v="alappatjoe"/>
    <n v="3.4"/>
    <n v="1.2"/>
    <s v="We Are One"/>
    <s v="Pitbull, Jennifer Lopez, Claudia Leitte"/>
    <n v="1"/>
    <n v="4"/>
    <n v="4"/>
    <n v="4"/>
    <n v="4"/>
    <n v="451528964"/>
    <m/>
    <m/>
    <n v="4"/>
    <n v="1"/>
    <b v="0"/>
  </r>
  <r>
    <x v="408"/>
    <s v="danram"/>
    <n v="2.2000000000000002"/>
    <n v="0.74833147735478833"/>
    <s v="Arhbo"/>
    <s v="Ozuna"/>
    <n v="3"/>
    <n v="2"/>
    <n v="2"/>
    <n v="1"/>
    <n v="3"/>
    <m/>
    <m/>
    <m/>
    <n v="2"/>
    <n v="1"/>
    <b v="0"/>
  </r>
  <r>
    <x v="408"/>
    <s v="loganworsdell"/>
    <n v="1.6"/>
    <n v="0.4898979485566356"/>
    <s v="Wavin' Flag"/>
    <s v="K'NAAN"/>
    <n v="2"/>
    <n v="1"/>
    <n v="1"/>
    <n v="2"/>
    <n v="2"/>
    <n v="299763273"/>
    <m/>
    <m/>
    <n v="1"/>
    <n v="1"/>
    <b v="1"/>
  </r>
  <r>
    <x v="408"/>
    <s v="samuelbattista"/>
    <n v="4.5999999999999996"/>
    <n v="0.8"/>
    <s v="Champions"/>
    <s v="IShowSpeed"/>
    <n v="5"/>
    <n v="3"/>
    <n v="5"/>
    <n v="5"/>
    <n v="5"/>
    <m/>
    <m/>
    <m/>
    <n v="5"/>
    <n v="1"/>
    <b v="0"/>
  </r>
  <r>
    <x v="408"/>
    <s v="currydestroyer27"/>
    <n v="3.2"/>
    <n v="1.3266499161421599"/>
    <s v="Magic in the Air"/>
    <s v="Magic System, Chawki"/>
    <n v="4"/>
    <n v="5"/>
    <n v="3"/>
    <n v="3"/>
    <n v="1"/>
    <n v="267337470"/>
    <s v="International"/>
    <s v="Afropop"/>
    <n v="3"/>
    <n v="1"/>
    <b v="0"/>
  </r>
  <r>
    <x v="409"/>
    <s v="alappatjoe"/>
    <n v="3.4"/>
    <n v="1.4966629547095767"/>
    <s v="Heaven Can Wait"/>
    <s v="JUNNY"/>
    <n v="1"/>
    <n v="5"/>
    <n v="3"/>
    <n v="5"/>
    <n v="3"/>
    <n v="254574"/>
    <m/>
    <m/>
    <n v="4"/>
    <n v="1"/>
    <b v="0"/>
  </r>
  <r>
    <x v="409"/>
    <s v="danram"/>
    <n v="3"/>
    <n v="1.2649110640673518"/>
    <s v="DYKILY"/>
    <s v="Joji"/>
    <n v="4"/>
    <n v="1"/>
    <n v="4"/>
    <n v="2"/>
    <n v="4"/>
    <m/>
    <m/>
    <m/>
    <n v="3"/>
    <n v="1"/>
    <b v="0"/>
  </r>
  <r>
    <x v="409"/>
    <s v="loganworsdell"/>
    <n v="2.6"/>
    <n v="1.3564659966250536"/>
    <s v="AGAIN"/>
    <s v="Feid, Sky Rompiendo, Majid Jordan"/>
    <n v="2"/>
    <n v="2"/>
    <n v="1"/>
    <n v="3"/>
    <n v="5"/>
    <n v="11014629"/>
    <m/>
    <m/>
    <n v="2"/>
    <n v="1"/>
    <b v="0"/>
  </r>
  <r>
    <x v="409"/>
    <s v="samuelbattista"/>
    <n v="2.2000000000000002"/>
    <n v="0.74833147735478833"/>
    <s v="Man in the Box"/>
    <s v="Alice in Chains"/>
    <n v="3"/>
    <n v="3"/>
    <n v="2"/>
    <n v="1"/>
    <n v="2"/>
    <m/>
    <m/>
    <m/>
    <n v="1"/>
    <n v="1"/>
    <b v="1"/>
  </r>
  <r>
    <x v="409"/>
    <s v="currydestroyer27"/>
    <n v="3.8"/>
    <n v="1.4696938456699069"/>
    <s v="TONIGHT, TONIGHT, TONIGHT"/>
    <s v="BEAT CRUSADERS"/>
    <n v="5"/>
    <n v="4"/>
    <n v="5"/>
    <n v="4"/>
    <n v="1"/>
    <n v="12515497"/>
    <s v="International"/>
    <s v="J-Pop"/>
    <n v="5"/>
    <n v="1"/>
    <b v="0"/>
  </r>
  <r>
    <x v="410"/>
    <s v="alappatjoe"/>
    <n v="3"/>
    <n v="1.4142135623730951"/>
    <s v="Darling!"/>
    <s v="Deion Gill"/>
    <n v="1"/>
    <n v="4"/>
    <n v="2"/>
    <n v="5"/>
    <n v="3"/>
    <m/>
    <m/>
    <m/>
    <n v="2"/>
    <n v="1"/>
    <b v="0"/>
  </r>
  <r>
    <x v="410"/>
    <s v="danram"/>
    <n v="2.6"/>
    <n v="1.019803902718557"/>
    <s v="Cuando Me Muera Te Olvido"/>
    <s v="KAROL G"/>
    <n v="4"/>
    <n v="1"/>
    <n v="3"/>
    <n v="3"/>
    <n v="2"/>
    <m/>
    <m/>
    <m/>
    <n v="1"/>
    <n v="1"/>
    <b v="1"/>
  </r>
  <r>
    <x v="410"/>
    <s v="loganworsdell"/>
    <n v="3.4"/>
    <n v="1.3564659966250536"/>
    <s v="Saylor.exe"/>
    <s v="Parker"/>
    <n v="5"/>
    <n v="3"/>
    <n v="1"/>
    <n v="4"/>
    <n v="4"/>
    <n v="2969"/>
    <m/>
    <m/>
    <n v="5"/>
    <n v="1"/>
    <b v="0"/>
  </r>
  <r>
    <x v="410"/>
    <s v="samuelbattista"/>
    <n v="3"/>
    <n v="1.6733200530681511"/>
    <s v="Giant Steps - 2020 Remaster"/>
    <s v="John Coltrane"/>
    <n v="2"/>
    <n v="2"/>
    <n v="5"/>
    <n v="1"/>
    <n v="5"/>
    <m/>
    <m/>
    <m/>
    <n v="4"/>
    <n v="1"/>
    <b v="0"/>
  </r>
  <r>
    <x v="410"/>
    <s v="currydestroyer27"/>
    <n v="3"/>
    <n v="1.4142135623730951"/>
    <s v="Golden Brown"/>
    <s v="The Stranglers"/>
    <n v="3"/>
    <n v="5"/>
    <n v="4"/>
    <n v="2"/>
    <n v="1"/>
    <n v="584823529"/>
    <m/>
    <m/>
    <n v="2"/>
    <n v="1"/>
    <b v="0"/>
  </r>
  <r>
    <x v="411"/>
    <s v="alappatjoe"/>
    <n v="2.8"/>
    <n v="1.3266499161421599"/>
    <s v="Flashing Lights"/>
    <s v="Crush, Anderson .Paak"/>
    <n v="1"/>
    <n v="5"/>
    <n v="3"/>
    <n v="3"/>
    <n v="2"/>
    <n v="286765"/>
    <m/>
    <m/>
    <n v="4"/>
    <n v="1"/>
    <b v="0"/>
  </r>
  <r>
    <x v="411"/>
    <s v="danram"/>
    <n v="4.5999999999999996"/>
    <n v="0.8"/>
    <s v="kill death ratio"/>
    <s v="Supachefm"/>
    <n v="5"/>
    <n v="3"/>
    <n v="5"/>
    <n v="5"/>
    <n v="5"/>
    <m/>
    <m/>
    <m/>
    <n v="5"/>
    <n v="1"/>
    <b v="0"/>
  </r>
  <r>
    <x v="411"/>
    <s v="loganworsdell"/>
    <n v="2.4"/>
    <n v="1.3564659966250536"/>
    <s v="One"/>
    <s v="Shy Glizzy"/>
    <n v="2"/>
    <n v="1"/>
    <n v="1"/>
    <n v="4"/>
    <n v="4"/>
    <n v="1756731"/>
    <m/>
    <m/>
    <n v="1"/>
    <n v="1"/>
    <b v="1"/>
  </r>
  <r>
    <x v="411"/>
    <s v="samuelbattista"/>
    <n v="2.8"/>
    <n v="0.74833147735478833"/>
    <s v="DO I LOOK HIGH?"/>
    <s v="Isaiah Rashad, Julian Sintonia"/>
    <n v="3"/>
    <n v="2"/>
    <n v="4"/>
    <n v="2"/>
    <n v="3"/>
    <m/>
    <m/>
    <m/>
    <n v="3"/>
    <n v="1"/>
    <b v="0"/>
  </r>
  <r>
    <x v="411"/>
    <s v="currydestroyer27"/>
    <n v="2.4"/>
    <n v="1.3564659966250536"/>
    <s v="Cupid's Chokehold/ Breakfast in America"/>
    <s v="Gym Class Heros"/>
    <n v="4"/>
    <n v="4"/>
    <n v="2"/>
    <n v="1"/>
    <n v="1"/>
    <n v="711965964"/>
    <m/>
    <m/>
    <n v="1"/>
    <n v="2"/>
    <b v="0"/>
  </r>
  <r>
    <x v="412"/>
    <s v="alappatjoe"/>
    <n v="3.6"/>
    <n v="1.4966629547095767"/>
    <s v="365 FRESH"/>
    <s v="Triple H"/>
    <n v="1"/>
    <n v="4"/>
    <n v="3"/>
    <n v="5"/>
    <n v="5"/>
    <n v="30386532"/>
    <m/>
    <m/>
    <n v="4"/>
    <n v="1"/>
    <b v="0"/>
  </r>
  <r>
    <x v="412"/>
    <s v="danram"/>
    <n v="2"/>
    <n v="0.63245553203367588"/>
    <s v="99 Luftballoons"/>
    <s v="Nena"/>
    <n v="2"/>
    <n v="1"/>
    <n v="2"/>
    <n v="2"/>
    <n v="3"/>
    <m/>
    <m/>
    <m/>
    <n v="1"/>
    <n v="1"/>
    <b v="1"/>
  </r>
  <r>
    <x v="412"/>
    <s v="loganworsdell"/>
    <n v="2.6"/>
    <n v="1.019803902718557"/>
    <s v="WHITE GIRL WASTED"/>
    <s v="ANNA"/>
    <n v="4"/>
    <n v="3"/>
    <n v="1"/>
    <n v="3"/>
    <n v="2"/>
    <n v="2519915"/>
    <m/>
    <m/>
    <n v="2"/>
    <n v="1"/>
    <b v="0"/>
  </r>
  <r>
    <x v="412"/>
    <s v="samuelbattista"/>
    <n v="2.8"/>
    <n v="1.1661903789690602"/>
    <s v="Gangnam Style"/>
    <s v="PSY"/>
    <n v="3"/>
    <n v="2"/>
    <n v="4"/>
    <n v="1"/>
    <n v="4"/>
    <m/>
    <m/>
    <m/>
    <n v="3"/>
    <n v="1"/>
    <b v="0"/>
  </r>
  <r>
    <x v="412"/>
    <s v="currydestroyer27"/>
    <n v="4"/>
    <n v="1.5491933384829668"/>
    <s v="Hero's Come Back!!"/>
    <s v="nobodyknows+"/>
    <n v="5"/>
    <n v="5"/>
    <n v="5"/>
    <n v="4"/>
    <n v="1"/>
    <n v="72357263"/>
    <s v="International"/>
    <s v="J-Pop"/>
    <n v="5"/>
    <n v="1"/>
    <b v="0"/>
  </r>
  <r>
    <x v="413"/>
    <s v="alappatjoe"/>
    <n v="3.2"/>
    <n v="1.1661903789690602"/>
    <s v="limbo"/>
    <s v="Moon Sujin, pH-1"/>
    <n v="1"/>
    <n v="4"/>
    <n v="4"/>
    <n v="4"/>
    <n v="3"/>
    <n v="135993"/>
    <m/>
    <m/>
    <n v="4"/>
    <n v="1"/>
    <b v="0"/>
  </r>
  <r>
    <x v="413"/>
    <s v="danram"/>
    <n v="5"/>
    <n v="0"/>
    <s v="Ballout"/>
    <s v="2slimey"/>
    <n v="5"/>
    <n v="5"/>
    <n v="5"/>
    <n v="5"/>
    <n v="5"/>
    <m/>
    <m/>
    <m/>
    <n v="5"/>
    <n v="1"/>
    <b v="0"/>
  </r>
  <r>
    <x v="413"/>
    <s v="loganworsdell"/>
    <n v="2.6"/>
    <n v="0.8"/>
    <s v="SUMMER'S EDGE"/>
    <s v="Adolf Nomura"/>
    <n v="3"/>
    <n v="2"/>
    <n v="2"/>
    <n v="2"/>
    <n v="4"/>
    <n v="703746"/>
    <m/>
    <m/>
    <n v="3"/>
    <n v="1"/>
    <b v="0"/>
  </r>
  <r>
    <x v="413"/>
    <s v="samuelbattista"/>
    <n v="1.8"/>
    <n v="1.1661903789690602"/>
    <s v="It's The End Of The World As We Know It (And I Feel Fine)"/>
    <s v="R.E.M"/>
    <n v="4"/>
    <n v="1"/>
    <n v="1"/>
    <n v="1"/>
    <n v="2"/>
    <m/>
    <m/>
    <m/>
    <n v="1"/>
    <n v="1"/>
    <b v="1"/>
  </r>
  <r>
    <x v="413"/>
    <s v="currydestroyer27"/>
    <n v="2.4"/>
    <n v="0.8"/>
    <s v="Steppin' Out"/>
    <s v="Flow"/>
    <n v="2"/>
    <n v="3"/>
    <n v="3"/>
    <n v="3"/>
    <n v="1"/>
    <n v="5681237"/>
    <s v="International"/>
    <s v="J-Pop"/>
    <n v="2"/>
    <n v="1"/>
    <b v="0"/>
  </r>
  <r>
    <x v="414"/>
    <s v="alappatjoe"/>
    <n v="2.6"/>
    <n v="1.019803902718557"/>
    <s v="June"/>
    <s v="Koven Wei, The Vanished People"/>
    <n v="1"/>
    <n v="2"/>
    <n v="4"/>
    <n v="3"/>
    <n v="3"/>
    <n v="164398"/>
    <m/>
    <m/>
    <n v="2"/>
    <n v="1"/>
    <b v="0"/>
  </r>
  <r>
    <x v="414"/>
    <s v="danram"/>
    <n v="4.5999999999999996"/>
    <n v="0.8"/>
    <s v="PINKY UP"/>
    <s v="KATSEYE"/>
    <n v="5"/>
    <n v="3"/>
    <n v="5"/>
    <n v="5"/>
    <n v="5"/>
    <m/>
    <m/>
    <m/>
    <n v="5"/>
    <n v="1"/>
    <b v="0"/>
  </r>
  <r>
    <x v="414"/>
    <s v="loganworsdell"/>
    <n v="3"/>
    <n v="1.4142135623730951"/>
    <s v="Bad Dreams"/>
    <s v="Teddy Swims"/>
    <n v="3"/>
    <n v="5"/>
    <n v="1"/>
    <n v="2"/>
    <n v="4"/>
    <n v="857963479"/>
    <m/>
    <m/>
    <n v="3"/>
    <n v="1"/>
    <b v="0"/>
  </r>
  <r>
    <x v="414"/>
    <s v="samuelbattista"/>
    <n v="1.6"/>
    <n v="0.4898979485566356"/>
    <s v="Virtual Insanity"/>
    <s v="Jamiroquai"/>
    <n v="2"/>
    <n v="1"/>
    <n v="2"/>
    <n v="1"/>
    <n v="2"/>
    <m/>
    <m/>
    <m/>
    <n v="1"/>
    <n v="1"/>
    <b v="1"/>
  </r>
  <r>
    <x v="414"/>
    <s v="currydestroyer27"/>
    <n v="3.2"/>
    <n v="1.1661903789690602"/>
    <s v="Loco"/>
    <s v="Itzy"/>
    <n v="4"/>
    <n v="4"/>
    <n v="3"/>
    <n v="4"/>
    <n v="1"/>
    <n v="315407496"/>
    <s v="International"/>
    <s v="K-Pop"/>
    <n v="4"/>
    <n v="1"/>
    <b v="0"/>
  </r>
  <r>
    <x v="415"/>
    <s v="alappatjoe"/>
    <n v="4"/>
    <n v="1.5491933384829668"/>
    <s v="Pina Colada"/>
    <s v="Olivia Marsh"/>
    <n v="1"/>
    <n v="5"/>
    <n v="5"/>
    <n v="4"/>
    <n v="5"/>
    <n v="972079"/>
    <m/>
    <m/>
    <n v="4"/>
    <n v="1"/>
    <b v="0"/>
  </r>
  <r>
    <x v="415"/>
    <s v="danram"/>
    <n v="4.2"/>
    <n v="0.74833147735478833"/>
    <s v="Work REMIX"/>
    <s v="A$AP Ferg, French Montana, A$AP Rocky…."/>
    <n v="5"/>
    <n v="4"/>
    <n v="4"/>
    <n v="5"/>
    <n v="3"/>
    <m/>
    <m/>
    <m/>
    <n v="5"/>
    <n v="1"/>
    <b v="0"/>
  </r>
  <r>
    <x v="415"/>
    <s v="loganworsdell"/>
    <n v="2.8"/>
    <n v="0.74833147735478833"/>
    <s v="DON'T BELIEVE IT"/>
    <s v="John Summit, Absolutely"/>
    <n v="3"/>
    <n v="2"/>
    <n v="2"/>
    <n v="3"/>
    <n v="4"/>
    <n v="11618730"/>
    <m/>
    <m/>
    <n v="3"/>
    <n v="1"/>
    <b v="0"/>
  </r>
  <r>
    <x v="415"/>
    <s v="samuelbattista"/>
    <n v="1.6"/>
    <n v="1.2"/>
    <s v="Savior"/>
    <s v="Rise Against"/>
    <n v="4"/>
    <n v="1"/>
    <n v="1"/>
    <n v="1"/>
    <n v="1"/>
    <m/>
    <m/>
    <m/>
    <n v="1"/>
    <n v="1"/>
    <b v="1"/>
  </r>
  <r>
    <x v="415"/>
    <s v="currydestroyer27"/>
    <n v="2.4"/>
    <n v="0.4898979485566356"/>
    <s v="The Spins"/>
    <s v="Mac Miller, Empire of the Sun"/>
    <n v="2"/>
    <n v="3"/>
    <n v="3"/>
    <n v="2"/>
    <n v="2"/>
    <n v="1363947617"/>
    <m/>
    <m/>
    <n v="2"/>
    <n v="1"/>
    <b v="0"/>
  </r>
  <r>
    <x v="416"/>
    <s v="alappatjoe"/>
    <n v="3.2"/>
    <n v="1.4696938456699069"/>
    <s v="Money"/>
    <s v="Pink Floyd"/>
    <n v="1"/>
    <n v="4"/>
    <n v="5"/>
    <n v="2"/>
    <n v="4"/>
    <n v="657300879"/>
    <m/>
    <m/>
    <n v="5"/>
    <n v="1"/>
    <b v="0"/>
  </r>
  <r>
    <x v="416"/>
    <s v="danram"/>
    <n v="3"/>
    <n v="1.4142135623730951"/>
    <s v="ME JALO"/>
    <s v="Fuerza Regida, Grupo Frontera"/>
    <n v="3"/>
    <n v="1"/>
    <n v="2"/>
    <n v="4"/>
    <n v="5"/>
    <m/>
    <m/>
    <m/>
    <n v="3"/>
    <n v="1"/>
    <b v="0"/>
  </r>
  <r>
    <x v="416"/>
    <s v="loganworsdell"/>
    <n v="3"/>
    <n v="0.63245553203367588"/>
    <s v="Here Comes The Sun"/>
    <s v="The Beatles"/>
    <n v="4"/>
    <n v="2"/>
    <n v="3"/>
    <n v="3"/>
    <n v="3"/>
    <n v="1859896589"/>
    <m/>
    <m/>
    <n v="2"/>
    <n v="1"/>
    <b v="0"/>
  </r>
  <r>
    <x v="416"/>
    <s v="samuelbattista"/>
    <n v="3"/>
    <n v="1.4142135623730951"/>
    <s v="Pull Me Under"/>
    <s v="Dream Theater"/>
    <n v="5"/>
    <n v="3"/>
    <n v="4"/>
    <n v="1"/>
    <n v="2"/>
    <m/>
    <m/>
    <m/>
    <n v="3"/>
    <n v="1"/>
    <b v="0"/>
  </r>
  <r>
    <x v="416"/>
    <s v="currydestroyer27"/>
    <n v="2.8"/>
    <n v="1.833030277982336"/>
    <s v="Haru"/>
    <s v="Yorushika"/>
    <n v="2"/>
    <n v="5"/>
    <n v="1"/>
    <n v="5"/>
    <n v="1"/>
    <n v="158003614"/>
    <s v="International"/>
    <s v="J-Pop"/>
    <n v="1"/>
    <n v="1"/>
    <b v="1"/>
  </r>
  <r>
    <x v="417"/>
    <s v="alappatjoe"/>
    <n v="2.8"/>
    <n v="1.1661903789690602"/>
    <s v="Skyline"/>
    <s v="Borderline"/>
    <n v="1"/>
    <n v="4"/>
    <n v="4"/>
    <n v="3"/>
    <n v="2"/>
    <n v="84736"/>
    <m/>
    <m/>
    <n v="3"/>
    <n v="1"/>
    <b v="0"/>
  </r>
  <r>
    <x v="417"/>
    <s v="danram"/>
    <n v="3.6"/>
    <n v="1.2"/>
    <s v="Terrify"/>
    <s v="Borderline"/>
    <n v="3"/>
    <n v="3"/>
    <n v="5"/>
    <n v="2"/>
    <n v="5"/>
    <m/>
    <m/>
    <m/>
    <n v="4"/>
    <n v="1"/>
    <b v="0"/>
  </r>
  <r>
    <x v="417"/>
    <s v="loganworsdell"/>
    <n v="3.8"/>
    <n v="1.1661903789690602"/>
    <s v="RockWave"/>
    <s v="EsDeeKid"/>
    <n v="5"/>
    <n v="5"/>
    <n v="2"/>
    <n v="4"/>
    <n v="3"/>
    <n v="4164805"/>
    <m/>
    <m/>
    <n v="5"/>
    <n v="1"/>
    <b v="0"/>
  </r>
  <r>
    <x v="417"/>
    <s v="samuelbattista"/>
    <n v="2.4"/>
    <n v="1.019803902718557"/>
    <s v="By-Tor And The Snow Dog"/>
    <s v="Rush"/>
    <n v="2"/>
    <n v="2"/>
    <n v="3"/>
    <n v="1"/>
    <n v="4"/>
    <m/>
    <m/>
    <m/>
    <n v="1"/>
    <n v="1"/>
    <b v="1"/>
  </r>
  <r>
    <x v="417"/>
    <s v="currydestroyer27"/>
    <n v="2.4"/>
    <n v="1.7435595774162693"/>
    <s v="sky &amp; blue"/>
    <s v="GIRLFRIEND"/>
    <n v="4"/>
    <n v="1"/>
    <n v="1"/>
    <n v="5"/>
    <n v="1"/>
    <n v="19244281"/>
    <s v="International"/>
    <s v="J-Pop"/>
    <n v="2"/>
    <n v="1"/>
    <b v="0"/>
  </r>
  <r>
    <x v="418"/>
    <s v="alappatjoe"/>
    <n v="2.4"/>
    <n v="1.3564659966250536"/>
    <s v="OVER IT"/>
    <s v="Citizen"/>
    <n v="1"/>
    <n v="4"/>
    <n v="2"/>
    <n v="4"/>
    <n v="1"/>
    <n v="1921016"/>
    <m/>
    <m/>
    <n v="2"/>
    <n v="1"/>
    <b v="0"/>
  </r>
  <r>
    <x v="418"/>
    <s v="danram"/>
    <n v="3"/>
    <n v="0.89442719099991586"/>
    <s v="Alvorada"/>
    <s v="Cartola"/>
    <n v="3"/>
    <n v="2"/>
    <n v="4"/>
    <n v="2"/>
    <n v="4"/>
    <m/>
    <m/>
    <m/>
    <n v="3"/>
    <n v="1"/>
    <b v="0"/>
  </r>
  <r>
    <x v="418"/>
    <s v="loganworsdell"/>
    <n v="4.5999999999999996"/>
    <n v="0.8"/>
    <s v="FACE DOWN"/>
    <s v="Key Glock"/>
    <n v="5"/>
    <n v="5"/>
    <n v="3"/>
    <n v="5"/>
    <n v="5"/>
    <n v="2555235"/>
    <m/>
    <m/>
    <n v="5"/>
    <n v="1"/>
    <b v="0"/>
  </r>
  <r>
    <x v="418"/>
    <s v="samuelbattista"/>
    <n v="1.8"/>
    <n v="1.1661903789690602"/>
    <s v="Drive"/>
    <s v="Incubus"/>
    <n v="4"/>
    <n v="1"/>
    <n v="1"/>
    <n v="1"/>
    <n v="2"/>
    <m/>
    <m/>
    <m/>
    <n v="1"/>
    <n v="1"/>
    <b v="1"/>
  </r>
  <r>
    <x v="418"/>
    <s v="currydestroyer27"/>
    <n v="3.2"/>
    <n v="0.9797958971132712"/>
    <s v="Orpheus Under the Influence"/>
    <s v="The buttertones"/>
    <n v="2"/>
    <n v="3"/>
    <n v="5"/>
    <n v="3"/>
    <n v="3"/>
    <n v="54711774"/>
    <m/>
    <m/>
    <n v="4"/>
    <n v="1"/>
    <b v="0"/>
  </r>
  <r>
    <x v="419"/>
    <s v="alappatjoe"/>
    <n v="2.6"/>
    <n v="1.019803902718557"/>
    <s v="Gracie"/>
    <s v="Naomi Scott"/>
    <n v="1"/>
    <n v="4"/>
    <n v="3"/>
    <n v="2"/>
    <n v="3"/>
    <n v="2083551"/>
    <m/>
    <m/>
    <n v="1"/>
    <n v="1"/>
    <b v="1"/>
  </r>
  <r>
    <x v="419"/>
    <s v="danram"/>
    <n v="2.8"/>
    <n v="1.4696938456699069"/>
    <s v="the WORLD"/>
    <s v="NIGHTMARE"/>
    <n v="4"/>
    <n v="1"/>
    <n v="2"/>
    <n v="5"/>
    <n v="2"/>
    <m/>
    <m/>
    <m/>
    <n v="2"/>
    <n v="1"/>
    <b v="0"/>
  </r>
  <r>
    <x v="419"/>
    <s v="loganworsdell"/>
    <n v="3.4"/>
    <n v="1.4966629547095767"/>
    <s v="VAMONOS"/>
    <s v="Astro, Ghali"/>
    <n v="5"/>
    <n v="3"/>
    <n v="1"/>
    <n v="3"/>
    <n v="5"/>
    <n v="689590"/>
    <m/>
    <m/>
    <n v="5"/>
    <n v="1"/>
    <b v="0"/>
  </r>
  <r>
    <x v="419"/>
    <s v="samuelbattista"/>
    <n v="2.8"/>
    <n v="1.4696938456699069"/>
    <s v="Bright Size Life"/>
    <s v="Pat Metheny"/>
    <n v="2"/>
    <n v="2"/>
    <n v="5"/>
    <n v="1"/>
    <n v="4"/>
    <m/>
    <m/>
    <m/>
    <n v="2"/>
    <n v="1"/>
    <b v="0"/>
  </r>
  <r>
    <x v="419"/>
    <s v="currydestroyer27"/>
    <n v="3.4"/>
    <n v="1.3564659966250536"/>
    <s v="Bye Bye Yesterday"/>
    <s v="3 Nen E Gumi Uta Tan"/>
    <n v="3"/>
    <n v="5"/>
    <n v="4"/>
    <n v="4"/>
    <n v="1"/>
    <n v="45068478"/>
    <s v="International"/>
    <s v="J-Pop"/>
    <n v="4"/>
    <n v="1"/>
    <b v="0"/>
  </r>
  <r>
    <x v="420"/>
    <s v="alappatjoe"/>
    <n v="3.4"/>
    <n v="1.3564659966250536"/>
    <s v="We Found Love"/>
    <s v="Rihanna, Calvin Harris"/>
    <n v="1"/>
    <n v="3"/>
    <n v="4"/>
    <n v="5"/>
    <n v="4"/>
    <n v="2589186054"/>
    <m/>
    <m/>
    <n v="4"/>
    <n v="1"/>
    <b v="0"/>
  </r>
  <r>
    <x v="420"/>
    <s v="danram"/>
    <n v="2.2000000000000002"/>
    <n v="0.9797958971132712"/>
    <s v="Give Me Everything (feat. Nayer)"/>
    <s v="Pitbull, AFROJACK, Ne-Yo, Nayer"/>
    <n v="2"/>
    <n v="1"/>
    <n v="2"/>
    <n v="4"/>
    <n v="2"/>
    <n v="2191073427"/>
    <m/>
    <m/>
    <n v="2"/>
    <n v="1"/>
    <b v="0"/>
  </r>
  <r>
    <x v="420"/>
    <s v="loganworsdell"/>
    <n v="3.2"/>
    <n v="0.74833147735478833"/>
    <s v="Club Can't Handle Me"/>
    <s v="Flo Rida, David Guetta"/>
    <n v="4"/>
    <n v="4"/>
    <n v="3"/>
    <n v="2"/>
    <n v="3"/>
    <n v="937936511"/>
    <m/>
    <m/>
    <n v="3"/>
    <n v="1"/>
    <b v="0"/>
  </r>
  <r>
    <x v="420"/>
    <s v="samuelbattista"/>
    <n v="4.5999999999999996"/>
    <n v="0.8"/>
    <s v="Scary Monsters and Nice Sprites"/>
    <s v="Skrillex"/>
    <n v="5"/>
    <n v="5"/>
    <n v="5"/>
    <n v="3"/>
    <n v="5"/>
    <n v="242681734"/>
    <m/>
    <m/>
    <n v="5"/>
    <n v="1"/>
    <b v="0"/>
  </r>
  <r>
    <x v="420"/>
    <s v="currydestroyer27"/>
    <n v="1.6"/>
    <n v="0.8"/>
    <s v="Just Dance"/>
    <s v="Lady Gaga"/>
    <n v="3"/>
    <n v="2"/>
    <n v="1"/>
    <n v="1"/>
    <n v="1"/>
    <n v="1833535794"/>
    <m/>
    <m/>
    <n v="1"/>
    <n v="1"/>
    <b v="1"/>
  </r>
  <r>
    <x v="421"/>
    <s v="alappatjoe"/>
    <n v="3.2"/>
    <n v="1.833030277982336"/>
    <s v="Dai Dai"/>
    <s v="Shakira, Burna Boy"/>
    <n v="1"/>
    <n v="5"/>
    <n v="4"/>
    <n v="5"/>
    <n v="1"/>
    <n v="202735429"/>
    <m/>
    <m/>
    <n v="5"/>
    <n v="1"/>
    <b v="0"/>
  </r>
  <r>
    <x v="421"/>
    <s v="danram"/>
    <n v="3.2"/>
    <n v="1.6"/>
    <s v="Neonatalimpalionecrophiliation"/>
    <s v="Infant Annihilator"/>
    <n v="2"/>
    <n v="1"/>
    <n v="5"/>
    <n v="3"/>
    <n v="5"/>
    <m/>
    <m/>
    <m/>
    <n v="4"/>
    <n v="1"/>
    <b v="0"/>
  </r>
  <r>
    <x v="421"/>
    <s v="loganworsdell"/>
    <n v="3"/>
    <n v="1.0954451150103321"/>
    <s v="buzzin"/>
    <s v="Chanpan"/>
    <n v="3"/>
    <n v="4"/>
    <n v="1"/>
    <n v="4"/>
    <n v="3"/>
    <n v="633501"/>
    <m/>
    <m/>
    <n v="2"/>
    <n v="1"/>
    <b v="0"/>
  </r>
  <r>
    <x v="421"/>
    <s v="samuelbattista"/>
    <n v="3"/>
    <n v="1.4142135623730951"/>
    <s v="We Own the Night"/>
    <s v="Dance Gavin Dance"/>
    <n v="5"/>
    <n v="2"/>
    <n v="3"/>
    <n v="1"/>
    <n v="4"/>
    <m/>
    <m/>
    <m/>
    <n v="3"/>
    <n v="1"/>
    <b v="0"/>
  </r>
  <r>
    <x v="421"/>
    <s v="currydestroyer27"/>
    <n v="2.6"/>
    <n v="0.8"/>
    <s v="Like That"/>
    <s v="loveshy"/>
    <n v="4"/>
    <n v="3"/>
    <n v="2"/>
    <n v="2"/>
    <n v="2"/>
    <n v="9651631"/>
    <m/>
    <m/>
    <n v="1"/>
    <n v="1"/>
    <b v="1"/>
  </r>
  <r>
    <x v="422"/>
    <s v="alappatjoe"/>
    <n v="2.2000000000000002"/>
    <n v="1.1661903789690602"/>
    <s v="LOSE YOURSELF"/>
    <s v="Paco"/>
    <n v="1"/>
    <n v="3"/>
    <n v="1"/>
    <n v="2"/>
    <n v="4"/>
    <n v="545059"/>
    <m/>
    <m/>
    <n v="1"/>
    <n v="1"/>
    <b v="1"/>
  </r>
  <r>
    <x v="422"/>
    <s v="danram"/>
    <n v="3.8"/>
    <n v="1.1661903789690602"/>
    <s v="Drowning (feat. Kodak Black)"/>
    <s v="A Boogie Wit da Hoodie"/>
    <n v="5"/>
    <n v="4"/>
    <n v="5"/>
    <n v="3"/>
    <n v="2"/>
    <m/>
    <m/>
    <m/>
    <n v="4"/>
    <n v="1"/>
    <b v="0"/>
  </r>
  <r>
    <x v="422"/>
    <s v="loganworsdell"/>
    <n v="3.8"/>
    <n v="1.1661903789690602"/>
    <s v="BEAUTIFUL - Anime Edit"/>
    <s v="TREASURE"/>
    <n v="4"/>
    <n v="5"/>
    <n v="2"/>
    <n v="5"/>
    <n v="3"/>
    <n v="7319059"/>
    <m/>
    <m/>
    <n v="4"/>
    <n v="1"/>
    <b v="0"/>
  </r>
  <r>
    <x v="422"/>
    <s v="samuelbattista"/>
    <n v="3"/>
    <n v="1.4142135623730951"/>
    <s v="eat the pavement"/>
    <s v="Dev Lemons"/>
    <n v="3"/>
    <n v="2"/>
    <n v="4"/>
    <n v="1"/>
    <n v="5"/>
    <m/>
    <m/>
    <m/>
    <n v="3"/>
    <n v="1"/>
    <b v="0"/>
  </r>
  <r>
    <x v="422"/>
    <s v="currydestroyer27"/>
    <n v="2.2000000000000002"/>
    <n v="1.1661903789690602"/>
    <s v="Desdemona"/>
    <s v="The Beaches"/>
    <n v="2"/>
    <n v="1"/>
    <n v="3"/>
    <n v="4"/>
    <n v="1"/>
    <n v="6967805"/>
    <m/>
    <m/>
    <n v="1"/>
    <n v="2"/>
    <b v="0"/>
  </r>
  <r>
    <x v="423"/>
    <s v="alappatjoe"/>
    <n v="3.4"/>
    <n v="0.8"/>
    <s v="Honey"/>
    <s v="Jordan Astra"/>
    <n v="2"/>
    <n v="4"/>
    <n v="3"/>
    <n v="4"/>
    <n v="4"/>
    <n v="581384"/>
    <m/>
    <m/>
    <n v="4"/>
    <n v="1"/>
    <b v="0"/>
  </r>
  <r>
    <x v="423"/>
    <s v="danram"/>
    <n v="2.4"/>
    <n v="1.4966629547095767"/>
    <s v="Bailando - Spanish Version"/>
    <s v="Enrique Iglesias"/>
    <n v="1"/>
    <n v="1"/>
    <n v="5"/>
    <n v="2"/>
    <n v="3"/>
    <n v="1207723829"/>
    <m/>
    <m/>
    <n v="2"/>
    <n v="1"/>
    <b v="0"/>
  </r>
  <r>
    <x v="423"/>
    <s v="loganworsdell"/>
    <n v="3"/>
    <n v="1.0954451150103321"/>
    <s v="I Like It"/>
    <s v="Enrique Iglesias, Pitbull"/>
    <n v="3"/>
    <n v="3"/>
    <n v="2"/>
    <n v="5"/>
    <n v="2"/>
    <n v="390260074"/>
    <m/>
    <m/>
    <n v="3"/>
    <n v="1"/>
    <b v="0"/>
  </r>
  <r>
    <x v="423"/>
    <s v="samuelbattista"/>
    <n v="4"/>
    <n v="1.5491933384829668"/>
    <s v="THAT GUY"/>
    <s v="Tyler, The Creator"/>
    <n v="5"/>
    <n v="5"/>
    <n v="4"/>
    <n v="1"/>
    <n v="5"/>
    <m/>
    <m/>
    <m/>
    <n v="5"/>
    <n v="1"/>
    <b v="0"/>
  </r>
  <r>
    <x v="423"/>
    <s v="currydestroyer27"/>
    <n v="2.2000000000000002"/>
    <n v="1.1661903789690602"/>
    <s v="Feel It All Again"/>
    <s v="adore"/>
    <n v="4"/>
    <n v="2"/>
    <n v="1"/>
    <n v="3"/>
    <n v="1"/>
    <n v="1838178"/>
    <m/>
    <m/>
    <n v="1"/>
    <n v="1"/>
    <b v="1"/>
  </r>
  <r>
    <x v="424"/>
    <s v="alappatjoe"/>
    <n v="2.2000000000000002"/>
    <n v="1.1661903789690602"/>
    <s v="Ambitionz Az a Ridah"/>
    <s v="2Pac"/>
    <n v="1"/>
    <n v="2"/>
    <n v="3"/>
    <n v="4"/>
    <n v="1"/>
    <n v="978995585"/>
    <m/>
    <m/>
    <n v="1"/>
    <n v="2"/>
    <b v="0"/>
  </r>
  <r>
    <x v="424"/>
    <s v="danram"/>
    <n v="4.4000000000000004"/>
    <n v="0.8"/>
    <s v="Karma Police"/>
    <s v="Radiohead"/>
    <n v="5"/>
    <n v="4"/>
    <n v="5"/>
    <n v="3"/>
    <n v="5"/>
    <n v="881749097"/>
    <m/>
    <m/>
    <n v="5"/>
    <n v="1"/>
    <b v="0"/>
  </r>
  <r>
    <x v="424"/>
    <s v="loganworsdell"/>
    <n v="2.2000000000000002"/>
    <n v="1.1661903789690602"/>
    <s v="Believe"/>
    <s v="Cher"/>
    <n v="3"/>
    <n v="1"/>
    <n v="1"/>
    <n v="2"/>
    <n v="4"/>
    <n v="989497481"/>
    <m/>
    <m/>
    <n v="1"/>
    <n v="1"/>
    <b v="1"/>
  </r>
  <r>
    <x v="424"/>
    <s v="samuelbattista"/>
    <n v="2.4"/>
    <n v="1.019803902718557"/>
    <s v="When I Come Around"/>
    <s v="Green Day"/>
    <n v="4"/>
    <n v="3"/>
    <n v="2"/>
    <n v="1"/>
    <n v="2"/>
    <n v="815617910"/>
    <m/>
    <m/>
    <n v="3"/>
    <n v="1"/>
    <b v="0"/>
  </r>
  <r>
    <x v="424"/>
    <s v="currydestroyer27"/>
    <n v="3.8"/>
    <n v="1.1661903789690602"/>
    <s v="Don't Cry"/>
    <s v="Guns n' Roses"/>
    <n v="2"/>
    <n v="5"/>
    <n v="4"/>
    <n v="5"/>
    <n v="3"/>
    <n v="895663023"/>
    <m/>
    <m/>
    <n v="4"/>
    <n v="1"/>
    <b v="0"/>
  </r>
  <r>
    <x v="425"/>
    <s v="alappatjoe"/>
    <n v="4.2"/>
    <n v="1.1661903789690602"/>
    <s v="So Familiar"/>
    <s v="Sylo"/>
    <n v="2"/>
    <n v="5"/>
    <n v="5"/>
    <n v="4"/>
    <n v="5"/>
    <n v="648781"/>
    <m/>
    <m/>
    <n v="5"/>
    <n v="1"/>
    <b v="0"/>
  </r>
  <r>
    <x v="425"/>
    <s v="danram"/>
    <n v="3.4"/>
    <n v="0.4898979485566356"/>
    <s v="CANCION CON YANDEL"/>
    <s v="Yandel, Bad Bunny"/>
    <n v="4"/>
    <n v="3"/>
    <n v="3"/>
    <n v="3"/>
    <n v="4"/>
    <m/>
    <m/>
    <m/>
    <n v="4"/>
    <n v="1"/>
    <b v="0"/>
  </r>
  <r>
    <x v="425"/>
    <s v="loganworsdell"/>
    <n v="2.2000000000000002"/>
    <n v="1.1661903789690602"/>
    <s v="Sun"/>
    <s v="Two Door Cinema Club"/>
    <n v="1"/>
    <n v="4"/>
    <n v="1"/>
    <n v="2"/>
    <n v="3"/>
    <n v="193163225"/>
    <m/>
    <m/>
    <n v="1"/>
    <n v="1"/>
    <b v="1"/>
  </r>
  <r>
    <x v="425"/>
    <s v="samuelbattista"/>
    <n v="2.2000000000000002"/>
    <n v="1.4696938456699069"/>
    <s v="Going Under"/>
    <s v="Evanescence"/>
    <n v="5"/>
    <n v="1"/>
    <n v="2"/>
    <n v="1"/>
    <n v="2"/>
    <m/>
    <m/>
    <m/>
    <n v="2"/>
    <n v="1"/>
    <b v="0"/>
  </r>
  <r>
    <x v="425"/>
    <s v="currydestroyer27"/>
    <n v="3"/>
    <n v="1.4142135623730951"/>
    <s v="Evil Eye"/>
    <s v="Franz Ferdinand"/>
    <n v="3"/>
    <n v="2"/>
    <n v="4"/>
    <n v="5"/>
    <n v="1"/>
    <n v="44229572"/>
    <m/>
    <m/>
    <n v="3"/>
    <n v="1"/>
    <b v="0"/>
  </r>
  <r>
    <x v="426"/>
    <s v="alappatjoe"/>
    <n v="2.8"/>
    <n v="1.1661903789690602"/>
    <s v="SO GOOD"/>
    <s v="Charlie Jeer, Simone Ashley"/>
    <n v="1"/>
    <n v="4"/>
    <n v="3"/>
    <n v="4"/>
    <n v="2"/>
    <n v="1799573"/>
    <m/>
    <m/>
    <n v="1"/>
    <n v="1"/>
    <b v="1"/>
  </r>
  <r>
    <x v="426"/>
    <s v="danram"/>
    <n v="3"/>
    <n v="1.0954451150103321"/>
    <s v="VACAXIONES"/>
    <s v="Feid "/>
    <n v="4"/>
    <n v="1"/>
    <n v="4"/>
    <n v="3"/>
    <n v="3"/>
    <m/>
    <m/>
    <m/>
    <n v="4"/>
    <n v="1"/>
    <b v="0"/>
  </r>
  <r>
    <x v="426"/>
    <s v="loganworsdell"/>
    <n v="2.8"/>
    <n v="1.3266499161421599"/>
    <s v="NIGHT RUNNING"/>
    <s v="Shin Sakiura, AAAMYYY"/>
    <n v="3"/>
    <n v="3"/>
    <n v="2"/>
    <n v="5"/>
    <n v="1"/>
    <n v="23864549"/>
    <m/>
    <m/>
    <n v="2"/>
    <n v="1"/>
    <b v="0"/>
  </r>
  <r>
    <x v="426"/>
    <s v="samuelbattista"/>
    <n v="2.8"/>
    <n v="1.833030277982336"/>
    <s v="The Kids Aren't Alright"/>
    <s v="The Offspring"/>
    <n v="5"/>
    <n v="2"/>
    <n v="1"/>
    <n v="1"/>
    <n v="5"/>
    <m/>
    <m/>
    <m/>
    <n v="3"/>
    <n v="1"/>
    <b v="0"/>
  </r>
  <r>
    <x v="426"/>
    <s v="currydestroyer27"/>
    <n v="3.6"/>
    <n v="1.3564659966250536"/>
    <s v="SI LAS PAREDES HABLARAN"/>
    <s v="Blessd, Ovy On The Drums"/>
    <n v="2"/>
    <n v="5"/>
    <n v="5"/>
    <n v="2"/>
    <n v="4"/>
    <n v="8550204"/>
    <m/>
    <m/>
    <n v="5"/>
    <n v="1"/>
    <b v="0"/>
  </r>
  <r>
    <x v="427"/>
    <s v="alappatjoe"/>
    <n v="3"/>
    <n v="1.2649110640673518"/>
    <s v="Bittersweet Escape"/>
    <s v="Grace Carter"/>
    <n v="1"/>
    <n v="4"/>
    <n v="4"/>
    <n v="4"/>
    <n v="2"/>
    <n v="310686"/>
    <m/>
    <m/>
    <n v="2"/>
    <n v="1"/>
    <b v="0"/>
  </r>
  <r>
    <x v="427"/>
    <s v="danram"/>
    <n v="3.2"/>
    <n v="1.4696938456699069"/>
    <s v="Magic Metal Madonna"/>
    <s v="Charli XCX"/>
    <n v="2"/>
    <n v="2"/>
    <n v="5"/>
    <n v="2"/>
    <n v="5"/>
    <m/>
    <m/>
    <m/>
    <n v="4"/>
    <n v="1"/>
    <b v="0"/>
  </r>
  <r>
    <x v="427"/>
    <s v="loganworsdell"/>
    <n v="1.8"/>
    <n v="0.9797958971132712"/>
    <s v="Ultramoon"/>
    <s v="camoufly"/>
    <n v="3"/>
    <n v="1"/>
    <n v="1"/>
    <n v="1"/>
    <n v="3"/>
    <n v="386378"/>
    <m/>
    <m/>
    <n v="1"/>
    <n v="1"/>
    <b v="1"/>
  </r>
  <r>
    <x v="427"/>
    <s v="samuelbattista"/>
    <n v="4"/>
    <n v="0.89442719099991586"/>
    <s v="Bleed American"/>
    <s v="Jimmy Eat World"/>
    <n v="5"/>
    <n v="5"/>
    <n v="3"/>
    <n v="3"/>
    <n v="4"/>
    <m/>
    <m/>
    <m/>
    <n v="5"/>
    <n v="1"/>
    <b v="0"/>
  </r>
  <r>
    <x v="427"/>
    <s v="currydestroyer27"/>
    <n v="3"/>
    <n v="1.4142135623730951"/>
    <s v="Snow Fairy"/>
    <s v="Funkist"/>
    <n v="4"/>
    <n v="3"/>
    <n v="2"/>
    <n v="5"/>
    <n v="1"/>
    <n v="52587455"/>
    <s v="International"/>
    <s v="J-Pop"/>
    <n v="3"/>
    <n v="1"/>
    <b v="0"/>
  </r>
  <r>
    <x v="428"/>
    <s v="alappatjoe"/>
    <n v="2.8"/>
    <n v="1.4696938456699069"/>
    <s v="Hot In Here"/>
    <s v="Nelly"/>
    <n v="1"/>
    <n v="4"/>
    <n v="1"/>
    <n v="4"/>
    <n v="4"/>
    <n v="772996134"/>
    <m/>
    <m/>
    <n v="2"/>
    <n v="1"/>
    <b v="0"/>
  </r>
  <r>
    <x v="428"/>
    <s v="danram"/>
    <n v="2.2000000000000002"/>
    <n v="1.1661903789690602"/>
    <s v="I Melt with You"/>
    <s v="Modern English"/>
    <n v="4"/>
    <n v="1"/>
    <n v="3"/>
    <n v="1"/>
    <n v="2"/>
    <m/>
    <m/>
    <m/>
    <n v="1"/>
    <n v="1"/>
    <b v="1"/>
  </r>
  <r>
    <x v="428"/>
    <s v="loganworsdell"/>
    <n v="3.6"/>
    <n v="1.4966629547095767"/>
    <s v="Heat Waves"/>
    <s v="Glass Animals"/>
    <n v="3"/>
    <n v="5"/>
    <n v="4"/>
    <n v="5"/>
    <n v="1"/>
    <n v="3869670265"/>
    <m/>
    <m/>
    <n v="5"/>
    <n v="1"/>
    <b v="0"/>
  </r>
  <r>
    <x v="428"/>
    <s v="samuelbattista"/>
    <n v="3.2"/>
    <n v="1.4696938456699069"/>
    <s v="Hot, Hot, Hot"/>
    <s v="The Merrymen"/>
    <n v="5"/>
    <n v="2"/>
    <n v="2"/>
    <n v="2"/>
    <n v="5"/>
    <m/>
    <m/>
    <m/>
    <n v="4"/>
    <n v="1"/>
    <b v="0"/>
  </r>
  <r>
    <x v="428"/>
    <s v="currydestroyer27"/>
    <n v="3.2"/>
    <n v="0.9797958971132712"/>
    <s v="Hot"/>
    <s v="LE SSERAFIM"/>
    <n v="2"/>
    <n v="3"/>
    <n v="5"/>
    <n v="3"/>
    <n v="3"/>
    <n v="183832266"/>
    <s v="International"/>
    <s v="K-Pop"/>
    <n v="3"/>
    <n v="1"/>
    <b v="0"/>
  </r>
  <r>
    <x v="429"/>
    <s v="alappatjoe"/>
    <n v="3.4"/>
    <n v="0.8"/>
    <s v="Crash Out"/>
    <s v="Tinashe"/>
    <n v="2"/>
    <n v="3"/>
    <n v="4"/>
    <n v="4"/>
    <n v="4"/>
    <n v="2703373"/>
    <m/>
    <m/>
    <n v="4"/>
    <n v="1"/>
    <b v="0"/>
  </r>
  <r>
    <x v="429"/>
    <s v="danram"/>
    <n v="4.8"/>
    <n v="0.39999999999999997"/>
    <s v="2.0"/>
    <s v="BTS"/>
    <n v="5"/>
    <n v="4"/>
    <n v="5"/>
    <n v="5"/>
    <n v="5"/>
    <m/>
    <m/>
    <m/>
    <n v="5"/>
    <n v="1"/>
    <b v="0"/>
  </r>
  <r>
    <x v="429"/>
    <s v="loganworsdell"/>
    <n v="1.8"/>
    <n v="0.74833147735478833"/>
    <s v="bbydoll"/>
    <s v="Aziya"/>
    <n v="1"/>
    <n v="2"/>
    <n v="1"/>
    <n v="3"/>
    <n v="2"/>
    <n v="918673"/>
    <m/>
    <m/>
    <n v="1"/>
    <n v="1"/>
    <b v="1"/>
  </r>
  <r>
    <x v="429"/>
    <s v="samuelbattista"/>
    <n v="2.8"/>
    <n v="1.6"/>
    <s v="Reichenbach Falls"/>
    <s v="Racing Mount Pleasant"/>
    <n v="4"/>
    <n v="5"/>
    <n v="3"/>
    <n v="1"/>
    <n v="1"/>
    <m/>
    <m/>
    <m/>
    <n v="3"/>
    <n v="1"/>
    <b v="0"/>
  </r>
  <r>
    <x v="429"/>
    <s v="currydestroyer27"/>
    <n v="2.2000000000000002"/>
    <n v="0.74833147735478833"/>
    <s v="Overnight"/>
    <s v="Parcels"/>
    <n v="3"/>
    <n v="1"/>
    <n v="2"/>
    <n v="2"/>
    <n v="3"/>
    <n v="214861397"/>
    <m/>
    <m/>
    <n v="2"/>
    <n v="1"/>
    <b v="0"/>
  </r>
  <r>
    <x v="430"/>
    <s v="alappatjoe"/>
    <n v="3"/>
    <n v="1.5811388300841898"/>
    <s v="petal"/>
    <s v="Ariana Grande"/>
    <n v="1"/>
    <n v="4"/>
    <n v="5"/>
    <m/>
    <n v="2"/>
    <n v="22667441"/>
    <m/>
    <m/>
    <n v="4"/>
    <n v="1"/>
    <b v="0"/>
  </r>
  <r>
    <x v="430"/>
    <s v="danram"/>
    <n v="2.5"/>
    <n v="1.1180339887498949"/>
    <s v="Me Rehuso"/>
    <s v="Danny Ocean"/>
    <n v="4"/>
    <n v="1"/>
    <n v="2"/>
    <m/>
    <n v="3"/>
    <m/>
    <m/>
    <m/>
    <n v="1"/>
    <n v="1"/>
    <b v="1"/>
  </r>
  <r>
    <x v="430"/>
    <s v="loganworsdell"/>
    <n v="2.5"/>
    <n v="1.1180339887498949"/>
    <s v="Fallin' Apart"/>
    <s v="Young Franco, Denzel Curry, Pell"/>
    <n v="3"/>
    <n v="2"/>
    <n v="1"/>
    <m/>
    <n v="4"/>
    <m/>
    <m/>
    <m/>
    <n v="1"/>
    <n v="1"/>
    <b v="1"/>
  </r>
  <r>
    <x v="430"/>
    <s v="samuelbattista"/>
    <n v="4"/>
    <n v="1.2247448713915889"/>
    <s v="Running"/>
    <s v="Dahi, Childish Gambino"/>
    <n v="2"/>
    <n v="5"/>
    <n v="4"/>
    <m/>
    <n v="5"/>
    <m/>
    <m/>
    <m/>
    <n v="5"/>
    <n v="1"/>
    <b v="0"/>
  </r>
  <r>
    <x v="430"/>
    <s v="currydestroyer27"/>
    <n v="3"/>
    <n v="1.4142135623730951"/>
    <s v="Heads Will Roll"/>
    <s v="Yeah Yeah Yeahs"/>
    <n v="5"/>
    <n v="3"/>
    <n v="3"/>
    <m/>
    <n v="1"/>
    <n v="402735387"/>
    <m/>
    <m/>
    <n v="3"/>
    <n v="1"/>
    <b v="0"/>
  </r>
  <r>
    <x v="431"/>
    <s v="alappatjoe"/>
    <n v="2.5"/>
    <n v="1.1180339887498949"/>
    <s v="CAN YOU FEEL IT TOO"/>
    <s v="Tone Stith"/>
    <n v="1"/>
    <n v="4"/>
    <n v="2"/>
    <m/>
    <n v="3"/>
    <n v="76931"/>
    <m/>
    <m/>
    <n v="2"/>
    <n v="1"/>
    <b v="0"/>
  </r>
  <r>
    <x v="431"/>
    <s v="danram"/>
    <n v="5"/>
    <n v="0"/>
    <s v="HENTAI"/>
    <s v="Rosalia"/>
    <n v="5"/>
    <n v="5"/>
    <n v="5"/>
    <m/>
    <n v="5"/>
    <m/>
    <m/>
    <m/>
    <n v="5"/>
    <n v="1"/>
    <b v="0"/>
  </r>
  <r>
    <x v="431"/>
    <s v="loganworsdell"/>
    <n v="2.75"/>
    <n v="1.299038105676658"/>
    <s v="Freefall"/>
    <s v="KAYTRANADA, Durand Bernarr"/>
    <n v="4"/>
    <n v="2"/>
    <n v="1"/>
    <m/>
    <n v="4"/>
    <n v="39112976"/>
    <m/>
    <m/>
    <n v="4"/>
    <n v="1"/>
    <b v="0"/>
  </r>
  <r>
    <x v="431"/>
    <s v="samuelbattista"/>
    <n v="2.75"/>
    <n v="0.82915619758884995"/>
    <s v="Bicycle Race"/>
    <s v="Queen"/>
    <n v="2"/>
    <n v="3"/>
    <n v="4"/>
    <m/>
    <n v="2"/>
    <m/>
    <m/>
    <m/>
    <n v="3"/>
    <n v="1"/>
    <b v="0"/>
  </r>
  <r>
    <x v="431"/>
    <s v="currydestroyer27"/>
    <n v="2"/>
    <n v="1"/>
    <s v="The Night Begins To Shine"/>
    <s v="B.E.R"/>
    <n v="3"/>
    <n v="1"/>
    <n v="3"/>
    <m/>
    <n v="1"/>
    <n v="103468167"/>
    <m/>
    <m/>
    <n v="1"/>
    <n v="1"/>
    <b v="1"/>
  </r>
  <r>
    <x v="432"/>
    <s v="alappatjoe"/>
    <n v="1.75"/>
    <n v="0.82915619758884995"/>
    <s v="Suit &amp; Tie"/>
    <s v="Justin Timberlake, JAY-Z"/>
    <n v="1"/>
    <n v="3"/>
    <n v="1"/>
    <m/>
    <n v="2"/>
    <n v="311700573"/>
    <m/>
    <m/>
    <n v="1"/>
    <n v="1"/>
    <b v="1"/>
  </r>
  <r>
    <x v="432"/>
    <s v="danram"/>
    <n v="1.75"/>
    <n v="0.82915619758884995"/>
    <s v="Not Afraid"/>
    <s v="Eminem"/>
    <n v="3"/>
    <n v="1"/>
    <n v="2"/>
    <m/>
    <n v="1"/>
    <m/>
    <m/>
    <m/>
    <n v="1"/>
    <n v="1"/>
    <b v="1"/>
  </r>
  <r>
    <x v="432"/>
    <s v="loganworsdell"/>
    <n v="3.25"/>
    <n v="1.0897247358851685"/>
    <s v="My Songs Know what You Did In The Dark (Light Em Up)"/>
    <s v="Fall Out Boy"/>
    <n v="2"/>
    <n v="5"/>
    <n v="3"/>
    <m/>
    <n v="3"/>
    <n v="882703275"/>
    <m/>
    <m/>
    <n v="3"/>
    <n v="1"/>
    <b v="0"/>
  </r>
  <r>
    <x v="432"/>
    <s v="samuelbattista"/>
    <n v="4.5"/>
    <n v="0.5"/>
    <s v="Pneuma"/>
    <s v="TOOL"/>
    <n v="5"/>
    <n v="4"/>
    <n v="4"/>
    <m/>
    <n v="5"/>
    <m/>
    <m/>
    <m/>
    <n v="5"/>
    <n v="1"/>
    <b v="0"/>
  </r>
  <r>
    <x v="432"/>
    <s v="currydestroyer27"/>
    <n v="3.75"/>
    <n v="1.0897247358851685"/>
    <s v="Merry Go Round"/>
    <s v="BTS"/>
    <n v="4"/>
    <n v="2"/>
    <n v="5"/>
    <m/>
    <n v="4"/>
    <n v="222759200"/>
    <s v="International"/>
    <s v="K-Pop"/>
    <n v="4"/>
    <n v="1"/>
    <b v="0"/>
  </r>
  <r>
    <x v="433"/>
    <s v="alappatjoe"/>
    <n v="3.5"/>
    <n v="1.6583123951776999"/>
    <s v="Wolf Like Me"/>
    <s v="TV On The Radio"/>
    <n v="3"/>
    <n v="5"/>
    <n v="5"/>
    <m/>
    <n v="1"/>
    <n v="173999592"/>
    <m/>
    <m/>
    <n v="4"/>
    <n v="1"/>
    <b v="0"/>
  </r>
  <r>
    <x v="433"/>
    <s v="danram"/>
    <n v="3.75"/>
    <n v="1.0897247358851685"/>
    <s v="XQ Te Pones Asi"/>
    <s v="Feid, Yandel"/>
    <n v="4"/>
    <n v="2"/>
    <n v="4"/>
    <m/>
    <n v="5"/>
    <m/>
    <m/>
    <m/>
    <n v="5"/>
    <n v="1"/>
    <b v="0"/>
  </r>
  <r>
    <x v="433"/>
    <s v="loganworsdell"/>
    <n v="1.75"/>
    <n v="0.82915619758884995"/>
    <s v="Closer"/>
    <s v="Ne-Yo"/>
    <n v="2"/>
    <n v="1"/>
    <n v="1"/>
    <m/>
    <n v="3"/>
    <n v="470097127"/>
    <m/>
    <m/>
    <n v="1"/>
    <n v="1"/>
    <b v="1"/>
  </r>
  <r>
    <x v="433"/>
    <s v="samuelbattista"/>
    <n v="3.5"/>
    <n v="1.1180339887498949"/>
    <s v="laced up"/>
    <s v="tsubi club"/>
    <n v="5"/>
    <n v="3"/>
    <n v="2"/>
    <m/>
    <n v="4"/>
    <m/>
    <m/>
    <m/>
    <n v="3"/>
    <n v="1"/>
    <b v="0"/>
  </r>
  <r>
    <x v="433"/>
    <s v="currydestroyer27"/>
    <n v="2.5"/>
    <n v="1.1180339887498949"/>
    <s v="Loser"/>
    <s v="Tampe Impala"/>
    <n v="1"/>
    <n v="4"/>
    <n v="3"/>
    <m/>
    <n v="2"/>
    <n v="146790147"/>
    <m/>
    <m/>
    <n v="2"/>
    <n v="1"/>
    <b v="0"/>
  </r>
  <r>
    <x v="434"/>
    <s v="alappatjoe"/>
    <n v="2.25"/>
    <n v="1.6393596310755001"/>
    <s v="QVC"/>
    <s v="Masego, Leon Thomas"/>
    <n v="1"/>
    <n v="2"/>
    <n v="1"/>
    <m/>
    <n v="5"/>
    <n v="772679"/>
    <m/>
    <m/>
    <n v="1"/>
    <n v="1"/>
    <b v="1"/>
  </r>
  <r>
    <x v="434"/>
    <s v="danram"/>
    <n v="2.75"/>
    <n v="1.479019945774904"/>
    <s v="YYZ"/>
    <s v="Rush"/>
    <n v="3"/>
    <n v="1"/>
    <n v="5"/>
    <m/>
    <n v="2"/>
    <m/>
    <m/>
    <m/>
    <n v="2"/>
    <n v="1"/>
    <b v="0"/>
  </r>
  <r>
    <x v="434"/>
    <s v="loganworsdell"/>
    <n v="3.75"/>
    <n v="0.82915619758884995"/>
    <s v="A+"/>
    <s v="Kenny Mason, Denzel Curry"/>
    <n v="5"/>
    <n v="4"/>
    <n v="3"/>
    <m/>
    <n v="3"/>
    <n v="4963946"/>
    <m/>
    <m/>
    <n v="5"/>
    <n v="1"/>
    <b v="0"/>
  </r>
  <r>
    <x v="434"/>
    <s v="samuelbattista"/>
    <n v="3.25"/>
    <n v="0.82915619758884995"/>
    <s v="Goodbye Yellow Brick Road"/>
    <s v="Elton John"/>
    <n v="4"/>
    <n v="3"/>
    <n v="2"/>
    <m/>
    <n v="4"/>
    <m/>
    <m/>
    <m/>
    <n v="4"/>
    <n v="1"/>
    <b v="0"/>
  </r>
  <r>
    <x v="434"/>
    <s v="currydestroyer27"/>
    <n v="3"/>
    <n v="1.5811388300841898"/>
    <s v="Origami"/>
    <s v="The Rare Occasions"/>
    <n v="2"/>
    <n v="5"/>
    <n v="4"/>
    <m/>
    <n v="1"/>
    <n v="85372987"/>
    <m/>
    <m/>
    <n v="3"/>
    <n v="1"/>
    <b v="0"/>
  </r>
  <r>
    <x v="435"/>
    <s v="alappatjoe"/>
    <n v="3.25"/>
    <n v="1.479019945774904"/>
    <s v="Reach Out"/>
    <s v="Victoria Monet"/>
    <n v="1"/>
    <n v="5"/>
    <n v="3"/>
    <m/>
    <n v="4"/>
    <n v="2643655"/>
    <m/>
    <m/>
    <n v="4"/>
    <n v="1"/>
    <b v="0"/>
  </r>
  <r>
    <x v="435"/>
    <s v="danram"/>
    <n v="3.25"/>
    <n v="1.0897247358851685"/>
    <s v="EN ALTAVOZ"/>
    <s v="Grupo Frontera, Junior H"/>
    <n v="2"/>
    <n v="3"/>
    <n v="5"/>
    <m/>
    <n v="3"/>
    <m/>
    <m/>
    <m/>
    <n v="2"/>
    <n v="1"/>
    <b v="0"/>
  </r>
  <r>
    <x v="435"/>
    <s v="loganworsdell"/>
    <n v="3.25"/>
    <n v="1.7853571071357126"/>
    <s v="Angel"/>
    <s v="PinkPantheress"/>
    <n v="5"/>
    <n v="1"/>
    <n v="2"/>
    <m/>
    <n v="5"/>
    <n v="55247440"/>
    <m/>
    <m/>
    <n v="5"/>
    <n v="1"/>
    <b v="0"/>
  </r>
  <r>
    <x v="435"/>
    <s v="samuelbattista"/>
    <n v="2"/>
    <n v="0.70710678118654757"/>
    <s v="In Too Deep"/>
    <s v="Sum 41"/>
    <n v="3"/>
    <n v="2"/>
    <n v="1"/>
    <m/>
    <n v="2"/>
    <m/>
    <m/>
    <m/>
    <n v="1"/>
    <n v="1"/>
    <b v="1"/>
  </r>
  <r>
    <x v="435"/>
    <s v="currydestroyer27"/>
    <n v="3.25"/>
    <n v="1.299038105676658"/>
    <s v="Frou-frou Foxes in Midsummer Fires"/>
    <s v="Cocteau Twins"/>
    <n v="4"/>
    <n v="4"/>
    <n v="4"/>
    <m/>
    <n v="1"/>
    <n v="39612473"/>
    <m/>
    <m/>
    <n v="3"/>
    <n v="1"/>
    <b v="0"/>
  </r>
  <r>
    <x v="436"/>
    <s v="alappatjoe"/>
    <n v="2.5"/>
    <n v="1.1180339887498949"/>
    <s v="Sierra Leone"/>
    <s v="Mt. Eden, Freshlyground, munro"/>
    <n v="1"/>
    <n v="3"/>
    <n v="4"/>
    <m/>
    <n v="2"/>
    <n v="3405096"/>
    <m/>
    <m/>
    <n v="1"/>
    <n v="1"/>
    <b v="1"/>
  </r>
  <r>
    <x v="436"/>
    <s v="danram"/>
    <n v="3.75"/>
    <n v="1.6393596310755001"/>
    <s v="Cinema"/>
    <s v="Benny Benassi, Gary Go, Skrillex "/>
    <n v="5"/>
    <n v="1"/>
    <n v="5"/>
    <m/>
    <n v="4"/>
    <m/>
    <m/>
    <m/>
    <n v="5"/>
    <n v="1"/>
    <b v="0"/>
  </r>
  <r>
    <x v="436"/>
    <s v="loganworsdell"/>
    <n v="3"/>
    <n v="1.4142135623730951"/>
    <s v="Swamp Thing"/>
    <s v="Pegboard Nerds"/>
    <n v="3"/>
    <n v="5"/>
    <n v="1"/>
    <m/>
    <n v="3"/>
    <n v="30581805"/>
    <m/>
    <m/>
    <n v="3"/>
    <n v="1"/>
    <b v="0"/>
  </r>
  <r>
    <x v="436"/>
    <s v="samuelbattista"/>
    <n v="3.25"/>
    <n v="1.299038105676658"/>
    <s v="Rumble"/>
    <s v="Skrillex, Fred again…, Flowdan"/>
    <n v="2"/>
    <n v="4"/>
    <n v="2"/>
    <m/>
    <n v="5"/>
    <m/>
    <m/>
    <m/>
    <n v="4"/>
    <n v="1"/>
    <b v="0"/>
  </r>
  <r>
    <x v="436"/>
    <s v="currydestroyer27"/>
    <n v="2.5"/>
    <n v="1.1180339887498949"/>
    <s v="Time Leaper"/>
    <s v="Hinkik"/>
    <n v="4"/>
    <n v="2"/>
    <n v="3"/>
    <m/>
    <n v="1"/>
    <n v="13569706"/>
    <m/>
    <m/>
    <n v="1"/>
    <n v="1"/>
    <b v="1"/>
  </r>
  <r>
    <x v="437"/>
    <s v="alappatjoe"/>
    <n v="2.25"/>
    <n v="1.299038105676658"/>
    <s v="Nightlife"/>
    <s v="Jafunk, Triple H Horns"/>
    <n v="1"/>
    <n v="4"/>
    <n v="1"/>
    <m/>
    <n v="3"/>
    <n v="769233"/>
    <m/>
    <m/>
    <n v="2"/>
    <n v="1"/>
    <b v="0"/>
  </r>
  <r>
    <x v="437"/>
    <s v="danram"/>
    <n v="2.75"/>
    <n v="1.299038105676658"/>
    <s v="MALASNOTICIAS."/>
    <s v="Alvaro Diaz, LATIN MAFIA"/>
    <n v="2"/>
    <n v="1"/>
    <n v="4"/>
    <m/>
    <n v="4"/>
    <m/>
    <m/>
    <m/>
    <n v="3"/>
    <n v="1"/>
    <b v="0"/>
  </r>
  <r>
    <x v="437"/>
    <s v="loganworsdell"/>
    <n v="3.75"/>
    <n v="1.299038105676658"/>
    <s v="POINT-BLANK"/>
    <s v="Davin Glover, 1nonly"/>
    <n v="5"/>
    <n v="2"/>
    <n v="3"/>
    <m/>
    <n v="5"/>
    <n v="120960"/>
    <m/>
    <m/>
    <n v="4"/>
    <n v="1"/>
    <b v="0"/>
  </r>
  <r>
    <x v="437"/>
    <s v="samuelbattista"/>
    <n v="4"/>
    <n v="1.2247448713915889"/>
    <s v="Kamera"/>
    <s v="Wilco"/>
    <n v="4"/>
    <n v="5"/>
    <n v="5"/>
    <m/>
    <n v="2"/>
    <m/>
    <m/>
    <m/>
    <n v="5"/>
    <n v="1"/>
    <b v="0"/>
  </r>
  <r>
    <x v="437"/>
    <s v="currydestroyer27"/>
    <n v="2.25"/>
    <n v="0.82915619758884995"/>
    <s v="Fate"/>
    <s v="i-dle"/>
    <n v="3"/>
    <n v="3"/>
    <n v="2"/>
    <m/>
    <n v="1"/>
    <n v="81127769"/>
    <s v="International"/>
    <s v="K-Pop"/>
    <n v="1"/>
    <n v="1"/>
    <b v="1"/>
  </r>
  <r>
    <x v="438"/>
    <s v="alappatjoe"/>
    <n v="3"/>
    <n v="1"/>
    <s v="love me not"/>
    <s v="Moon Sujin, Wonstein"/>
    <m/>
    <m/>
    <n v="4"/>
    <m/>
    <n v="2"/>
    <n v="99508"/>
    <m/>
    <m/>
    <n v="2"/>
    <n v="1"/>
    <b v="0"/>
  </r>
  <r>
    <x v="438"/>
    <s v="danram"/>
    <n v="4"/>
    <n v="1"/>
    <s v="Call Me"/>
    <s v="NAV, Metro Boomin"/>
    <m/>
    <m/>
    <n v="3"/>
    <m/>
    <n v="5"/>
    <m/>
    <m/>
    <m/>
    <n v="4"/>
    <n v="1"/>
    <b v="0"/>
  </r>
  <r>
    <x v="438"/>
    <s v="loganworsdell"/>
    <n v="1"/>
    <n v="0"/>
    <s v="Dear Fren"/>
    <s v="Smino"/>
    <m/>
    <m/>
    <n v="1"/>
    <m/>
    <n v="1"/>
    <n v="3675045"/>
    <m/>
    <m/>
    <n v="1"/>
    <n v="1"/>
    <b v="1"/>
  </r>
  <r>
    <x v="438"/>
    <s v="samuelbattista"/>
    <n v="4"/>
    <n v="1"/>
    <s v="Danger On the Track"/>
    <s v="Europe"/>
    <m/>
    <m/>
    <n v="5"/>
    <m/>
    <n v="3"/>
    <m/>
    <m/>
    <m/>
    <n v="4"/>
    <n v="1"/>
    <b v="0"/>
  </r>
  <r>
    <x v="438"/>
    <s v="currydestroyer27"/>
    <n v="3"/>
    <n v="1"/>
    <s v="Wanted You (feat. Lil Uzi Vert)"/>
    <s v="NAV, Lil Uzi Vert"/>
    <m/>
    <m/>
    <n v="2"/>
    <m/>
    <n v="4"/>
    <n v="367680824"/>
    <m/>
    <m/>
    <n v="2"/>
    <n v="1"/>
    <b v="0"/>
  </r>
  <r>
    <x v="439"/>
    <s v="alappatjoe"/>
    <n v="3"/>
    <n v="0"/>
    <s v="Still"/>
    <s v="KAROL G, Bruno Mars"/>
    <m/>
    <m/>
    <n v="3"/>
    <m/>
    <n v="3"/>
    <n v="11213504"/>
    <m/>
    <m/>
    <n v="2"/>
    <n v="1"/>
    <b v="0"/>
  </r>
  <r>
    <x v="439"/>
    <s v="danram"/>
    <n v="3.5"/>
    <n v="1.5"/>
    <s v="SPINNIN IN CIRCLES"/>
    <s v="$TARFACE, Tyga"/>
    <m/>
    <m/>
    <n v="5"/>
    <m/>
    <n v="2"/>
    <m/>
    <m/>
    <m/>
    <n v="5"/>
    <n v="1"/>
    <b v="0"/>
  </r>
  <r>
    <x v="439"/>
    <s v="loganworsdell"/>
    <n v="3"/>
    <n v="1"/>
    <s v="1919"/>
    <s v="High Klassified, Zach Zoya"/>
    <m/>
    <m/>
    <n v="2"/>
    <m/>
    <n v="4"/>
    <n v="2653904"/>
    <m/>
    <m/>
    <n v="3"/>
    <n v="1"/>
    <b v="0"/>
  </r>
  <r>
    <x v="439"/>
    <s v="samuelbattista"/>
    <n v="3"/>
    <n v="2"/>
    <s v="Once in a Lifetime"/>
    <s v="Talking Heads"/>
    <m/>
    <m/>
    <n v="1"/>
    <m/>
    <n v="5"/>
    <m/>
    <m/>
    <m/>
    <n v="4"/>
    <n v="1"/>
    <b v="0"/>
  </r>
  <r>
    <x v="439"/>
    <s v="currydestroyer27"/>
    <n v="2.5"/>
    <n v="1.5"/>
    <s v="Night of Knights"/>
    <s v="Cool&amp;Create"/>
    <m/>
    <m/>
    <n v="4"/>
    <m/>
    <n v="1"/>
    <n v="202452"/>
    <s v="Electronic"/>
    <m/>
    <n v="1"/>
    <n v="1"/>
    <b v="1"/>
  </r>
  <r>
    <x v="440"/>
    <s v="alappatjoe"/>
    <n v="2.5"/>
    <n v="0.5"/>
    <s v="Die Young"/>
    <s v="Kesha"/>
    <m/>
    <m/>
    <n v="3"/>
    <m/>
    <n v="2"/>
    <n v="1083200643"/>
    <m/>
    <m/>
    <n v="1"/>
    <n v="1"/>
    <b v="1"/>
  </r>
  <r>
    <x v="440"/>
    <s v="danram"/>
    <n v="4.5"/>
    <n v="0.5"/>
    <m/>
    <m/>
    <m/>
    <m/>
    <n v="5"/>
    <m/>
    <n v="4"/>
    <n v="887992050"/>
    <m/>
    <m/>
    <n v="5"/>
    <n v="1"/>
    <b v="0"/>
  </r>
  <r>
    <x v="440"/>
    <s v="loganworsdell"/>
    <n v="3"/>
    <n v="2"/>
    <s v="Latch"/>
    <s v="Disclosure, Sam Smith"/>
    <m/>
    <m/>
    <n v="1"/>
    <m/>
    <n v="5"/>
    <n v="1611249962"/>
    <m/>
    <m/>
    <n v="4"/>
    <n v="1"/>
    <b v="0"/>
  </r>
  <r>
    <x v="440"/>
    <s v="samuelbattista"/>
    <n v="2.5"/>
    <n v="0.5"/>
    <m/>
    <m/>
    <m/>
    <m/>
    <n v="2"/>
    <m/>
    <n v="3"/>
    <n v="1416242681"/>
    <m/>
    <m/>
    <n v="1"/>
    <n v="1"/>
    <b v="1"/>
  </r>
  <r>
    <x v="440"/>
    <s v="currydestroyer27"/>
    <n v="2.5"/>
    <n v="1.5"/>
    <s v="Diamonds"/>
    <s v="Rihanna"/>
    <m/>
    <m/>
    <n v="4"/>
    <m/>
    <n v="1"/>
    <n v="2016211915"/>
    <m/>
    <m/>
    <n v="3"/>
    <n v="1"/>
    <b v="0"/>
  </r>
  <r>
    <x v="441"/>
    <s v="alappatjoe"/>
    <s v="TBD"/>
    <s v="TBD"/>
    <s v="just my luck"/>
    <s v="natalie jinju"/>
    <m/>
    <m/>
    <m/>
    <m/>
    <m/>
    <n v="298986"/>
    <m/>
    <m/>
    <s v="TBD"/>
    <n v="1"/>
    <b v="0"/>
  </r>
  <r>
    <x v="441"/>
    <s v="danram"/>
    <s v="TBD"/>
    <s v="TBD"/>
    <m/>
    <m/>
    <m/>
    <m/>
    <m/>
    <m/>
    <m/>
    <m/>
    <m/>
    <m/>
    <s v="TBD"/>
    <n v="1"/>
    <b v="0"/>
  </r>
  <r>
    <x v="441"/>
    <s v="loganworsdell"/>
    <s v="TBD"/>
    <s v="TBD"/>
    <s v="ARE YOU WITH THAT?"/>
    <s v="Vince Staples"/>
    <m/>
    <m/>
    <m/>
    <m/>
    <m/>
    <n v="74671108"/>
    <m/>
    <m/>
    <s v="TBD"/>
    <n v="1"/>
    <b v="0"/>
  </r>
  <r>
    <x v="441"/>
    <s v="samuelbattista"/>
    <s v="TBD"/>
    <s v="TBD"/>
    <m/>
    <m/>
    <m/>
    <m/>
    <m/>
    <m/>
    <m/>
    <m/>
    <m/>
    <m/>
    <s v="TBD"/>
    <n v="1"/>
    <b v="0"/>
  </r>
  <r>
    <x v="441"/>
    <s v="currydestroyer27"/>
    <s v="TBD"/>
    <s v="TBD"/>
    <s v="catacombs"/>
    <s v="nothhingspecial"/>
    <m/>
    <m/>
    <m/>
    <m/>
    <m/>
    <n v="6916733"/>
    <m/>
    <m/>
    <s v="TBD"/>
    <n v="1"/>
    <b v="0"/>
  </r>
  <r>
    <x v="442"/>
    <s v="alappatjoe"/>
    <s v="TBD"/>
    <s v="TBD"/>
    <m/>
    <m/>
    <m/>
    <m/>
    <m/>
    <m/>
    <m/>
    <m/>
    <m/>
    <m/>
    <s v="TBD"/>
    <n v="1"/>
    <b v="0"/>
  </r>
  <r>
    <x v="442"/>
    <s v="danram"/>
    <s v="TBD"/>
    <s v="TBD"/>
    <m/>
    <m/>
    <m/>
    <m/>
    <m/>
    <m/>
    <m/>
    <m/>
    <m/>
    <m/>
    <s v="TBD"/>
    <n v="1"/>
    <b v="0"/>
  </r>
  <r>
    <x v="442"/>
    <s v="loganworsdell"/>
    <s v="TBD"/>
    <s v="TBD"/>
    <m/>
    <m/>
    <m/>
    <m/>
    <m/>
    <m/>
    <m/>
    <m/>
    <m/>
    <m/>
    <s v="TBD"/>
    <n v="1"/>
    <b v="0"/>
  </r>
  <r>
    <x v="442"/>
    <s v="samuelbattista"/>
    <s v="TBD"/>
    <s v="TBD"/>
    <m/>
    <m/>
    <m/>
    <m/>
    <m/>
    <m/>
    <m/>
    <m/>
    <m/>
    <m/>
    <s v="TBD"/>
    <n v="1"/>
    <b v="0"/>
  </r>
  <r>
    <x v="442"/>
    <s v="currydestroyer27"/>
    <s v="TBD"/>
    <s v="TBD"/>
    <m/>
    <m/>
    <m/>
    <m/>
    <m/>
    <m/>
    <m/>
    <m/>
    <m/>
    <m/>
    <s v="TBD"/>
    <n v="1"/>
    <b v="0"/>
  </r>
  <r>
    <x v="443"/>
    <s v="alappatjoe"/>
    <s v="TBD"/>
    <s v="TBD"/>
    <m/>
    <m/>
    <m/>
    <m/>
    <m/>
    <m/>
    <m/>
    <m/>
    <m/>
    <m/>
    <s v="TBD"/>
    <n v="1"/>
    <b v="0"/>
  </r>
  <r>
    <x v="443"/>
    <s v="danram"/>
    <s v="TBD"/>
    <s v="TBD"/>
    <m/>
    <m/>
    <m/>
    <m/>
    <m/>
    <m/>
    <m/>
    <m/>
    <m/>
    <m/>
    <s v="TBD"/>
    <n v="1"/>
    <b v="0"/>
  </r>
  <r>
    <x v="443"/>
    <s v="loganworsdell"/>
    <s v="TBD"/>
    <s v="TBD"/>
    <m/>
    <m/>
    <m/>
    <m/>
    <m/>
    <m/>
    <m/>
    <m/>
    <m/>
    <m/>
    <s v="TBD"/>
    <n v="1"/>
    <b v="0"/>
  </r>
  <r>
    <x v="443"/>
    <s v="samuelbattista"/>
    <s v="TBD"/>
    <s v="TBD"/>
    <m/>
    <m/>
    <m/>
    <m/>
    <m/>
    <m/>
    <m/>
    <m/>
    <m/>
    <m/>
    <s v="TBD"/>
    <n v="1"/>
    <b v="0"/>
  </r>
  <r>
    <x v="443"/>
    <s v="currydestroyer27"/>
    <s v="TBD"/>
    <s v="TBD"/>
    <m/>
    <m/>
    <m/>
    <m/>
    <m/>
    <m/>
    <m/>
    <m/>
    <m/>
    <m/>
    <s v="TBD"/>
    <n v="1"/>
    <b v="0"/>
  </r>
  <r>
    <x v="444"/>
    <s v="alappatjoe"/>
    <s v="TBD"/>
    <s v="TBD"/>
    <m/>
    <m/>
    <m/>
    <m/>
    <m/>
    <m/>
    <m/>
    <m/>
    <m/>
    <m/>
    <s v="TBD"/>
    <n v="1"/>
    <b v="0"/>
  </r>
  <r>
    <x v="444"/>
    <s v="danram"/>
    <s v="TBD"/>
    <s v="TBD"/>
    <m/>
    <m/>
    <m/>
    <m/>
    <m/>
    <m/>
    <m/>
    <m/>
    <m/>
    <m/>
    <s v="TBD"/>
    <n v="1"/>
    <b v="0"/>
  </r>
  <r>
    <x v="444"/>
    <s v="loganworsdell"/>
    <s v="TBD"/>
    <s v="TBD"/>
    <m/>
    <m/>
    <m/>
    <m/>
    <m/>
    <m/>
    <m/>
    <m/>
    <m/>
    <m/>
    <s v="TBD"/>
    <n v="1"/>
    <b v="0"/>
  </r>
  <r>
    <x v="444"/>
    <s v="samuelbattista"/>
    <s v="TBD"/>
    <s v="TBD"/>
    <m/>
    <m/>
    <m/>
    <m/>
    <m/>
    <m/>
    <m/>
    <m/>
    <m/>
    <m/>
    <s v="TBD"/>
    <n v="1"/>
    <b v="0"/>
  </r>
  <r>
    <x v="444"/>
    <s v="currydestroyer27"/>
    <s v="TBD"/>
    <s v="TBD"/>
    <m/>
    <m/>
    <m/>
    <m/>
    <m/>
    <m/>
    <m/>
    <m/>
    <m/>
    <m/>
    <s v="TBD"/>
    <n v="1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A12B0-73E3-48F4-A573-5F6B247123BD}" name="PivotTable4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1:A446" firstHeaderRow="1" firstDataRow="1" firstDataCol="1"/>
  <pivotFields count="20">
    <pivotField axis="axisRow" numFmtId="164" showAll="0" sortType="ascending">
      <items count="447">
        <item m="1" x="4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6">
        <item sd="0" x="1"/>
        <item sd="0" x="2"/>
        <item x="0"/>
        <item x="3"/>
        <item x="4"/>
        <item t="default"/>
      </items>
    </pivotField>
  </pivotFields>
  <rowFields count="1">
    <field x="0"/>
  </rowFields>
  <rowItems count="44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F01C8-7742-4DA9-873E-F2B29099A8B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H14" firstHeaderRow="0" firstDataRow="1" firstDataCol="2"/>
  <pivotFields count="13">
    <pivotField compact="0" numFmtId="16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axis="axisRow" compact="0" outline="0" showAll="0" sortType="ascending">
      <items count="13">
        <item sd="0" x="7"/>
        <item sd="0" x="1"/>
        <item sd="0" x="11"/>
        <item sd="0" x="4"/>
        <item sd="0" x="9"/>
        <item sd="0" x="3"/>
        <item sd="0" x="8"/>
        <item sd="0" x="0"/>
        <item sd="0" x="5"/>
        <item sd="0" x="2"/>
        <item sd="0" x="6"/>
        <item sd="0" x="10"/>
        <item t="default" sd="0"/>
      </items>
    </pivotField>
    <pivotField axis="axisRow" compact="0" outline="0" showAll="0" sortType="ascending">
      <items count="90">
        <item x="60"/>
        <item x="29"/>
        <item x="58"/>
        <item x="8"/>
        <item x="59"/>
        <item x="47"/>
        <item x="61"/>
        <item x="45"/>
        <item x="31"/>
        <item x="87"/>
        <item x="21"/>
        <item x="88"/>
        <item x="32"/>
        <item x="23"/>
        <item x="24"/>
        <item x="0"/>
        <item x="2"/>
        <item x="19"/>
        <item x="76"/>
        <item x="78"/>
        <item x="4"/>
        <item x="72"/>
        <item x="62"/>
        <item x="40"/>
        <item x="39"/>
        <item x="33"/>
        <item x="68"/>
        <item x="56"/>
        <item x="43"/>
        <item x="69"/>
        <item x="11"/>
        <item x="84"/>
        <item x="3"/>
        <item x="36"/>
        <item x="50"/>
        <item x="10"/>
        <item x="20"/>
        <item x="54"/>
        <item x="53"/>
        <item x="44"/>
        <item x="49"/>
        <item x="7"/>
        <item x="13"/>
        <item x="28"/>
        <item x="81"/>
        <item x="16"/>
        <item x="12"/>
        <item x="66"/>
        <item x="67"/>
        <item x="51"/>
        <item x="6"/>
        <item x="80"/>
        <item x="37"/>
        <item x="77"/>
        <item x="15"/>
        <item x="30"/>
        <item x="79"/>
        <item x="74"/>
        <item x="57"/>
        <item x="9"/>
        <item x="48"/>
        <item x="34"/>
        <item x="83"/>
        <item x="55"/>
        <item x="35"/>
        <item x="64"/>
        <item x="86"/>
        <item x="75"/>
        <item x="27"/>
        <item x="26"/>
        <item x="46"/>
        <item x="71"/>
        <item x="17"/>
        <item x="5"/>
        <item x="52"/>
        <item x="73"/>
        <item x="18"/>
        <item x="22"/>
        <item x="42"/>
        <item x="65"/>
        <item x="63"/>
        <item x="70"/>
        <item x="14"/>
        <item x="1"/>
        <item x="85"/>
        <item x="41"/>
        <item x="38"/>
        <item x="82"/>
        <item x="25"/>
        <item t="default"/>
      </items>
    </pivotField>
  </pivotFields>
  <rowFields count="2">
    <field x="11"/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alappatjoe" fld="6" subtotal="average" baseField="0" baseItem="0"/>
    <dataField name="Average of danram" fld="7" subtotal="average" baseField="0" baseItem="0"/>
    <dataField name="Average of loganworsdell" fld="8" subtotal="average" baseField="0" baseItem="0"/>
    <dataField name="Average of samuelbattista" fld="9" subtotal="average" baseField="0" baseItem="0"/>
    <dataField name="Average of currydestroyer27" fld="10" subtotal="average" baseField="0" baseItem="0"/>
    <dataField name="Average of Averag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F1C14-6A0C-44AB-972C-0EFDFC7B5B9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36" firstHeaderRow="1" firstDataRow="2" firstDataCol="1"/>
  <pivotFields count="12">
    <pivotField axis="axisRow"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m="1" x="31"/>
        <item m="1" x="32"/>
        <item m="1" x="33"/>
        <item x="18"/>
        <item x="30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Col" compact="0" outline="0" showAll="0">
      <items count="7">
        <item x="0"/>
        <item x="4"/>
        <item x="1"/>
        <item x="2"/>
        <item x="3"/>
        <item x="5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verage Score" fld="2" baseField="0" baseItem="0"/>
  </dataFields>
  <formats count="15">
    <format dxfId="274">
      <pivotArea type="all" dataOnly="0" outline="0" fieldPosition="0"/>
    </format>
    <format dxfId="273">
      <pivotArea outline="0" collapsedLevelsAreSubtotals="1" fieldPosition="0"/>
    </format>
    <format dxfId="272">
      <pivotArea type="origin" dataOnly="0" labelOnly="1" outline="0" fieldPosition="0"/>
    </format>
    <format dxfId="271">
      <pivotArea field="1" type="button" dataOnly="0" labelOnly="1" outline="0" axis="axisCol" fieldPosition="0"/>
    </format>
    <format dxfId="270">
      <pivotArea type="topRight" dataOnly="0" labelOnly="1" outline="0" fieldPosition="0"/>
    </format>
    <format dxfId="269">
      <pivotArea field="0" type="button" dataOnly="0" labelOnly="1" outline="0" axis="axisRow" fieldPosition="0"/>
    </format>
    <format dxfId="268">
      <pivotArea dataOnly="0" labelOnly="1" grandRow="1" outline="0" fieldPosition="0"/>
    </format>
    <format dxfId="267">
      <pivotArea dataOnly="0" labelOnly="1" outline="0" fieldPosition="0">
        <references count="1">
          <reference field="1" count="0"/>
        </references>
      </pivotArea>
    </format>
    <format dxfId="266">
      <pivotArea dataOnly="0" labelOnly="1" grandCol="1" outline="0" fieldPosition="0"/>
    </format>
    <format dxfId="265">
      <pivotArea outline="0" collapsedLevelsAreSubtotals="1" fieldPosition="0"/>
    </format>
    <format dxfId="264">
      <pivotArea field="1" type="button" dataOnly="0" labelOnly="1" outline="0" axis="axisCol" fieldPosition="0"/>
    </format>
    <format dxfId="263">
      <pivotArea type="topRight" dataOnly="0" labelOnly="1" outline="0" fieldPosition="0"/>
    </format>
    <format dxfId="262">
      <pivotArea dataOnly="0" labelOnly="1" outline="0" fieldPosition="0">
        <references count="1">
          <reference field="1" count="0"/>
        </references>
      </pivotArea>
    </format>
    <format dxfId="261">
      <pivotArea dataOnly="0" labelOnly="1" grandCol="1" outline="0" fieldPosition="0"/>
    </format>
    <format dxfId="260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311AC-1A21-46CB-BE67-E14CCA8BF26A}" name="Data" displayName="Data" ref="D1:T2226" totalsRowShown="0" headerRowDxfId="1357" dataDxfId="1356" tableBorderDxfId="1355">
  <autoFilter ref="D1:T2226" xr:uid="{720311AC-1A21-46CB-BE67-E14CCA8BF26A}"/>
  <tableColumns count="17">
    <tableColumn id="1" xr3:uid="{BD9C0A7B-2F31-46CF-BDC3-BADBCB7CC2A1}" name="Date" dataDxfId="1354"/>
    <tableColumn id="2" xr3:uid="{7E9E87C5-0B9C-4BE7-8CC4-E89449035814}" name="Poster" dataDxfId="1353"/>
    <tableColumn id="3" xr3:uid="{AA98F9FD-C352-4BC6-9EA0-437C5B098BE6}" name="Average" dataDxfId="1352">
      <calculatedColumnFormula>IFERROR(AVERAGE(Data[[#This Row],[alappatjoe]:[currydestroyer27]]), "TBD")</calculatedColumnFormula>
    </tableColumn>
    <tableColumn id="4" xr3:uid="{1E6398D6-5D08-407A-9843-D71186B70106}" name="STDEV" dataDxfId="1351">
      <calculatedColumnFormula>IFERROR(_xlfn.STDEV.P(Data[[#This Row],[alappatjoe]:[currydestroyer27]]), "TBD")</calculatedColumnFormula>
    </tableColumn>
    <tableColumn id="5" xr3:uid="{D5CB01D0-3C54-4F00-9895-98587E214A84}" name="Song Title" dataDxfId="1350"/>
    <tableColumn id="6" xr3:uid="{0D393EC3-35D3-431A-A21A-3925081D79EA}" name="Artist" dataDxfId="1349"/>
    <tableColumn id="7" xr3:uid="{F0EDB67B-0F4E-4F26-BDFE-B04004B360D7}" name="alappatjoe" dataDxfId="1348"/>
    <tableColumn id="8" xr3:uid="{1BE3E4B6-7456-4746-9ECA-4EE752BB0927}" name="danram" dataDxfId="1347"/>
    <tableColumn id="9" xr3:uid="{CE08B6FD-BA39-46E5-93A7-5CCFE4572FE4}" name="loganworsdell" dataDxfId="1346"/>
    <tableColumn id="10" xr3:uid="{B65D3034-0FBB-4C1F-B320-537DF1685B58}" name="samuelbattista" dataDxfId="1345"/>
    <tableColumn id="11" xr3:uid="{5BA1978F-9854-409B-B6EE-E5DBC387013B}" name="currydestroyer27" dataDxfId="1344"/>
    <tableColumn id="17" xr3:uid="{C77DEE39-77E2-4784-83F6-F44C46FCC1A3}" name="Plays" dataDxfId="1343"/>
    <tableColumn id="12" xr3:uid="{9D1AEF6F-70EB-4A39-82FD-58816D035531}" name="Parent Genre" dataDxfId="1342"/>
    <tableColumn id="13" xr3:uid="{332F70F1-A59E-4BD2-A7A2-D7883CEF5CEB}" name="Sub-Genre" dataDxfId="1341"/>
    <tableColumn id="14" xr3:uid="{73A22CB7-FF85-43CB-A906-B48D6992DE0E}" name="Day Rank" dataDxfId="1340">
      <calculatedColumnFormula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calculatedColumnFormula>
    </tableColumn>
    <tableColumn id="16" xr3:uid="{4FB782E8-9480-49DB-96D1-1DC44865394E}" name="W Rank" dataDxfId="1339"/>
    <tableColumn id="15" xr3:uid="{76038CE9-558D-4576-B1CE-02C09E079E31}" name="Winner" dataDxfId="1338">
      <calculatedColumnFormula>Data[[#This Row],[Day Rank]]=Data[[#This Row],[W Rank]]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902C8A2-DD18-4E61-AC98-F25A2549E870}" name="Jan_2026_SotM" displayName="Jan_2026_SotM" ref="A2:X17" totalsRowShown="0" headerRowDxfId="1337" headerRowBorderDxfId="1336" tableBorderDxfId="1335" totalsRowBorderDxfId="1334">
  <autoFilter ref="A2:X17" xr:uid="{17F50866-5684-4D2B-9764-91AE466FE295}"/>
  <tableColumns count="24">
    <tableColumn id="1" xr3:uid="{A31BBAA2-A3F0-42AC-A4CF-32AA6C04CC02}" name="Description" dataDxfId="1333">
      <calculatedColumnFormula>_xlfn.CONCAT("Seed ", Jan_2026_SotM[[#This Row],[Top Seed]], " vs ",Jan_2026_SotM[[#This Row],[Low Seed]])</calculatedColumnFormula>
    </tableColumn>
    <tableColumn id="2" xr3:uid="{BED1CF0D-99B5-471F-AC01-74A0F93E711B}" name="Num" dataDxfId="1332"/>
    <tableColumn id="3" xr3:uid="{08970303-E8DE-44DC-8C96-E2AE4AA95023}" name="Round" dataDxfId="1331">
      <calculatedColumnFormula>FLOOR(LOG(Jan_2026_SotM[[#This Row],[Num]], 2), 1)</calculatedColumnFormula>
    </tableColumn>
    <tableColumn id="4" xr3:uid="{187EC0BE-B5E6-40D4-8BDB-259AC7EA1644}" name="Max Seed" dataDxfId="1330">
      <calculatedColumnFormula>2^(Jan_2026_SotM[[#This Row],[Round]]+1)</calculatedColumnFormula>
    </tableColumn>
    <tableColumn id="5" xr3:uid="{87AA0E7E-2F8A-44AE-A95D-735A2D532EE9}" name="Top Seed" dataDxfId="1329">
      <calculatedColumnFormula>Jan_2026_SotM[[#This Row],[Max Seed]]-Jan_2026_SotM[[#This Row],[Num]]</calculatedColumnFormula>
    </tableColumn>
    <tableColumn id="6" xr3:uid="{6343BA02-5921-4FD1-AE2F-B9F71979588C}" name="Low Seed" dataDxfId="1328">
      <calculatedColumnFormula>Jan_2026_SotM[[#This Row],[Max Seed]]-Jan_2026_SotM[[#This Row],[Top Seed]]+1</calculatedColumnFormula>
    </tableColumn>
    <tableColumn id="7" xr3:uid="{5C1CD221-3528-4AB0-89DB-9DD45CF053F7}" name="Initial 1" dataDxfId="1327">
      <calculatedColumnFormula>IF(Jan_2026_SotM[[#This Row],[Round]]=$C$1, TRUE(), IF(Jan_2026_SotM[[#This Row],[Round]]=$B$1, Jan_2026_SotM[[#This Row],[Top Seed]]&lt;=2*Jan_2026_SotM[[#This Row],[Max Seed]]-$A$1, FALSE()))</calculatedColumnFormula>
    </tableColumn>
    <tableColumn id="8" xr3:uid="{A7743514-727D-413A-A19D-B2445CA15D87}" name="Initial 2" dataDxfId="1326">
      <calculatedColumnFormula>IF(Jan_2026_SotM[[#This Row],[Round]]=$C$1, TRUE(), IF(Jan_2026_SotM[[#This Row],[Round]]=$B$1, Jan_2026_SotM[[#This Row],[Low Seed]]&lt;=2*Jan_2026_SotM[[#This Row],[Max Seed]]-$A$1, FALSE()))</calculatedColumnFormula>
    </tableColumn>
    <tableColumn id="9" xr3:uid="{1DB70A1E-BF27-44B8-B486-0C56223B6408}" name="J" dataDxfId="1325"/>
    <tableColumn id="10" xr3:uid="{5724FD0D-C24D-4424-A0C5-62477C698498}" name="D" dataDxfId="1324"/>
    <tableColumn id="11" xr3:uid="{DAA5C5F2-15A1-4B74-84ED-ED746D76EE98}" name="L" dataDxfId="1323"/>
    <tableColumn id="12" xr3:uid="{77DF3D1F-D01C-49A6-84EE-45D650531371}" name="S" dataDxfId="1322"/>
    <tableColumn id="13" xr3:uid="{3D24F23D-B053-48D2-964F-7CF080F7AFE6}" name="H" dataDxfId="1321"/>
    <tableColumn id="14" xr3:uid="{151A720A-C013-44C3-B82B-282E9BF8D12B}" name="Song 1" dataDxfId="1320">
      <calculatedColumnFormula>IF(Jan_2026_SotM[[#This Row],[Num]]&gt;=$A$1, "-", IF(Jan_2026_SotM[[#This Row],[Initial 1]], VLOOKUP(Jan_2026_SotM[[#This Row],[Top Seed]], $Z$2:$AE$17, 6, FALSE), OFFSET(Jan_2026_SotM[[#This Row],[Winner]], Jan_2026_SotM[[#This Row],[Max Seed]], 0)))</calculatedColumnFormula>
    </tableColumn>
    <tableColumn id="15" xr3:uid="{56819B28-7114-4956-862A-7CE0EAC91009}" name="Score 1" dataDxfId="1319">
      <calculatedColumnFormula>COUNTIF(Jan_2026_SotM[[#This Row],[J]:[H]],"x")</calculatedColumnFormula>
    </tableColumn>
    <tableColumn id="16" xr3:uid="{A49D9C4D-1E21-4319-B707-132889B9374F}" name="Winner" dataDxfId="1318">
      <calculatedColumnFormula>IF(Jan_2026_SotM[[#This Row],[Num]]&gt;=$A$1, "-", IF(Jan_2026_SotM[[#This Row],[Score 1]]&gt;=3, Jan_2026_SotM[[#This Row],[Song 1]], IF(Jan_2026_SotM[[#This Row],[Score 2]]&gt;=3, Jan_2026_SotM[[#This Row],[Song 2]], "TBD")))</calculatedColumnFormula>
    </tableColumn>
    <tableColumn id="17" xr3:uid="{9735BB97-B75C-4A07-BFDA-126CF1F57ADB}" name="Score 2" dataDxfId="1317">
      <calculatedColumnFormula>COUNTIF(Jan_2026_SotM[[#This Row],[H ]:[J ]],"x")</calculatedColumnFormula>
    </tableColumn>
    <tableColumn id="18" xr3:uid="{D4A3FD1A-7F5B-47B5-B523-858D7E0E1027}" name="Song 2" dataDxfId="1316">
      <calculatedColumnFormula>IF(Jan_2026_SotM[[#This Row],[Num]]&gt;=$A$1, "-", IF(Jan_2026_SotM[[#This Row],[Initial 2]], VLOOKUP(Jan_2026_SotM[[#This Row],[Low Seed]], $Z$2:$AE$17, 6, FALSE), OFFSET(Jan_2026_SotM[[#This Row],[Winner]], 2*(Jan_2026_SotM[[#This Row],[Max Seed]]-Jan_2026_SotM[[#This Row],[Low Seed]])+1, 0)))</calculatedColumnFormula>
    </tableColumn>
    <tableColumn id="19" xr3:uid="{C362F143-E53B-4872-AC09-077791728F2F}" name="H " dataDxfId="1315"/>
    <tableColumn id="20" xr3:uid="{1B90224D-AF76-4EFC-B913-425B87098408}" name="S " dataDxfId="1314"/>
    <tableColumn id="21" xr3:uid="{6E653F41-86F3-48B6-9422-D081CF9D0528}" name="L " dataDxfId="1313"/>
    <tableColumn id="22" xr3:uid="{E89DD29C-85E2-4148-85D1-996EDF394A6A}" name="D " dataDxfId="1312"/>
    <tableColumn id="23" xr3:uid="{DD942EF1-0163-4E9C-B6F1-3A341282AA85}" name="J " dataDxfId="1311"/>
    <tableColumn id="24" xr3:uid="{CFFACE5E-2695-4487-9AFA-59E5DB49D1D1}" name="Remaining" dataDxfId="1310">
      <calculatedColumnFormula>IF(OR(Jan_2026_SotM[[#This Row],[Song 1]]="TBD", Jan_2026_SotM[[#This Row],[Song 2]]="TBD"), "TBD", _xlfn.CONCAT(IF(_xlfn.XOR(ISBLANK(Jan_2026_SotM[[#This Row],[J]]), ISBLANK(Jan_2026_SotM[[#This Row],[J ]])), "", "J "), IF(_xlfn.XOR(ISBLANK(Jan_2026_SotM[[#This Row],[D]]), ISBLANK(Jan_2026_SotM[[#This Row],[D ]])), "", "D "), IF(_xlfn.XOR(ISBLANK(Jan_2026_SotM[[#This Row],[L]]), ISBLANK(Jan_2026_SotM[[#This Row],[L ]])), "", "L "), IF(_xlfn.XOR(ISBLANK(Jan_2026_SotM[[#This Row],[S]]), ISBLANK(Jan_2026_SotM[[#This Row],[S ]])), "", "S "), IF(_xlfn.XOR(ISBLANK(Jan_2026_SotM[[#This Row],[H]]), ISBLANK(Jan_2026_SotM[[#This Row],[H ]])), "", "H ")))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2FA3EC2F-626D-463E-BCE7-4AF637D34BA7}" name="Jan_2025_Results48" displayName="Jan_2025_Results48" ref="AI1:AL17" totalsRowShown="0" headerRowDxfId="1309" headerRowBorderDxfId="1308" tableBorderDxfId="1307">
  <autoFilter ref="AI1:AL17" xr:uid="{905A4ACF-8975-48C8-9E2E-8E2B14574098}"/>
  <tableColumns count="4">
    <tableColumn id="1" xr3:uid="{AE3F555D-7437-471D-BA81-96309F4EADC6}" name="Result" dataDxfId="1306">
      <calculatedColumnFormula>June_SotM[[#This Row],[Max Seed]]/2 + 1</calculatedColumnFormula>
    </tableColumn>
    <tableColumn id="2" xr3:uid="{669CA51E-EDDE-45D9-A040-5CFA747D192E}" name="Song Title" dataDxfId="1305">
      <calculatedColumnFormula>IF(June_SotM[[#This Row],[Num]]&gt;=$A$1, "-", IF(June_SotM[[#This Row],[Score 1]]&gt;=3, June_SotM[[#This Row],[Song 2]], IF(June_SotM[[#This Row],[Score 2]]&gt;=3, June_SotM[[#This Row],[Song 1]], "TBD")))</calculatedColumnFormula>
    </tableColumn>
    <tableColumn id="3" xr3:uid="{BF5181D0-8974-4CBB-BE5E-742F5F30F63B}" name="Diff" dataDxfId="1304">
      <calculatedColumnFormula>IFERROR(VLOOKUP(Jan_2025_Results48[[#This Row],[Song Title]], $AE$2:$AG$17, 3, FALSE)-Jan_2025_Results48[[#This Row],[Result]], "TBD")</calculatedColumnFormula>
    </tableColumn>
    <tableColumn id="4" xr3:uid="{441F23F3-1D89-4188-84B6-9DB1E34F560A}" name="Shift" dataDxfId="1303">
      <calculatedColumnFormula>IF(AK2&lt;0,"↓",IF(AK2=0,"-","↑"))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81FAF53-41E6-4D3F-AD37-4560C3C930FA}" name="Feb_2026_SotM" displayName="Feb_2026_SotM" ref="A20:X35" totalsRowShown="0">
  <autoFilter ref="A20:X35" xr:uid="{50D4E3B4-0B7C-4908-B412-630E96C654F8}"/>
  <tableColumns count="24">
    <tableColumn id="1" xr3:uid="{3B685D34-2A7B-4BA1-B7B4-343532043EED}" name="Description" dataDxfId="1302">
      <calculatedColumnFormula>_xlfn.CONCAT("Seed ", Feb_2026_SotM[[#This Row],[Top Seed]], " vs ",Feb_2026_SotM[[#This Row],[Low Seed]])</calculatedColumnFormula>
    </tableColumn>
    <tableColumn id="2" xr3:uid="{7B768D3D-29CE-48F1-BC41-C60A072B95EC}" name="Num" dataDxfId="1301"/>
    <tableColumn id="3" xr3:uid="{EC68048C-A52C-406C-8A56-07FAFF64A976}" name="Round" dataDxfId="1300">
      <calculatedColumnFormula>FLOOR(LOG(Feb_2026_SotM[[#This Row],[Num]], 2), 1)</calculatedColumnFormula>
    </tableColumn>
    <tableColumn id="4" xr3:uid="{82A88681-2791-47EC-B15A-0DDD0A62327E}" name="Max Seed" dataDxfId="1299">
      <calculatedColumnFormula>2^(Feb_2026_SotM[[#This Row],[Round]]+1)</calculatedColumnFormula>
    </tableColumn>
    <tableColumn id="5" xr3:uid="{835B29DC-2EC2-4A77-9147-ABAFBFFCF6EF}" name="Top Seed" dataDxfId="1298">
      <calculatedColumnFormula>Feb_2026_SotM[[#This Row],[Max Seed]]-Feb_2026_SotM[[#This Row],[Num]]</calculatedColumnFormula>
    </tableColumn>
    <tableColumn id="6" xr3:uid="{01F2ABBA-00AE-49DD-86C1-D48706B3EBAB}" name="Low Seed" dataDxfId="1297">
      <calculatedColumnFormula>Feb_2026_SotM[[#This Row],[Max Seed]]-Feb_2026_SotM[[#This Row],[Top Seed]]+1</calculatedColumnFormula>
    </tableColumn>
    <tableColumn id="7" xr3:uid="{9BD89009-815E-4B89-9BFD-C6D12397783F}" name="Initial 1" dataDxfId="1296">
      <calculatedColumnFormula>IF(Feb_2026_SotM[[#This Row],[Round]]=$C$19, TRUE(), IF(Feb_2026_SotM[[#This Row],[Round]]=$B$19, Feb_2026_SotM[[#This Row],[Top Seed]]&lt;=2*Feb_2026_SotM[[#This Row],[Max Seed]]-$A$19, FALSE()))</calculatedColumnFormula>
    </tableColumn>
    <tableColumn id="8" xr3:uid="{ACDD14AC-4BB5-4603-BB27-BB0CFA9D9BF6}" name="Initial 2" dataDxfId="1295">
      <calculatedColumnFormula>IF(Feb_2026_SotM[[#This Row],[Round]]=$C$19, TRUE(), IF(Feb_2026_SotM[[#This Row],[Round]]=$B$19, Feb_2026_SotM[[#This Row],[Low Seed]]&lt;=2*Feb_2026_SotM[[#This Row],[Max Seed]]-$A$19, FALSE()))</calculatedColumnFormula>
    </tableColumn>
    <tableColumn id="9" xr3:uid="{DC4D3BFF-8B1C-4972-9643-234660BF429D}" name="J" dataDxfId="1294"/>
    <tableColumn id="10" xr3:uid="{424AE8EC-9B74-4A67-907C-0538889C9285}" name="D" dataDxfId="1293"/>
    <tableColumn id="11" xr3:uid="{29CC9E96-117F-4851-831A-F08B49563213}" name="L" dataDxfId="1292"/>
    <tableColumn id="12" xr3:uid="{B97D8087-8B1C-484C-9EB7-43EFDAE20778}" name="S" dataDxfId="1291"/>
    <tableColumn id="13" xr3:uid="{41C9E87B-0A00-48AD-889C-FEBCE965F0A8}" name="H" dataDxfId="1290"/>
    <tableColumn id="14" xr3:uid="{FC3A970D-F98D-4134-95F6-1DE6BCA35516}" name="Song 1" dataDxfId="1289">
      <calculatedColumnFormula>IF(Feb_2026_SotM[[#This Row],[Num]]&gt;=$A$19, "-", IF(Feb_2026_SotM[[#This Row],[Initial 1]], VLOOKUP(Feb_2026_SotM[[#This Row],[Top Seed]], $Z$20:$AE$35, 6, FALSE), OFFSET(Feb_2026_SotM[[#This Row],[Winner]], Feb_2026_SotM[[#This Row],[Max Seed]], 0)))</calculatedColumnFormula>
    </tableColumn>
    <tableColumn id="15" xr3:uid="{AD693603-61CD-4377-ABCB-3508C2DFD7A1}" name="Score 1" dataDxfId="1288">
      <calculatedColumnFormula>COUNTIF(Feb_2026_SotM[[#This Row],[J]:[H]],"x")</calculatedColumnFormula>
    </tableColumn>
    <tableColumn id="16" xr3:uid="{6EBDFC6E-6291-4954-88E4-4FD441198569}" name="Winner" dataDxfId="1287">
      <calculatedColumnFormula>IF(Feb_2026_SotM[[#This Row],[Num]]&gt;=$A$19, "-", IF(Feb_2026_SotM[[#This Row],[Score 1]]&gt;=3, Feb_2026_SotM[[#This Row],[Song 1]], IF(Feb_2026_SotM[[#This Row],[Score 2]]&gt;=3, Feb_2026_SotM[[#This Row],[Song 2]], "TBD")))</calculatedColumnFormula>
    </tableColumn>
    <tableColumn id="17" xr3:uid="{D391BBE7-7920-4EE9-9946-23C888985908}" name="Score 2" dataDxfId="1286">
      <calculatedColumnFormula>COUNTIF(Feb_2026_SotM[[#This Row],[H ]:[J ]],"x")</calculatedColumnFormula>
    </tableColumn>
    <tableColumn id="18" xr3:uid="{4ABA9D85-B339-491A-9812-058A4566FC9F}" name="Song 2" dataDxfId="1285">
      <calculatedColumnFormula>IF(Feb_2026_SotM[[#This Row],[Num]]&gt;=$A$19, "-", IF(Feb_2026_SotM[[#This Row],[Initial 2]], VLOOKUP(Feb_2026_SotM[[#This Row],[Low Seed]], $Z$20:$AE$35, 6, FALSE), OFFSET(Feb_2026_SotM[[#This Row],[Winner]], 2*(Feb_2026_SotM[[#This Row],[Max Seed]]-Feb_2026_SotM[[#This Row],[Low Seed]])+1, 0)))</calculatedColumnFormula>
    </tableColumn>
    <tableColumn id="19" xr3:uid="{863FE568-84B6-441B-9077-1651818273FE}" name="H " dataDxfId="1284"/>
    <tableColumn id="20" xr3:uid="{302FC2E8-1F53-4CDC-9E1E-7A978E20CBCA}" name="S " dataDxfId="1283"/>
    <tableColumn id="21" xr3:uid="{C6756F0A-A1CA-488B-BA63-53C7A4CE831A}" name="L " dataDxfId="1282"/>
    <tableColumn id="22" xr3:uid="{439DF21C-8C32-4970-8891-F7043A85A2A1}" name="D " dataDxfId="1281"/>
    <tableColumn id="23" xr3:uid="{FD1B5492-CC5C-40D8-B72E-3D3F9AFBF557}" name="J " dataDxfId="1280"/>
    <tableColumn id="24" xr3:uid="{4DBF806A-7BE6-4524-BD3E-E239A9E96C83}" name="Remaining" dataDxfId="1279">
      <calculatedColumnFormula>IF(OR(Feb_2026_SotM[[#This Row],[Song 1]]="TBD", Feb_2026_SotM[[#This Row],[Song 2]]="TBD"), "TBD", _xlfn.CONCAT(IF(_xlfn.XOR(ISBLANK(Feb_2026_SotM[[#This Row],[J]]), ISBLANK(Feb_2026_SotM[[#This Row],[J ]])), "", "J "), IF(_xlfn.XOR(ISBLANK(Feb_2026_SotM[[#This Row],[D]]), ISBLANK(Feb_2026_SotM[[#This Row],[D ]])), "", "D "), IF(_xlfn.XOR(ISBLANK(Feb_2026_SotM[[#This Row],[L]]), ISBLANK(Feb_2026_SotM[[#This Row],[L ]])), "", "L "), IF(_xlfn.XOR(ISBLANK(Feb_2026_SotM[[#This Row],[S]]), ISBLANK(Feb_2026_SotM[[#This Row],[S ]])), "", "S "), IF(_xlfn.XOR(ISBLANK(Feb_2026_SotM[[#This Row],[H]]), ISBLANK(Feb_2026_SotM[[#This Row],[H ]])), "", "H ")))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BFB9BAC9-040A-4698-AB76-F4E48264F643}" name="Feb_2025_Results50" displayName="Feb_2025_Results50" ref="AI19:AL35" totalsRowShown="0" headerRowDxfId="1278" dataDxfId="1277">
  <autoFilter ref="AI19:AL35" xr:uid="{E11A4870-0D8A-4946-B096-75A189E8BE32}"/>
  <tableColumns count="4">
    <tableColumn id="1" xr3:uid="{82EBFCEC-AD94-45D0-AE3E-FF69959B1EF8}" name="Result" dataDxfId="1276">
      <calculatedColumnFormula>Jan_2026_SotM[[#This Row],[Max Seed]]/2 + 1</calculatedColumnFormula>
    </tableColumn>
    <tableColumn id="2" xr3:uid="{2A51084F-9D81-4FE1-8345-328C0D35F199}" name="Song Title" dataDxfId="1275">
      <calculatedColumnFormula>IF(Jan_2026_SotM[[#This Row],[Num]]&gt;=$A$1, "-", IF(Jan_2026_SotM[[#This Row],[Score 1]]&gt;=3, Jan_2026_SotM[[#This Row],[Song 2]], IF(Jan_2026_SotM[[#This Row],[Score 2]]&gt;=3, Jan_2026_SotM[[#This Row],[Song 1]], "TBD")))</calculatedColumnFormula>
    </tableColumn>
    <tableColumn id="3" xr3:uid="{8A203206-5172-4A11-B3FD-CD5C0C0F1E6A}" name="Diff" dataDxfId="1274">
      <calculatedColumnFormula>IFERROR(VLOOKUP(Feb_2025_Results50[[#This Row],[Song Title]], $AE$20:$AG$35, 3, FALSE)-Feb_2025_Results50[[#This Row],[Result]], "TBD")</calculatedColumnFormula>
    </tableColumn>
    <tableColumn id="4" xr3:uid="{34DBEC65-4145-45FC-9386-73F756EB19C6}" name="Shift" dataDxfId="1273">
      <calculatedColumnFormula>IF(AK20&lt;0,"↓",IF(AK20=0,"-","↑"))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B49A2432-EF55-47DA-BE62-85C6ECE500D9}" name="Mar_2026_SotM" displayName="Mar_2026_SotM" ref="A38:X55" totalsRowShown="0">
  <autoFilter ref="A38:X55" xr:uid="{B31F6DB2-77FB-4DD3-A62B-14DD717235EC}"/>
  <tableColumns count="24">
    <tableColumn id="1" xr3:uid="{12903E83-E268-41FE-828D-BF26DCF307FE}" name="Description" dataDxfId="1272">
      <calculatedColumnFormula>_xlfn.CONCAT("Seed ", Mar_2026_SotM[[#This Row],[Top Seed]], " vs ",Mar_2026_SotM[[#This Row],[Low Seed]])</calculatedColumnFormula>
    </tableColumn>
    <tableColumn id="2" xr3:uid="{02A78782-C2E3-4CF7-B5AB-C13D376A51D1}" name="Num" dataDxfId="1271"/>
    <tableColumn id="3" xr3:uid="{9B0FD9D9-C79D-421D-94F6-ADDEE748D49E}" name="Round" dataDxfId="1270">
      <calculatedColumnFormula>FLOOR(LOG(Mar_2026_SotM[[#This Row],[Num]], 2), 1)</calculatedColumnFormula>
    </tableColumn>
    <tableColumn id="4" xr3:uid="{A98140C0-C798-4EBE-AA29-0E39ABC16E07}" name="Max Seed" dataDxfId="1269">
      <calculatedColumnFormula>2^(Mar_2026_SotM[[#This Row],[Round]]+1)</calculatedColumnFormula>
    </tableColumn>
    <tableColumn id="5" xr3:uid="{237B64C7-3549-42F6-998A-F6C4876B09DE}" name="Top Seed" dataDxfId="1268">
      <calculatedColumnFormula>Mar_2026_SotM[[#This Row],[Max Seed]]-Mar_2026_SotM[[#This Row],[Num]]</calculatedColumnFormula>
    </tableColumn>
    <tableColumn id="6" xr3:uid="{F70CEB46-9516-4877-BB81-256414470FDE}" name="Low Seed" dataDxfId="1267">
      <calculatedColumnFormula>Mar_2026_SotM[[#This Row],[Max Seed]]-Mar_2026_SotM[[#This Row],[Top Seed]]+1</calculatedColumnFormula>
    </tableColumn>
    <tableColumn id="7" xr3:uid="{B8F6C962-4858-4C7E-92EF-F61200D4A316}" name="Initial 1" dataDxfId="1266">
      <calculatedColumnFormula>IF(Mar_2026_SotM[[#This Row],[Round]]=$C$37, TRUE(), IF(Mar_2026_SotM[[#This Row],[Round]]=$B$37, Mar_2026_SotM[[#This Row],[Top Seed]]&lt;=2*Mar_2026_SotM[[#This Row],[Max Seed]]-$A$37, FALSE()))</calculatedColumnFormula>
    </tableColumn>
    <tableColumn id="8" xr3:uid="{594ED581-82DE-493C-BC07-A99525A78D31}" name="Initial 2" dataDxfId="1265">
      <calculatedColumnFormula>IF(Mar_2026_SotM[[#This Row],[Round]]=$C$37, TRUE(), IF(Mar_2026_SotM[[#This Row],[Round]]=$B$37, Mar_2026_SotM[[#This Row],[Low Seed]]&lt;=2*Mar_2026_SotM[[#This Row],[Max Seed]]-$A$37, FALSE()))</calculatedColumnFormula>
    </tableColumn>
    <tableColumn id="9" xr3:uid="{F5065EB4-F469-4F95-B672-9616BF838B92}" name="J" dataDxfId="1264"/>
    <tableColumn id="10" xr3:uid="{BF140C2E-D003-4AC0-AC92-5D6EF4184A0C}" name="D" dataDxfId="1263"/>
    <tableColumn id="11" xr3:uid="{2472315D-FC10-4D8C-800E-6E50A7916182}" name="L" dataDxfId="1262"/>
    <tableColumn id="12" xr3:uid="{C70AAE54-2805-4A06-8065-D13BDFA98656}" name="S" dataDxfId="1261"/>
    <tableColumn id="13" xr3:uid="{D575A4F3-26BC-48B0-9E12-4CA4ABCF0AF3}" name="H" dataDxfId="1260"/>
    <tableColumn id="14" xr3:uid="{DB7450A2-C02F-4BC0-BE9F-1B7B200F98B1}" name="Song 1" dataDxfId="1259">
      <calculatedColumnFormula>IF(Mar_2026_SotM[[#This Row],[Num]]&gt;=$A$37, "-", IF(Mar_2026_SotM[[#This Row],[Initial 1]], VLOOKUP(Mar_2026_SotM[[#This Row],[Top Seed]], $Z$38:$AE$55, 6, FALSE), OFFSET(Mar_2026_SotM[[#This Row],[Winner]], Mar_2026_SotM[[#This Row],[Max Seed]], 0)))</calculatedColumnFormula>
    </tableColumn>
    <tableColumn id="15" xr3:uid="{7C407D30-4020-4E8A-A92C-FB99442743C3}" name="Score 1" dataDxfId="1258">
      <calculatedColumnFormula>COUNTIF(Mar_2026_SotM[[#This Row],[J]:[H]],"x")</calculatedColumnFormula>
    </tableColumn>
    <tableColumn id="16" xr3:uid="{337E24EA-2CD9-47C6-B1F6-1FD41A06AECC}" name="Winner" dataDxfId="1257">
      <calculatedColumnFormula>IF(Mar_2026_SotM[[#This Row],[Num]]&gt;=$A$37, "-", IF(Mar_2026_SotM[[#This Row],[Score 1]]&gt;=3, Mar_2026_SotM[[#This Row],[Song 1]], IF(Mar_2026_SotM[[#This Row],[Score 2]]&gt;=3, Mar_2026_SotM[[#This Row],[Song 2]], "TBD")))</calculatedColumnFormula>
    </tableColumn>
    <tableColumn id="17" xr3:uid="{9683313D-6B8F-41C5-89C9-A0BC42D12C6B}" name="Score 2" dataDxfId="1256">
      <calculatedColumnFormula>COUNTIF(Mar_2026_SotM[[#This Row],[H ]:[J ]],"x")</calculatedColumnFormula>
    </tableColumn>
    <tableColumn id="18" xr3:uid="{446D83DB-3D7E-4E8D-8002-76934F44E825}" name="Song 2" dataDxfId="1255">
      <calculatedColumnFormula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calculatedColumnFormula>
    </tableColumn>
    <tableColumn id="19" xr3:uid="{231520B0-E423-45E6-9182-D3A8592E6C3F}" name="H " dataDxfId="1254"/>
    <tableColumn id="20" xr3:uid="{57428CA0-6C49-4D2E-84B2-D9219D03BA03}" name="S " dataDxfId="1253"/>
    <tableColumn id="21" xr3:uid="{46D6D42E-4547-475B-B296-D38103ED9751}" name="L " dataDxfId="1252"/>
    <tableColumn id="22" xr3:uid="{B100486B-8E1F-4CBD-A15E-B1F361E66C20}" name="D " dataDxfId="1251"/>
    <tableColumn id="23" xr3:uid="{0707DE4C-0535-4134-BC38-1D1DAD3C7D62}" name="J " dataDxfId="1250"/>
    <tableColumn id="24" xr3:uid="{50AAE0F5-34EF-44A0-8087-A7770C70CD6D}" name="Remaining" dataDxfId="1249">
      <calculatedColumnFormula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8D51C37-4098-4044-A7FC-B529D8A00A2C}" name="Apr_2026_SotM" displayName="Apr_2026_SotM" ref="A58:X75" totalsRowShown="0" headerRowDxfId="1248" headerRowBorderDxfId="1247" tableBorderDxfId="1246" totalsRowBorderDxfId="1245">
  <autoFilter ref="A58:X75" xr:uid="{C7657EB3-20C2-4E7E-A99D-2C253921D546}"/>
  <tableColumns count="24">
    <tableColumn id="1" xr3:uid="{2EB99AE8-937A-40B1-8190-8A107A416C2A}" name="Description" dataDxfId="1244">
      <calculatedColumnFormula>_xlfn.CONCAT("Seed ", Apr_2026_SotM[[#This Row],[Top Seed]], " vs ",Apr_2026_SotM[[#This Row],[Low Seed]])</calculatedColumnFormula>
    </tableColumn>
    <tableColumn id="2" xr3:uid="{049249D5-D44D-4AD1-8056-A9EAA031A9C8}" name="Num" dataDxfId="1243"/>
    <tableColumn id="3" xr3:uid="{1F6128A9-20E0-4C9D-9469-4B9E576AB029}" name="Round" dataDxfId="1242">
      <calculatedColumnFormula>FLOOR(LOG(Apr_2026_SotM[[#This Row],[Num]], 2), 1)</calculatedColumnFormula>
    </tableColumn>
    <tableColumn id="4" xr3:uid="{ACA3CCF8-8BC2-462C-9F38-EDED3CA1A52C}" name="Max Seed" dataDxfId="1241">
      <calculatedColumnFormula>2^(Apr_2026_SotM[[#This Row],[Round]]+1)</calculatedColumnFormula>
    </tableColumn>
    <tableColumn id="5" xr3:uid="{96A3D866-7BA0-4534-BDE3-C9D1F5ED841E}" name="Top Seed" dataDxfId="1240">
      <calculatedColumnFormula>Apr_2026_SotM[[#This Row],[Max Seed]]-Apr_2026_SotM[[#This Row],[Num]]</calculatedColumnFormula>
    </tableColumn>
    <tableColumn id="6" xr3:uid="{9880A9D6-8F97-4E6F-B4A0-0325B4091E83}" name="Low Seed" dataDxfId="1239">
      <calculatedColumnFormula>Apr_2026_SotM[[#This Row],[Max Seed]]-Apr_2026_SotM[[#This Row],[Top Seed]]+1</calculatedColumnFormula>
    </tableColumn>
    <tableColumn id="7" xr3:uid="{E76DE491-1652-48DA-9C8C-0F6C2C8196FD}" name="Initial 1" dataDxfId="1238">
      <calculatedColumnFormula>IF(Apr_2026_SotM[[#This Row],[Round]]=$C$57, TRUE(), IF(Apr_2026_SotM[[#This Row],[Round]]=$B$57, Apr_2026_SotM[[#This Row],[Top Seed]]&lt;=2*Apr_2026_SotM[[#This Row],[Max Seed]]-$A$57, FALSE()))</calculatedColumnFormula>
    </tableColumn>
    <tableColumn id="8" xr3:uid="{6B79A09A-67C0-4F5D-B307-1C22F2DE401E}" name="Initial 2" dataDxfId="1237">
      <calculatedColumnFormula>IF(Apr_2026_SotM[[#This Row],[Round]]=$C$57, TRUE(), IF(Apr_2026_SotM[[#This Row],[Round]]=$B$57, Apr_2026_SotM[[#This Row],[Low Seed]]&lt;=2*Apr_2026_SotM[[#This Row],[Max Seed]]-$A$57, FALSE()))</calculatedColumnFormula>
    </tableColumn>
    <tableColumn id="9" xr3:uid="{FE41A941-AE78-4FCF-B279-1F390C14CB93}" name="J" dataDxfId="1236"/>
    <tableColumn id="10" xr3:uid="{BBC7B865-706F-4D97-9921-5A3671020CE3}" name="D" dataDxfId="1235"/>
    <tableColumn id="11" xr3:uid="{033FCCAF-14F2-4D89-9669-52A8B80E215E}" name="L" dataDxfId="1234"/>
    <tableColumn id="12" xr3:uid="{9FF27B77-EBB5-468D-8FA7-1C1EDFBAFD37}" name="S" dataDxfId="1233"/>
    <tableColumn id="13" xr3:uid="{89C8F6A5-28A7-4E35-9947-EFE401C94D36}" name="H" dataDxfId="1232"/>
    <tableColumn id="14" xr3:uid="{ADF9C8E1-3E6A-4088-A3D4-1A0AB2366559}" name="Song 1" dataDxfId="1231">
      <calculatedColumnFormula>IF(Apr_2026_SotM[[#This Row],[Num]]&gt;=$A$57, "-", IF(Apr_2026_SotM[[#This Row],[Initial 1]], VLOOKUP(Apr_2026_SotM[[#This Row],[Top Seed]], $Z$58:$AE$75, 6, FALSE), OFFSET(Apr_2026_SotM[[#This Row],[Winner]], Apr_2026_SotM[[#This Row],[Max Seed]], 0)))</calculatedColumnFormula>
    </tableColumn>
    <tableColumn id="15" xr3:uid="{2077FB93-40B1-42D3-804A-4BB356C2EB8D}" name="Score 1" dataDxfId="1230">
      <calculatedColumnFormula>COUNTIF(Apr_2026_SotM[[#This Row],[J]:[H]],"x")</calculatedColumnFormula>
    </tableColumn>
    <tableColumn id="16" xr3:uid="{62984A6F-FF81-4BF2-8069-F5CD0D89D29A}" name="Winner" dataDxfId="1229">
      <calculatedColumnFormula>IF(Apr_2026_SotM[[#This Row],[Num]]&gt;=$A$57, "-", IF(Apr_2026_SotM[[#This Row],[Score 1]]&gt;=3, Apr_2026_SotM[[#This Row],[Song 1]], IF(Apr_2026_SotM[[#This Row],[Score 2]]&gt;=3, Apr_2026_SotM[[#This Row],[Song 2]], "TBD")))</calculatedColumnFormula>
    </tableColumn>
    <tableColumn id="17" xr3:uid="{E96E29EE-CFE3-4541-A309-0138B4A1A0E1}" name="Score 2" dataDxfId="1228">
      <calculatedColumnFormula>COUNTIF(Apr_2026_SotM[[#This Row],[H ]:[J ]],"x")</calculatedColumnFormula>
    </tableColumn>
    <tableColumn id="18" xr3:uid="{5ECFF8FB-00C0-493C-90F5-68BB2D6985B4}" name="Song 2" dataDxfId="1227">
      <calculatedColumnFormula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calculatedColumnFormula>
    </tableColumn>
    <tableColumn id="19" xr3:uid="{97BC466C-9C34-4E5F-9F22-5A03E7D3DBCA}" name="H " dataDxfId="1226"/>
    <tableColumn id="20" xr3:uid="{D334F1E2-E924-4083-8FCD-363936D4C0AC}" name="S " dataDxfId="1225"/>
    <tableColumn id="21" xr3:uid="{3915E7CE-D867-4D83-9932-407D5C4FBF15}" name="L " dataDxfId="1224"/>
    <tableColumn id="22" xr3:uid="{77A22C70-2732-4A51-8ABE-2F4190A76D48}" name="D " dataDxfId="1223"/>
    <tableColumn id="23" xr3:uid="{DAFA1C9C-5E74-4DB2-9278-62B91E529CB2}" name="J " dataDxfId="1222"/>
    <tableColumn id="24" xr3:uid="{EF480950-31E2-4B0E-A728-0DE8072024E1}" name="Remaining" dataDxfId="1221">
      <calculatedColumnFormula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calculatedColumnFormula>
    </tableColumn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44BD4B0-CB19-408E-A3F0-6F71EE72EE87}" name="May_2026_SotM" displayName="May_2026_SotM" ref="A78:X93" totalsRowShown="0" headerRowDxfId="1220" headerRowBorderDxfId="1219" tableBorderDxfId="1218" totalsRowBorderDxfId="1217">
  <autoFilter ref="A78:X93" xr:uid="{D5118F78-05B3-4119-AE70-4459C703F8AC}"/>
  <tableColumns count="24">
    <tableColumn id="1" xr3:uid="{75BD5A30-561C-4317-9ADB-A8F68E72A7E0}" name="Description" dataDxfId="1216">
      <calculatedColumnFormula>_xlfn.CONCAT("Seed ", May_2026_SotM[[#This Row],[Top Seed]], " vs ",May_2026_SotM[[#This Row],[Low Seed]])</calculatedColumnFormula>
    </tableColumn>
    <tableColumn id="2" xr3:uid="{3AE6329A-D5A0-4169-A095-10F768408907}" name="Num" dataDxfId="1215"/>
    <tableColumn id="3" xr3:uid="{C8005D3F-0563-4CB6-8BE5-FED7F2BE7B18}" name="Round" dataDxfId="1214">
      <calculatedColumnFormula>FLOOR(LOG(May_2026_SotM[[#This Row],[Num]], 2), 1)</calculatedColumnFormula>
    </tableColumn>
    <tableColumn id="4" xr3:uid="{3F449502-42DF-43E4-ACD9-BE7EC2A844C7}" name="Max Seed" dataDxfId="1213">
      <calculatedColumnFormula>2^(May_2026_SotM[[#This Row],[Round]]+1)</calculatedColumnFormula>
    </tableColumn>
    <tableColumn id="5" xr3:uid="{DEC31971-FAC4-476F-AFD9-B7D446CE5C2B}" name="Top Seed" dataDxfId="1212">
      <calculatedColumnFormula>May_2026_SotM[[#This Row],[Max Seed]]-May_2026_SotM[[#This Row],[Num]]</calculatedColumnFormula>
    </tableColumn>
    <tableColumn id="6" xr3:uid="{872BD1C7-C6FC-4DD0-B09E-08DE3EEF9DA1}" name="Low Seed" dataDxfId="1211">
      <calculatedColumnFormula>May_2026_SotM[[#This Row],[Max Seed]]-May_2026_SotM[[#This Row],[Top Seed]]+1</calculatedColumnFormula>
    </tableColumn>
    <tableColumn id="7" xr3:uid="{8C8DB8CD-4FE1-4EA3-8319-280C2A6ED227}" name="Initial 1" dataDxfId="1210">
      <calculatedColumnFormula>IF(May_2026_SotM[[#This Row],[Round]]=$C$77, TRUE(), IF(May_2026_SotM[[#This Row],[Round]]=$B$77, May_2026_SotM[[#This Row],[Top Seed]]&lt;=2*May_2026_SotM[[#This Row],[Max Seed]]-$A$77, FALSE()))</calculatedColumnFormula>
    </tableColumn>
    <tableColumn id="8" xr3:uid="{284B222F-B4FC-4E21-A1DE-8EA4260BC874}" name="Initial 2" dataDxfId="1209">
      <calculatedColumnFormula>IF(May_2026_SotM[[#This Row],[Round]]=$C$77, TRUE(), IF(May_2026_SotM[[#This Row],[Round]]=$B$77, May_2026_SotM[[#This Row],[Low Seed]]&lt;=2*May_2026_SotM[[#This Row],[Max Seed]]-$A$77, FALSE()))</calculatedColumnFormula>
    </tableColumn>
    <tableColumn id="9" xr3:uid="{AE6240F1-B6A7-4DAE-8B29-B2E264FEF894}" name="J" dataDxfId="1208"/>
    <tableColumn id="10" xr3:uid="{8BE5FFD4-A36C-4018-80B9-1CA00709C6D9}" name="D" dataDxfId="1207"/>
    <tableColumn id="11" xr3:uid="{B749C51C-9F26-457B-8E2A-327A16308D58}" name="L" dataDxfId="1206"/>
    <tableColumn id="12" xr3:uid="{2180FD1F-6C49-457A-A03B-55F446F7EBFA}" name="S" dataDxfId="1205"/>
    <tableColumn id="13" xr3:uid="{F426101F-575A-46F6-BF2E-0BEA831A3435}" name="H" dataDxfId="1204"/>
    <tableColumn id="14" xr3:uid="{349C841A-1137-4A14-AF34-D46872893ADB}" name="Song 1" dataDxfId="1203">
      <calculatedColumnFormula>IF(May_2026_SotM[[#This Row],[Num]]&gt;=$A$77, "-", IF(May_2026_SotM[[#This Row],[Initial 1]], VLOOKUP(May_2026_SotM[[#This Row],[Top Seed]], $Z$78:$AE$93, 6, FALSE), OFFSET(May_2026_SotM[[#This Row],[Winner]], May_2026_SotM[[#This Row],[Max Seed]], 0)))</calculatedColumnFormula>
    </tableColumn>
    <tableColumn id="15" xr3:uid="{4F76D677-5491-4FC3-8DB3-FFC794C131D9}" name="Score 1" dataDxfId="1202">
      <calculatedColumnFormula>COUNTIF(May_2026_SotM[[#This Row],[J]:[H]],"x")</calculatedColumnFormula>
    </tableColumn>
    <tableColumn id="16" xr3:uid="{684EE174-CB7A-47DE-A44F-E4E855B5C555}" name="Winner" dataDxfId="1201">
      <calculatedColumnFormula>IF(May_2026_SotM[[#This Row],[Num]]&gt;=$A$77, "-", IF(May_2026_SotM[[#This Row],[Score 1]]&gt;=3, May_2026_SotM[[#This Row],[Song 1]], IF(May_2026_SotM[[#This Row],[Score 2]]&gt;=3, May_2026_SotM[[#This Row],[Song 2]], "TBD")))</calculatedColumnFormula>
    </tableColumn>
    <tableColumn id="17" xr3:uid="{9A082418-20EE-4BED-AAFD-CFCF4F96A025}" name="Score 2" dataDxfId="1200">
      <calculatedColumnFormula>COUNTIF(May_2026_SotM[[#This Row],[H ]:[J ]],"x")</calculatedColumnFormula>
    </tableColumn>
    <tableColumn id="18" xr3:uid="{1B44B372-E17A-4E58-BE40-EB056433985A}" name="Song 2" dataDxfId="1199">
      <calculatedColumnFormula>IF(May_2026_SotM[[#This Row],[Num]]&gt;=$A$77, "-", IF(May_2026_SotM[[#This Row],[Initial 2]], VLOOKUP(May_2026_SotM[[#This Row],[Low Seed]], $Z$78:$AE$93, 6, FALSE), OFFSET(May_2026_SotM[[#This Row],[Winner]], 2*(May_2026_SotM[[#This Row],[Max Seed]]-May_2026_SotM[[#This Row],[Low Seed]])+1, 0)))</calculatedColumnFormula>
    </tableColumn>
    <tableColumn id="19" xr3:uid="{45E65A44-DBB8-4C89-97C2-867BB3B262C5}" name="H " dataDxfId="1198"/>
    <tableColumn id="20" xr3:uid="{A3C9AD41-E30A-4F03-9FE7-28AA6058091B}" name="S " dataDxfId="1197"/>
    <tableColumn id="21" xr3:uid="{BD7890EE-FB15-4B17-AE11-8D6A5A2B911A}" name="L " dataDxfId="1196"/>
    <tableColumn id="22" xr3:uid="{AF92A1F6-C66A-401D-BEDC-CCAD76C020EF}" name="D " dataDxfId="1195"/>
    <tableColumn id="23" xr3:uid="{58092A98-37F9-407B-B2E4-D2FF29484BF4}" name="J " dataDxfId="1194"/>
    <tableColumn id="24" xr3:uid="{5A7747C6-CD7B-43B3-96E0-8F2350972803}" name="Remaining" dataDxfId="1193">
      <calculatedColumnFormula>IF(OR(May_2026_SotM[[#This Row],[Song 1]]="TBD", May_2026_SotM[[#This Row],[Song 2]]="TBD"), "TBD", _xlfn.CONCAT(IF(_xlfn.XOR(ISBLANK(May_2026_SotM[[#This Row],[J]]), ISBLANK(May_2026_SotM[[#This Row],[J ]])), "", "J "), IF(_xlfn.XOR(ISBLANK(May_2026_SotM[[#This Row],[D]]), ISBLANK(May_2026_SotM[[#This Row],[D ]])), "", "D "), IF(_xlfn.XOR(ISBLANK(May_2026_SotM[[#This Row],[L]]), ISBLANK(May_2026_SotM[[#This Row],[L ]])), "", "L "), IF(_xlfn.XOR(ISBLANK(May_2026_SotM[[#This Row],[S]]), ISBLANK(May_2026_SotM[[#This Row],[S ]])), "", "S "), IF(_xlfn.XOR(ISBLANK(May_2026_SotM[[#This Row],[H]]), ISBLANK(May_2026_SotM[[#This Row],[H ]])), "", "H ")))</calculatedColumnFormula>
    </tableColumn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956BEC0D-BD2E-48A2-9A22-0810D0B05510}" name="Jun_2026_SotM" displayName="Jun_2026_SotM" ref="A96:X113" totalsRowShown="0" headerRowDxfId="1192" headerRowBorderDxfId="1191" tableBorderDxfId="1190" totalsRowBorderDxfId="1189">
  <autoFilter ref="A96:X113" xr:uid="{B906EEB7-88EC-4761-9692-39AEFC9A7FD4}"/>
  <tableColumns count="24">
    <tableColumn id="1" xr3:uid="{F7739EC3-1E49-4B33-94D6-7129459FDD43}" name="Description" dataDxfId="1188">
      <calculatedColumnFormula>_xlfn.CONCAT("Seed ", Jun_2026_SotM[[#This Row],[Top Seed]], " vs ",Jun_2026_SotM[[#This Row],[Low Seed]])</calculatedColumnFormula>
    </tableColumn>
    <tableColumn id="2" xr3:uid="{4E078730-CECA-4F54-BFE7-1A716591F232}" name="Num" dataDxfId="1187"/>
    <tableColumn id="3" xr3:uid="{09E01249-358B-452D-A4F9-317100C2CE98}" name="Round" dataDxfId="1186">
      <calculatedColumnFormula>FLOOR(LOG(Jun_2026_SotM[[#This Row],[Num]], 2), 1)</calculatedColumnFormula>
    </tableColumn>
    <tableColumn id="4" xr3:uid="{DB7E5253-B892-4F6B-9565-6F51C6733D62}" name="Max Seed" dataDxfId="1185">
      <calculatedColumnFormula>2^(Jun_2026_SotM[[#This Row],[Round]]+1)</calculatedColumnFormula>
    </tableColumn>
    <tableColumn id="5" xr3:uid="{008B7B9B-D8E8-4A37-B5EE-E256AD8BB6E7}" name="Top Seed" dataDxfId="1184">
      <calculatedColumnFormula>Jun_2026_SotM[[#This Row],[Max Seed]]-Jun_2026_SotM[[#This Row],[Num]]</calculatedColumnFormula>
    </tableColumn>
    <tableColumn id="6" xr3:uid="{D8A5B59F-A54D-4521-A743-B1907850B0EE}" name="Low Seed" dataDxfId="1183">
      <calculatedColumnFormula>Jun_2026_SotM[[#This Row],[Max Seed]]-Jun_2026_SotM[[#This Row],[Top Seed]]+1</calculatedColumnFormula>
    </tableColumn>
    <tableColumn id="7" xr3:uid="{E0305AA3-D40A-4182-9089-20C96BA08F92}" name="Initial 1" dataDxfId="1182">
      <calculatedColumnFormula>IF(Jun_2026_SotM[[#This Row],[Round]]=$C$95, TRUE(), IF(Jun_2026_SotM[[#This Row],[Round]]=$B$95, Jun_2026_SotM[[#This Row],[Top Seed]]&lt;=2*Jun_2026_SotM[[#This Row],[Max Seed]]-$A$95, FALSE()))</calculatedColumnFormula>
    </tableColumn>
    <tableColumn id="8" xr3:uid="{089C8BE3-5B1F-407C-8C25-B60626C3D5DC}" name="Initial 2" dataDxfId="1181">
      <calculatedColumnFormula>IF(Jun_2026_SotM[[#This Row],[Round]]=$C$95, TRUE(), IF(Jun_2026_SotM[[#This Row],[Round]]=$B$95, Jun_2026_SotM[[#This Row],[Low Seed]]&lt;=2*Jun_2026_SotM[[#This Row],[Max Seed]]-$A$95, FALSE()))</calculatedColumnFormula>
    </tableColumn>
    <tableColumn id="9" xr3:uid="{61866816-3B85-4A30-8ED0-B271695FBF4C}" name="J" dataDxfId="1180"/>
    <tableColumn id="10" xr3:uid="{591E8666-9FA5-4B04-9C2B-D866523012C3}" name="D" dataDxfId="1179"/>
    <tableColumn id="11" xr3:uid="{1960D630-FDEF-4E07-A7E7-B96628B6E8FA}" name="L" dataDxfId="1178"/>
    <tableColumn id="12" xr3:uid="{AD221D81-333E-4338-B27B-4448023E0232}" name="S" dataDxfId="1177"/>
    <tableColumn id="13" xr3:uid="{3B8C7DB5-63D8-4F01-A4B7-49F332B631B2}" name="H" dataDxfId="1176"/>
    <tableColumn id="14" xr3:uid="{C73A82D9-FA89-435C-9169-6954E64606C0}" name="Song 1" dataDxfId="1175">
      <calculatedColumnFormula>IF(Jun_2026_SotM[[#This Row],[Num]]&gt;=$A$95, "-", IF(Jun_2026_SotM[[#This Row],[Initial 1]], VLOOKUP(Jun_2026_SotM[[#This Row],[Top Seed]], $Z$96:$AE$113, 6, FALSE), OFFSET(Jun_2026_SotM[[#This Row],[Winner]], Jun_2026_SotM[[#This Row],[Max Seed]], 0)))</calculatedColumnFormula>
    </tableColumn>
    <tableColumn id="15" xr3:uid="{1B92B463-081A-4EDA-9C25-7D58A04FC85C}" name="Score 1" dataDxfId="1174">
      <calculatedColumnFormula>COUNTIF(Jun_2026_SotM[[#This Row],[J]:[H]],"x")</calculatedColumnFormula>
    </tableColumn>
    <tableColumn id="16" xr3:uid="{0DB89197-0A59-49D0-A0C8-9968BF01AEF4}" name="Winner" dataDxfId="1173">
      <calculatedColumnFormula>IF(Jun_2026_SotM[[#This Row],[Num]]&gt;=$A$95, "-", IF(Jun_2026_SotM[[#This Row],[Score 1]]&gt;=3, Jun_2026_SotM[[#This Row],[Song 1]], IF(Jun_2026_SotM[[#This Row],[Score 2]]&gt;=3, Jun_2026_SotM[[#This Row],[Song 2]], "TBD")))</calculatedColumnFormula>
    </tableColumn>
    <tableColumn id="17" xr3:uid="{E0453BAC-20E0-4665-ABD2-14F0FEF9D066}" name="Score 2" dataDxfId="1172">
      <calculatedColumnFormula>COUNTIF(Jun_2026_SotM[[#This Row],[H ]:[J ]],"x")</calculatedColumnFormula>
    </tableColumn>
    <tableColumn id="18" xr3:uid="{AABDA4C6-9675-40D2-8A41-6B5212BF6DDA}" name="Song 2" dataDxfId="1171">
      <calculatedColumnFormula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calculatedColumnFormula>
    </tableColumn>
    <tableColumn id="19" xr3:uid="{94627AEC-6837-44DC-8C03-F14565D7161F}" name="H " dataDxfId="1170"/>
    <tableColumn id="20" xr3:uid="{9D663442-4747-44AA-8687-AAA6E8EC61B0}" name="S " dataDxfId="1169"/>
    <tableColumn id="21" xr3:uid="{B6BA9ED2-9B4A-4FC0-8B6C-51D1437C41AE}" name="L " dataDxfId="1168"/>
    <tableColumn id="22" xr3:uid="{658596CA-14A4-4ACB-9FF7-8B84CCE07B8D}" name="D " dataDxfId="1167"/>
    <tableColumn id="23" xr3:uid="{AA0F9713-2838-469F-980E-C6C1FFF48034}" name="J " dataDxfId="1166"/>
    <tableColumn id="24" xr3:uid="{54CD3FEC-A81D-4216-9D27-CC6D95B571C5}" name="Remaining" dataDxfId="1165">
      <calculatedColumnFormula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calculatedColumnFormula>
    </tableColumn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8397926E-0745-4F91-B13F-7B78B79B6616}" name="Jul_2026_SotM" displayName="Jul_2026_SotM" ref="A116:X133" totalsRowShown="0" headerRowDxfId="1164" headerRowBorderDxfId="1163" tableBorderDxfId="1162" totalsRowBorderDxfId="1161">
  <autoFilter ref="A116:X133" xr:uid="{ED317532-12F3-42B0-AE73-4540C126C298}"/>
  <tableColumns count="24">
    <tableColumn id="1" xr3:uid="{B9479292-0C61-4399-88E1-B2ABFD55D239}" name="Description" dataDxfId="1160">
      <calculatedColumnFormula>_xlfn.CONCAT("Seed ", Jul_2026_SotM[[#This Row],[Top Seed]], " vs ",Jul_2026_SotM[[#This Row],[Low Seed]])</calculatedColumnFormula>
    </tableColumn>
    <tableColumn id="2" xr3:uid="{F448E04B-91DA-47BC-94F1-4B2472F3704C}" name="Num" dataDxfId="1159"/>
    <tableColumn id="3" xr3:uid="{5EDB95F4-F747-4502-BC0A-22E5097FEACE}" name="Round" dataDxfId="1158">
      <calculatedColumnFormula>FLOOR(LOG(Jul_2026_SotM[[#This Row],[Num]], 2), 1)</calculatedColumnFormula>
    </tableColumn>
    <tableColumn id="4" xr3:uid="{F31C119A-54A7-41BF-B8E1-E76B30958F29}" name="Max Seed" dataDxfId="1157">
      <calculatedColumnFormula>2^(Jul_2026_SotM[[#This Row],[Round]]+1)</calculatedColumnFormula>
    </tableColumn>
    <tableColumn id="5" xr3:uid="{8379E6E3-7B8F-40D2-9705-972F50B03C2F}" name="Top Seed" dataDxfId="1156">
      <calculatedColumnFormula>Jul_2026_SotM[[#This Row],[Max Seed]]-Jul_2026_SotM[[#This Row],[Num]]</calculatedColumnFormula>
    </tableColumn>
    <tableColumn id="6" xr3:uid="{920D018C-426C-446C-ABC9-DD38254A7141}" name="Low Seed" dataDxfId="1155">
      <calculatedColumnFormula>Jul_2026_SotM[[#This Row],[Max Seed]]-Jul_2026_SotM[[#This Row],[Top Seed]]+1</calculatedColumnFormula>
    </tableColumn>
    <tableColumn id="7" xr3:uid="{0A2771AE-C3B9-4B19-B48A-10B14ADCC321}" name="Initial 1" dataDxfId="1154">
      <calculatedColumnFormula>IF(Jul_2026_SotM[[#This Row],[Round]]=$C$115, TRUE(), IF(Jul_2026_SotM[[#This Row],[Round]]=$B$115, Jul_2026_SotM[[#This Row],[Top Seed]]&lt;=2*Jul_2026_SotM[[#This Row],[Max Seed]]-$A$115, FALSE()))</calculatedColumnFormula>
    </tableColumn>
    <tableColumn id="8" xr3:uid="{9789B467-408B-440F-B4AE-3E9B5979471E}" name="Initial 2" dataDxfId="1153">
      <calculatedColumnFormula>IF(Jul_2026_SotM[[#This Row],[Round]]=$C$115, TRUE(), IF(Jul_2026_SotM[[#This Row],[Round]]=$B$115, Jul_2026_SotM[[#This Row],[Low Seed]]&lt;=2*Jul_2026_SotM[[#This Row],[Max Seed]]-$A$115, FALSE()))</calculatedColumnFormula>
    </tableColumn>
    <tableColumn id="9" xr3:uid="{88507960-65A4-4084-AA49-69DB183B9040}" name="J" dataDxfId="1152"/>
    <tableColumn id="10" xr3:uid="{35A290AA-5C6F-4F4E-AA88-E6F709A70F98}" name="D" dataDxfId="1151"/>
    <tableColumn id="11" xr3:uid="{72407BE2-B02A-4B9C-A950-FEC9D749EADB}" name="L" dataDxfId="1150"/>
    <tableColumn id="12" xr3:uid="{1F2703CF-6737-4D5D-992C-170DFF9670CD}" name="S" dataDxfId="1149"/>
    <tableColumn id="13" xr3:uid="{8B3EB782-BB8D-4F12-BF98-2633E7D46F26}" name="H" dataDxfId="1148"/>
    <tableColumn id="14" xr3:uid="{960A3F5A-3EB4-4901-B5BD-864A345A44E3}" name="Song 1" dataDxfId="1147">
      <calculatedColumnFormula>IF(Jul_2026_SotM[[#This Row],[Num]]&gt;=$A$115, "-", IF(Jul_2026_SotM[[#This Row],[Initial 1]], VLOOKUP(Jul_2026_SotM[[#This Row],[Top Seed]], $Z$116:$AE$133, 6, FALSE), OFFSET(Jul_2026_SotM[[#This Row],[Winner]], Jul_2026_SotM[[#This Row],[Max Seed]], 0)))</calculatedColumnFormula>
    </tableColumn>
    <tableColumn id="15" xr3:uid="{9EDC29CE-632C-4A52-AA45-69CA0FB64CBE}" name="Score 1" dataDxfId="1146">
      <calculatedColumnFormula>COUNTIF(Jul_2026_SotM[[#This Row],[J]:[H]],"x")</calculatedColumnFormula>
    </tableColumn>
    <tableColumn id="16" xr3:uid="{24A8717D-6866-415C-8A55-D77109D43DD2}" name="Winner" dataDxfId="1145">
      <calculatedColumnFormula>IF(Jul_2026_SotM[[#This Row],[Num]]&gt;=$A$115, "-", IF(Jul_2026_SotM[[#This Row],[Score 1]]&gt;=3, Jul_2026_SotM[[#This Row],[Song 1]], IF(Jul_2026_SotM[[#This Row],[Score 2]]&gt;=3, Jul_2026_SotM[[#This Row],[Song 2]], "TBD")))</calculatedColumnFormula>
    </tableColumn>
    <tableColumn id="17" xr3:uid="{2C2F7D4C-DCE5-405D-BF33-A8955A2AE6BE}" name="Score 2" dataDxfId="1144">
      <calculatedColumnFormula>COUNTIF(Jul_2026_SotM[[#This Row],[H ]:[J ]],"x")</calculatedColumnFormula>
    </tableColumn>
    <tableColumn id="18" xr3:uid="{CBD1DFDC-31FF-4607-9F64-490F335A12A7}" name="Song 2" dataDxfId="1143">
      <calculatedColumnFormula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calculatedColumnFormula>
    </tableColumn>
    <tableColumn id="19" xr3:uid="{64238CCE-FE37-4C57-83DA-7AD797D5238B}" name="H " dataDxfId="1142"/>
    <tableColumn id="20" xr3:uid="{C4A9196E-ABE8-47D4-8203-32E2A7BA6776}" name="S " dataDxfId="1141"/>
    <tableColumn id="21" xr3:uid="{46C489E1-DC31-47FA-BAC4-95C2F67EB30B}" name="L " dataDxfId="1140"/>
    <tableColumn id="22" xr3:uid="{3002F50D-1133-40B3-B8EA-33FE65729418}" name="D " dataDxfId="1139"/>
    <tableColumn id="23" xr3:uid="{918FF41C-1F99-4127-AEA7-8EFB82FA1294}" name="J " dataDxfId="1138"/>
    <tableColumn id="24" xr3:uid="{83C316EB-6F4E-4466-A9DD-FB98005AE737}" name="Remaining" dataDxfId="1137">
      <calculatedColumnFormula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calculatedColumnFormula>
    </tableColumn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44AF9F3-DA90-4B6F-BCDD-1CB8B8FDBCAA}" name="Aug_2026_SotM" displayName="Aug_2026_SotM" ref="A136:X152" totalsRowShown="0" headerRowDxfId="1136" headerRowBorderDxfId="1135">
  <autoFilter ref="A136:X152" xr:uid="{C8B8297D-D6DC-47DE-93B5-E85B3970999D}"/>
  <tableColumns count="24">
    <tableColumn id="1" xr3:uid="{C4C7DAF6-AF11-4C92-9D0A-07266AE3A434}" name="Description" dataDxfId="1134">
      <calculatedColumnFormula>_xlfn.CONCAT("Seed ", Aug_2026_SotM[[#This Row],[Top Seed]], " vs ",Aug_2026_SotM[[#This Row],[Low Seed]])</calculatedColumnFormula>
    </tableColumn>
    <tableColumn id="2" xr3:uid="{7766F891-7351-4B1C-8AE0-E18573C4E273}" name="Num" dataDxfId="1133"/>
    <tableColumn id="3" xr3:uid="{F722B8CD-9FA1-4D74-846D-8FA7A43111A0}" name="Round" dataDxfId="1132">
      <calculatedColumnFormula>FLOOR(LOG(Aug_2026_SotM[[#This Row],[Num]], 2), 1)</calculatedColumnFormula>
    </tableColumn>
    <tableColumn id="4" xr3:uid="{8B2F40D6-AF68-445C-95E1-4516C24E17C3}" name="Max Seed" dataDxfId="1131">
      <calculatedColumnFormula>2^(Aug_2026_SotM[[#This Row],[Round]]+1)</calculatedColumnFormula>
    </tableColumn>
    <tableColumn id="5" xr3:uid="{C1BCD005-5929-4BC6-988A-07077B807A94}" name="Top Seed" dataDxfId="1130">
      <calculatedColumnFormula>Aug_2026_SotM[[#This Row],[Max Seed]]-Aug_2026_SotM[[#This Row],[Num]]</calculatedColumnFormula>
    </tableColumn>
    <tableColumn id="6" xr3:uid="{22BFFAFC-C7CB-4FA0-B857-B6C096FB1FAB}" name="Low Seed" dataDxfId="1129">
      <calculatedColumnFormula>Aug_2026_SotM[[#This Row],[Max Seed]]-Aug_2026_SotM[[#This Row],[Top Seed]]+1</calculatedColumnFormula>
    </tableColumn>
    <tableColumn id="7" xr3:uid="{02829997-E571-445C-908F-9B29C7FC2EDF}" name="Initial 1" dataDxfId="1128">
      <calculatedColumnFormula>IF(Aug_2026_SotM[[#This Row],[Round]]=$C$135, TRUE(), IF(Aug_2026_SotM[[#This Row],[Round]]=$B$135, Aug_2026_SotM[[#This Row],[Top Seed]]&lt;=2*Aug_2026_SotM[[#This Row],[Max Seed]]-$A$135, FALSE()))</calculatedColumnFormula>
    </tableColumn>
    <tableColumn id="8" xr3:uid="{9572D194-56BF-46BD-B8D1-C0C1A94F6FFE}" name="Initial 2" dataDxfId="1127">
      <calculatedColumnFormula>IF(Aug_2026_SotM[[#This Row],[Round]]=$C$135, TRUE(), IF(Aug_2026_SotM[[#This Row],[Round]]=$B$135, Aug_2026_SotM[[#This Row],[Low Seed]]&lt;=2*Aug_2026_SotM[[#This Row],[Max Seed]]-$A$135, FALSE()))</calculatedColumnFormula>
    </tableColumn>
    <tableColumn id="9" xr3:uid="{2B188909-833A-4387-9704-4A8730E23F05}" name="J" dataDxfId="1126"/>
    <tableColumn id="10" xr3:uid="{3FDCA99A-89F6-4420-88B4-FF642E280031}" name="D" dataDxfId="1125"/>
    <tableColumn id="11" xr3:uid="{95B90CDC-9013-4D86-926A-B5B83F4A8724}" name="L" dataDxfId="1124"/>
    <tableColumn id="12" xr3:uid="{24AD347E-7384-443A-9658-05905AF1A7D7}" name="S" dataDxfId="1123"/>
    <tableColumn id="13" xr3:uid="{14B10C5F-C2A0-47B9-A9F1-65BC13DE87E4}" name="H" dataDxfId="1122"/>
    <tableColumn id="14" xr3:uid="{ED00971A-3E99-4ED5-8A77-B78641DF1E2D}" name="Song 1" dataDxfId="1121">
      <calculatedColumnFormula>IF(Aug_2026_SotM[[#This Row],[Num]]&gt;=$A$135, "-", IF(Aug_2026_SotM[[#This Row],[Initial 1]], VLOOKUP(Aug_2026_SotM[[#This Row],[Top Seed]], $Z$136:$AE$151, 6, FALSE), OFFSET(Aug_2026_SotM[[#This Row],[Winner]], Aug_2026_SotM[[#This Row],[Max Seed]], 0)))</calculatedColumnFormula>
    </tableColumn>
    <tableColumn id="15" xr3:uid="{220A61BC-D8AA-4F15-BA27-E5AB148D2F54}" name="Score 1" dataDxfId="1120">
      <calculatedColumnFormula>COUNTIF(Aug_2026_SotM[[#This Row],[J]:[H]],"x")</calculatedColumnFormula>
    </tableColumn>
    <tableColumn id="16" xr3:uid="{8A7BCDDD-BEAA-4EC0-838E-C09CCCDEE942}" name="Winner" dataDxfId="1119">
      <calculatedColumnFormula>IF(Aug_2026_SotM[[#This Row],[Num]]&gt;=$A$135, "-", IF(Aug_2026_SotM[[#This Row],[Score 1]]&gt;=3, Aug_2026_SotM[[#This Row],[Song 1]], IF(Aug_2026_SotM[[#This Row],[Score 2]]&gt;=3, Aug_2026_SotM[[#This Row],[Song 2]], "TBD")))</calculatedColumnFormula>
    </tableColumn>
    <tableColumn id="17" xr3:uid="{FDB6C699-02CB-44CC-B189-08C509E6FF3F}" name="Score 2" dataDxfId="1118">
      <calculatedColumnFormula>COUNTIF(Aug_2026_SotM[[#This Row],[H ]:[J ]],"x")</calculatedColumnFormula>
    </tableColumn>
    <tableColumn id="18" xr3:uid="{3F06FB27-D089-4709-9884-A4DE52A9B72F}" name="Song 2" dataDxfId="1117">
      <calculatedColumnFormula>IF(Aug_2026_SotM[[#This Row],[Num]]&gt;=$A$135, "-", IF(Aug_2026_SotM[[#This Row],[Initial 2]], VLOOKUP(Aug_2026_SotM[[#This Row],[Low Seed]], $Z$136:$AE$151, 6, FALSE), OFFSET(Aug_2026_SotM[[#This Row],[Winner]], 2*(Aug_2026_SotM[[#This Row],[Max Seed]]-Aug_2026_SotM[[#This Row],[Low Seed]])+1, 0)))</calculatedColumnFormula>
    </tableColumn>
    <tableColumn id="19" xr3:uid="{02C0802B-CACA-4B4E-9626-F38BBCA2E5CF}" name="H " dataDxfId="1116"/>
    <tableColumn id="20" xr3:uid="{926B60A3-88BC-41A2-BDA0-0093662A72EF}" name="S " dataDxfId="1115"/>
    <tableColumn id="21" xr3:uid="{C6D9BC24-940B-479F-8B4B-2426FF0AE5FD}" name="L " dataDxfId="1114"/>
    <tableColumn id="22" xr3:uid="{8E21A13F-FB5E-411B-8CEF-78AAB82844B0}" name="D " dataDxfId="1113"/>
    <tableColumn id="23" xr3:uid="{01123360-7AFF-471C-8FC0-60C2DC04CBFC}" name="J " dataDxfId="1112"/>
    <tableColumn id="24" xr3:uid="{77302021-D805-43C6-BEB0-2F5E60AFE158}" name="Remaining" dataDxfId="1111">
      <calculatedColumnFormula>IF(OR(Aug_2026_SotM[[#This Row],[Song 1]]="TBD", Aug_2026_SotM[[#This Row],[Song 2]]="TBD"), "TBD", _xlfn.CONCAT(IF(_xlfn.XOR(ISBLANK(Aug_2026_SotM[[#This Row],[J]]), ISBLANK(Aug_2026_SotM[[#This Row],[J ]])), "", "J "), IF(_xlfn.XOR(ISBLANK(Aug_2026_SotM[[#This Row],[D]]), ISBLANK(Aug_2026_SotM[[#This Row],[D ]])), "", "D "), IF(_xlfn.XOR(ISBLANK(Aug_2026_SotM[[#This Row],[L]]), ISBLANK(Aug_2026_SotM[[#This Row],[L ]])), "", "L "), IF(_xlfn.XOR(ISBLANK(Aug_2026_SotM[[#This Row],[S]]), ISBLANK(Aug_2026_SotM[[#This Row],[S ]])), "", "S "), IF(_xlfn.XOR(ISBLANK(Aug_2026_SotM[[#This Row],[H]]), ISBLANK(Aug_2026_SotM[[#This Row],[H ]])), "", "H ")))</calculatedColumnFormula>
    </tableColumn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C8FEDF08-E0F4-4422-98DC-402AB76FDDDD}" name="Sep_2026_SotM" displayName="Sep_2026_SotM" ref="A155:X172" totalsRowShown="0" headerRowDxfId="1110" headerRowBorderDxfId="1109">
  <autoFilter ref="A155:X172" xr:uid="{8C1D5868-D8BB-4E2F-8296-99A81D2BFB4F}"/>
  <tableColumns count="24">
    <tableColumn id="1" xr3:uid="{149049E8-8266-4438-BDE3-B58F01F81571}" name="Description" dataDxfId="1108">
      <calculatedColumnFormula>_xlfn.CONCAT("Seed ", Sep_2026_SotM[[#This Row],[Top Seed]], " vs ",Sep_2026_SotM[[#This Row],[Low Seed]])</calculatedColumnFormula>
    </tableColumn>
    <tableColumn id="2" xr3:uid="{9878F568-5570-4574-A056-2E129619E28D}" name="Num" dataDxfId="1107"/>
    <tableColumn id="3" xr3:uid="{165CCF30-7346-4DB9-A598-7333AC2D188C}" name="Round" dataDxfId="1106">
      <calculatedColumnFormula>FLOOR(LOG(Sep_2026_SotM[[#This Row],[Num]], 2), 1)</calculatedColumnFormula>
    </tableColumn>
    <tableColumn id="4" xr3:uid="{499C68B7-22CD-4313-B1E8-121DD970E087}" name="Max Seed" dataDxfId="1105">
      <calculatedColumnFormula>2^(Sep_2026_SotM[[#This Row],[Round]]+1)</calculatedColumnFormula>
    </tableColumn>
    <tableColumn id="5" xr3:uid="{286DA4B5-5051-4B3A-B666-15566591160B}" name="Top Seed" dataDxfId="1104">
      <calculatedColumnFormula>Sep_2026_SotM[[#This Row],[Max Seed]]-Sep_2026_SotM[[#This Row],[Num]]</calculatedColumnFormula>
    </tableColumn>
    <tableColumn id="6" xr3:uid="{887A83D9-96F9-4033-B269-8E35EF3194C8}" name="Low Seed" dataDxfId="1103">
      <calculatedColumnFormula>Sep_2026_SotM[[#This Row],[Max Seed]]-Sep_2026_SotM[[#This Row],[Top Seed]]+1</calculatedColumnFormula>
    </tableColumn>
    <tableColumn id="7" xr3:uid="{AE89B2A4-B287-4EDC-A7FF-F78E99A300AF}" name="Initial 1" dataDxfId="1102">
      <calculatedColumnFormula>IF(Sep_2026_SotM[[#This Row],[Round]]=$C$154, TRUE(), IF(Sep_2026_SotM[[#This Row],[Round]]=$B$154, Sep_2026_SotM[[#This Row],[Top Seed]]&lt;=2*Sep_2026_SotM[[#This Row],[Max Seed]]-$A$154, FALSE()))</calculatedColumnFormula>
    </tableColumn>
    <tableColumn id="8" xr3:uid="{0E3FAE36-0717-4B18-A76E-F251A4C3F3FC}" name="Initial 2" dataDxfId="1101">
      <calculatedColumnFormula>IF(Sep_2026_SotM[[#This Row],[Round]]=$C$154, TRUE(), IF(Sep_2026_SotM[[#This Row],[Round]]=$B$154, Sep_2026_SotM[[#This Row],[Low Seed]]&lt;=2*Sep_2026_SotM[[#This Row],[Max Seed]]-$A$154, FALSE()))</calculatedColumnFormula>
    </tableColumn>
    <tableColumn id="9" xr3:uid="{0994A617-39FD-4FA7-A349-974D1AD39C6C}" name="J" dataDxfId="1100"/>
    <tableColumn id="10" xr3:uid="{817CFECF-9A3A-4D97-8628-6FFA0D633241}" name="D" dataDxfId="1099"/>
    <tableColumn id="11" xr3:uid="{ABD0176C-E7B7-4617-8E15-E9027E82424E}" name="L" dataDxfId="1098"/>
    <tableColumn id="12" xr3:uid="{9C810D5D-EEBC-4EF6-A940-B936508DBC88}" name="S" dataDxfId="1097"/>
    <tableColumn id="13" xr3:uid="{7EA0E98A-21EC-46A1-960C-FD67F94441D4}" name="H" dataDxfId="1096"/>
    <tableColumn id="14" xr3:uid="{890C027C-4E50-4DF9-B17F-67BBDF888BDA}" name="Song 1" dataDxfId="1095">
      <calculatedColumnFormula>IF(Sep_2026_SotM[[#This Row],[Num]]&gt;=$A$154, "-", IF(Sep_2026_SotM[[#This Row],[Initial 1]], VLOOKUP(Sep_2026_SotM[[#This Row],[Top Seed]], $Z$155:$AE$172, 6, FALSE), OFFSET(Sep_2026_SotM[[#This Row],[Winner]], Sep_2026_SotM[[#This Row],[Max Seed]], 0)))</calculatedColumnFormula>
    </tableColumn>
    <tableColumn id="15" xr3:uid="{2726081F-BF54-495D-A89E-09E256AED4DF}" name="Score 1" dataDxfId="1094">
      <calculatedColumnFormula>COUNTIF(Sep_2026_SotM[[#This Row],[J]:[H]],"x")</calculatedColumnFormula>
    </tableColumn>
    <tableColumn id="16" xr3:uid="{CC89B96D-D1A0-4B73-862F-0A2951A19C54}" name="Winner" dataDxfId="1093">
      <calculatedColumnFormula>IF(Sep_2026_SotM[[#This Row],[Num]]&gt;=$A$154, "-", IF(Sep_2026_SotM[[#This Row],[Score 1]]&gt;=3, Sep_2026_SotM[[#This Row],[Song 1]], IF(Sep_2026_SotM[[#This Row],[Score 2]]&gt;=3, Sep_2026_SotM[[#This Row],[Song 2]], "TBD")))</calculatedColumnFormula>
    </tableColumn>
    <tableColumn id="17" xr3:uid="{EC9D2DB5-A43A-48FE-AE08-340CE260F9C2}" name="Score 2" dataDxfId="1092">
      <calculatedColumnFormula>COUNTIF(Sep_2026_SotM[[#This Row],[H ]:[J ]],"x")</calculatedColumnFormula>
    </tableColumn>
    <tableColumn id="18" xr3:uid="{7254E495-2E1D-4F0F-86CB-36F937616B5E}" name="Song 2" dataDxfId="1091">
      <calculatedColumnFormula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calculatedColumnFormula>
    </tableColumn>
    <tableColumn id="19" xr3:uid="{9750D691-BCD1-4CAF-A6E3-47698469CD7B}" name="H " dataDxfId="1090"/>
    <tableColumn id="20" xr3:uid="{AB8C94E0-0F6B-4D34-9B88-7C0AF2DA7C06}" name="S " dataDxfId="1089"/>
    <tableColumn id="21" xr3:uid="{0633D65A-070B-4C78-B1B2-DAAB0F475841}" name="L " dataDxfId="1088"/>
    <tableColumn id="22" xr3:uid="{09DEBC24-09A4-4E57-95D8-28F621D51E79}" name="D " dataDxfId="1087"/>
    <tableColumn id="23" xr3:uid="{F985C641-0292-439D-9C96-71D7E0D93C7D}" name="J " dataDxfId="1086"/>
    <tableColumn id="24" xr3:uid="{823BA10A-896E-41FB-98CE-BA345E8DA092}" name="Remaining" dataDxfId="1085">
      <calculatedColumnFormula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calculatedColumnFormula>
    </tableColumn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99B4524D-CE8F-462C-A646-69F2567B76FC}" name="Oct_2026_SotM" displayName="Oct_2026_SotM" ref="A175:X191" totalsRowShown="0" headerRowDxfId="1084" headerRowBorderDxfId="1083">
  <autoFilter ref="A175:X191" xr:uid="{0B728727-FB0A-4846-AE50-426AFF6272B5}"/>
  <tableColumns count="24">
    <tableColumn id="1" xr3:uid="{E7C9E240-86FE-4341-8202-A18A840CD235}" name="Description" dataDxfId="1082">
      <calculatedColumnFormula>_xlfn.CONCAT("Seed ", Oct_2026_SotM[[#This Row],[Top Seed]], " vs ",Oct_2026_SotM[[#This Row],[Low Seed]])</calculatedColumnFormula>
    </tableColumn>
    <tableColumn id="2" xr3:uid="{D517CE6C-D0A4-405C-A611-50234E06ADCE}" name="Num" dataDxfId="1081"/>
    <tableColumn id="3" xr3:uid="{04891C9B-B5B5-4A96-8AE5-2D688ACA153E}" name="Round" dataDxfId="1080">
      <calculatedColumnFormula>FLOOR(LOG(Oct_2026_SotM[[#This Row],[Num]], 2), 1)</calculatedColumnFormula>
    </tableColumn>
    <tableColumn id="4" xr3:uid="{53C56951-6017-4276-850D-03C81D2091F7}" name="Max Seed" dataDxfId="1079">
      <calculatedColumnFormula>2^(Oct_2026_SotM[[#This Row],[Round]]+1)</calculatedColumnFormula>
    </tableColumn>
    <tableColumn id="5" xr3:uid="{7678367D-EB29-41C5-9BCD-74771E679C6F}" name="Top Seed" dataDxfId="1078">
      <calculatedColumnFormula>Oct_2026_SotM[[#This Row],[Max Seed]]-Oct_2026_SotM[[#This Row],[Num]]</calculatedColumnFormula>
    </tableColumn>
    <tableColumn id="6" xr3:uid="{2DA71820-904F-48D9-A668-233C8BB9859F}" name="Low Seed" dataDxfId="1077">
      <calculatedColumnFormula>Oct_2026_SotM[[#This Row],[Max Seed]]-Oct_2026_SotM[[#This Row],[Top Seed]]+1</calculatedColumnFormula>
    </tableColumn>
    <tableColumn id="7" xr3:uid="{5F2E02FC-22DC-400B-AA84-9CF76B185F07}" name="Initial 1" dataDxfId="1076">
      <calculatedColumnFormula>IF(Oct_2026_SotM[[#This Row],[Round]]=$C$174, TRUE(), IF(Oct_2026_SotM[[#This Row],[Round]]=$B$174, Oct_2026_SotM[[#This Row],[Top Seed]]&lt;=2*Oct_2026_SotM[[#This Row],[Max Seed]]-$A$174, FALSE()))</calculatedColumnFormula>
    </tableColumn>
    <tableColumn id="8" xr3:uid="{2F5F8373-7EDA-4AF3-BF01-E272F9A48D83}" name="Initial 2" dataDxfId="1075">
      <calculatedColumnFormula>IF(Oct_2026_SotM[[#This Row],[Round]]=$C$174, TRUE(), IF(Oct_2026_SotM[[#This Row],[Round]]=$B$174, Oct_2026_SotM[[#This Row],[Low Seed]]&lt;=2*Oct_2026_SotM[[#This Row],[Max Seed]]-$A$174, FALSE()))</calculatedColumnFormula>
    </tableColumn>
    <tableColumn id="9" xr3:uid="{5DC554E4-432E-4AF9-91A1-A898F79B52FC}" name="J" dataDxfId="1074"/>
    <tableColumn id="10" xr3:uid="{896DDBDA-338D-4266-A1D3-4EE561936842}" name="D" dataDxfId="1073"/>
    <tableColumn id="11" xr3:uid="{0381BDE3-68A9-4063-9699-048FAE5A244E}" name="L" dataDxfId="1072"/>
    <tableColumn id="12" xr3:uid="{8D3E211E-1B8E-4125-8402-715626776C4E}" name="S" dataDxfId="1071"/>
    <tableColumn id="13" xr3:uid="{98F2A5FF-C0E3-4DC6-831E-FE953AEC157B}" name="H" dataDxfId="1070"/>
    <tableColumn id="14" xr3:uid="{E6BCE3C8-2B9A-4E1D-B7C0-9D95BC6F6DED}" name="Song 1" dataDxfId="1069">
      <calculatedColumnFormula>IF(Oct_2026_SotM[[#This Row],[Num]]&gt;=$A$174, "-", IF(Oct_2026_SotM[[#This Row],[Initial 1]], VLOOKUP(Oct_2026_SotM[[#This Row],[Top Seed]], $Z$175:$AE$191, 6, FALSE), OFFSET(Oct_2026_SotM[[#This Row],[Winner]], Oct_2026_SotM[[#This Row],[Max Seed]], 0)))</calculatedColumnFormula>
    </tableColumn>
    <tableColumn id="15" xr3:uid="{21276B9B-9158-44C0-AB43-83599EE512D4}" name="Score 1" dataDxfId="1068">
      <calculatedColumnFormula>COUNTIF(Oct_2026_SotM[[#This Row],[J]:[H]],"x")</calculatedColumnFormula>
    </tableColumn>
    <tableColumn id="16" xr3:uid="{50D1DC87-162F-4FEA-8EC7-FF6372712F1F}" name="Winner" dataDxfId="1067">
      <calculatedColumnFormula>IF(Oct_2026_SotM[[#This Row],[Num]]&gt;=$A$174, "-", IF(Oct_2026_SotM[[#This Row],[Score 1]]&gt;=3, Oct_2026_SotM[[#This Row],[Song 1]], IF(Oct_2026_SotM[[#This Row],[Score 2]]&gt;=3, Oct_2026_SotM[[#This Row],[Song 2]], "TBD")))</calculatedColumnFormula>
    </tableColumn>
    <tableColumn id="17" xr3:uid="{AA38480E-AB8C-4E68-92DF-D782C7AD80D0}" name="Score 2" dataDxfId="1066">
      <calculatedColumnFormula>COUNTIF(Oct_2026_SotM[[#This Row],[H ]:[J ]],"x")</calculatedColumnFormula>
    </tableColumn>
    <tableColumn id="18" xr3:uid="{161C148C-6800-4912-B1BB-A4E49ED02664}" name="Song 2" dataDxfId="1065">
      <calculatedColumnFormula>IF(Oct_2026_SotM[[#This Row],[Num]]&gt;=$A$174, "-", IF(Oct_2026_SotM[[#This Row],[Initial 2]], VLOOKUP(Oct_2026_SotM[[#This Row],[Low Seed]], $Z$175:$AE$191, 6, FALSE), OFFSET(Oct_2026_SotM[[#This Row],[Winner]], 2*(Oct_2026_SotM[[#This Row],[Max Seed]]-Oct_2026_SotM[[#This Row],[Low Seed]])+1, 0)))</calculatedColumnFormula>
    </tableColumn>
    <tableColumn id="19" xr3:uid="{45BC08EE-E7A7-42D8-9983-283BF766E73A}" name="H " dataDxfId="1064"/>
    <tableColumn id="20" xr3:uid="{5A044FF7-8E3E-4FAD-9737-FE7A6028EE09}" name="S " dataDxfId="1063"/>
    <tableColumn id="21" xr3:uid="{D8F996EB-8E09-45F4-AEB7-B9EFF9E4F5D3}" name="L " dataDxfId="1062"/>
    <tableColumn id="22" xr3:uid="{E29D6612-5C82-48DD-9D8C-79ADCD11F519}" name="D " dataDxfId="1061"/>
    <tableColumn id="23" xr3:uid="{D99466FC-0B13-4DEF-8561-1435E1771345}" name="J " dataDxfId="1060"/>
    <tableColumn id="24" xr3:uid="{1E401FFF-F2CE-4C8F-AE31-72608CA92E3F}" name="Remaining" dataDxfId="1059">
      <calculatedColumnFormula>IF(OR(Oct_2026_SotM[[#This Row],[Song 1]]="TBD", Oct_2026_SotM[[#This Row],[Song 2]]="TBD"), "TBD", _xlfn.CONCAT(IF(_xlfn.XOR(ISBLANK(Oct_2026_SotM[[#This Row],[J]]), ISBLANK(Oct_2026_SotM[[#This Row],[J ]])), "", "J "), IF(_xlfn.XOR(ISBLANK(Oct_2026_SotM[[#This Row],[D]]), ISBLANK(Oct_2026_SotM[[#This Row],[D ]])), "", "D "), IF(_xlfn.XOR(ISBLANK(Oct_2026_SotM[[#This Row],[L]]), ISBLANK(Oct_2026_SotM[[#This Row],[L ]])), "", "L "), IF(_xlfn.XOR(ISBLANK(Oct_2026_SotM[[#This Row],[S]]), ISBLANK(Oct_2026_SotM[[#This Row],[S ]])), "", "S "), IF(_xlfn.XOR(ISBLANK(Oct_2026_SotM[[#This Row],[H]]), ISBLANK(Oct_2026_SotM[[#This Row],[H ]])), "", "H ")))</calculatedColumnFormula>
    </tableColumn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F2E8F70-F2CD-416B-9016-E2672554EB0C}" name="Nov_2026_SotM" displayName="Nov_2026_SotM" ref="A194:X210" totalsRowShown="0" headerRowDxfId="1058" headerRowBorderDxfId="1057">
  <autoFilter ref="A194:X210" xr:uid="{E8C7BD23-6D37-4113-AC32-2145DEDF1D71}"/>
  <tableColumns count="24">
    <tableColumn id="1" xr3:uid="{0FA17EBF-F80C-4D7A-8B01-246235E88573}" name="Description" dataDxfId="1056">
      <calculatedColumnFormula>_xlfn.CONCAT("Seed ", Nov_2026_SotM[[#This Row],[Top Seed]], " vs ",Nov_2026_SotM[[#This Row],[Low Seed]])</calculatedColumnFormula>
    </tableColumn>
    <tableColumn id="2" xr3:uid="{38E0AF77-1044-4F8E-9434-F152CF24043C}" name="Num" dataDxfId="1055"/>
    <tableColumn id="3" xr3:uid="{CFC26C00-C9B4-4F93-A921-3115246CA354}" name="Round" dataDxfId="1054">
      <calculatedColumnFormula>FLOOR(LOG(Nov_2026_SotM[[#This Row],[Num]], 2), 1)</calculatedColumnFormula>
    </tableColumn>
    <tableColumn id="4" xr3:uid="{4E0ECA7D-93D1-491C-8394-5794532B1A30}" name="Max Seed" dataDxfId="1053">
      <calculatedColumnFormula>2^(Nov_2026_SotM[[#This Row],[Round]]+1)</calculatedColumnFormula>
    </tableColumn>
    <tableColumn id="5" xr3:uid="{AD0B7273-6C05-4EDE-92D5-8FCB9017AB5D}" name="Top Seed" dataDxfId="1052">
      <calculatedColumnFormula>Nov_2026_SotM[[#This Row],[Max Seed]]-Nov_2026_SotM[[#This Row],[Num]]</calculatedColumnFormula>
    </tableColumn>
    <tableColumn id="6" xr3:uid="{E61A36F1-ADF2-4380-BD43-A66E63A3AE4B}" name="Low Seed" dataDxfId="1051">
      <calculatedColumnFormula>Nov_2026_SotM[[#This Row],[Max Seed]]-Nov_2026_SotM[[#This Row],[Top Seed]]+1</calculatedColumnFormula>
    </tableColumn>
    <tableColumn id="7" xr3:uid="{5FFE76ED-92C0-499D-AEEB-DCDAB737E27D}" name="Initial 1" dataDxfId="1050">
      <calculatedColumnFormula>IF(Nov_2026_SotM[[#This Row],[Round]]=$C$193, TRUE(), IF(Nov_2026_SotM[[#This Row],[Round]]=$B$193, Nov_2026_SotM[[#This Row],[Top Seed]]&lt;=2*Nov_2026_SotM[[#This Row],[Max Seed]]-$A$193, FALSE()))</calculatedColumnFormula>
    </tableColumn>
    <tableColumn id="8" xr3:uid="{7FAACD79-E7AA-408B-BCDB-E33D5844A8FA}" name="Initial 2" dataDxfId="1049">
      <calculatedColumnFormula>IF(Nov_2026_SotM[[#This Row],[Round]]=$C$193, TRUE(), IF(Nov_2026_SotM[[#This Row],[Round]]=$B$193, Nov_2026_SotM[[#This Row],[Low Seed]]&lt;=2*Nov_2026_SotM[[#This Row],[Max Seed]]-$A$193, FALSE()))</calculatedColumnFormula>
    </tableColumn>
    <tableColumn id="9" xr3:uid="{E7CB528B-83B0-405E-A040-5F63E1E85E63}" name="J" dataDxfId="1048"/>
    <tableColumn id="10" xr3:uid="{B4D143CB-F6B8-4F56-B50E-BB48BDDF3B3D}" name="D" dataDxfId="1047"/>
    <tableColumn id="11" xr3:uid="{E6936C02-E135-463D-98E8-EE248D7EE941}" name="L" dataDxfId="1046"/>
    <tableColumn id="12" xr3:uid="{EF236D37-EA26-438A-B8D0-D4CDDCA149B7}" name="S" dataDxfId="1045"/>
    <tableColumn id="13" xr3:uid="{97052CFB-B2D9-438F-A42B-C1D1CA461848}" name="H" dataDxfId="1044"/>
    <tableColumn id="14" xr3:uid="{56618B33-342D-4BCF-A60F-58B1ED1F4755}" name="Song 1" dataDxfId="1043">
      <calculatedColumnFormula>IF(Nov_2026_SotM[[#This Row],[Num]]&gt;=$A$193, "-", IF(Nov_2026_SotM[[#This Row],[Initial 1]], VLOOKUP(Nov_2026_SotM[[#This Row],[Top Seed]], $Z$194:$AE$210, 6, FALSE), OFFSET(Nov_2026_SotM[[#This Row],[Winner]], Nov_2026_SotM[[#This Row],[Max Seed]], 0)))</calculatedColumnFormula>
    </tableColumn>
    <tableColumn id="15" xr3:uid="{FB41CE99-8CEF-408B-AB8D-B4A6ED9C2E6E}" name="Score 1" dataDxfId="1042">
      <calculatedColumnFormula>COUNTIF(Nov_2026_SotM[[#This Row],[J]:[H]],"x")</calculatedColumnFormula>
    </tableColumn>
    <tableColumn id="16" xr3:uid="{4C00D2AE-011F-46E6-972E-151962464271}" name="Winner" dataDxfId="1041">
      <calculatedColumnFormula>IF(Nov_2026_SotM[[#This Row],[Num]]&gt;=$A$193, "-", IF(Nov_2026_SotM[[#This Row],[Score 1]]&gt;=3, Nov_2026_SotM[[#This Row],[Song 1]], IF(Nov_2026_SotM[[#This Row],[Score 2]]&gt;=3, Nov_2026_SotM[[#This Row],[Song 2]], "TBD")))</calculatedColumnFormula>
    </tableColumn>
    <tableColumn id="17" xr3:uid="{F446CD2A-F4BC-496B-A149-E38403873EF7}" name="Score 2" dataDxfId="1040">
      <calculatedColumnFormula>COUNTIF(Nov_2026_SotM[[#This Row],[H ]:[J ]],"x")</calculatedColumnFormula>
    </tableColumn>
    <tableColumn id="18" xr3:uid="{2B9BD70E-FDE0-4114-A036-AD45BB79B2C5}" name="Song 2" dataDxfId="1039">
      <calculatedColumnFormula>IF(Nov_2026_SotM[[#This Row],[Num]]&gt;=$A$193, "-", IF(Nov_2026_SotM[[#This Row],[Initial 2]], VLOOKUP(Nov_2026_SotM[[#This Row],[Low Seed]], $Z$194:$AE$210, 6, FALSE), OFFSET(Nov_2026_SotM[[#This Row],[Winner]], 2*(Nov_2026_SotM[[#This Row],[Max Seed]]-Nov_2026_SotM[[#This Row],[Low Seed]])+1, 0)))</calculatedColumnFormula>
    </tableColumn>
    <tableColumn id="19" xr3:uid="{16ED9751-469B-4ECA-B44A-5BBA30EAB7B2}" name="H " dataDxfId="1038"/>
    <tableColumn id="20" xr3:uid="{2841E998-9B50-480B-A96D-616038F8FD83}" name="S " dataDxfId="1037"/>
    <tableColumn id="21" xr3:uid="{BFEF8155-5DE0-4522-8AFD-35425EE5D2EE}" name="L " dataDxfId="1036"/>
    <tableColumn id="22" xr3:uid="{0BD7A140-382D-4B4D-886E-3D753AF8ACF6}" name="D " dataDxfId="1035"/>
    <tableColumn id="23" xr3:uid="{02A2B9AD-D08F-49FA-A1B9-51A39ADB57B9}" name="J " dataDxfId="1034"/>
    <tableColumn id="24" xr3:uid="{FB97FC5A-F6E1-4C6F-9FCF-84D106210C4A}" name="Remaining" dataDxfId="1033">
      <calculatedColumnFormula>IF(OR(Nov_2026_SotM[[#This Row],[Song 1]]="TBD", Nov_2026_SotM[[#This Row],[Song 2]]="TBD"), "TBD", _xlfn.CONCAT(IF(_xlfn.XOR(ISBLANK(Nov_2026_SotM[[#This Row],[J]]), ISBLANK(Nov_2026_SotM[[#This Row],[J ]])), "", "J "), IF(_xlfn.XOR(ISBLANK(Nov_2026_SotM[[#This Row],[D]]), ISBLANK(Nov_2026_SotM[[#This Row],[D ]])), "", "D "), IF(_xlfn.XOR(ISBLANK(Nov_2026_SotM[[#This Row],[L]]), ISBLANK(Nov_2026_SotM[[#This Row],[L ]])), "", "L "), IF(_xlfn.XOR(ISBLANK(Nov_2026_SotM[[#This Row],[S]]), ISBLANK(Nov_2026_SotM[[#This Row],[S ]])), "", "S "), IF(_xlfn.XOR(ISBLANK(Nov_2026_SotM[[#This Row],[H]]), ISBLANK(Nov_2026_SotM[[#This Row],[H ]])), "", "H ")))</calculatedColumnFormula>
    </tableColumn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ED54D74D-4C91-4F00-B16F-C12E1D04D87B}" name="Dec_2026_SotM" displayName="Dec_2026_SotM" ref="A213:X223" totalsRowShown="0" headerRowDxfId="1032" headerRowBorderDxfId="1031">
  <autoFilter ref="A213:X223" xr:uid="{8C400506-84DE-4BE9-9084-70DABB2E6102}"/>
  <tableColumns count="24">
    <tableColumn id="1" xr3:uid="{63EB9CCC-6642-4FB3-87E8-AD0B5D5E5883}" name="Description" dataDxfId="1030">
      <calculatedColumnFormula>_xlfn.CONCAT("Seed ", Dec_2026_SotM[[#This Row],[Top Seed]], " vs ",Dec_2026_SotM[[#This Row],[Low Seed]])</calculatedColumnFormula>
    </tableColumn>
    <tableColumn id="2" xr3:uid="{BDA8ACD8-3B04-4F2B-A35B-E874D12D9C02}" name="Num" dataDxfId="1029"/>
    <tableColumn id="3" xr3:uid="{332CDFCD-F300-4555-91E2-5D50FAA505B9}" name="Round" dataDxfId="1028">
      <calculatedColumnFormula>FLOOR(LOG(Dec_2026_SotM[[#This Row],[Num]], 2), 1)</calculatedColumnFormula>
    </tableColumn>
    <tableColumn id="4" xr3:uid="{68E182BB-D2F0-4FF3-8CE6-B8A1B12FAC3C}" name="Max Seed" dataDxfId="1027">
      <calculatedColumnFormula>2^(Dec_2026_SotM[[#This Row],[Round]]+1)</calculatedColumnFormula>
    </tableColumn>
    <tableColumn id="5" xr3:uid="{EDCA19F9-1953-4382-9884-D27A59A3C677}" name="Top Seed" dataDxfId="1026">
      <calculatedColumnFormula>Dec_2026_SotM[[#This Row],[Max Seed]]-Dec_2026_SotM[[#This Row],[Num]]</calculatedColumnFormula>
    </tableColumn>
    <tableColumn id="6" xr3:uid="{37CDE1B3-61C5-4F85-B191-FB4DA6AF42C2}" name="Low Seed" dataDxfId="1025">
      <calculatedColumnFormula>Dec_2026_SotM[[#This Row],[Max Seed]]-Dec_2026_SotM[[#This Row],[Top Seed]]+1</calculatedColumnFormula>
    </tableColumn>
    <tableColumn id="7" xr3:uid="{C9EFDB2C-9183-447C-832D-B133EDD618F2}" name="Initial 1" dataDxfId="1024">
      <calculatedColumnFormula>IF(Dec_2026_SotM[[#This Row],[Round]]=$C$212, TRUE(), IF(Dec_2026_SotM[[#This Row],[Round]]=$B$212, Dec_2026_SotM[[#This Row],[Top Seed]]&lt;=2*Dec_2026_SotM[[#This Row],[Max Seed]]-$A$212, FALSE()))</calculatedColumnFormula>
    </tableColumn>
    <tableColumn id="8" xr3:uid="{61DF157D-461F-437A-A1FF-8C9EF3431FF2}" name="Initial 2" dataDxfId="1023">
      <calculatedColumnFormula>IF(Dec_2026_SotM[[#This Row],[Round]]=$C$212, TRUE(), IF(Dec_2026_SotM[[#This Row],[Round]]=$B$212, Dec_2026_SotM[[#This Row],[Low Seed]]&lt;=2*Dec_2026_SotM[[#This Row],[Max Seed]]-$A$212, FALSE()))</calculatedColumnFormula>
    </tableColumn>
    <tableColumn id="9" xr3:uid="{0C825BB0-1E5D-4E26-94C7-4F58AD4263A8}" name="J" dataDxfId="1022"/>
    <tableColumn id="10" xr3:uid="{E4A9EF3E-DC08-442C-821D-964205C3C122}" name="D" dataDxfId="1021"/>
    <tableColumn id="11" xr3:uid="{7400E745-F4B4-430D-A48F-D9218760DFB8}" name="L" dataDxfId="1020"/>
    <tableColumn id="12" xr3:uid="{156BFEE5-26E7-47AB-BB0E-95FF4B168EA2}" name="S" dataDxfId="1019"/>
    <tableColumn id="13" xr3:uid="{A39BDC83-E13D-4F30-A1E1-6A008D6FE8FE}" name="H" dataDxfId="1018"/>
    <tableColumn id="14" xr3:uid="{17910A24-1024-4BD0-8FC8-0D52F47C91E8}" name="Song 1" dataDxfId="1017">
      <calculatedColumnFormula>IF(Dec_2026_SotM[[#This Row],[Num]]&gt;=$A$212, "-", IF(Dec_2026_SotM[[#This Row],[Initial 1]], VLOOKUP(Dec_2026_SotM[[#This Row],[Top Seed]], $Z$213:$AE$223, 6, FALSE), OFFSET(Dec_2026_SotM[[#This Row],[Winner]], Dec_2026_SotM[[#This Row],[Max Seed]], 0)))</calculatedColumnFormula>
    </tableColumn>
    <tableColumn id="15" xr3:uid="{6C9F1EED-0B92-441B-8ED3-3C60F2494AFF}" name="Score 1" dataDxfId="1016">
      <calculatedColumnFormula>COUNTIF(Dec_2026_SotM[[#This Row],[J]:[H]],"x")</calculatedColumnFormula>
    </tableColumn>
    <tableColumn id="16" xr3:uid="{F720BEE8-E484-40F7-AC2D-CE3A6B60F13A}" name="Winner" dataDxfId="1015">
      <calculatedColumnFormula>IF(Dec_2026_SotM[[#This Row],[Num]]&gt;=$A$212, "-", IF(Dec_2026_SotM[[#This Row],[Score 1]]&gt;=3, Dec_2026_SotM[[#This Row],[Song 1]], IF(Dec_2026_SotM[[#This Row],[Score 2]]&gt;=3, Dec_2026_SotM[[#This Row],[Song 2]], "TBD")))</calculatedColumnFormula>
    </tableColumn>
    <tableColumn id="17" xr3:uid="{B9120C35-4951-4AE7-8BAF-D40ECAAB38C0}" name="Score 2" dataDxfId="1014">
      <calculatedColumnFormula>COUNTIF(Dec_2026_SotM[[#This Row],[H ]:[J ]],"x")</calculatedColumnFormula>
    </tableColumn>
    <tableColumn id="18" xr3:uid="{EF10399C-6E73-4922-B7BC-AE9C23B7EE8C}" name="Song 2" dataDxfId="1013">
      <calculatedColumnFormula>IF(Dec_2026_SotM[[#This Row],[Num]]&gt;=$A$212, "-", IF(Dec_2026_SotM[[#This Row],[Initial 2]], VLOOKUP(Dec_2026_SotM[[#This Row],[Low Seed]], $Z$213:$AE$223, 6, FALSE), OFFSET(Dec_2026_SotM[[#This Row],[Winner]], 2*(Dec_2026_SotM[[#This Row],[Max Seed]]-Dec_2026_SotM[[#This Row],[Low Seed]])+1, 0)))</calculatedColumnFormula>
    </tableColumn>
    <tableColumn id="19" xr3:uid="{6B3C8331-07CA-4075-856B-5E494926F9BC}" name="H " dataDxfId="1012"/>
    <tableColumn id="20" xr3:uid="{DE20598D-3667-4B97-8030-616630634502}" name="S " dataDxfId="1011"/>
    <tableColumn id="21" xr3:uid="{6DF8AF3B-B254-4D23-87B1-CC0449E4531B}" name="L " dataDxfId="1010"/>
    <tableColumn id="22" xr3:uid="{4FE47980-06E6-4365-A43C-CE6CF9C87A24}" name="D " dataDxfId="1009"/>
    <tableColumn id="23" xr3:uid="{EF44DB72-AC71-4773-B96C-FA6FE689ACC3}" name="J " dataDxfId="1008"/>
    <tableColumn id="24" xr3:uid="{1BD749C1-7350-496D-B02E-B579AACCB183}" name="Remaining" dataDxfId="1007">
      <calculatedColumnFormula>IF(OR(Dec_2026_SotM[[#This Row],[Song 1]]="TBD", Dec_2026_SotM[[#This Row],[Song 2]]="TBD"), "TBD", _xlfn.CONCAT(IF(_xlfn.XOR(ISBLANK(Dec_2026_SotM[[#This Row],[J]]), ISBLANK(Dec_2026_SotM[[#This Row],[J ]])), "", "J "), IF(_xlfn.XOR(ISBLANK(Dec_2026_SotM[[#This Row],[D]]), ISBLANK(Dec_2026_SotM[[#This Row],[D ]])), "", "D "), IF(_xlfn.XOR(ISBLANK(Dec_2026_SotM[[#This Row],[L]]), ISBLANK(Dec_2026_SotM[[#This Row],[L ]])), "", "L "), IF(_xlfn.XOR(ISBLANK(Dec_2026_SotM[[#This Row],[S]]), ISBLANK(Dec_2026_SotM[[#This Row],[S ]])), "", "S "), IF(_xlfn.XOR(ISBLANK(Dec_2026_SotM[[#This Row],[H]]), ISBLANK(Dec_2026_SotM[[#This Row],[H ]])), "", "H ")))</calculatedColumnFormula>
    </tableColumn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F1319BE-70AB-4C64-85FE-57123356DE9A}" name="Mar_2025_Results61" displayName="Mar_2025_Results61" ref="AI37:AL55" totalsRowShown="0" headerRowDxfId="1006">
  <autoFilter ref="AI37:AL55" xr:uid="{245125DC-D31C-4E7E-8538-895E5B6938D6}"/>
  <tableColumns count="4">
    <tableColumn id="1" xr3:uid="{2B2D3FF5-9A3D-4376-964D-0E1453D4CEF3}" name="Result" dataDxfId="1005">
      <calculatedColumnFormula>Feb_2026_SotM[[#This Row],[Max Seed]]/2 + 1</calculatedColumnFormula>
    </tableColumn>
    <tableColumn id="2" xr3:uid="{2142CE19-1CF7-45F1-ADF9-6001413A3515}" name="Song Title" dataDxfId="1004">
      <calculatedColumnFormula>IF(Feb_2026_SotM[[#This Row],[Num]]&gt;=$A$1, "-", IF(Feb_2026_SotM[[#This Row],[Score 1]]&gt;=3, Feb_2026_SotM[[#This Row],[Song 2]], IF(Feb_2026_SotM[[#This Row],[Score 2]]&gt;=3, Feb_2026_SotM[[#This Row],[Song 1]], "TBD")))</calculatedColumnFormula>
    </tableColumn>
    <tableColumn id="3" xr3:uid="{0569A80E-AF02-4DFF-9CB6-3E28D277AC81}" name="Diff" dataDxfId="1003">
      <calculatedColumnFormula>IFERROR(VLOOKUP(Mar_2025_Results61[[#This Row],[Song Title]], $AE$38:$AG$55, 3, FALSE)-Mar_2025_Results61[[#This Row],[Result]], "TBD")</calculatedColumnFormula>
    </tableColumn>
    <tableColumn id="4" xr3:uid="{932CAC4E-7604-4767-ACCB-40A56A21D64B}" name="Shift" dataDxfId="1002">
      <calculatedColumnFormula>IF(AK38&lt;0,"↓",IF(AK38=0,"-","↑"))</calculatedColumnFormula>
    </tableColumn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9A7D50F0-9D9E-4037-B07F-88B4AF07C3C2}" name="Apr_2025_Results62" displayName="Apr_2025_Results62" ref="AI57:AL75" totalsRowShown="0" headerRowDxfId="1001">
  <autoFilter ref="AI57:AL75" xr:uid="{31880CF4-D8C0-4C2C-847B-E5AFADA7D2D9}"/>
  <tableColumns count="4">
    <tableColumn id="1" xr3:uid="{3849ACB7-AF96-469A-96FA-4627C02215B0}" name="Result" dataDxfId="1000">
      <calculatedColumnFormula>Mar_2026_SotM[[#This Row],[Max Seed]]/2 + 1</calculatedColumnFormula>
    </tableColumn>
    <tableColumn id="2" xr3:uid="{2C395DC4-1DC8-4E0D-B419-F7D46676F314}" name="Song Title" dataDxfId="999">
      <calculatedColumnFormula>IF(Feb_2026_SotM[[#This Row],[Num]]&gt;=$A$1, "-", IF(Feb_2026_SotM[[#This Row],[Score 1]]&gt;=3, Feb_2026_SotM[[#This Row],[Song 2]], IF(Feb_2026_SotM[[#This Row],[Score 2]]&gt;=3, Feb_2026_SotM[[#This Row],[Song 1]], "TBD")))</calculatedColumnFormula>
    </tableColumn>
    <tableColumn id="3" xr3:uid="{6DF8A92F-B1BF-4979-9C62-8F4355C2632C}" name="Diff" dataDxfId="998">
      <calculatedColumnFormula>IFERROR(VLOOKUP(Apr_2025_Results62[[#This Row],[Song Title]], $AE$58:$AG$75, 3, FALSE)-Apr_2025_Results62[[#This Row],[Result]], "TBD")</calculatedColumnFormula>
    </tableColumn>
    <tableColumn id="4" xr3:uid="{284D8F22-1B7B-45F3-947A-87902E5FC67A}" name="Shift" dataDxfId="997">
      <calculatedColumnFormula>IF(AK58&lt;0,"↓",IF(AK58=0,"-","↑"))</calculatedColumnFormula>
    </tableColumn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41776D9A-C459-4F81-BC5E-B4DEDA0C1309}" name="May_2025_Results63" displayName="May_2025_Results63" ref="AI77:AL93" totalsRowShown="0" headerRowDxfId="996" tableBorderDxfId="995">
  <autoFilter ref="AI77:AL93" xr:uid="{705807CA-9690-465F-87A4-4ACD09EBCAD7}"/>
  <tableColumns count="4">
    <tableColumn id="1" xr3:uid="{3DEA72B3-8CAB-412B-9DB5-4DFB29F1D75C}" name="Result" dataDxfId="994">
      <calculatedColumnFormula>Apr_2026_SotM[[#This Row],[Max Seed]]/2 + 1</calculatedColumnFormula>
    </tableColumn>
    <tableColumn id="2" xr3:uid="{24D67B5F-E57F-423E-BF24-E8B47EBED0B3}" name="Song Title" dataDxfId="993">
      <calculatedColumnFormula>IF(Apr_2026_SotM[[#This Row],[Num]]&gt;=$A$57, "-", IF(Apr_2026_SotM[[#This Row],[Score 1]]&gt;=3, Apr_2026_SotM[[#This Row],[Song 2]], IF(Apr_2026_SotM[[#This Row],[Score 2]]&gt;=3, Apr_2026_SotM[[#This Row],[Song 1]], "TBD")))</calculatedColumnFormula>
    </tableColumn>
    <tableColumn id="3" xr3:uid="{5196ACE7-6AB4-4A54-A1DC-8ADA9086F463}" name="Diff" dataDxfId="992">
      <calculatedColumnFormula>IFERROR(VLOOKUP(May_2025_Results63[[#This Row],[Song Title]], $AE$78:$AG$93, 3, FALSE)-May_2025_Results63[[#This Row],[Result]], "TBD")</calculatedColumnFormula>
    </tableColumn>
    <tableColumn id="4" xr3:uid="{83E8C5A8-6164-4B0C-AAA5-A4DCCE9037D4}" name="Shift" dataDxfId="991">
      <calculatedColumnFormula>IF(AK78&lt;0,"↓",IF(AK78=0,"-","↑"))</calculatedColumnFormula>
    </tableColumn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8BF4164-ECC9-4C97-A060-54843564AFB6}" name="Jun_2025_Results64" displayName="Jun_2025_Results64" ref="AI95:AL113" totalsRowShown="0" headerRowDxfId="990">
  <autoFilter ref="AI95:AL113" xr:uid="{2792B875-B141-49DE-81C3-B1C1FC7D01F2}"/>
  <tableColumns count="4">
    <tableColumn id="1" xr3:uid="{0915433C-2365-4693-9739-F2C25CACB777}" name="Result" dataDxfId="989">
      <calculatedColumnFormula>Jun_2026_SotM[[#This Row],[Max Seed]]/2 + 1</calculatedColumnFormula>
    </tableColumn>
    <tableColumn id="2" xr3:uid="{2822A9E3-B16C-43C9-BCE0-718E6F226154}" name="Song Title" dataDxfId="988">
      <calculatedColumnFormula>IF(Jun_2026_SotM[[#This Row],[Num]]&gt;=$A$57, "-", IF(Jun_2026_SotM[[#This Row],[Score 1]]&gt;=3, Jun_2026_SotM[[#This Row],[Song 2]], IF(Jun_2026_SotM[[#This Row],[Score 2]]&gt;=3, Jun_2026_SotM[[#This Row],[Song 1]], "TBD")))</calculatedColumnFormula>
    </tableColumn>
    <tableColumn id="3" xr3:uid="{9F5154EA-5D41-4985-85AF-1C5DF80AE501}" name="Diff" dataDxfId="987">
      <calculatedColumnFormula>IFERROR(VLOOKUP(Jun_2025_Results64[[#This Row],[Song Title]], $AE$96:$AG$112, 3, FALSE)-Jun_2025_Results64[[#This Row],[Result]], "TBD")</calculatedColumnFormula>
    </tableColumn>
    <tableColumn id="4" xr3:uid="{161F3943-6160-420D-B964-3990BF40743E}" name="Shift" dataDxfId="986">
      <calculatedColumnFormula>IF(AK96&lt;0,"↓",IF(AK96=0,"-","↑"))</calculatedColumnFormula>
    </tableColumn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71A3B292-E324-47C7-ADE7-ABDEA1F40FE6}" name="Jul_2025_Results65" displayName="Jul_2025_Results65" ref="AI115:AL133" totalsRowShown="0" headerRowDxfId="985" tableBorderDxfId="984">
  <autoFilter ref="AI115:AL133" xr:uid="{5818E04E-FE5B-436C-AE2B-B6AF89EAA82A}"/>
  <tableColumns count="4">
    <tableColumn id="1" xr3:uid="{4620B48C-0D1D-460A-830F-8392ACCE6E9D}" name="Result" dataDxfId="983">
      <calculatedColumnFormula>Jun_2026_SotM[[#This Row],[Max Seed]]/2 + 1</calculatedColumnFormula>
    </tableColumn>
    <tableColumn id="2" xr3:uid="{6C5DC015-D0B8-4798-9EB5-61A68F6076AF}" name="Song Title" dataDxfId="982">
      <calculatedColumnFormula>IF(Jun_2026_SotM[[#This Row],[Num]]&gt;=$A$57, "-", IF(Jun_2026_SotM[[#This Row],[Score 1]]&gt;=3, Jun_2026_SotM[[#This Row],[Song 2]], IF(Jun_2026_SotM[[#This Row],[Score 2]]&gt;=3, Jun_2026_SotM[[#This Row],[Song 1]], "TBD")))</calculatedColumnFormula>
    </tableColumn>
    <tableColumn id="3" xr3:uid="{EF0E2DB3-9987-4DFF-A726-620CFD2C85A2}" name="Diff" dataDxfId="981">
      <calculatedColumnFormula>IFERROR(VLOOKUP(Jul_2025_Results65[[#This Row],[Song Title]], $AE$116:$AG$133, 3, FALSE)-Jul_2025_Results65[[#This Row],[Result]], "TBD")</calculatedColumnFormula>
    </tableColumn>
    <tableColumn id="4" xr3:uid="{F5835811-A107-47A4-AFFE-C559760338B6}" name="Shift" dataDxfId="980">
      <calculatedColumnFormula>IF(AK116&lt;0,"↓",IF(AK116=0,"-","↑"))</calculatedColumnFormula>
    </tableColumn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E75C3AFA-DC5C-4204-BDA3-EC8072386155}" name="Aug_2025_Results66" displayName="Aug_2025_Results66" ref="AI135:AL152" totalsRowShown="0" headerRowDxfId="979" tableBorderDxfId="978">
  <autoFilter ref="AI135:AL152" xr:uid="{5DF5CEB4-4941-4987-80A1-F138E6226917}"/>
  <tableColumns count="4">
    <tableColumn id="1" xr3:uid="{D4C41706-D7D5-4E7A-88CD-084896EEEED4}" name="Result" dataDxfId="977">
      <calculatedColumnFormula>Jul_2026_SotM[[#This Row],[Max Seed]]/2 + 1</calculatedColumnFormula>
    </tableColumn>
    <tableColumn id="2" xr3:uid="{227C27A8-0E44-49EC-8140-A76056D43A54}" name="Song Title" dataDxfId="976">
      <calculatedColumnFormula>IF(Jul_2026_SotM[[#This Row],[Num]]&gt;=$A$115, "-", IF(Jul_2026_SotM[[#This Row],[Score 1]]&gt;=3, Jul_2026_SotM[[#This Row],[Song 2]], IF(Jul_2026_SotM[[#This Row],[Score 2]]&gt;=3, Jul_2026_SotM[[#This Row],[Song 1]], "TBD")))</calculatedColumnFormula>
    </tableColumn>
    <tableColumn id="3" xr3:uid="{EDBADCE9-5935-461E-A1BA-F5BF493BFDB9}" name="Diff" dataDxfId="975">
      <calculatedColumnFormula>IFERROR(VLOOKUP(Aug_2025_Results66[[#This Row],[Song Title]], $AE$136:$AG$151, 3, FALSE)-Aug_2025_Results66[[#This Row],[Result]], "TBD")</calculatedColumnFormula>
    </tableColumn>
    <tableColumn id="4" xr3:uid="{09C51846-AD01-4238-A8AB-E4BFE3F202CC}" name="Shift" dataDxfId="974">
      <calculatedColumnFormula>IF(AK136&lt;0,"↓",IF(AK136=0,"-","↑"))</calculatedColumnFormula>
    </tableColumn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FB5DDE2-393A-425A-95FB-B19B5B9B6635}" name="Sep_2025_Results67" displayName="Sep_2025_Results67" ref="AI154:AL172" totalsRowShown="0" headerRowDxfId="973" dataDxfId="972">
  <autoFilter ref="AI154:AL172" xr:uid="{7B3B6836-A5B0-4B63-BDA7-70169EC2B10A}"/>
  <tableColumns count="4">
    <tableColumn id="1" xr3:uid="{858E5730-A177-4CD2-A08E-B3A0668F565C}" name="Result" dataDxfId="971">
      <calculatedColumnFormula>Aug_2026_SotM[[#This Row],[Max Seed]]/2 + 1</calculatedColumnFormula>
    </tableColumn>
    <tableColumn id="2" xr3:uid="{51746F7B-A9F6-43AB-9CE0-356CF5C15012}" name="Song Title">
      <calculatedColumnFormula>IF(Aug_2026_SotM[[#This Row],[Num]]&gt;=$A$135, "-", IF(Aug_2026_SotM[[#This Row],[Score 1]]&gt;=3, Aug_2026_SotM[[#This Row],[Song 2]], IF(Aug_2026_SotM[[#This Row],[Score 2]]&gt;=3, Aug_2026_SotM[[#This Row],[Song 1]], "TBD")))</calculatedColumnFormula>
    </tableColumn>
    <tableColumn id="3" xr3:uid="{CCB69A06-97C0-43FD-A2E7-1A82C6153C84}" name="Diff" dataDxfId="970">
      <calculatedColumnFormula>IFERROR(VLOOKUP(Sep_2025_Results67[[#This Row],[Song Title]], $AE$155:$AG$171, 3, FALSE)-Sep_2025_Results67[[#This Row],[Result]], "TBD")</calculatedColumnFormula>
    </tableColumn>
    <tableColumn id="4" xr3:uid="{F328C045-29B1-4B63-9325-FE7EB11C4465}" name="Shift" dataDxfId="969">
      <calculatedColumnFormula>IF(AK155&lt;0,"↓",IF(AK155=0,"-","↑"))</calculatedColumnFormula>
    </tableColumn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AD7D1C80-BFDE-49E8-92B4-B65FCB4BFCAF}" name="Oct_2025_Results68" displayName="Oct_2025_Results68" ref="AI174:AL191" totalsRowShown="0" headerRowDxfId="968" dataDxfId="967" tableBorderDxfId="966">
  <autoFilter ref="AI174:AL191" xr:uid="{6511BD87-64FE-4B05-A9F4-0885B46E3AB1}"/>
  <tableColumns count="4">
    <tableColumn id="1" xr3:uid="{63B0D7DB-7295-4B40-931E-B2CB0D0A3D6C}" name="Result" dataDxfId="965"/>
    <tableColumn id="2" xr3:uid="{E5C2DD6A-6112-4003-A15D-EED09D8A9890}" name="Song Title"/>
    <tableColumn id="3" xr3:uid="{F776234C-03CD-4631-A86D-3BD42DED9102}" name="Diff" dataDxfId="964">
      <calculatedColumnFormula>IFERROR(VLOOKUP(Oct_2025_Results68[[#This Row],[Song Title]], $AE$175:$AG$191, 3, FALSE)-Oct_2025_Results68[[#This Row],[Result]], "TBD")</calculatedColumnFormula>
    </tableColumn>
    <tableColumn id="4" xr3:uid="{1E49D4ED-027C-4FC4-AB62-F1C942E7B1E9}" name="Shift" dataDxfId="963">
      <calculatedColumnFormula>IF(AK175&lt;0,"↓",IF(AK175=0,"-","↑"))</calculatedColumnFormula>
    </tableColumn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4AE35CA-012F-4372-976C-71878FFA6BD8}" name="Nov_2025_Results69" displayName="Nov_2025_Results69" ref="AI193:AL210" totalsRowShown="0" headerRowDxfId="962" dataDxfId="961" tableBorderDxfId="960">
  <autoFilter ref="AI193:AL210" xr:uid="{1068069F-074E-4F39-AE87-05538770F817}"/>
  <tableColumns count="4">
    <tableColumn id="1" xr3:uid="{7C0D6DFC-32CC-4546-BBF0-968DFC963DE2}" name="Result" dataDxfId="959">
      <calculatedColumnFormula>Sep_2026_SotM[[#This Row],[Max Seed]]/2 + 1</calculatedColumnFormula>
    </tableColumn>
    <tableColumn id="2" xr3:uid="{477FB49A-9A89-40AC-8804-D11F4BA88ABB}" name="Song Title" dataDxfId="958">
      <calculatedColumnFormula>IF(Sep_2026_SotM[[#This Row],[Num]]&gt;=$A$154, "-", IF(Sep_2026_SotM[[#This Row],[Score 1]]&gt;=3, Sep_2026_SotM[[#This Row],[Song 2]], IF(Sep_2026_SotM[[#This Row],[Score 2]]&gt;=3, Sep_2026_SotM[[#This Row],[Song 1]], "TBD")))</calculatedColumnFormula>
    </tableColumn>
    <tableColumn id="3" xr3:uid="{2B9BF998-95AE-4378-95F2-725849D4071A}" name="Diff" dataDxfId="957">
      <calculatedColumnFormula>IFERROR(VLOOKUP(Nov_2025_Results69[[#This Row],[Song Title]], $AE$194:$AG$209, 3, FALSE)-Nov_2025_Results69[[#This Row],[Result]], "TBD")</calculatedColumnFormula>
    </tableColumn>
    <tableColumn id="4" xr3:uid="{1E68BCB4-A32B-4E02-BF7E-E3624827B10C}" name="Shift" dataDxfId="956">
      <calculatedColumnFormula>IF(AK194&lt;0,"↓",IF(AK194=0,"-","↑"))</calculatedColumnFormula>
    </tableColumn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5225FA00-8B73-4E8B-8A68-6147D2E42721}" name="Dec_2025_Results70" displayName="Dec_2025_Results70" ref="AI212:AL223" totalsRowShown="0" headerRowDxfId="955" dataDxfId="954" tableBorderDxfId="953">
  <autoFilter ref="AI212:AL223" xr:uid="{FECD5B1C-75AE-422A-A8A3-F72001888942}"/>
  <tableColumns count="4">
    <tableColumn id="1" xr3:uid="{957657B4-F957-4742-921F-2792CBA64E15}" name="Result" dataDxfId="952"/>
    <tableColumn id="2" xr3:uid="{46DC1873-7AF6-4CF3-A63B-947B3E0EF00B}" name="Song Title"/>
    <tableColumn id="3" xr3:uid="{C19C683C-CF4D-4AC9-B391-E3345901170D}" name="Diff" dataDxfId="951">
      <calculatedColumnFormula>IFERROR(VLOOKUP(Dec_2025_Results70[[#This Row],[Song Title]], $AE$213:$AG$223, 3, FALSE)-Dec_2025_Results70[[#This Row],[Result]], "TBD")</calculatedColumnFormula>
    </tableColumn>
    <tableColumn id="4" xr3:uid="{2D7A1A92-4AF8-4462-B2C3-3DBE5DB6D283}" name="Shift" dataDxfId="950">
      <calculatedColumnFormula>IF(AK213&lt;0,"↓",IF(AK213=0,"-","↑"))</calculatedColumnFormula>
    </tableColumn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B09902-FAE3-40E7-9BB0-19A36A84744C}" name="Table1" displayName="Table1" ref="A2:L127" totalsRowShown="0" headerRowBorderDxfId="949" tableBorderDxfId="948">
  <autoFilter ref="A2:L127" xr:uid="{89B09902-FAE3-40E7-9BB0-19A36A84744C}"/>
  <tableColumns count="12">
    <tableColumn id="1" xr3:uid="{2008C5D0-57FD-41D8-A27A-CC4BA20E05AF}" name="Theme Date" dataDxfId="947"/>
    <tableColumn id="2" xr3:uid="{2F12A791-46B1-4F86-ABD3-F072AEE0F74E}" name="Proponent"/>
    <tableColumn id="3" xr3:uid="{A94A6EDE-B52C-4315-9A59-4ED54DF2B78F}" name="Theme Suggestion"/>
    <tableColumn id="4" xr3:uid="{3F7B0C72-8C3F-4003-ADF0-C573AF5302C7}" name="Theme Description (Optional)" dataDxfId="946"/>
    <tableColumn id="5" xr3:uid="{AD1A9676-17B9-43CF-BB94-B8F5A62F57D4}" name="alappatjoe" dataDxfId="945"/>
    <tableColumn id="6" xr3:uid="{92D67681-98AC-4ADF-A961-E8C955830F70}" name="danram" dataDxfId="944"/>
    <tableColumn id="7" xr3:uid="{1C6D0522-CF02-4703-81FA-3E1AD1D35043}" name="loganworsdell" dataDxfId="943"/>
    <tableColumn id="8" xr3:uid="{43A6D115-021F-4765-9A87-DF8E9B2B92F9}" name="samuelbattista" dataDxfId="942"/>
    <tableColumn id="9" xr3:uid="{260A63D9-29FD-4013-BCCD-E7D2D71E8057}" name="currydestroyer27" dataDxfId="941"/>
    <tableColumn id="10" xr3:uid="{D919B262-6405-48CA-91FC-C929065E5A66}" name="Passed" dataDxfId="940">
      <calculatedColumnFormula>COUNTIFS(E3:I3, "Opposed") &lt; 2</calculatedColumnFormula>
    </tableColumn>
    <tableColumn id="11" xr3:uid="{6FDBA26C-A714-4A47-B494-F8C13D65C778}" name="Winning Song" dataDxfId="939">
      <calculatedColumnFormula array="1">IF(Table1[[#This Row],[Winner]]&lt;&gt;"TBD", INDEX(Rankings!H:H, MATCH(Table1[[#This Row],[Theme Date]], Rankings!A:A, 0) + MATCH(Table1[[#This Row],[Winner]], Rankings!$J$1:$N$1, 0) - 1, 1), Table1[[#This Row],[Winner]])</calculatedColumnFormula>
    </tableColumn>
    <tableColumn id="12" xr3:uid="{F3F978D4-1709-469B-A60E-F6AEC5761789}" name="Winner" dataDxfId="938">
      <calculatedColumnFormula>IF(AND(Table1[[#This Row],[Theme Date]]&lt;=TODAY(), Table1[[#This Row],[Passed]]), VLOOKUP(Table1[[#This Row],[Theme Date]], Rankings!A:C, 3, FALSE), "TBD")</calculatedColumnFormula>
    </tableColumn>
  </tableColumns>
  <tableStyleInfo name="TableStyleLight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3B15442-C668-454F-9561-64CFDABB74A7}" name="Cumulative_Wins" displayName="Cumulative_Wins" ref="B1:G446" totalsRowShown="0" tableBorderDxfId="1358">
  <autoFilter ref="B1:G446" xr:uid="{D3B15442-C668-454F-9561-64CFDABB74A7}"/>
  <tableColumns count="6">
    <tableColumn id="1" xr3:uid="{932141B8-B2E1-4BC7-8F98-6B10566D9C16}" name="alappatjoe">
      <calculatedColumnFormula>COUNTIFS(Data[Date], "&lt;="&amp;$A2, Data[Poster],B$1, Data[Winner],TRUE())</calculatedColumnFormula>
    </tableColumn>
    <tableColumn id="2" xr3:uid="{B09A3D04-9B49-4520-B1D4-6B5F6F48A7ED}" name="danram">
      <calculatedColumnFormula>COUNTIFS(Data[Date], "&lt;="&amp;$A2, Data[Poster],C$1, Data[Winner],TRUE())</calculatedColumnFormula>
    </tableColumn>
    <tableColumn id="3" xr3:uid="{CE3BF958-C0F4-4D70-96B8-BD908B74A0CB}" name="loganworsdell">
      <calculatedColumnFormula>COUNTIFS(Data[Date], "&lt;="&amp;$A2, Data[Poster],D$1, Data[Winner],TRUE())</calculatedColumnFormula>
    </tableColumn>
    <tableColumn id="4" xr3:uid="{77ECEEC6-E3FF-46F8-BC62-55E7040019FD}" name="samuelbattista">
      <calculatedColumnFormula>COUNTIFS(Data[Date], "&lt;="&amp;$A2, Data[Poster],E$1, Data[Winner],TRUE())</calculatedColumnFormula>
    </tableColumn>
    <tableColumn id="5" xr3:uid="{E6F00F0C-037A-47F8-B12C-97D9AC75EAE7}" name="currydestroyer27">
      <calculatedColumnFormula>COUNTIFS(Data[Date], "&lt;="&amp;$A2, Data[Poster],F$1, Data[Winner],TRUE())</calculatedColumnFormula>
    </tableColumn>
    <tableColumn id="6" xr3:uid="{71B74A64-1653-49FF-BCDD-9F0408DB422F}" name="Leader" dataDxfId="259">
      <calculatedColumnFormula array="1">_xlfn.TEXTJOIN(", ", TRUE, _xlfn._xlws.FILTER(Cumulative_Wins[[#Headers],[alappatjoe]:[currydestroyer27]], Cumulative_Wins[[#This Row],[alappatjoe]:[currydestroyer27]]=MAX(Cumulative_Wins[[#This Row],[alappatjoe]:[currydestroyer27]])))</calculatedColumnFormula>
    </tableColumn>
  </tableColumns>
  <tableStyleInfo name="TableStyleLight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D4D6490-F35B-4D08-8CB2-139C3D2FE5F5}" name="SotY_2024" displayName="SotY_2024" ref="A2:X111" totalsRowShown="0" headerRowDxfId="937" headerRowBorderDxfId="936" tableBorderDxfId="935" totalsRowBorderDxfId="934">
  <autoFilter ref="A2:X111" xr:uid="{4D4D6490-F35B-4D08-8CB2-139C3D2FE5F5}"/>
  <tableColumns count="24">
    <tableColumn id="1" xr3:uid="{DF35D7A0-5A54-4381-A8EC-AD08A2B936E7}" name="Description" dataDxfId="933">
      <calculatedColumnFormula>_xlfn.CONCAT("Seed ", SotY_2024[[#This Row],[Top Seed]], " vs ", SotY_2024[[#This Row],[Low Seed]])</calculatedColumnFormula>
    </tableColumn>
    <tableColumn id="2" xr3:uid="{AA54FAED-48CA-46EA-AB97-6AE32743A6C8}" name="Num" dataDxfId="932"/>
    <tableColumn id="3" xr3:uid="{9C13B2EA-2F78-4B6C-8417-6423D5265F03}" name="Round" dataDxfId="931">
      <calculatedColumnFormula>FLOOR(LOG(SotY_2024[[#This Row],[Num]], 2), 1)</calculatedColumnFormula>
    </tableColumn>
    <tableColumn id="4" xr3:uid="{42B2CE6C-1142-45EE-9607-950A0E760538}" name="Max Seed" dataDxfId="930">
      <calculatedColumnFormula>2^(SotY_2024[[#This Row],[Round]]+1)</calculatedColumnFormula>
    </tableColumn>
    <tableColumn id="5" xr3:uid="{16FA27FC-4B5B-444A-895A-8902ED07F352}" name="Top Seed" dataDxfId="929">
      <calculatedColumnFormula>SotY_2024[[#This Row],[Max Seed]]-SotY_2024[[#This Row],[Num]]</calculatedColumnFormula>
    </tableColumn>
    <tableColumn id="6" xr3:uid="{D6D0DDE9-5251-4FE0-8447-E21224340689}" name="Low Seed" dataDxfId="928">
      <calculatedColumnFormula>SotY_2024[[#This Row],[Max Seed]]-SotY_2024[[#This Row],[Top Seed]]+1</calculatedColumnFormula>
    </tableColumn>
    <tableColumn id="7" xr3:uid="{54C5F0F9-22E5-47D9-A213-42369F410129}" name="Initial 1" dataDxfId="927">
      <calculatedColumnFormula>IF(SotY_2024[[#This Row],[Round]]=$C$1, TRUE(), IF(SotY_2024[[#This Row],[Round]]=$B$1, SotY_2024[[#This Row],[Top Seed]]&lt;=2*SotY_2024[[#This Row],[Max Seed]]-$A$1, FALSE()))</calculatedColumnFormula>
    </tableColumn>
    <tableColumn id="8" xr3:uid="{E704296A-5549-4A86-9A07-999F8C8CE592}" name="Initial 2" dataDxfId="926">
      <calculatedColumnFormula>IF(SotY_2024[[#This Row],[Round]]=$C$1, TRUE(), IF(SotY_2024[[#This Row],[Round]]=$B$1, SotY_2024[[#This Row],[Low Seed]]&lt;=2*SotY_2024[[#This Row],[Max Seed]]-$A$1, FALSE()))</calculatedColumnFormula>
    </tableColumn>
    <tableColumn id="9" xr3:uid="{1282398D-9015-4457-8D15-EF4C39EBBED3}" name="J" dataDxfId="925"/>
    <tableColumn id="10" xr3:uid="{7F189E0B-5FCC-4197-9FAF-63458865BC94}" name="D" dataDxfId="924"/>
    <tableColumn id="11" xr3:uid="{77859669-BFCA-4F7D-8A26-905134E1BA8F}" name="L" dataDxfId="923"/>
    <tableColumn id="12" xr3:uid="{1306A90B-AF25-4339-8808-1DBD33F436A8}" name="S" dataDxfId="922"/>
    <tableColumn id="13" xr3:uid="{05451FD8-6F2B-4E0B-B831-E5611B3B2C3E}" name="H" dataDxfId="921"/>
    <tableColumn id="14" xr3:uid="{443C19BE-14B5-4A97-98E7-A47453607892}" name="Song 1" dataDxfId="920">
      <calculatedColumnFormula>IF(SotY_2024[[#This Row],[Num]]&gt;=$A$1, "-", IF(SotY_2024[[#This Row],[Initial 1]], VLOOKUP(SotY_2024[[#This Row],[Top Seed]], $Z$2:$AE$111, 6, FALSE), OFFSET(SotY_2024[[#This Row],[Winner]], SotY_2024[[#This Row],[Max Seed]], 0)))</calculatedColumnFormula>
    </tableColumn>
    <tableColumn id="15" xr3:uid="{C23883DA-B30B-448F-BFF4-9892FA36A8CB}" name="Score 1" dataDxfId="919">
      <calculatedColumnFormula>COUNTIF(SotY_2024[[#This Row],[J]:[H]],"x")</calculatedColumnFormula>
    </tableColumn>
    <tableColumn id="16" xr3:uid="{950AB30D-1BEF-42F6-BBA5-3D88850B5243}" name="Winner" dataDxfId="918">
      <calculatedColumnFormula>IF(SotY_2024[[#This Row],[Num]]&gt;=$A$1, "-", IF(SotY_2024[[#This Row],[Score 1]]&gt;=3, SotY_2024[[#This Row],[Song 1]], IF(SotY_2024[[#This Row],[Score 2]]&gt;=3, SotY_2024[[#This Row],[Song 2]], "TBD")))</calculatedColumnFormula>
    </tableColumn>
    <tableColumn id="17" xr3:uid="{36AFC9B7-0CC8-4E6D-9F26-CF1CAEAF211E}" name="Score 2" dataDxfId="917">
      <calculatedColumnFormula>COUNTIF(SotY_2024[[#This Row],[H ]:[J ]],"x")</calculatedColumnFormula>
    </tableColumn>
    <tableColumn id="18" xr3:uid="{FC880CD2-E548-4590-9B0E-83FA13C12850}" name="Song 2" dataDxfId="916">
      <calculatedColumnFormula>IF(SotY_2024[[#This Row],[Num]]&gt;=$A$1, "-", IF(SotY_2024[[#This Row],[Initial 2]], VLOOKUP(SotY_2024[[#This Row],[Low Seed]], $Z$2:$AE$111, 6, FALSE), OFFSET(SotY_2024[[#This Row],[Winner]], 2*(SotY_2024[[#This Row],[Max Seed]]-SotY_2024[[#This Row],[Low Seed]])+1, 0)))</calculatedColumnFormula>
    </tableColumn>
    <tableColumn id="19" xr3:uid="{DAA1682D-8DB4-4A37-AFB7-55343988544F}" name="H " dataDxfId="915"/>
    <tableColumn id="20" xr3:uid="{6D9DD55D-DA20-4756-8302-11E4B1E3C7D2}" name="S " dataDxfId="914"/>
    <tableColumn id="21" xr3:uid="{0826C09D-71DB-4C00-A551-0D6FB65801EB}" name="L " dataDxfId="913"/>
    <tableColumn id="22" xr3:uid="{7D8FFF47-24E3-4DE4-AB05-9B78391E8705}" name="D " dataDxfId="912"/>
    <tableColumn id="23" xr3:uid="{87F29A5F-94C4-4D5A-BFF7-3AD0B642CA5A}" name="J " dataDxfId="911"/>
    <tableColumn id="24" xr3:uid="{138317D5-4611-4CC1-968B-01807CDC5754}" name="Remaining" dataDxfId="910">
      <calculatedColumnFormula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calculatedColumnFormula>
    </tableColumn>
  </tableColumns>
  <tableStyleInfo name="TableStyleLight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F77363F-2B86-403C-873A-F60A27443ADE}" name="SotY_2024_Results" displayName="SotY_2024_Results" ref="AI1:AL111" totalsRowShown="0" headerRowDxfId="909" headerRowBorderDxfId="908" tableBorderDxfId="907" totalsRowBorderDxfId="906">
  <autoFilter ref="AI1:AL111" xr:uid="{CF77363F-2B86-403C-873A-F60A27443ADE}"/>
  <tableColumns count="4">
    <tableColumn id="1" xr3:uid="{2DB935E5-5838-4BE7-B9C3-0BD5225E5CA2}" name="Result" dataDxfId="905"/>
    <tableColumn id="2" xr3:uid="{F4146DB6-464B-4C32-BB67-E95EB1FA14ED}" name="Song Title" dataDxfId="904"/>
    <tableColumn id="3" xr3:uid="{3769830B-C489-47D9-B807-B7CC22BC8242}" name="Diff" dataDxfId="903">
      <calculatedColumnFormula>IFERROR(VLOOKUP(SotY_2024_Results[[#This Row],[Song Title]], $AE$2:$AG$111, 3, FALSE)-SotY_2024_Results[[#This Row],[Result]], "TBD")</calculatedColumnFormula>
    </tableColumn>
    <tableColumn id="4" xr3:uid="{E1721653-D068-4160-A088-324CCE25A367}" name="Shift" dataDxfId="902">
      <calculatedColumnFormula>IF(SotY_2024_Results[[#This Row],[Diff]]&lt;0,"↓",IF(SotY_2024_Results[[#This Row],[Diff]]=0,"-","↑"))</calculatedColumnFormula>
    </tableColumn>
  </tableColumns>
  <tableStyleInfo name="TableStyleLight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D63F48-2DC7-4BA7-B88E-5CA9C53A3839}" name="August_SotM" displayName="August_SotM" ref="A35:X51" totalsRowShown="0" headerRowDxfId="901" tableBorderDxfId="900">
  <autoFilter ref="A35:X51" xr:uid="{92D63F48-2DC7-4BA7-B88E-5CA9C53A3839}"/>
  <tableColumns count="24">
    <tableColumn id="1" xr3:uid="{3138B93C-B809-4A8D-8EEB-290C9BDB6022}" name="Description" dataDxfId="899">
      <calculatedColumnFormula>_xlfn.CONCAT("Seed ", August_SotM[[#This Row],[Top Seed]], " vs ", August_SotM[[#This Row],[Low Seed]])</calculatedColumnFormula>
    </tableColumn>
    <tableColumn id="2" xr3:uid="{0A337842-B849-4976-98AC-D96FD889FB68}" name="Num" dataDxfId="898"/>
    <tableColumn id="3" xr3:uid="{26A80A7F-B4B6-4854-9AC7-BDA20181557F}" name="Round" dataDxfId="897">
      <calculatedColumnFormula>FLOOR(LOG(August_SotM[[#This Row],[Num]], 2), 1)</calculatedColumnFormula>
    </tableColumn>
    <tableColumn id="4" xr3:uid="{B4B3A558-4313-465A-BA3F-ACDC7BB38999}" name="Max Seed" dataDxfId="896">
      <calculatedColumnFormula>2^(August_SotM[[#This Row],[Round]]+1)</calculatedColumnFormula>
    </tableColumn>
    <tableColumn id="5" xr3:uid="{62176F17-EFEB-4D86-816D-27FC68FAD33B}" name="Top Seed" dataDxfId="895">
      <calculatedColumnFormula>August_SotM[[#This Row],[Max Seed]]-August_SotM[[#This Row],[Num]]</calculatedColumnFormula>
    </tableColumn>
    <tableColumn id="6" xr3:uid="{E2CB4C96-4D3C-4068-BF95-9F9B2CBC7112}" name="Low Seed" dataDxfId="894">
      <calculatedColumnFormula>August_SotM[[#This Row],[Max Seed]]-August_SotM[[#This Row],[Top Seed]]+1</calculatedColumnFormula>
    </tableColumn>
    <tableColumn id="22" xr3:uid="{64E878D5-0DE3-4EB1-AC35-6C305E006794}" name="Initial 1" dataDxfId="893">
      <calculatedColumnFormula>IF(August_SotM[[#This Row],[Round]]=$C$34, TRUE(), IF(August_SotM[[#This Row],[Round]]=$B$34, August_SotM[[#This Row],[Top Seed]]&lt;=2*August_SotM[[#This Row],[Max Seed]]-$A$34, FALSE()))</calculatedColumnFormula>
    </tableColumn>
    <tableColumn id="38" xr3:uid="{BB1CB4B5-FA29-49D5-91C5-226E1E4C8620}" name="Initial 2" dataDxfId="892">
      <calculatedColumnFormula>IF(August_SotM[[#This Row],[Round]]=$C$34, TRUE(), IF(August_SotM[[#This Row],[Round]]=$B$34, August_SotM[[#This Row],[Low Seed]]&lt;=2*August_SotM[[#This Row],[Max Seed]]-$A$34, FALSE()))</calculatedColumnFormula>
    </tableColumn>
    <tableColumn id="7" xr3:uid="{CFA66AA3-C6D9-4FF1-9BE6-80C456E8DD88}" name="J" dataDxfId="891"/>
    <tableColumn id="8" xr3:uid="{C12D6F25-BCB6-400E-B3F0-7FC3AA439270}" name="D" dataDxfId="890"/>
    <tableColumn id="9" xr3:uid="{233CB7B5-1060-4921-A622-20F9515892CA}" name="L" dataDxfId="889"/>
    <tableColumn id="10" xr3:uid="{3915B556-B58C-467A-BF57-642CDF94EFE9}" name="S" dataDxfId="888"/>
    <tableColumn id="11" xr3:uid="{33BB04BC-DD37-442C-9B85-0E806908952A}" name="H" dataDxfId="887"/>
    <tableColumn id="12" xr3:uid="{E7A5E16A-1DEF-4A51-B6BE-A8087CFA12C9}" name="Song 1" dataDxfId="886">
      <calculatedColumnFormula>IF(August_SotM[[#This Row],[Num]]&gt;=$A$34, "-", IF(August_SotM[[#This Row],[Initial 1]], VLOOKUP(August_SotM[[#This Row],[Top Seed]], $Z$35:$AE$51, 6, FALSE), OFFSET(August_SotM[[#This Row],[Winner]], August_SotM[[#This Row],[Max Seed]], 0)))</calculatedColumnFormula>
    </tableColumn>
    <tableColumn id="13" xr3:uid="{5615DD48-8E48-49EE-A99A-ECDB19BE12D1}" name="Score 1" dataDxfId="885">
      <calculatedColumnFormula>COUNTIF(August_SotM[[#This Row],[J]:[H]],"x")</calculatedColumnFormula>
    </tableColumn>
    <tableColumn id="14" xr3:uid="{E92ADECF-19C0-48B1-8FBE-E40BBBB07D3C}" name="Winner" dataDxfId="884">
      <calculatedColumnFormula>IF(August_SotM[[#This Row],[Num]]&gt;=$A$34, "-", IF(August_SotM[[#This Row],[Score 1]]&gt;=3, August_SotM[[#This Row],[Song 1]], IF(August_SotM[[#This Row],[Score 2]]&gt;=3, August_SotM[[#This Row],[Song 2]], "TBD")))</calculatedColumnFormula>
    </tableColumn>
    <tableColumn id="15" xr3:uid="{6FC98428-0B48-4A32-A713-54E80D358D8D}" name="Score 2" dataDxfId="883">
      <calculatedColumnFormula>COUNTIF(August_SotM[[#This Row],[H ]:[J ]],"x")</calculatedColumnFormula>
    </tableColumn>
    <tableColumn id="16" xr3:uid="{5ED5B64D-6A23-4B42-876E-AC2BB321A209}" name="Song 2" dataDxfId="882">
      <calculatedColumnFormula>IF(August_SotM[[#This Row],[Num]]&gt;=$A$34, "-", IF(August_SotM[[#This Row],[Initial 2]], VLOOKUP(August_SotM[[#This Row],[Low Seed]], $Z$35:$AE$51, 6, FALSE), OFFSET(August_SotM[[#This Row],[Winner]], 2*(August_SotM[[#This Row],[Max Seed]]-August_SotM[[#This Row],[Low Seed]])+1, 0)))</calculatedColumnFormula>
    </tableColumn>
    <tableColumn id="17" xr3:uid="{2CBBB5FF-EC36-47DC-B4C5-AB0A99C811E9}" name="H " dataDxfId="881"/>
    <tableColumn id="18" xr3:uid="{A0F9F6F3-81FC-44CD-BAFE-F58DEF9776A4}" name="S " dataDxfId="880"/>
    <tableColumn id="19" xr3:uid="{92C08046-EFFD-46F2-9BD4-06916A4C4A74}" name="L " dataDxfId="879"/>
    <tableColumn id="20" xr3:uid="{02762487-0AD9-4BB6-9B45-C6DFCEA6B09D}" name="D " dataDxfId="878"/>
    <tableColumn id="21" xr3:uid="{3690D90E-A33A-4A9F-9859-C3A0E821C77E}" name="J " dataDxfId="877"/>
    <tableColumn id="23" xr3:uid="{5632FD24-E1AD-4349-BBE7-9EC457916721}" name="Remaining" dataDxfId="876">
      <calculatedColumnFormula>IF(OR(August_SotM[[#This Row],[Song 1]]="TBD", August_SotM[[#This Row],[Song 2]]="TBD"), "TBD", _xlfn.CONCAT(IF(_xlfn.XOR(ISBLANK(August_SotM[[#This Row],[J]]), ISBLANK(August_SotM[[#This Row],[J ]])), "", "J "), IF(_xlfn.XOR(ISBLANK(August_SotM[[#This Row],[D]]), ISBLANK(August_SotM[[#This Row],[D ]])), "", "D "), IF(_xlfn.XOR(ISBLANK(August_SotM[[#This Row],[L]]), ISBLANK(August_SotM[[#This Row],[L ]])), "", "L "), IF(_xlfn.XOR(ISBLANK(August_SotM[[#This Row],[S]]), ISBLANK(August_SotM[[#This Row],[S ]])), "", "S "), IF(_xlfn.XOR(ISBLANK(August_SotM[[#This Row],[H]]), ISBLANK(August_SotM[[#This Row],[H ]])), "", "H ")))</calculatedColumnFormula>
    </tableColumn>
  </tableColumns>
  <tableStyleInfo name="TableStyleLight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2E12B8-B5C2-4685-BB9F-1796F7482676}" name="June_SotM" displayName="June_SotM" ref="A2:X11" totalsRowShown="0" headerRowDxfId="875" tableBorderDxfId="874">
  <autoFilter ref="A2:X11" xr:uid="{082E12B8-B5C2-4685-BB9F-1796F7482676}"/>
  <tableColumns count="24">
    <tableColumn id="1" xr3:uid="{8A38AD85-00DE-43AC-8532-0E8680DEC022}" name="Description" dataDxfId="873">
      <calculatedColumnFormula>_xlfn.CONCAT("Seed ", E3, " vs ", F3)</calculatedColumnFormula>
    </tableColumn>
    <tableColumn id="2" xr3:uid="{4B3FB16B-94F3-4FA3-9DA2-3A2DF246534F}" name="Num" dataDxfId="872"/>
    <tableColumn id="3" xr3:uid="{296A9F1F-4549-4213-8299-4D17854586A0}" name="Round" dataDxfId="871">
      <calculatedColumnFormula>FLOOR(LOG(June_SotM[[#This Row],[Num]], 2), 1)</calculatedColumnFormula>
    </tableColumn>
    <tableColumn id="4" xr3:uid="{2FB182A3-8B85-4FA5-8931-9396BDDADB30}" name="Max Seed" dataDxfId="870">
      <calculatedColumnFormula>2^(June_SotM[[#This Row],[Round]]+1)</calculatedColumnFormula>
    </tableColumn>
    <tableColumn id="5" xr3:uid="{5500775F-F145-4CC3-9164-A493442785E7}" name="Top Seed" dataDxfId="869">
      <calculatedColumnFormula>June_SotM[[#This Row],[Max Seed]]-June_SotM[[#This Row],[Num]]</calculatedColumnFormula>
    </tableColumn>
    <tableColumn id="6" xr3:uid="{F2B9885C-B3DD-446D-9C89-BA5915D068D5}" name="Low Seed" dataDxfId="868">
      <calculatedColumnFormula>June_SotM[[#This Row],[Max Seed]]-June_SotM[[#This Row],[Top Seed]]+1</calculatedColumnFormula>
    </tableColumn>
    <tableColumn id="7" xr3:uid="{6AB1DC8C-3DD8-427D-B112-912C53DECFD5}" name="Initial 1" dataDxfId="867">
      <calculatedColumnFormula>IF(June_SotM[[#This Row],[Round]]=$C$1, TRUE(), IF(June_SotM[[#This Row],[Round]]=$B$1, June_SotM[[#This Row],[Top Seed]]&lt;=2*June_SotM[[#This Row],[Max Seed]]-$A$1, FALSE()))</calculatedColumnFormula>
    </tableColumn>
    <tableColumn id="8" xr3:uid="{3DC836E6-19CC-4C96-A202-EBFFF7902E5B}" name="Initial 2" dataDxfId="866">
      <calculatedColumnFormula>IF(June_SotM[[#This Row],[Round]]=$C$1, TRUE(), IF(June_SotM[[#This Row],[Round]]=$B$1, June_SotM[[#This Row],[Low Seed]]&lt;=2*June_SotM[[#This Row],[Max Seed]]-$A$1, FALSE()))</calculatedColumnFormula>
    </tableColumn>
    <tableColumn id="9" xr3:uid="{F9D79801-DE16-4BB5-90BD-43C6685EA3E2}" name="J" dataDxfId="865"/>
    <tableColumn id="10" xr3:uid="{BDBC6C0C-ECF0-455C-A5F5-E7B4A22F70E0}" name="D" dataDxfId="864"/>
    <tableColumn id="11" xr3:uid="{325C959C-65A8-46C0-AFDE-0D2CFF1272FF}" name="L" dataDxfId="863"/>
    <tableColumn id="12" xr3:uid="{FB28C096-2EC5-4392-8A7F-10FAE4A9D1C6}" name="S" dataDxfId="862"/>
    <tableColumn id="13" xr3:uid="{2292621F-1E3F-4817-ABC2-00C707561625}" name="H" dataDxfId="861"/>
    <tableColumn id="14" xr3:uid="{632D93E3-8A3F-455F-92FF-8DD10572AF21}" name="Song 1" dataDxfId="860">
      <calculatedColumnFormula>IF(June_SotM[[#This Row],[Num]]&gt;=$A$1, "-", IF(June_SotM[[#This Row],[Initial 1]], VLOOKUP(June_SotM[[#This Row],[Top Seed]], $Z$2:$AE$11, 6, FALSE), OFFSET(June_SotM[[#This Row],[Winner]], June_SotM[[#This Row],[Max Seed]], 0)))</calculatedColumnFormula>
    </tableColumn>
    <tableColumn id="15" xr3:uid="{41CA76B6-E6AC-4C9D-9B30-8F824830EE8F}" name="Score 1" dataDxfId="859">
      <calculatedColumnFormula>COUNTIF(June_SotM[[#This Row],[J]:[H]],"x")</calculatedColumnFormula>
    </tableColumn>
    <tableColumn id="16" xr3:uid="{C9D589CF-0523-4AF7-8949-7CD55AB44D35}" name="Winner" dataDxfId="858">
      <calculatedColumnFormula>IF(June_SotM[[#This Row],[Num]]&gt;=$A$1, "-", IF(June_SotM[[#This Row],[Score 1]]&gt;=3, June_SotM[[#This Row],[Song 1]], IF(June_SotM[[#This Row],[Score 2]]&gt;=3, June_SotM[[#This Row],[Song 2]], "TBD")))</calculatedColumnFormula>
    </tableColumn>
    <tableColumn id="17" xr3:uid="{6F61197E-EE50-4B49-808C-B9B45556F50E}" name="Score 2" dataDxfId="857">
      <calculatedColumnFormula>COUNTIF(S3:W3,"x")</calculatedColumnFormula>
    </tableColumn>
    <tableColumn id="18" xr3:uid="{CDB8DF3F-A5ED-4EC6-BDBD-79A3F9B056C9}" name="Song 2" dataDxfId="856">
      <calculatedColumnFormula>IF(June_SotM[[#This Row],[Num]]&gt;=$A$1, "-", IF(June_SotM[[#This Row],[Initial 2]], VLOOKUP(June_SotM[[#This Row],[Low Seed]], $Z$2:$AE$11, 6, FALSE), OFFSET(June_SotM[[#This Row],[Winner]], 2*(June_SotM[[#This Row],[Max Seed]]-June_SotM[[#This Row],[Low Seed]])+1, 0)))</calculatedColumnFormula>
    </tableColumn>
    <tableColumn id="19" xr3:uid="{33E57A80-9C3C-4150-A18E-8493559F054B}" name="H " dataDxfId="855"/>
    <tableColumn id="20" xr3:uid="{3172595F-A4BA-4136-9741-C3C047E8EEBA}" name="S " dataDxfId="854"/>
    <tableColumn id="21" xr3:uid="{5C43719D-8CF8-4294-BC1D-9633D5AB78A7}" name="L " dataDxfId="853"/>
    <tableColumn id="22" xr3:uid="{6F5C8B48-0E0E-4747-92BF-FD59CE478896}" name="D " dataDxfId="852"/>
    <tableColumn id="23" xr3:uid="{DBB31CFE-D972-4A00-82B4-86FE5DA5F03C}" name="J " dataDxfId="851"/>
    <tableColumn id="24" xr3:uid="{8B7619BD-A3F6-4E55-9E2C-7442D2772A9B}" name="Remaining" dataDxfId="850">
      <calculatedColumnFormula>IF(OR(June_SotM[[#This Row],[Song 1]]="TBD", June_SotM[[#This Row],[Song 2]]="TBD"), "TBD", _xlfn.CONCAT(IF(_xlfn.XOR(ISBLANK(June_SotM[[#This Row],[J]]), ISBLANK(June_SotM[[#This Row],[J ]])), "", "J "), IF(_xlfn.XOR(ISBLANK(June_SotM[[#This Row],[D]]), ISBLANK(June_SotM[[#This Row],[D ]])), "", "D "), IF(_xlfn.XOR(ISBLANK(June_SotM[[#This Row],[L]]), ISBLANK(June_SotM[[#This Row],[L ]])), "", "L "), IF(_xlfn.XOR(ISBLANK(June_SotM[[#This Row],[S]]), ISBLANK(June_SotM[[#This Row],[S ]])), "", "S "), IF(_xlfn.XOR(ISBLANK(June_SotM[[#This Row],[H]]), ISBLANK(June_SotM[[#This Row],[H ]])), "", "H ")))</calculatedColumnFormula>
    </tableColumn>
  </tableColumns>
  <tableStyleInfo name="TableStyleLight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63868C-70DB-4854-ACB4-05019EEFD4D5}" name="July_SotM" displayName="July_SotM" ref="A14:X32" totalsRowShown="0" headerRowDxfId="849" tableBorderDxfId="848">
  <autoFilter ref="A14:X32" xr:uid="{D763868C-70DB-4854-ACB4-05019EEFD4D5}"/>
  <tableColumns count="24">
    <tableColumn id="1" xr3:uid="{3B9848E9-C881-4A94-8A5E-24D38BC7107E}" name="Description" dataDxfId="847">
      <calculatedColumnFormula>_xlfn.CONCAT("Seed ", E15, " vs ", F15)</calculatedColumnFormula>
    </tableColumn>
    <tableColumn id="2" xr3:uid="{CE69E6F8-98E7-4465-9CF1-67ABF2C07094}" name="Num" dataDxfId="846"/>
    <tableColumn id="3" xr3:uid="{309B72DD-39ED-4BDC-95F6-1E5AB10F23B6}" name="Round" dataDxfId="845">
      <calculatedColumnFormula>FLOOR(LOG(July_SotM[[#This Row],[Num]], 2), 1)</calculatedColumnFormula>
    </tableColumn>
    <tableColumn id="4" xr3:uid="{FD388E63-C53B-4AD2-A477-4EFB8612FB14}" name="Max Seed" dataDxfId="844">
      <calculatedColumnFormula>2^(July_SotM[[#This Row],[Round]]+1)</calculatedColumnFormula>
    </tableColumn>
    <tableColumn id="5" xr3:uid="{4718D673-EC9F-4D35-9203-8738DB6F1BCF}" name="Top Seed" dataDxfId="843">
      <calculatedColumnFormula>July_SotM[[#This Row],[Max Seed]]-July_SotM[[#This Row],[Num]]</calculatedColumnFormula>
    </tableColumn>
    <tableColumn id="6" xr3:uid="{CC337566-3EA3-465F-A27D-CD890CD4D0D7}" name="Low Seed" dataDxfId="842">
      <calculatedColumnFormula>July_SotM[[#This Row],[Max Seed]]-July_SotM[[#This Row],[Top Seed]]+1</calculatedColumnFormula>
    </tableColumn>
    <tableColumn id="7" xr3:uid="{74329F80-CEC7-4FEB-A278-048C2557EA89}" name="Initial 1" dataDxfId="841">
      <calculatedColumnFormula>IF(July_SotM[[#This Row],[Round]]=$C$13, TRUE(), IF(July_SotM[[#This Row],[Round]]=$B$13, July_SotM[[#This Row],[Top Seed]]&lt;=2*July_SotM[[#This Row],[Max Seed]]-$A$13, FALSE()))</calculatedColumnFormula>
    </tableColumn>
    <tableColumn id="8" xr3:uid="{06B29C01-CD96-4477-84B9-3BFA3607AAB8}" name="Initial 2" dataDxfId="840">
      <calculatedColumnFormula>IF(July_SotM[[#This Row],[Round]]=$C$13, TRUE(), IF(July_SotM[[#This Row],[Round]]=$B$13, July_SotM[[#This Row],[Low Seed]]&lt;=2*July_SotM[[#This Row],[Max Seed]]-$A$13, FALSE()))</calculatedColumnFormula>
    </tableColumn>
    <tableColumn id="9" xr3:uid="{C67CF84B-2B77-4B41-AFE7-07BA559AD071}" name="J" dataDxfId="839"/>
    <tableColumn id="10" xr3:uid="{2029DABF-D8F1-4242-80C4-4B8294034170}" name="D" dataDxfId="838"/>
    <tableColumn id="11" xr3:uid="{2192C5A0-003D-4949-9B81-4F051BAB9F46}" name="L" dataDxfId="837"/>
    <tableColumn id="12" xr3:uid="{25C00286-944D-4FCC-BE25-A9968A97CF80}" name="S" dataDxfId="836"/>
    <tableColumn id="13" xr3:uid="{13D0094F-10D7-4155-81E9-74B2402169FA}" name="H" dataDxfId="835"/>
    <tableColumn id="14" xr3:uid="{6AF25B56-EE7D-415D-9541-7C4E83E35A6F}" name="Song 1" dataDxfId="834">
      <calculatedColumnFormula>IF(July_SotM[[#This Row],[Num]]&gt;=$A$13, "-", IF(July_SotM[[#This Row],[Initial 1]], VLOOKUP(July_SotM[[#This Row],[Top Seed]], $Z$14:$AE$32, 6, FALSE), OFFSET(July_SotM[[#This Row],[Winner]], July_SotM[[#This Row],[Max Seed]], 0)))</calculatedColumnFormula>
    </tableColumn>
    <tableColumn id="15" xr3:uid="{DCC79EF4-C421-4B6E-98D2-48CDF09FC42B}" name="Score 1" dataDxfId="833">
      <calculatedColumnFormula>COUNTIF(July_SotM[[#This Row],[J]:[H]],"x")</calculatedColumnFormula>
    </tableColumn>
    <tableColumn id="16" xr3:uid="{078F19EA-CB25-42BB-9CA9-A6517D8890FF}" name="Winner" dataDxfId="832">
      <calculatedColumnFormula>IF(July_SotM[[#This Row],[Num]]&gt;=$A$13, "-", IF(July_SotM[[#This Row],[Score 1]]&gt;=3, July_SotM[[#This Row],[Song 1]], IF(July_SotM[[#This Row],[Score 2]]&gt;=3, July_SotM[[#This Row],[Song 2]], "TBD")))</calculatedColumnFormula>
    </tableColumn>
    <tableColumn id="17" xr3:uid="{B77C6715-8224-452D-B6D6-648BE544E17C}" name="Score 2" dataDxfId="831">
      <calculatedColumnFormula>COUNTIF(July_SotM[[#This Row],[H ]:[J ]],"x")</calculatedColumnFormula>
    </tableColumn>
    <tableColumn id="18" xr3:uid="{8A26D565-EF66-4068-997A-479308BC5D28}" name="Song 2" dataDxfId="830">
      <calculatedColumnFormula>IF(July_SotM[[#This Row],[Num]]&gt;=$A$13, "-", IF(July_SotM[[#This Row],[Initial 2]], VLOOKUP(July_SotM[[#This Row],[Low Seed]], $Z$14:$AE$32, 6, FALSE), OFFSET(July_SotM[[#This Row],[Winner]], 2*(July_SotM[[#This Row],[Max Seed]]-July_SotM[[#This Row],[Low Seed]])+1, 0)))</calculatedColumnFormula>
    </tableColumn>
    <tableColumn id="19" xr3:uid="{61B783C5-DB48-48CF-B5DD-8FF79D4A7C28}" name="H " dataDxfId="829"/>
    <tableColumn id="20" xr3:uid="{087CCE25-B476-4E7D-B380-B11F8C5BBEC7}" name="S " dataDxfId="828"/>
    <tableColumn id="21" xr3:uid="{490872ED-AF14-48EA-818F-CFDDCBD92A1B}" name="L " dataDxfId="827"/>
    <tableColumn id="22" xr3:uid="{D1576064-C1CE-411B-91BC-7B8FB5536B99}" name="D " dataDxfId="826"/>
    <tableColumn id="23" xr3:uid="{0997D3BB-0090-4D9A-B54C-3BAD864F6A70}" name="J " dataDxfId="825"/>
    <tableColumn id="24" xr3:uid="{0D0CB1C7-3667-45AA-8225-3CB3E3D6B8B9}" name="Remaining" dataDxfId="824">
      <calculatedColumnFormula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calculatedColumnFormula>
    </tableColumn>
  </tableColumns>
  <tableStyleInfo name="TableStyleLight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3C6886-BC17-46EA-8A93-797042543F2D}" name="June_Results" displayName="June_Results" ref="AI1:AL11" totalsRowShown="0" headerRowDxfId="823" tableBorderDxfId="822">
  <autoFilter ref="AI1:AL11" xr:uid="{4A3C6886-BC17-46EA-8A93-797042543F2D}"/>
  <tableColumns count="4">
    <tableColumn id="1" xr3:uid="{4A9E6923-4DFC-4D4D-B973-C23C87D7C20D}" name="Result" dataDxfId="821"/>
    <tableColumn id="2" xr3:uid="{F620630E-8E03-4D1A-AFF1-945F13FE17B2}" name="Song Title" dataDxfId="820"/>
    <tableColumn id="4" xr3:uid="{14553147-23B2-4456-B071-7C9C1137C60A}" name="Diff" dataDxfId="819">
      <calculatedColumnFormula>IFERROR(VLOOKUP(June_Results[[#This Row],[Song Title]], $AE$2:$AG$11, 3, FALSE)-June_Results[[#This Row],[Result]], "TBD")</calculatedColumnFormula>
    </tableColumn>
    <tableColumn id="5" xr3:uid="{33834793-E86E-4509-850F-B7C823752B10}" name="Shift" dataDxfId="818">
      <calculatedColumnFormula>IF(AK2&lt;0,"↓",IF(AK2=0,"-","↑"))</calculatedColumnFormula>
    </tableColumn>
  </tableColumns>
  <tableStyleInfo name="TableStyleLight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99BF0E-E36C-407C-A3F2-851A6E8DBA73}" name="July_Results" displayName="July_Results" ref="AI13:AL32" totalsRowShown="0" tableBorderDxfId="817">
  <autoFilter ref="AI13:AL32" xr:uid="{5F99BF0E-E36C-407C-A3F2-851A6E8DBA73}"/>
  <tableColumns count="4">
    <tableColumn id="1" xr3:uid="{CB419E54-F1CE-429C-827A-6DEC2DA91AD4}" name="Result" dataDxfId="816"/>
    <tableColumn id="2" xr3:uid="{4177D1AB-317A-4594-90C3-5B76704679E8}" name="Song Title" dataDxfId="815"/>
    <tableColumn id="3" xr3:uid="{762A4F0C-BF1B-4E95-81C9-1B903CECC81F}" name="Diff" dataDxfId="814">
      <calculatedColumnFormula>IFERROR(VLOOKUP(July_Results[[#This Row],[Song Title]], $AE$14:$AG$32, 3, FALSE)-July_Results[[#This Row],[Result]], "TBD")</calculatedColumnFormula>
    </tableColumn>
    <tableColumn id="4" xr3:uid="{27CD81B9-AF4A-46CF-B8CE-090FEBD17CFA}" name="Shift" dataDxfId="813">
      <calculatedColumnFormula>IF(AK14&lt;0,"↓",IF(AK14=0,"-","↑"))</calculatedColumnFormula>
    </tableColumn>
  </tableColumns>
  <tableStyleInfo name="TableStyleLight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2E3F64-BA6D-4EB9-B90C-75B4A26A20C0}" name="August_Results" displayName="August_Results" ref="AI34:AL51" totalsRowShown="0" tableBorderDxfId="812">
  <autoFilter ref="AI34:AL51" xr:uid="{052E3F64-BA6D-4EB9-B90C-75B4A26A20C0}"/>
  <tableColumns count="4">
    <tableColumn id="1" xr3:uid="{26DA95A1-871A-4B24-B44C-2F1F9942542E}" name="Result" dataDxfId="811"/>
    <tableColumn id="2" xr3:uid="{F83799B3-88E1-4B5C-89A6-FD633E6C4193}" name="Song Title"/>
    <tableColumn id="3" xr3:uid="{489B46B1-4A0F-4A77-9FF0-4BC3C6C5796F}" name="Diff" dataDxfId="810">
      <calculatedColumnFormula>IFERROR(VLOOKUP(August_Results[[#This Row],[Song Title]], $AE$35:$AG$51, 3, FALSE)-August_Results[[#This Row],[Result]], "TBD")</calculatedColumnFormula>
    </tableColumn>
    <tableColumn id="4" xr3:uid="{93895A87-00E8-45CB-9A0C-8910C65AA21B}" name="Shift">
      <calculatedColumnFormula>IF(August_Results[[#This Row],[Diff]]&lt;0,"↓",IF(August_Results[[#This Row],[Diff]]=0,"-","↑"))</calculatedColumnFormula>
    </tableColumn>
  </tableColumns>
  <tableStyleInfo name="TableStyleLight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83FB46F-FD61-4701-A685-9B9D8E429598}" name="September_SotM" displayName="September_SotM" ref="A54:X70" totalsRowShown="0" headerRowDxfId="809" dataDxfId="808">
  <autoFilter ref="A54:X70" xr:uid="{283FB46F-FD61-4701-A685-9B9D8E429598}"/>
  <tableColumns count="24">
    <tableColumn id="1" xr3:uid="{5EA02802-65E8-4ACB-AF20-3DCD946F5C91}" name="Description">
      <calculatedColumnFormula>_xlfn.CONCAT("Seed ", September_SotM[[#This Row],[Top Seed]], " vs ", September_SotM[[#This Row],[Low Seed]])</calculatedColumnFormula>
    </tableColumn>
    <tableColumn id="2" xr3:uid="{A381E7B6-4992-4E54-A0C6-010538A57011}" name="Num" dataDxfId="807"/>
    <tableColumn id="3" xr3:uid="{CA8C3F41-6086-46A0-8D6F-1E4568B84EC0}" name="Round" dataDxfId="806">
      <calculatedColumnFormula>FLOOR(LOG(September_SotM[[#This Row],[Num]], 2), 1)</calculatedColumnFormula>
    </tableColumn>
    <tableColumn id="4" xr3:uid="{9D053CCA-CFF7-4C44-846C-DA1AC0A01505}" name="Max Seed" dataDxfId="805">
      <calculatedColumnFormula>2^(September_SotM[[#This Row],[Round]]+1)</calculatedColumnFormula>
    </tableColumn>
    <tableColumn id="5" xr3:uid="{E301B8CC-D44D-4A7A-929E-90654DAD9C7D}" name="Top Seed" dataDxfId="804">
      <calculatedColumnFormula>September_SotM[[#This Row],[Max Seed]]-September_SotM[[#This Row],[Num]]</calculatedColumnFormula>
    </tableColumn>
    <tableColumn id="6" xr3:uid="{BB3A51E1-D96A-40C8-A538-6997C38BF5CF}" name="Low Seed" dataDxfId="803">
      <calculatedColumnFormula>September_SotM[[#This Row],[Max Seed]]-September_SotM[[#This Row],[Top Seed]]+1</calculatedColumnFormula>
    </tableColumn>
    <tableColumn id="7" xr3:uid="{D517C129-ED66-4376-B0EC-834B0F7A9F9E}" name="Initial 1" dataDxfId="802">
      <calculatedColumnFormula>IF(September_SotM[[#This Row],[Round]]=$C$53, TRUE(), IF(September_SotM[[#This Row],[Round]]=$B$53, September_SotM[[#This Row],[Top Seed]]&lt;=2*September_SotM[[#This Row],[Max Seed]]-$A$53, FALSE()))</calculatedColumnFormula>
    </tableColumn>
    <tableColumn id="8" xr3:uid="{D340B86C-3727-4EEF-BB03-98D87D209821}" name="Initial 2" dataDxfId="801">
      <calculatedColumnFormula>IF(September_SotM[[#This Row],[Round]]=$C$53, TRUE(), IF(September_SotM[[#This Row],[Round]]=$B$53, September_SotM[[#This Row],[Low Seed]]&lt;=2*September_SotM[[#This Row],[Max Seed]]-$A$53, FALSE()))</calculatedColumnFormula>
    </tableColumn>
    <tableColumn id="9" xr3:uid="{DD9E2AFC-3C95-4DF4-9593-D96AE2DD2A5A}" name="J" dataDxfId="800"/>
    <tableColumn id="10" xr3:uid="{AB007E40-9FF0-40B2-9163-B826173F3DD5}" name="D" dataDxfId="799"/>
    <tableColumn id="11" xr3:uid="{3ED2FF70-4E89-48E3-95D1-550A09592733}" name="L" dataDxfId="798"/>
    <tableColumn id="12" xr3:uid="{0ECFE803-2208-4E9A-93F0-FE2BEDE4C796}" name="S" dataDxfId="797"/>
    <tableColumn id="13" xr3:uid="{A2B6FB38-9CEA-45BC-9026-C8ABAB539B15}" name="H" dataDxfId="796"/>
    <tableColumn id="14" xr3:uid="{304963B2-68CD-4F99-A652-58038E87FE3D}" name="Song 1" dataDxfId="795">
      <calculatedColumnFormula>IF(September_SotM[[#This Row],[Num]]&gt;=$A$53, "-", IF(September_SotM[[#This Row],[Initial 1]], VLOOKUP(September_SotM[[#This Row],[Top Seed]], $Z$54:$AE$70, 6, FALSE), OFFSET(September_SotM[[#This Row],[Winner]], September_SotM[[#This Row],[Max Seed]], 0)))</calculatedColumnFormula>
    </tableColumn>
    <tableColumn id="15" xr3:uid="{64234611-33BB-4F95-8B7E-7FE2AE494361}" name="Score 1">
      <calculatedColumnFormula>COUNTIF(September_SotM[[#This Row],[J]:[H]],"x")</calculatedColumnFormula>
    </tableColumn>
    <tableColumn id="16" xr3:uid="{3163FFFA-432B-4718-ADD8-90A0468B1AF2}" name="Winner">
      <calculatedColumnFormula>IF(September_SotM[[#This Row],[Num]]&gt;=$A$53, "-", IF(September_SotM[[#This Row],[Score 1]]&gt;=3, September_SotM[[#This Row],[Song 1]], IF(September_SotM[[#This Row],[Score 2]]&gt;=3, September_SotM[[#This Row],[Song 2]], "TBD")))</calculatedColumnFormula>
    </tableColumn>
    <tableColumn id="17" xr3:uid="{DB12B2DD-ACCA-4C04-94DF-07C2C24F840E}" name="Score 2" dataDxfId="794">
      <calculatedColumnFormula>COUNTIF(September_SotM[[#This Row],[H ]:[J ]],"x")</calculatedColumnFormula>
    </tableColumn>
    <tableColumn id="18" xr3:uid="{A5113B75-707F-4E17-960C-52982D90412A}" name="Song 2">
      <calculatedColumnFormula>IF(September_SotM[[#This Row],[Num]]&gt;=$A$53, "-", IF(September_SotM[[#This Row],[Initial 2]], VLOOKUP(September_SotM[[#This Row],[Low Seed]], $Z$54:$AE$70, 6, FALSE), OFFSET(September_SotM[[#This Row],[Winner]], 2*(September_SotM[[#This Row],[Max Seed]]-September_SotM[[#This Row],[Low Seed]])+1, 0)))</calculatedColumnFormula>
    </tableColumn>
    <tableColumn id="19" xr3:uid="{4F093A43-C6DC-4FDD-8400-E6F30E769C56}" name="H " dataDxfId="793"/>
    <tableColumn id="20" xr3:uid="{C4DE6BE5-0271-47F1-8266-2F557721B306}" name="S " dataDxfId="792"/>
    <tableColumn id="21" xr3:uid="{E090202C-D041-4D7D-B7C5-DD22D504D55D}" name="L " dataDxfId="791"/>
    <tableColumn id="22" xr3:uid="{D754CAC6-38AE-463F-96C5-1AE05D83CFCF}" name="D " dataDxfId="790"/>
    <tableColumn id="23" xr3:uid="{5DEAB51F-40C4-4F59-B43C-6AF15BA1EDE8}" name="J " dataDxfId="789"/>
    <tableColumn id="24" xr3:uid="{48363D16-94E7-41F8-BA17-9ED5620CB568}" name="Remaining" dataDxfId="788">
      <calculatedColumnFormula>IF(OR(September_SotM[[#This Row],[Song 1]]="TBD", September_SotM[[#This Row],[Song 2]]="TBD"), "TBD", _xlfn.CONCAT(IF(_xlfn.XOR(ISBLANK(September_SotM[[#This Row],[J]]), ISBLANK(September_SotM[[#This Row],[J ]])), "", "J "), IF(_xlfn.XOR(ISBLANK(September_SotM[[#This Row],[D]]), ISBLANK(September_SotM[[#This Row],[D ]])), "", "D "), IF(_xlfn.XOR(ISBLANK(September_SotM[[#This Row],[L]]), ISBLANK(September_SotM[[#This Row],[L ]])), "", "L "), IF(_xlfn.XOR(ISBLANK(September_SotM[[#This Row],[S]]), ISBLANK(September_SotM[[#This Row],[S ]])), "", "S "), IF(_xlfn.XOR(ISBLANK(September_SotM[[#This Row],[H]]), ISBLANK(September_SotM[[#This Row],[H ]])), "", "H ")))</calculatedColumnFormula>
    </tableColumn>
  </tableColumns>
  <tableStyleInfo name="TableStyleLight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DD18BE4-7C8F-443E-8693-D2124CAB7C84}" name="September_Results" displayName="September_Results" ref="AI53:AL70" totalsRowShown="0">
  <autoFilter ref="AI53:AL70" xr:uid="{3DD18BE4-7C8F-443E-8693-D2124CAB7C84}"/>
  <tableColumns count="4">
    <tableColumn id="1" xr3:uid="{98F9222B-E61F-44A3-9397-084575351C24}" name="Result" dataDxfId="787"/>
    <tableColumn id="2" xr3:uid="{C350CBF9-861D-4A39-82A7-93F7E87D4728}" name="Song Title"/>
    <tableColumn id="3" xr3:uid="{C528847E-4863-43E8-9600-EB2F4F37DC18}" name="Diff" dataDxfId="786">
      <calculatedColumnFormula>IFERROR(VLOOKUP(September_Results[[#This Row],[Song Title]], $AE$54:$AG$70, 3, FALSE)-September_Results[[#This Row],[Result]], "TBD")</calculatedColumnFormula>
    </tableColumn>
    <tableColumn id="4" xr3:uid="{B60B138A-3701-4B13-8F98-5B3D79FA9181}" name="Shift"/>
  </tableColumns>
  <tableStyleInfo name="TableStyleLight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55BE2A6-5F93-4B12-B511-743368C52283}" name="October_SotM" displayName="October_SotM" ref="A73:X91" totalsRowShown="0" headerRowDxfId="785" dataDxfId="784">
  <autoFilter ref="A73:X91" xr:uid="{655BE2A6-5F93-4B12-B511-743368C52283}"/>
  <tableColumns count="24">
    <tableColumn id="1" xr3:uid="{98187B01-8069-4C22-8CFE-9941F8B37610}" name="Description" dataDxfId="783">
      <calculatedColumnFormula>_xlfn.CONCAT("Seed ", October_SotM[[#This Row],[Top Seed]], " vs ", October_SotM[[#This Row],[Low Seed]])</calculatedColumnFormula>
    </tableColumn>
    <tableColumn id="2" xr3:uid="{17E70B99-6FC0-41E7-A4AF-43EC5ABE6E93}" name="Num" dataDxfId="782"/>
    <tableColumn id="3" xr3:uid="{B10B97FD-4AED-4A47-A3BB-E6BE1A2AE545}" name="Round" dataDxfId="781">
      <calculatedColumnFormula>FLOOR(LOG(October_SotM[[#This Row],[Num]], 2), 1)</calculatedColumnFormula>
    </tableColumn>
    <tableColumn id="4" xr3:uid="{B8EFEE35-588E-41F9-BF35-3DC058AEFFEE}" name="Max Seed" dataDxfId="780">
      <calculatedColumnFormula>2^(October_SotM[[#This Row],[Round]]+1)</calculatedColumnFormula>
    </tableColumn>
    <tableColumn id="5" xr3:uid="{76FB20C1-E4C9-4151-97D3-4EB2AF1736FA}" name="Top Seed" dataDxfId="779">
      <calculatedColumnFormula>October_SotM[[#This Row],[Max Seed]]-October_SotM[[#This Row],[Num]]</calculatedColumnFormula>
    </tableColumn>
    <tableColumn id="6" xr3:uid="{1408CC38-0AFC-4114-937E-9569566B94BC}" name="Low Seed" dataDxfId="778">
      <calculatedColumnFormula>October_SotM[[#This Row],[Max Seed]]-October_SotM[[#This Row],[Top Seed]]+1</calculatedColumnFormula>
    </tableColumn>
    <tableColumn id="7" xr3:uid="{2EF7B3CF-3B8D-42D3-AA2E-CAF91DF8A937}" name="Initial 1" dataDxfId="777">
      <calculatedColumnFormula>IF(October_SotM[[#This Row],[Round]]=$C$72, TRUE(), IF(October_SotM[[#This Row],[Round]]=$B$72, October_SotM[[#This Row],[Top Seed]]&lt;=2*October_SotM[[#This Row],[Max Seed]]-$A$72, FALSE()))</calculatedColumnFormula>
    </tableColumn>
    <tableColumn id="8" xr3:uid="{7805D19F-0B9E-481A-B158-1091469BE22E}" name="Initial 2" dataDxfId="776">
      <calculatedColumnFormula>IF(October_SotM[[#This Row],[Round]]=$C$72, TRUE(), IF(October_SotM[[#This Row],[Round]]=$B$72, October_SotM[[#This Row],[Low Seed]]&lt;=2*October_SotM[[#This Row],[Max Seed]]-$A$72, FALSE()))</calculatedColumnFormula>
    </tableColumn>
    <tableColumn id="9" xr3:uid="{192D8DBF-3098-49B0-9D7C-828148BA8123}" name="J" dataDxfId="775"/>
    <tableColumn id="10" xr3:uid="{851E5F3A-5913-42C5-9323-B5CD493445BF}" name="D" dataDxfId="774"/>
    <tableColumn id="11" xr3:uid="{06FBD5EF-6B32-4069-99ED-743A2BF405B6}" name="L" dataDxfId="773"/>
    <tableColumn id="12" xr3:uid="{06817D75-8841-4336-ABA4-C032B7D72A50}" name="S" dataDxfId="772"/>
    <tableColumn id="13" xr3:uid="{FD132203-6FC3-4881-A127-317A9346DEC6}" name="H" dataDxfId="771"/>
    <tableColumn id="14" xr3:uid="{18B6A4AB-F4B1-461B-A32B-49ACB0C6E2FD}" name="Song 1" dataDxfId="770">
      <calculatedColumnFormula>IF(October_SotM[[#This Row],[Num]]&gt;=$A$72, "-", IF(October_SotM[[#This Row],[Initial 1]], VLOOKUP(October_SotM[[#This Row],[Top Seed]], $Z$73:$AE$91, 6, FALSE), OFFSET(October_SotM[[#This Row],[Winner]], October_SotM[[#This Row],[Max Seed]], 0)))</calculatedColumnFormula>
    </tableColumn>
    <tableColumn id="15" xr3:uid="{C976136A-ED10-4B17-A5F4-199FCD3CFEAD}" name="Score 1" dataDxfId="769">
      <calculatedColumnFormula>COUNTIF(October_SotM[[#This Row],[J]:[H]],"x")</calculatedColumnFormula>
    </tableColumn>
    <tableColumn id="16" xr3:uid="{A2E26DFA-B873-44A6-863D-1118699B17A4}" name="Winner" dataDxfId="768">
      <calculatedColumnFormula>IF(October_SotM[[#This Row],[Num]]&gt;=$A$72, "-", IF(October_SotM[[#This Row],[Score 1]]&gt;=3, October_SotM[[#This Row],[Song 1]], IF(October_SotM[[#This Row],[Score 2]]&gt;=3, October_SotM[[#This Row],[Song 2]], "TBD")))</calculatedColumnFormula>
    </tableColumn>
    <tableColumn id="17" xr3:uid="{983A3B90-AA8A-4838-B306-4C1AEB24553C}" name="Score 2" dataDxfId="767">
      <calculatedColumnFormula>COUNTIF(October_SotM[[#This Row],[H ]:[J ]],"x")</calculatedColumnFormula>
    </tableColumn>
    <tableColumn id="18" xr3:uid="{1F4A1363-96F6-4F29-86B4-D2FB7CB48FD1}" name="Song 2" dataDxfId="766">
      <calculatedColumnFormula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calculatedColumnFormula>
    </tableColumn>
    <tableColumn id="19" xr3:uid="{BC9A4791-485A-45FA-8103-E5DEA76E45D4}" name="H " dataDxfId="765"/>
    <tableColumn id="20" xr3:uid="{09886AAE-A564-44D4-86DA-4F181A4090EC}" name="S " dataDxfId="764"/>
    <tableColumn id="21" xr3:uid="{DFCE8D5A-0142-41D2-B8B5-0306E073AAD6}" name="L " dataDxfId="763"/>
    <tableColumn id="22" xr3:uid="{48044998-1681-4A55-93D0-C4C592F4E13A}" name="D " dataDxfId="762"/>
    <tableColumn id="23" xr3:uid="{58E5D655-B0C6-47A8-BC99-DE358E1C5D81}" name="J " dataDxfId="761"/>
    <tableColumn id="24" xr3:uid="{4077938B-2632-4909-9E2F-5CD2C75545AA}" name="Remaining" dataDxfId="760">
      <calculatedColumnFormula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calculatedColumnFormula>
    </tableColumn>
  </tableColumns>
  <tableStyleInfo name="TableStyleLight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CCB823-068D-4025-83F7-F31E2C901543}" name="October_Results" displayName="October_Results" ref="AI72:AL91" totalsRowShown="0">
  <autoFilter ref="AI72:AL91" xr:uid="{D6CCB823-068D-4025-83F7-F31E2C901543}"/>
  <tableColumns count="4">
    <tableColumn id="1" xr3:uid="{538B9174-F9F4-41C9-965D-841D3E00CA2B}" name="Result" dataDxfId="759"/>
    <tableColumn id="2" xr3:uid="{0A953A5A-E1EF-4732-BCC7-5E44381BB4CC}" name="Song Title"/>
    <tableColumn id="3" xr3:uid="{1B9DA5BA-BC13-47E6-9817-846604095F99}" name="Diff" dataDxfId="758"/>
    <tableColumn id="4" xr3:uid="{95EC30EC-5704-4042-88CC-D451331D3F7C}" name="Shift"/>
  </tableColumns>
  <tableStyleInfo name="TableStyleLight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2446F20-4255-4F96-85CD-68A8D85B1A9F}" name="November_SotM" displayName="November_SotM" ref="A94:X109" totalsRowShown="0" headerRowDxfId="757" tableBorderDxfId="756">
  <autoFilter ref="A94:X109" xr:uid="{82446F20-4255-4F96-85CD-68A8D85B1A9F}"/>
  <tableColumns count="24">
    <tableColumn id="1" xr3:uid="{7CBDD88F-EFB7-41F0-BC2E-C39091050291}" name="Description" dataDxfId="755">
      <calculatedColumnFormula>_xlfn.CONCAT("Seed ", November_SotM[[#This Row],[Top Seed]], " vs ", November_SotM[[#This Row],[Low Seed]])</calculatedColumnFormula>
    </tableColumn>
    <tableColumn id="2" xr3:uid="{281512E5-9A05-4A3A-885B-F94FAF1DEB43}" name="Num" dataDxfId="754"/>
    <tableColumn id="3" xr3:uid="{F30D35B3-ED50-4CBF-B8E6-DDD1A7647390}" name="Round" dataDxfId="753">
      <calculatedColumnFormula>FLOOR(LOG(November_SotM[[#This Row],[Num]], 2), 1)</calculatedColumnFormula>
    </tableColumn>
    <tableColumn id="4" xr3:uid="{D07C5438-0DC3-429F-B2A7-02D983673782}" name="Max Seed" dataDxfId="752">
      <calculatedColumnFormula>2^(November_SotM[[#This Row],[Round]]+1)</calculatedColumnFormula>
    </tableColumn>
    <tableColumn id="5" xr3:uid="{862040FC-FC1F-4541-94F0-D2FD81D6AFAF}" name="Top Seed" dataDxfId="751">
      <calculatedColumnFormula>November_SotM[[#This Row],[Max Seed]]-November_SotM[[#This Row],[Num]]</calculatedColumnFormula>
    </tableColumn>
    <tableColumn id="6" xr3:uid="{8023530E-C2D6-47A4-ABA0-714121B02DB8}" name="Low Seed" dataDxfId="750">
      <calculatedColumnFormula>November_SotM[[#This Row],[Max Seed]]-November_SotM[[#This Row],[Top Seed]]+1</calculatedColumnFormula>
    </tableColumn>
    <tableColumn id="7" xr3:uid="{27942937-7127-441D-9B27-054E1E11F63B}" name="Initial 1" dataDxfId="749">
      <calculatedColumnFormula>IF(November_SotM[[#This Row],[Round]]=$C$93, TRUE(), IF(November_SotM[[#This Row],[Round]]=$B$93, November_SotM[[#This Row],[Top Seed]]&lt;=2*November_SotM[[#This Row],[Max Seed]]-$A$93, FALSE()))</calculatedColumnFormula>
    </tableColumn>
    <tableColumn id="8" xr3:uid="{8D232B90-05C8-4E36-914A-92C03BB4BA03}" name="Initial 2" dataDxfId="748">
      <calculatedColumnFormula>IF(November_SotM[[#This Row],[Round]]=$C$93, TRUE(), IF(November_SotM[[#This Row],[Round]]=$B$93, November_SotM[[#This Row],[Low Seed]]&lt;=2*November_SotM[[#This Row],[Max Seed]]-$A$93, FALSE()))</calculatedColumnFormula>
    </tableColumn>
    <tableColumn id="9" xr3:uid="{06A07BDD-F55F-49A1-9400-583EF388465F}" name="J" dataDxfId="747"/>
    <tableColumn id="10" xr3:uid="{B2A80CC3-4A65-4DE5-8BFB-689B05FFA9FA}" name="D" dataDxfId="746"/>
    <tableColumn id="11" xr3:uid="{EC2B8C1C-BF1F-40F6-B779-DED19BD4A281}" name="L" dataDxfId="745"/>
    <tableColumn id="12" xr3:uid="{B6A49322-EEBC-43E2-8660-11F7CC8A714A}" name="S" dataDxfId="744"/>
    <tableColumn id="13" xr3:uid="{1A8F67B8-F878-4968-AFE4-6AA391AE34C5}" name="H" dataDxfId="743"/>
    <tableColumn id="14" xr3:uid="{0598C531-8951-4FF6-A988-8546B32FC161}" name="Song 1" dataDxfId="742">
      <calculatedColumnFormula>IF(November_SotM[[#This Row],[Num]]&gt;=$A$93, "-", IF(November_SotM[[#This Row],[Initial 1]], VLOOKUP(November_SotM[[#This Row],[Top Seed]], $Z$94:$AE$109, 6, FALSE), OFFSET(November_SotM[[#This Row],[Winner]], November_SotM[[#This Row],[Max Seed]], 0)))</calculatedColumnFormula>
    </tableColumn>
    <tableColumn id="15" xr3:uid="{F87B1028-0146-42BC-8977-2839ED39099D}" name="Score 1" dataDxfId="741">
      <calculatedColumnFormula>COUNTIF(November_SotM[[#This Row],[J]:[H]],"x")</calculatedColumnFormula>
    </tableColumn>
    <tableColumn id="16" xr3:uid="{D24E35D1-7819-4446-B1A4-6E17802F46EC}" name="Winner" dataDxfId="740">
      <calculatedColumnFormula>IF(November_SotM[[#This Row],[Num]]&gt;=$A$72, "-", IF(November_SotM[[#This Row],[Score 1]]&gt;=3, November_SotM[[#This Row],[Song 1]], IF(November_SotM[[#This Row],[Score 2]]&gt;=3, November_SotM[[#This Row],[Song 2]], "TBD")))</calculatedColumnFormula>
    </tableColumn>
    <tableColumn id="17" xr3:uid="{27582800-BA8E-4E7C-9CEE-3954AE748589}" name="Score 2" dataDxfId="739">
      <calculatedColumnFormula>COUNTIF(November_SotM[[#This Row],[H ]:[J ]],"x")</calculatedColumnFormula>
    </tableColumn>
    <tableColumn id="18" xr3:uid="{CD08C971-7B57-48EF-AEBB-2D12A744A83B}" name="Song 2" dataDxfId="738">
      <calculatedColumnFormula>IF(November_SotM[[#This Row],[Num]]&gt;=$A$93, "-", IF(November_SotM[[#This Row],[Initial 2]], VLOOKUP(November_SotM[[#This Row],[Low Seed]], $Z$94:$AE$109, 6, FALSE), OFFSET(November_SotM[[#This Row],[Winner]], 2*(November_SotM[[#This Row],[Max Seed]]-November_SotM[[#This Row],[Low Seed]])+1, 0)))</calculatedColumnFormula>
    </tableColumn>
    <tableColumn id="19" xr3:uid="{B9085337-C2B5-4624-8102-AC90C9A05B43}" name="H " dataDxfId="737"/>
    <tableColumn id="20" xr3:uid="{39C7DC47-9F92-4AEA-90CC-36BDF1981B13}" name="S " dataDxfId="736"/>
    <tableColumn id="21" xr3:uid="{1E41F78B-F5F9-450F-865F-E6040C2D521C}" name="L " dataDxfId="735"/>
    <tableColumn id="22" xr3:uid="{4B48D4A6-B822-4CC9-BCFB-31975CE9FD30}" name="D " dataDxfId="734"/>
    <tableColumn id="23" xr3:uid="{FB17B919-C2AE-465F-9867-88B1F896F24A}" name="J " dataDxfId="733"/>
    <tableColumn id="24" xr3:uid="{C515D70E-CF18-4ABF-AB90-3316DC14F379}" name="Remaining" dataDxfId="732">
      <calculatedColumnFormula>IF(OR(November_SotM[[#This Row],[Song 1]]="TBD", November_SotM[[#This Row],[Song 2]]="TBD"), "TBD", _xlfn.CONCAT(IF(_xlfn.XOR(ISBLANK(November_SotM[[#This Row],[J]]), ISBLANK(November_SotM[[#This Row],[J ]])), "", "J "), IF(_xlfn.XOR(ISBLANK(November_SotM[[#This Row],[D]]), ISBLANK(November_SotM[[#This Row],[D ]])), "", "D "), IF(_xlfn.XOR(ISBLANK(November_SotM[[#This Row],[L]]), ISBLANK(November_SotM[[#This Row],[L ]])), "", "L "), IF(_xlfn.XOR(ISBLANK(November_SotM[[#This Row],[S]]), ISBLANK(November_SotM[[#This Row],[S ]])), "", "S "), IF(_xlfn.XOR(ISBLANK(November_SotM[[#This Row],[H]]), ISBLANK(November_SotM[[#This Row],[H ]])), "", "H ")))</calculatedColumnFormula>
    </tableColumn>
  </tableColumns>
  <tableStyleInfo name="TableStyleLight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C863FD1-EA36-4A5E-887B-5E919B320B12}" name="November_Results" displayName="November_Results" ref="AI93:AL109" totalsRowShown="0" tableBorderDxfId="731">
  <autoFilter ref="AI93:AL109" xr:uid="{5C863FD1-EA36-4A5E-887B-5E919B320B12}"/>
  <tableColumns count="4">
    <tableColumn id="1" xr3:uid="{E4303D18-525D-42E9-A38E-1FA0F8667F89}" name="Result" dataDxfId="730">
      <calculatedColumnFormula>October_SotM[[#This Row],[Max Seed]]/2 + 1</calculatedColumnFormula>
    </tableColumn>
    <tableColumn id="2" xr3:uid="{96433557-A9CC-4081-8B65-FB8BE920DC2F}" name="Song Title" dataDxfId="729">
      <calculatedColumnFormula>IF(October_SotM[[#This Row],[Num]]&gt;=$A$72, "-", IF(October_SotM[[#This Row],[Score 1]]&gt;=3, October_SotM[[#This Row],[Song 2]], IF(October_SotM[[#This Row],[Score 2]]&gt;=3, October_SotM[[#This Row],[Song 1]], "TBD")))</calculatedColumnFormula>
    </tableColumn>
    <tableColumn id="3" xr3:uid="{736F9EB8-69D5-4489-9E7E-5857E7B1508D}" name="Diff" dataDxfId="728">
      <calculatedColumnFormula>IFERROR(VLOOKUP(November_Results[[#This Row],[Song Title]], $AE$94:$AG$109, 3, FALSE)-November_Results[[#This Row],[Result]], "TBD")</calculatedColumnFormula>
    </tableColumn>
    <tableColumn id="4" xr3:uid="{9B3D0294-3724-41C1-AE4D-D6D1B7311A72}" name="Shift" dataDxfId="727">
      <calculatedColumnFormula>IF(November_Results[[#This Row],[Diff]]&lt;0,"↓",IF(November_Results[[#This Row],[Diff]]=0,"-","↑"))</calculatedColumnFormula>
    </tableColumn>
  </tableColumns>
  <tableStyleInfo name="TableStyleLight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6F46B41-307B-42C7-BAD3-A6FDD7073CE0}" name="December_SotM" displayName="December_SotM" ref="A112:X123" totalsRowShown="0" headerRowDxfId="726" dataDxfId="725">
  <autoFilter ref="A112:X123" xr:uid="{E6F46B41-307B-42C7-BAD3-A6FDD7073CE0}"/>
  <tableColumns count="24">
    <tableColumn id="1" xr3:uid="{73D6989A-9F91-4496-8D60-0A56452A2BE4}" name="Description" dataDxfId="724">
      <calculatedColumnFormula>_xlfn.CONCAT("Seed ", December_SotM[[#This Row],[Top Seed]], " vs ", December_SotM[[#This Row],[Low Seed]])</calculatedColumnFormula>
    </tableColumn>
    <tableColumn id="2" xr3:uid="{B3A3C272-B99A-4019-9B58-97EBFEBA89E7}" name="Num" dataDxfId="723"/>
    <tableColumn id="3" xr3:uid="{1333B0BB-3978-4A75-8554-CCB7D95BEA41}" name="Round" dataDxfId="722">
      <calculatedColumnFormula>FLOOR(LOG(December_SotM[[#This Row],[Num]], 2), 1)</calculatedColumnFormula>
    </tableColumn>
    <tableColumn id="4" xr3:uid="{2CB430EB-1875-4794-A7C3-34BF733CDB9C}" name="Max Seed" dataDxfId="721">
      <calculatedColumnFormula>2^(December_SotM[[#This Row],[Round]]+1)</calculatedColumnFormula>
    </tableColumn>
    <tableColumn id="5" xr3:uid="{3157ECC4-06D9-4EC0-84DE-702478B17506}" name="Top Seed" dataDxfId="720">
      <calculatedColumnFormula>December_SotM[[#This Row],[Max Seed]]-December_SotM[[#This Row],[Num]]</calculatedColumnFormula>
    </tableColumn>
    <tableColumn id="6" xr3:uid="{F9780B61-BF1F-4CA5-B852-4AC37CF5B087}" name="Low Seed" dataDxfId="719">
      <calculatedColumnFormula>December_SotM[[#This Row],[Max Seed]]-December_SotM[[#This Row],[Top Seed]]+1</calculatedColumnFormula>
    </tableColumn>
    <tableColumn id="7" xr3:uid="{474F8455-41FA-48A6-8889-0941348BAACE}" name="Initial 1" dataDxfId="718">
      <calculatedColumnFormula>IF(December_SotM[[#This Row],[Round]]=$C$111, TRUE(), IF(December_SotM[[#This Row],[Round]]=$B$111, December_SotM[[#This Row],[Top Seed]]&lt;=2*December_SotM[[#This Row],[Max Seed]]-$A$111, FALSE()))</calculatedColumnFormula>
    </tableColumn>
    <tableColumn id="8" xr3:uid="{87C7B9E8-75B2-415F-92EA-B59CB192451D}" name="Initial 2" dataDxfId="717">
      <calculatedColumnFormula>IF(December_SotM[[#This Row],[Round]]=$C$111, TRUE(), IF(December_SotM[[#This Row],[Round]]=$B$111, December_SotM[[#This Row],[Low Seed]]&lt;=2*December_SotM[[#This Row],[Max Seed]]-$A$111, FALSE()))</calculatedColumnFormula>
    </tableColumn>
    <tableColumn id="9" xr3:uid="{72DC78C9-E69D-479D-AD62-A936DDC26251}" name="J" dataDxfId="716"/>
    <tableColumn id="10" xr3:uid="{13589FE0-0488-477A-A440-837D267F1D15}" name="D" dataDxfId="715"/>
    <tableColumn id="11" xr3:uid="{62F237D7-7185-4731-8641-6E715A7B8DB7}" name="L" dataDxfId="714"/>
    <tableColumn id="12" xr3:uid="{273AEE48-730D-4AE8-8406-FFD6B175C993}" name="S" dataDxfId="713"/>
    <tableColumn id="13" xr3:uid="{E6727D0B-4BC6-4E4C-A1D1-753A746F0267}" name="H" dataDxfId="712"/>
    <tableColumn id="14" xr3:uid="{A81350E4-CCEE-4EB7-90DA-4226D1A841B3}" name="Song 1" dataDxfId="711">
      <calculatedColumnFormula>IF(December_SotM[[#This Row],[Num]]&gt;=$A$111, "-", IF(December_SotM[[#This Row],[Initial 1]], VLOOKUP(December_SotM[[#This Row],[Top Seed]], $Z$112:$AE$123, 6, FALSE), OFFSET(December_SotM[[#This Row],[Winner]], December_SotM[[#This Row],[Max Seed]], 0)))</calculatedColumnFormula>
    </tableColumn>
    <tableColumn id="15" xr3:uid="{51A70274-895A-4A65-A58C-4BED16FD9DC5}" name="Score 1" dataDxfId="710">
      <calculatedColumnFormula>COUNTIF(December_SotM[[#This Row],[J]:[H]],"x")</calculatedColumnFormula>
    </tableColumn>
    <tableColumn id="16" xr3:uid="{096884F8-1E3A-4851-BCF6-230458C57E35}" name="Winner" dataDxfId="709">
      <calculatedColumnFormula>IF(December_SotM[[#This Row],[Num]]&gt;=$A$72, "-", IF(December_SotM[[#This Row],[Score 1]]&gt;=3, December_SotM[[#This Row],[Song 1]], IF(December_SotM[[#This Row],[Score 2]]&gt;=3, December_SotM[[#This Row],[Song 2]], "TBD")))</calculatedColumnFormula>
    </tableColumn>
    <tableColumn id="17" xr3:uid="{7EBB4BEC-A686-49B1-A4EA-9520B15DBE8A}" name="Score 2" dataDxfId="708">
      <calculatedColumnFormula>COUNTIF(December_SotM[[#This Row],[H ]:[J ]],"x")</calculatedColumnFormula>
    </tableColumn>
    <tableColumn id="18" xr3:uid="{F2DAEB29-5EF1-456A-B652-638C2045DA90}" name="Song 2" dataDxfId="707">
      <calculatedColumnFormula>IF(December_SotM[[#This Row],[Num]]&gt;=$A$111, "-", IF(December_SotM[[#This Row],[Initial 2]], VLOOKUP(December_SotM[[#This Row],[Low Seed]], $Z$112:$AE$123, 6, FALSE), OFFSET(December_SotM[[#This Row],[Winner]], 2*(December_SotM[[#This Row],[Max Seed]]-December_SotM[[#This Row],[Low Seed]])+1, 0)))</calculatedColumnFormula>
    </tableColumn>
    <tableColumn id="19" xr3:uid="{3F9EE9B6-2846-41CA-8CEC-72FBA31EA1EF}" name="H " dataDxfId="706"/>
    <tableColumn id="20" xr3:uid="{61CBF66F-F112-487F-889B-3D1CA9BF4859}" name="S " dataDxfId="705"/>
    <tableColumn id="21" xr3:uid="{96965668-EDCD-435E-8FB1-0A1AD9B8CD82}" name="L " dataDxfId="704"/>
    <tableColumn id="22" xr3:uid="{4227F98A-4976-4CE4-B801-686963B021C4}" name="D " dataDxfId="703"/>
    <tableColumn id="23" xr3:uid="{AB42CF76-2030-47B3-A0FF-1740390F891F}" name="J " dataDxfId="702"/>
    <tableColumn id="24" xr3:uid="{7EC9231C-B7E0-4CFD-8633-E0DCABA94ECE}" name="Remaining" dataDxfId="701">
      <calculatedColumnFormula>IF(OR(December_SotM[[#This Row],[Song 1]]="TBD", December_SotM[[#This Row],[Song 2]]="TBD"), "TBD", _xlfn.CONCAT(IF(_xlfn.XOR(ISBLANK(December_SotM[[#This Row],[J]]), ISBLANK(December_SotM[[#This Row],[J ]])), "", "J "), IF(_xlfn.XOR(ISBLANK(December_SotM[[#This Row],[D]]), ISBLANK(December_SotM[[#This Row],[D ]])), "", "D "), IF(_xlfn.XOR(ISBLANK(December_SotM[[#This Row],[L]]), ISBLANK(December_SotM[[#This Row],[L ]])), "", "L "), IF(_xlfn.XOR(ISBLANK(December_SotM[[#This Row],[S]]), ISBLANK(December_SotM[[#This Row],[S ]])), "", "S "), IF(_xlfn.XOR(ISBLANK(December_SotM[[#This Row],[H]]), ISBLANK(December_SotM[[#This Row],[H ]])), "", "H ")))</calculatedColumnFormula>
    </tableColumn>
  </tableColumns>
  <tableStyleInfo name="TableStyleLight8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4711D16-BE18-4033-8715-2AC1B2B5E4E5}" name="December_Results" displayName="December_Results" ref="AI111:AL123" totalsRowShown="0">
  <autoFilter ref="AI111:AL123" xr:uid="{94711D16-BE18-4033-8715-2AC1B2B5E4E5}"/>
  <tableColumns count="4">
    <tableColumn id="1" xr3:uid="{7E58F712-3F0C-425E-A5BF-E355F2BDED39}" name="Result" dataDxfId="700"/>
    <tableColumn id="2" xr3:uid="{DDDBA1BF-F1E8-4D06-B0D7-7E2E4F38769E}" name="Song Title"/>
    <tableColumn id="3" xr3:uid="{3A63C393-8D93-486B-8A4D-CECB3EDF508B}" name="Diff" dataDxfId="699"/>
    <tableColumn id="4" xr3:uid="{6ECC516E-4224-40EC-8756-B30ABD6385DF}" name="Shift"/>
  </tableColumns>
  <tableStyleInfo name="TableStyleLight8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7F50866-5684-4D2B-9764-91AE466FE295}" name="Jan_2025_SotM" displayName="Jan_2025_SotM" ref="A2:X17" totalsRowShown="0" headerRowDxfId="698" headerRowBorderDxfId="697" tableBorderDxfId="696" totalsRowBorderDxfId="695">
  <autoFilter ref="A2:X17" xr:uid="{17F50866-5684-4D2B-9764-91AE466FE295}"/>
  <tableColumns count="24">
    <tableColumn id="1" xr3:uid="{71952FCC-739B-44BD-9BEE-40E0BDF84635}" name="Description" dataDxfId="694">
      <calculatedColumnFormula>_xlfn.CONCAT("Seed ", Jan_2025_SotM[[#This Row],[Top Seed]], " vs ",Jan_2025_SotM[[#This Row],[Low Seed]])</calculatedColumnFormula>
    </tableColumn>
    <tableColumn id="2" xr3:uid="{FA4BA4FF-78C8-478D-A23C-C60797F1EF90}" name="Num" dataDxfId="693"/>
    <tableColumn id="3" xr3:uid="{7D392263-5B7D-4444-9BFA-1CC33A028EA8}" name="Round" dataDxfId="692">
      <calculatedColumnFormula>FLOOR(LOG(Jan_2025_SotM[[#This Row],[Num]], 2), 1)</calculatedColumnFormula>
    </tableColumn>
    <tableColumn id="4" xr3:uid="{0674EB9C-B5A7-4FC8-A8EB-46070A20264A}" name="Max Seed" dataDxfId="691">
      <calculatedColumnFormula>2^(Jan_2025_SotM[[#This Row],[Round]]+1)</calculatedColumnFormula>
    </tableColumn>
    <tableColumn id="5" xr3:uid="{B5BDE7B5-B1B2-4509-9DA1-E4AE9DC81E1E}" name="Top Seed" dataDxfId="690">
      <calculatedColumnFormula>Jan_2025_SotM[[#This Row],[Max Seed]]-Jan_2025_SotM[[#This Row],[Num]]</calculatedColumnFormula>
    </tableColumn>
    <tableColumn id="6" xr3:uid="{9849031C-C390-4ACC-8E0B-4DD064358CD0}" name="Low Seed" dataDxfId="689">
      <calculatedColumnFormula>Jan_2025_SotM[[#This Row],[Max Seed]]-Jan_2025_SotM[[#This Row],[Top Seed]]+1</calculatedColumnFormula>
    </tableColumn>
    <tableColumn id="7" xr3:uid="{353624DA-DC8B-4254-B618-A9A2285E6022}" name="Initial 1" dataDxfId="688">
      <calculatedColumnFormula>IF(Jan_2025_SotM[[#This Row],[Round]]=$C$1, TRUE(), IF(Jan_2025_SotM[[#This Row],[Round]]=$B$1, Jan_2025_SotM[[#This Row],[Top Seed]]&lt;=2*Jan_2025_SotM[[#This Row],[Max Seed]]-$A$1, FALSE()))</calculatedColumnFormula>
    </tableColumn>
    <tableColumn id="8" xr3:uid="{F2A75BBF-5119-4250-AA25-BB5EAD961A0A}" name="Initial 2" dataDxfId="687">
      <calculatedColumnFormula>IF(Jan_2025_SotM[[#This Row],[Round]]=$C$1, TRUE(), IF(Jan_2025_SotM[[#This Row],[Round]]=$B$1, Jan_2025_SotM[[#This Row],[Low Seed]]&lt;=2*Jan_2025_SotM[[#This Row],[Max Seed]]-$A$1, FALSE()))</calculatedColumnFormula>
    </tableColumn>
    <tableColumn id="9" xr3:uid="{7FD0629A-2393-403F-806B-E0A0763F4474}" name="J" dataDxfId="686"/>
    <tableColumn id="10" xr3:uid="{3675FFCC-3C1E-4302-80B7-FDAD9D61F6BA}" name="D" dataDxfId="685"/>
    <tableColumn id="11" xr3:uid="{A0A344B7-6487-4BDC-A199-2F7441DE40D5}" name="L" dataDxfId="684"/>
    <tableColumn id="12" xr3:uid="{7233776D-D1AD-48F4-9ED6-2986297598ED}" name="S" dataDxfId="683"/>
    <tableColumn id="13" xr3:uid="{45039578-8D9D-46F0-9A10-717C76FDB93F}" name="H" dataDxfId="682"/>
    <tableColumn id="14" xr3:uid="{EDEDC36E-62AF-40AD-AC08-805D4A514A28}" name="Song 1" dataDxfId="681">
      <calculatedColumnFormula>IF(Jan_2025_SotM[[#This Row],[Num]]&gt;=$A$1, "-", IF(Jan_2025_SotM[[#This Row],[Initial 1]], VLOOKUP(Jan_2025_SotM[[#This Row],[Top Seed]], $Z$2:$AE$17, 6, FALSE), OFFSET(Jan_2025_SotM[[#This Row],[Winner]], Jan_2025_SotM[[#This Row],[Max Seed]], 0)))</calculatedColumnFormula>
    </tableColumn>
    <tableColumn id="15" xr3:uid="{BBDE0D3C-DDB2-4C50-8C07-E1F7A9C9BAF6}" name="Score 1" dataDxfId="680">
      <calculatedColumnFormula>COUNTIF(Jan_2025_SotM[[#This Row],[J]:[H]],"x")</calculatedColumnFormula>
    </tableColumn>
    <tableColumn id="16" xr3:uid="{A20FCF13-7B1E-4E46-BB3B-E453CC4589FE}" name="Winner" dataDxfId="679">
      <calculatedColumnFormula>IF(Jan_2025_SotM[[#This Row],[Num]]&gt;=$A$1, "-", IF(Jan_2025_SotM[[#This Row],[Score 1]]&gt;=3, Jan_2025_SotM[[#This Row],[Song 1]], IF(Jan_2025_SotM[[#This Row],[Score 2]]&gt;=3, Jan_2025_SotM[[#This Row],[Song 2]], "TBD")))</calculatedColumnFormula>
    </tableColumn>
    <tableColumn id="17" xr3:uid="{78413BD0-C58A-4E07-8BBC-1D6E743782F7}" name="Score 2" dataDxfId="678">
      <calculatedColumnFormula>COUNTIF(Jan_2025_SotM[[#This Row],[H ]:[J ]],"x")</calculatedColumnFormula>
    </tableColumn>
    <tableColumn id="18" xr3:uid="{D3D6D523-ED71-4B1B-9E99-63EB92C5F504}" name="Song 2" dataDxfId="677">
      <calculatedColumnFormula>IF(Jan_2025_SotM[[#This Row],[Num]]&gt;=$A$1, "-", IF(Jan_2025_SotM[[#This Row],[Initial 2]], VLOOKUP(Jan_2025_SotM[[#This Row],[Low Seed]], $Z$2:$AE$17, 6, FALSE), OFFSET(Jan_2025_SotM[[#This Row],[Winner]], 2*(Jan_2025_SotM[[#This Row],[Max Seed]]-Jan_2025_SotM[[#This Row],[Low Seed]])+1, 0)))</calculatedColumnFormula>
    </tableColumn>
    <tableColumn id="19" xr3:uid="{78D33B08-F1FC-4E8B-8647-012258320897}" name="H " dataDxfId="676"/>
    <tableColumn id="20" xr3:uid="{B3271B34-8619-43A1-916E-3CA0C405622C}" name="S " dataDxfId="675"/>
    <tableColumn id="21" xr3:uid="{849AA1BA-5230-49F2-BFC4-549242013F0E}" name="L " dataDxfId="674"/>
    <tableColumn id="22" xr3:uid="{58409080-DBA0-46FD-BA2D-A841A7645A7F}" name="D " dataDxfId="673"/>
    <tableColumn id="23" xr3:uid="{09F8C4FD-295E-49F2-BDFD-6D6739025CAA}" name="J " dataDxfId="672"/>
    <tableColumn id="24" xr3:uid="{66207D12-844F-450B-9ADC-19E9BDDB3369}" name="Remaining" dataDxfId="671">
      <calculatedColumnFormula>IF(OR(Jan_2025_SotM[[#This Row],[Song 1]]="TBD", Jan_2025_SotM[[#This Row],[Song 2]]="TBD"), "TBD", _xlfn.CONCAT(IF(_xlfn.XOR(ISBLANK(Jan_2025_SotM[[#This Row],[J]]), ISBLANK(Jan_2025_SotM[[#This Row],[J ]])), "", "J "), IF(_xlfn.XOR(ISBLANK(Jan_2025_SotM[[#This Row],[D]]), ISBLANK(Jan_2025_SotM[[#This Row],[D ]])), "", "D "), IF(_xlfn.XOR(ISBLANK(Jan_2025_SotM[[#This Row],[L]]), ISBLANK(Jan_2025_SotM[[#This Row],[L ]])), "", "L "), IF(_xlfn.XOR(ISBLANK(Jan_2025_SotM[[#This Row],[S]]), ISBLANK(Jan_2025_SotM[[#This Row],[S ]])), "", "S "), IF(_xlfn.XOR(ISBLANK(Jan_2025_SotM[[#This Row],[H]]), ISBLANK(Jan_2025_SotM[[#This Row],[H ]])), "", "H ")))</calculatedColumnFormula>
    </tableColumn>
  </tableColumns>
  <tableStyleInfo name="TableStyleLight8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05A4ACF-8975-48C8-9E2E-8E2B14574098}" name="Jan_2025_Results" displayName="Jan_2025_Results" ref="AI1:AL17" totalsRowShown="0" headerRowDxfId="670" headerRowBorderDxfId="669" tableBorderDxfId="668">
  <autoFilter ref="AI1:AL17" xr:uid="{905A4ACF-8975-48C8-9E2E-8E2B14574098}"/>
  <tableColumns count="4">
    <tableColumn id="1" xr3:uid="{5EAB873A-A110-4C85-A6CE-E4EEADB381CA}" name="Result" dataDxfId="667">
      <calculatedColumnFormula>June_SotM[[#This Row],[Max Seed]]/2 + 1</calculatedColumnFormula>
    </tableColumn>
    <tableColumn id="2" xr3:uid="{136E7E80-86F4-422D-8CE0-5DFB22D88C06}" name="Song Title" dataDxfId="666">
      <calculatedColumnFormula>IF(June_SotM[[#This Row],[Num]]&gt;=$A$1, "-", IF(June_SotM[[#This Row],[Score 1]]&gt;=3, June_SotM[[#This Row],[Song 2]], IF(June_SotM[[#This Row],[Score 2]]&gt;=3, June_SotM[[#This Row],[Song 1]], "TBD")))</calculatedColumnFormula>
    </tableColumn>
    <tableColumn id="3" xr3:uid="{B046CB21-7736-483F-B1D9-203680F2E0C7}" name="Diff" dataDxfId="665">
      <calculatedColumnFormula>IFERROR(VLOOKUP(Jan_2025_Results[[#This Row],[Song Title]], $AE$2:$AG$17, 3, FALSE)-Jan_2025_Results[[#This Row],[Result]], "TBD")</calculatedColumnFormula>
    </tableColumn>
    <tableColumn id="4" xr3:uid="{0A9ADC35-31EF-4951-BEFA-46E31E37DFA3}" name="Shift" dataDxfId="664">
      <calculatedColumnFormula>IF(AK2&lt;0,"↓",IF(AK2=0,"-","↑"))</calculatedColumnFormula>
    </tableColumn>
  </tableColumns>
  <tableStyleInfo name="TableStyleLight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0D4E3B4-0B7C-4908-B412-630E96C654F8}" name="Feb_2025_SotM" displayName="Feb_2025_SotM" ref="A20:X35" totalsRowShown="0">
  <autoFilter ref="A20:X35" xr:uid="{50D4E3B4-0B7C-4908-B412-630E96C654F8}"/>
  <tableColumns count="24">
    <tableColumn id="1" xr3:uid="{8C809EAF-BD0D-4DF5-8748-A21D0742270F}" name="Description" dataDxfId="663">
      <calculatedColumnFormula>_xlfn.CONCAT("Seed ", Feb_2025_SotM[[#This Row],[Top Seed]], " vs ",Feb_2025_SotM[[#This Row],[Low Seed]])</calculatedColumnFormula>
    </tableColumn>
    <tableColumn id="2" xr3:uid="{06B1B1AD-5564-4B00-9520-A56B2E3FC680}" name="Num" dataDxfId="662"/>
    <tableColumn id="3" xr3:uid="{BB1E0A5F-0170-4270-B23D-E9E1D5E1E22B}" name="Round" dataDxfId="661">
      <calculatedColumnFormula>FLOOR(LOG(Feb_2025_SotM[[#This Row],[Num]], 2), 1)</calculatedColumnFormula>
    </tableColumn>
    <tableColumn id="4" xr3:uid="{E8E05958-6526-4008-9F3E-EA7D167040DA}" name="Max Seed" dataDxfId="660">
      <calculatedColumnFormula>2^(Feb_2025_SotM[[#This Row],[Round]]+1)</calculatedColumnFormula>
    </tableColumn>
    <tableColumn id="5" xr3:uid="{42F780F9-DB94-4C84-BCE9-06C4D2CC81BC}" name="Top Seed" dataDxfId="659">
      <calculatedColumnFormula>Feb_2025_SotM[[#This Row],[Max Seed]]-Feb_2025_SotM[[#This Row],[Num]]</calculatedColumnFormula>
    </tableColumn>
    <tableColumn id="6" xr3:uid="{EC601FB9-009A-4392-B5AE-E1A3BA2DED4C}" name="Low Seed" dataDxfId="658">
      <calculatedColumnFormula>Feb_2025_SotM[[#This Row],[Max Seed]]-Feb_2025_SotM[[#This Row],[Top Seed]]+1</calculatedColumnFormula>
    </tableColumn>
    <tableColumn id="7" xr3:uid="{B135475D-60A9-469B-A33D-D60AA4E678BD}" name="Initial 1" dataDxfId="657">
      <calculatedColumnFormula>IF(Feb_2025_SotM[[#This Row],[Round]]=$C$19, TRUE(), IF(Feb_2025_SotM[[#This Row],[Round]]=$B$19, Feb_2025_SotM[[#This Row],[Top Seed]]&lt;=2*Feb_2025_SotM[[#This Row],[Max Seed]]-$A$19, FALSE()))</calculatedColumnFormula>
    </tableColumn>
    <tableColumn id="8" xr3:uid="{D9058C0D-151F-4285-A70C-76F11E043BED}" name="Initial 2" dataDxfId="656">
      <calculatedColumnFormula>IF(Feb_2025_SotM[[#This Row],[Round]]=$C$19, TRUE(), IF(Feb_2025_SotM[[#This Row],[Round]]=$B$19, Feb_2025_SotM[[#This Row],[Low Seed]]&lt;=2*Feb_2025_SotM[[#This Row],[Max Seed]]-$A$19, FALSE()))</calculatedColumnFormula>
    </tableColumn>
    <tableColumn id="9" xr3:uid="{7FB69176-7BDB-4A26-856C-CA7C1DBFD0F0}" name="J" dataDxfId="655"/>
    <tableColumn id="10" xr3:uid="{85C8887C-35B3-4693-B489-2AD48292CBCA}" name="D" dataDxfId="654"/>
    <tableColumn id="11" xr3:uid="{27F27FBA-6EB2-403A-965D-D8A6A2B84A93}" name="L" dataDxfId="653"/>
    <tableColumn id="12" xr3:uid="{07C6CE75-C365-44BA-BEC9-8173EE67CF93}" name="S" dataDxfId="652"/>
    <tableColumn id="13" xr3:uid="{33ECC6F9-12B1-46D5-9EBC-C3329633F79E}" name="H" dataDxfId="651"/>
    <tableColumn id="14" xr3:uid="{BEC2D676-5518-4958-A193-567C69C015DF}" name="Song 1" dataDxfId="650">
      <calculatedColumnFormula>IF(Feb_2025_SotM[[#This Row],[Num]]&gt;=$A$19, "-", IF(Feb_2025_SotM[[#This Row],[Initial 1]], VLOOKUP(Feb_2025_SotM[[#This Row],[Top Seed]], $Z$20:$AE$35, 6, FALSE), OFFSET(Feb_2025_SotM[[#This Row],[Winner]], Feb_2025_SotM[[#This Row],[Max Seed]], 0)))</calculatedColumnFormula>
    </tableColumn>
    <tableColumn id="15" xr3:uid="{803B1FAF-AE0B-4646-8DF4-D0923C03D61F}" name="Score 1" dataDxfId="649">
      <calculatedColumnFormula>COUNTIF(Feb_2025_SotM[[#This Row],[J]:[H]],"x")</calculatedColumnFormula>
    </tableColumn>
    <tableColumn id="16" xr3:uid="{1785A92C-78AB-43AD-AE76-7917C1226D59}" name="Winner" dataDxfId="648">
      <calculatedColumnFormula>IF(Feb_2025_SotM[[#This Row],[Num]]&gt;=$A$19, "-", IF(Feb_2025_SotM[[#This Row],[Score 1]]&gt;=3, Feb_2025_SotM[[#This Row],[Song 1]], IF(Feb_2025_SotM[[#This Row],[Score 2]]&gt;=3, Feb_2025_SotM[[#This Row],[Song 2]], "TBD")))</calculatedColumnFormula>
    </tableColumn>
    <tableColumn id="17" xr3:uid="{0B5660EC-4422-4C55-B620-2FA0D504A535}" name="Score 2" dataDxfId="647">
      <calculatedColumnFormula>COUNTIF(Feb_2025_SotM[[#This Row],[H ]:[J ]],"x")</calculatedColumnFormula>
    </tableColumn>
    <tableColumn id="18" xr3:uid="{FDDE5B58-6C7A-4DE2-8925-7F29CE0BB6BC}" name="Song 2" dataDxfId="646">
      <calculatedColumnFormula>IF(Feb_2025_SotM[[#This Row],[Num]]&gt;=$A$19, "-", IF(Feb_2025_SotM[[#This Row],[Initial 2]], VLOOKUP(Feb_2025_SotM[[#This Row],[Low Seed]], $Z$20:$AE$35, 6, FALSE), OFFSET(Feb_2025_SotM[[#This Row],[Winner]], 2*(Feb_2025_SotM[[#This Row],[Max Seed]]-Feb_2025_SotM[[#This Row],[Low Seed]])+1, 0)))</calculatedColumnFormula>
    </tableColumn>
    <tableColumn id="19" xr3:uid="{1486F769-EB29-403F-9E9F-1CC52C7593E3}" name="H " dataDxfId="645"/>
    <tableColumn id="20" xr3:uid="{4654D42F-7C88-4B9F-9B8A-748AAF91068B}" name="S " dataDxfId="644"/>
    <tableColumn id="21" xr3:uid="{22096783-C39F-43D0-B494-281DC6577B11}" name="L " dataDxfId="643"/>
    <tableColumn id="22" xr3:uid="{0E8AA6A1-E741-4CEA-AB1F-04D4302CB5CF}" name="D " dataDxfId="642"/>
    <tableColumn id="23" xr3:uid="{C5238F23-6C23-4377-B69D-1EDEF0140499}" name="J " dataDxfId="641"/>
    <tableColumn id="24" xr3:uid="{68A914D0-7F0B-4F1F-AC11-7E792B8CC1F5}" name="Remaining" dataDxfId="640">
      <calculatedColumnFormula>IF(OR(Feb_2025_SotM[[#This Row],[Song 1]]="TBD", Feb_2025_SotM[[#This Row],[Song 2]]="TBD"), "TBD", _xlfn.CONCAT(IF(_xlfn.XOR(ISBLANK(Feb_2025_SotM[[#This Row],[J]]), ISBLANK(Feb_2025_SotM[[#This Row],[J ]])), "", "J "), IF(_xlfn.XOR(ISBLANK(Feb_2025_SotM[[#This Row],[D]]), ISBLANK(Feb_2025_SotM[[#This Row],[D ]])), "", "D "), IF(_xlfn.XOR(ISBLANK(Feb_2025_SotM[[#This Row],[L]]), ISBLANK(Feb_2025_SotM[[#This Row],[L ]])), "", "L "), IF(_xlfn.XOR(ISBLANK(Feb_2025_SotM[[#This Row],[S]]), ISBLANK(Feb_2025_SotM[[#This Row],[S ]])), "", "S "), IF(_xlfn.XOR(ISBLANK(Feb_2025_SotM[[#This Row],[H]]), ISBLANK(Feb_2025_SotM[[#This Row],[H ]])), "", "H ")))</calculatedColumnFormula>
    </tableColumn>
  </tableColumns>
  <tableStyleInfo name="TableStyleLight8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11A4870-0D8A-4946-B096-75A189E8BE32}" name="Feb_2025_Results" displayName="Feb_2025_Results" ref="AI19:AL35" totalsRowShown="0" headerRowDxfId="639" dataDxfId="638">
  <autoFilter ref="AI19:AL35" xr:uid="{E11A4870-0D8A-4946-B096-75A189E8BE32}"/>
  <tableColumns count="4">
    <tableColumn id="1" xr3:uid="{1C25ECBC-950F-421B-9E9E-F20A94D10B33}" name="Result" dataDxfId="637">
      <calculatedColumnFormula>Jan_2025_SotM[[#This Row],[Max Seed]]/2 + 1</calculatedColumnFormula>
    </tableColumn>
    <tableColumn id="2" xr3:uid="{3D3D698D-657A-4589-8704-74C10F5F9C31}" name="Song Title" dataDxfId="636">
      <calculatedColumnFormula>IF(Jan_2025_SotM[[#This Row],[Num]]&gt;=$A$1, "-", IF(Jan_2025_SotM[[#This Row],[Score 1]]&gt;=3, Jan_2025_SotM[[#This Row],[Song 2]], IF(Jan_2025_SotM[[#This Row],[Score 2]]&gt;=3, Jan_2025_SotM[[#This Row],[Song 1]], "TBD")))</calculatedColumnFormula>
    </tableColumn>
    <tableColumn id="3" xr3:uid="{D302442D-F15A-4C07-A512-85A03F0B33F5}" name="Diff" dataDxfId="635">
      <calculatedColumnFormula>IFERROR(VLOOKUP(Feb_2025_Results[[#This Row],[Song Title]], $AE$20:$AG$35, 3, FALSE)-Feb_2025_Results[[#This Row],[Result]], "TBD")</calculatedColumnFormula>
    </tableColumn>
    <tableColumn id="4" xr3:uid="{553CEEF4-27D7-48DF-8711-C2E0166C5B53}" name="Shift" dataDxfId="634">
      <calculatedColumnFormula>IF(AK20&lt;0,"↓",IF(AK20=0,"-","↑"))</calculatedColumnFormula>
    </tableColumn>
  </tableColumns>
  <tableStyleInfo name="TableStyleLight8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31F6DB2-77FB-4DD3-A62B-14DD717235EC}" name="Mar_2025_SotM" displayName="Mar_2025_SotM" ref="A38:X54" totalsRowShown="0">
  <autoFilter ref="A38:X54" xr:uid="{B31F6DB2-77FB-4DD3-A62B-14DD717235EC}"/>
  <tableColumns count="24">
    <tableColumn id="1" xr3:uid="{285CEA58-520F-4F13-88F6-1481D0CCCD2A}" name="Description" dataDxfId="633">
      <calculatedColumnFormula>_xlfn.CONCAT("Seed ", Mar_2025_SotM[[#This Row],[Top Seed]], " vs ",Mar_2025_SotM[[#This Row],[Low Seed]])</calculatedColumnFormula>
    </tableColumn>
    <tableColumn id="2" xr3:uid="{70299DF8-4269-4889-8BBC-2CD6FC77720D}" name="Num" dataDxfId="632"/>
    <tableColumn id="3" xr3:uid="{DEB5069B-78CC-49F9-97C3-1102115E1AC5}" name="Round" dataDxfId="631">
      <calculatedColumnFormula>FLOOR(LOG(Mar_2025_SotM[[#This Row],[Num]], 2), 1)</calculatedColumnFormula>
    </tableColumn>
    <tableColumn id="4" xr3:uid="{3B758CA8-DFD3-445D-A215-DF449E56B9F7}" name="Max Seed" dataDxfId="630">
      <calculatedColumnFormula>2^(Mar_2025_SotM[[#This Row],[Round]]+1)</calculatedColumnFormula>
    </tableColumn>
    <tableColumn id="5" xr3:uid="{A2A145BB-94FD-4565-9F64-CE41F9378124}" name="Top Seed" dataDxfId="629">
      <calculatedColumnFormula>Mar_2025_SotM[[#This Row],[Max Seed]]-Mar_2025_SotM[[#This Row],[Num]]</calculatedColumnFormula>
    </tableColumn>
    <tableColumn id="6" xr3:uid="{D8EE6D8C-59DF-44EA-9C73-DA284FEF81EC}" name="Low Seed" dataDxfId="628">
      <calculatedColumnFormula>Mar_2025_SotM[[#This Row],[Max Seed]]-Mar_2025_SotM[[#This Row],[Top Seed]]+1</calculatedColumnFormula>
    </tableColumn>
    <tableColumn id="7" xr3:uid="{07E3E1BF-B18C-40AC-B8CE-1D1B8377760F}" name="Initial 1" dataDxfId="627">
      <calculatedColumnFormula>IF(Mar_2025_SotM[[#This Row],[Round]]=$C$37, TRUE(), IF(Mar_2025_SotM[[#This Row],[Round]]=$B$37, Mar_2025_SotM[[#This Row],[Top Seed]]&lt;=2*Mar_2025_SotM[[#This Row],[Max Seed]]-$A$37, FALSE()))</calculatedColumnFormula>
    </tableColumn>
    <tableColumn id="8" xr3:uid="{FCD82DE3-D1D6-4887-9D1B-C3E4DB809C63}" name="Initial 2" dataDxfId="626">
      <calculatedColumnFormula>IF(Mar_2025_SotM[[#This Row],[Round]]=$C$37, TRUE(), IF(Mar_2025_SotM[[#This Row],[Round]]=$B$37, Mar_2025_SotM[[#This Row],[Low Seed]]&lt;=2*Mar_2025_SotM[[#This Row],[Max Seed]]-$A$37, FALSE()))</calculatedColumnFormula>
    </tableColumn>
    <tableColumn id="9" xr3:uid="{343ABCE0-D451-498E-AF77-8FE588ECD469}" name="J" dataDxfId="625"/>
    <tableColumn id="10" xr3:uid="{095E333E-68AA-4080-9CA1-A6338C2C7725}" name="D" dataDxfId="624"/>
    <tableColumn id="11" xr3:uid="{84A6A2AB-7083-4D2D-AD11-4232A74C6C7C}" name="L" dataDxfId="623"/>
    <tableColumn id="12" xr3:uid="{58DA2D45-BBFD-4EC2-8147-22B0E4FDCE51}" name="S" dataDxfId="622"/>
    <tableColumn id="13" xr3:uid="{F2A5E612-5650-42FF-A211-5B274E8AFA84}" name="H" dataDxfId="621"/>
    <tableColumn id="14" xr3:uid="{61FAD44D-06F5-4776-BCA9-C1A5950570E9}" name="Song 1" dataDxfId="620">
      <calculatedColumnFormula>IF(Mar_2025_SotM[[#This Row],[Num]]&gt;=$A$37, "-", IF(Mar_2025_SotM[[#This Row],[Initial 1]], VLOOKUP(Mar_2025_SotM[[#This Row],[Top Seed]], $Z$38:$AE$54, 6, FALSE), OFFSET(Mar_2025_SotM[[#This Row],[Winner]], Mar_2025_SotM[[#This Row],[Max Seed]], 0)))</calculatedColumnFormula>
    </tableColumn>
    <tableColumn id="15" xr3:uid="{7C090295-D336-4E06-AAB1-A8434750C7A8}" name="Score 1" dataDxfId="619">
      <calculatedColumnFormula>COUNTIF(Mar_2025_SotM[[#This Row],[J]:[H]],"x")</calculatedColumnFormula>
    </tableColumn>
    <tableColumn id="16" xr3:uid="{D7C7E004-6400-45D2-A882-415ED5AECD5E}" name="Winner" dataDxfId="618">
      <calculatedColumnFormula>IF(Mar_2025_SotM[[#This Row],[Num]]&gt;=$A$37, "-", IF(Mar_2025_SotM[[#This Row],[Score 1]]&gt;=3, Mar_2025_SotM[[#This Row],[Song 1]], IF(Mar_2025_SotM[[#This Row],[Score 2]]&gt;=3, Mar_2025_SotM[[#This Row],[Song 2]], "TBD")))</calculatedColumnFormula>
    </tableColumn>
    <tableColumn id="17" xr3:uid="{23181345-716A-4E54-BB54-CB8BE000B881}" name="Score 2" dataDxfId="617">
      <calculatedColumnFormula>COUNTIF(Mar_2025_SotM[[#This Row],[H ]:[J ]],"x")</calculatedColumnFormula>
    </tableColumn>
    <tableColumn id="18" xr3:uid="{A4E1C50B-00EA-4FF3-A686-7FBE0D0A458E}" name="Song 2" dataDxfId="616">
      <calculatedColumnFormula>IF(Mar_2025_SotM[[#This Row],[Num]]&gt;=$A$37, "-", IF(Mar_2025_SotM[[#This Row],[Initial 2]], VLOOKUP(Mar_2025_SotM[[#This Row],[Low Seed]], $Z$38:$AE$54, 6, FALSE), OFFSET(Mar_2025_SotM[[#This Row],[Winner]], 2*(Mar_2025_SotM[[#This Row],[Max Seed]]-Mar_2025_SotM[[#This Row],[Low Seed]])+1, 0)))</calculatedColumnFormula>
    </tableColumn>
    <tableColumn id="19" xr3:uid="{59E44B40-D947-4C0A-90FD-8F64F6D295B2}" name="H " dataDxfId="615"/>
    <tableColumn id="20" xr3:uid="{E2F8411E-E27B-4F8B-B7F3-4C400D0309A3}" name="S " dataDxfId="614"/>
    <tableColumn id="21" xr3:uid="{BA2EF076-144F-4AD1-9BB6-EC0AA07E11B8}" name="L " dataDxfId="613"/>
    <tableColumn id="22" xr3:uid="{D7FE2FF0-9A12-4268-B82A-A37861005C9A}" name="D " dataDxfId="612"/>
    <tableColumn id="23" xr3:uid="{15A76898-3225-4B2F-B416-12EFFC7EEF40}" name="J " dataDxfId="611"/>
    <tableColumn id="24" xr3:uid="{C578B5A6-A1F3-4100-B38B-22D5A3B3E9A2}" name="Remaining" dataDxfId="610">
      <calculatedColumnFormula>IF(OR(Mar_2025_SotM[[#This Row],[Song 1]]="TBD", Mar_2025_SotM[[#This Row],[Song 2]]="TBD"), "TBD", _xlfn.CONCAT(IF(_xlfn.XOR(ISBLANK(Mar_2025_SotM[[#This Row],[J]]), ISBLANK(Mar_2025_SotM[[#This Row],[J ]])), "", "J "), IF(_xlfn.XOR(ISBLANK(Mar_2025_SotM[[#This Row],[D]]), ISBLANK(Mar_2025_SotM[[#This Row],[D ]])), "", "D "), IF(_xlfn.XOR(ISBLANK(Mar_2025_SotM[[#This Row],[L]]), ISBLANK(Mar_2025_SotM[[#This Row],[L ]])), "", "L "), IF(_xlfn.XOR(ISBLANK(Mar_2025_SotM[[#This Row],[S]]), ISBLANK(Mar_2025_SotM[[#This Row],[S ]])), "", "S "), IF(_xlfn.XOR(ISBLANK(Mar_2025_SotM[[#This Row],[H]]), ISBLANK(Mar_2025_SotM[[#This Row],[H ]])), "", "H ")))</calculatedColumnFormula>
    </tableColumn>
  </tableColumns>
  <tableStyleInfo name="TableStyleLight8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7657EB3-20C2-4E7E-A99D-2C253921D546}" name="Apr_2025_SotM" displayName="Apr_2025_SotM" ref="A57:X74" totalsRowShown="0" headerRowDxfId="609" headerRowBorderDxfId="608" tableBorderDxfId="607" totalsRowBorderDxfId="606">
  <autoFilter ref="A57:X74" xr:uid="{C7657EB3-20C2-4E7E-A99D-2C253921D546}"/>
  <tableColumns count="24">
    <tableColumn id="1" xr3:uid="{866DBE0B-409A-4CC7-AD0C-5ACAE9EAB5D7}" name="Description" dataDxfId="605">
      <calculatedColumnFormula>_xlfn.CONCAT("Seed ", Apr_2025_SotM[[#This Row],[Top Seed]], " vs ",Apr_2025_SotM[[#This Row],[Low Seed]])</calculatedColumnFormula>
    </tableColumn>
    <tableColumn id="2" xr3:uid="{A12459CD-DC59-4B27-A62F-04C389817ED8}" name="Num" dataDxfId="604"/>
    <tableColumn id="3" xr3:uid="{51591211-C9B6-4069-9504-6B1CAD5DD4FA}" name="Round" dataDxfId="603">
      <calculatedColumnFormula>FLOOR(LOG(Apr_2025_SotM[[#This Row],[Num]], 2), 1)</calculatedColumnFormula>
    </tableColumn>
    <tableColumn id="4" xr3:uid="{D480A38C-959B-40F7-9691-1E4FCE0EE087}" name="Max Seed" dataDxfId="602">
      <calculatedColumnFormula>2^(Apr_2025_SotM[[#This Row],[Round]]+1)</calculatedColumnFormula>
    </tableColumn>
    <tableColumn id="5" xr3:uid="{CA5CA5AD-2E88-4026-8338-2458439951B1}" name="Top Seed" dataDxfId="601">
      <calculatedColumnFormula>Apr_2025_SotM[[#This Row],[Max Seed]]-Apr_2025_SotM[[#This Row],[Num]]</calculatedColumnFormula>
    </tableColumn>
    <tableColumn id="6" xr3:uid="{DDA7C683-E6BA-46EA-89F5-91F5699D3A0C}" name="Low Seed" dataDxfId="600">
      <calculatedColumnFormula>Apr_2025_SotM[[#This Row],[Max Seed]]-Apr_2025_SotM[[#This Row],[Top Seed]]+1</calculatedColumnFormula>
    </tableColumn>
    <tableColumn id="7" xr3:uid="{84249389-46FB-41F2-9C59-D7485968B372}" name="Initial 1" dataDxfId="599">
      <calculatedColumnFormula>IF(Apr_2025_SotM[[#This Row],[Round]]=$C$56, TRUE(), IF(Apr_2025_SotM[[#This Row],[Round]]=$B$56, Apr_2025_SotM[[#This Row],[Top Seed]]&lt;=2*Apr_2025_SotM[[#This Row],[Max Seed]]-$A$56, FALSE()))</calculatedColumnFormula>
    </tableColumn>
    <tableColumn id="8" xr3:uid="{BA37C551-B6FE-443E-A7E0-41A75E83392B}" name="Initial 2" dataDxfId="598">
      <calculatedColumnFormula>IF(Apr_2025_SotM[[#This Row],[Round]]=$C$56, TRUE(), IF(Apr_2025_SotM[[#This Row],[Round]]=$B$56, Apr_2025_SotM[[#This Row],[Low Seed]]&lt;=2*Apr_2025_SotM[[#This Row],[Max Seed]]-$A$56, FALSE()))</calculatedColumnFormula>
    </tableColumn>
    <tableColumn id="9" xr3:uid="{E0208402-BB22-4C38-B2CF-94916787DFD6}" name="J" dataDxfId="597"/>
    <tableColumn id="10" xr3:uid="{5EB9F111-E83D-47FF-A41A-BAE872CDB48F}" name="D" dataDxfId="596"/>
    <tableColumn id="11" xr3:uid="{3E79C05D-3B5E-49CA-863E-4BD1FB46F0F4}" name="L" dataDxfId="595"/>
    <tableColumn id="12" xr3:uid="{9BB16326-09F6-46FC-A33D-50ED026A1AC4}" name="S" dataDxfId="594"/>
    <tableColumn id="13" xr3:uid="{0BF83CA1-2E0F-4340-808B-01D4515759F4}" name="H" dataDxfId="593"/>
    <tableColumn id="14" xr3:uid="{C5C8FEEE-327F-4F63-9E67-55C3E43FECCF}" name="Song 1" dataDxfId="592">
      <calculatedColumnFormula>IF(Apr_2025_SotM[[#This Row],[Num]]&gt;=$A$56, "-", IF(Apr_2025_SotM[[#This Row],[Initial 1]], VLOOKUP(Apr_2025_SotM[[#This Row],[Top Seed]], $Z$57:$AE$74, 6, FALSE), OFFSET(Apr_2025_SotM[[#This Row],[Winner]], Apr_2025_SotM[[#This Row],[Max Seed]], 0)))</calculatedColumnFormula>
    </tableColumn>
    <tableColumn id="15" xr3:uid="{04A5A267-182D-4ADB-AB3E-AD9504E32B38}" name="Score 1" dataDxfId="591">
      <calculatedColumnFormula>COUNTIF(Apr_2025_SotM[[#This Row],[J]:[H]],"x")</calculatedColumnFormula>
    </tableColumn>
    <tableColumn id="16" xr3:uid="{1DC72490-FDBE-49B0-B3CD-B572040B5E0C}" name="Winner" dataDxfId="590">
      <calculatedColumnFormula>IF(Apr_2025_SotM[[#This Row],[Num]]&gt;=$A$56, "-", IF(Apr_2025_SotM[[#This Row],[Score 1]]&gt;=3, Apr_2025_SotM[[#This Row],[Song 1]], IF(Apr_2025_SotM[[#This Row],[Score 2]]&gt;=3, Apr_2025_SotM[[#This Row],[Song 2]], "TBD")))</calculatedColumnFormula>
    </tableColumn>
    <tableColumn id="17" xr3:uid="{FE394A4C-9B1E-48FA-8F8E-2B128653A470}" name="Score 2" dataDxfId="589">
      <calculatedColumnFormula>COUNTIF(Apr_2025_SotM[[#This Row],[H ]:[J ]],"x")</calculatedColumnFormula>
    </tableColumn>
    <tableColumn id="18" xr3:uid="{BB74F2C4-DEDC-4B6D-B0B4-9F6B552911E6}" name="Song 2" dataDxfId="588">
      <calculatedColumnFormula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calculatedColumnFormula>
    </tableColumn>
    <tableColumn id="19" xr3:uid="{05E0A861-FE6F-43E7-8881-AB76BD41ABC7}" name="H " dataDxfId="587"/>
    <tableColumn id="20" xr3:uid="{D03A2DAC-9C97-48FD-9F48-ADE34899A955}" name="S " dataDxfId="586"/>
    <tableColumn id="21" xr3:uid="{FC06C2F3-EA7B-4136-93BD-9B47C22626B9}" name="L " dataDxfId="585"/>
    <tableColumn id="22" xr3:uid="{6E692A6E-1C4B-465C-B9BE-6F63112F5675}" name="D " dataDxfId="584"/>
    <tableColumn id="23" xr3:uid="{7752D7FE-1ABD-4534-B835-F7137295A672}" name="J " dataDxfId="583"/>
    <tableColumn id="24" xr3:uid="{9BE03790-84F8-42E6-A243-E39400BE0419}" name="Remaining" dataDxfId="582">
      <calculatedColumnFormula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calculatedColumnFormula>
    </tableColumn>
  </tableColumns>
  <tableStyleInfo name="TableStyleLight8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5118F78-05B3-4119-AE70-4459C703F8AC}" name="May_2025_SotM" displayName="May_2025_SotM" ref="A77:X93" totalsRowShown="0" headerRowDxfId="581" headerRowBorderDxfId="580" tableBorderDxfId="579" totalsRowBorderDxfId="578">
  <autoFilter ref="A77:X93" xr:uid="{D5118F78-05B3-4119-AE70-4459C703F8AC}"/>
  <tableColumns count="24">
    <tableColumn id="1" xr3:uid="{A0EA4885-BDE5-488C-AC91-E25EB1798851}" name="Description" dataDxfId="577">
      <calculatedColumnFormula>_xlfn.CONCAT("Seed ", May_2025_SotM[[#This Row],[Top Seed]], " vs ",May_2025_SotM[[#This Row],[Low Seed]])</calculatedColumnFormula>
    </tableColumn>
    <tableColumn id="2" xr3:uid="{F5820945-6863-4884-9B58-C26690102AEB}" name="Num" dataDxfId="576"/>
    <tableColumn id="3" xr3:uid="{2ED24564-B23C-401B-9D54-05770EDE128F}" name="Round" dataDxfId="575">
      <calculatedColumnFormula>FLOOR(LOG(May_2025_SotM[[#This Row],[Num]], 2), 1)</calculatedColumnFormula>
    </tableColumn>
    <tableColumn id="4" xr3:uid="{B84C3DC7-81BF-4D67-A89A-C1A3606879B8}" name="Max Seed" dataDxfId="574">
      <calculatedColumnFormula>2^(May_2025_SotM[[#This Row],[Round]]+1)</calculatedColumnFormula>
    </tableColumn>
    <tableColumn id="5" xr3:uid="{D1BD83D0-92FD-4E96-B941-07D8CAEC746F}" name="Top Seed" dataDxfId="573">
      <calculatedColumnFormula>May_2025_SotM[[#This Row],[Max Seed]]-May_2025_SotM[[#This Row],[Num]]</calculatedColumnFormula>
    </tableColumn>
    <tableColumn id="6" xr3:uid="{3A131D9E-C7E5-480A-983A-519A0ADE1AF3}" name="Low Seed" dataDxfId="572">
      <calculatedColumnFormula>May_2025_SotM[[#This Row],[Max Seed]]-May_2025_SotM[[#This Row],[Top Seed]]+1</calculatedColumnFormula>
    </tableColumn>
    <tableColumn id="7" xr3:uid="{0762B384-F261-409E-B2C5-7C02AEE59A2D}" name="Initial 1" dataDxfId="571">
      <calculatedColumnFormula>IF(May_2025_SotM[[#This Row],[Round]]=$C$76, TRUE(), IF(May_2025_SotM[[#This Row],[Round]]=$B$76, May_2025_SotM[[#This Row],[Top Seed]]&lt;=2*May_2025_SotM[[#This Row],[Max Seed]]-$A$76, FALSE()))</calculatedColumnFormula>
    </tableColumn>
    <tableColumn id="8" xr3:uid="{9B621C64-CCF4-4A7E-B196-79AEAFB36988}" name="Initial 2" dataDxfId="570">
      <calculatedColumnFormula>IF(May_2025_SotM[[#This Row],[Round]]=$C$76, TRUE(), IF(May_2025_SotM[[#This Row],[Round]]=$B$76, May_2025_SotM[[#This Row],[Low Seed]]&lt;=2*May_2025_SotM[[#This Row],[Max Seed]]-$A$76, FALSE()))</calculatedColumnFormula>
    </tableColumn>
    <tableColumn id="9" xr3:uid="{463E013A-4B02-4C5A-B4BB-60031F078359}" name="J" dataDxfId="569"/>
    <tableColumn id="10" xr3:uid="{BE5A1045-48C2-4A60-A722-E1D1AAA9F443}" name="D" dataDxfId="568"/>
    <tableColumn id="11" xr3:uid="{19D45003-DDCA-46AE-8B2E-55AC20448133}" name="L" dataDxfId="567"/>
    <tableColumn id="12" xr3:uid="{F81CAF89-BA20-4428-B0A7-F70174A12BA8}" name="S" dataDxfId="566"/>
    <tableColumn id="13" xr3:uid="{3FBFD120-DF68-4D40-A0B3-86DC00D842E7}" name="H" dataDxfId="565"/>
    <tableColumn id="14" xr3:uid="{45F87C6C-97BE-4259-BC70-B67BC52538BA}" name="Song 1" dataDxfId="564">
      <calculatedColumnFormula>IF(May_2025_SotM[[#This Row],[Num]]&gt;=$A$76, "-", IF(May_2025_SotM[[#This Row],[Initial 1]], VLOOKUP(May_2025_SotM[[#This Row],[Top Seed]], $Z$77:$AE$93, 6, FALSE), OFFSET(May_2025_SotM[[#This Row],[Winner]], May_2025_SotM[[#This Row],[Max Seed]], 0)))</calculatedColumnFormula>
    </tableColumn>
    <tableColumn id="15" xr3:uid="{2FBA71DF-B621-4906-985D-F6C43780DD20}" name="Score 1" dataDxfId="563">
      <calculatedColumnFormula>COUNTIF(May_2025_SotM[[#This Row],[J]:[H]],"x")</calculatedColumnFormula>
    </tableColumn>
    <tableColumn id="16" xr3:uid="{B82E0156-DDD4-4A4A-8B5A-C9DC4161F243}" name="Winner" dataDxfId="562">
      <calculatedColumnFormula>IF(May_2025_SotM[[#This Row],[Num]]&gt;=$A$76, "-", IF(May_2025_SotM[[#This Row],[Score 1]]&gt;=3, May_2025_SotM[[#This Row],[Song 1]], IF(May_2025_SotM[[#This Row],[Score 2]]&gt;=3, May_2025_SotM[[#This Row],[Song 2]], "TBD")))</calculatedColumnFormula>
    </tableColumn>
    <tableColumn id="17" xr3:uid="{36DD91E4-2423-4B17-8947-488AB11699AE}" name="Score 2" dataDxfId="561">
      <calculatedColumnFormula>COUNTIF(May_2025_SotM[[#This Row],[H ]:[J ]],"x")</calculatedColumnFormula>
    </tableColumn>
    <tableColumn id="18" xr3:uid="{86732B89-E76B-4A87-BCCF-D90D12BCD486}" name="Song 2" dataDxfId="560">
      <calculatedColumnFormula>IF(May_2025_SotM[[#This Row],[Num]]&gt;=$A$76, "-", IF(May_2025_SotM[[#This Row],[Initial 2]], VLOOKUP(May_2025_SotM[[#This Row],[Low Seed]], $Z$77:$AE$93, 6, FALSE), OFFSET(May_2025_SotM[[#This Row],[Winner]], 2*(May_2025_SotM[[#This Row],[Max Seed]]-May_2025_SotM[[#This Row],[Low Seed]])+1, 0)))</calculatedColumnFormula>
    </tableColumn>
    <tableColumn id="19" xr3:uid="{DE05DB81-581F-44E1-BC74-F4BEADD502A4}" name="H " dataDxfId="559"/>
    <tableColumn id="20" xr3:uid="{05068A1A-8310-4F25-ADEC-38C2909EDB90}" name="S " dataDxfId="558"/>
    <tableColumn id="21" xr3:uid="{6FAA6B38-F5ED-411F-9B17-56DBFE38E3FD}" name="L " dataDxfId="557"/>
    <tableColumn id="22" xr3:uid="{A1D57887-C359-40FE-8C5B-F8C5A05B4823}" name="D " dataDxfId="556"/>
    <tableColumn id="23" xr3:uid="{18FA990D-75B6-4485-B639-989956F34966}" name="J " dataDxfId="555"/>
    <tableColumn id="24" xr3:uid="{060DD46B-9EF6-4943-A7A6-9BF8FDD34846}" name="Remaining" dataDxfId="554">
      <calculatedColumnFormula>IF(OR(May_2025_SotM[[#This Row],[Song 1]]="TBD", May_2025_SotM[[#This Row],[Song 2]]="TBD"), "TBD", _xlfn.CONCAT(IF(_xlfn.XOR(ISBLANK(May_2025_SotM[[#This Row],[J]]), ISBLANK(May_2025_SotM[[#This Row],[J ]])), "", "J "), IF(_xlfn.XOR(ISBLANK(May_2025_SotM[[#This Row],[D]]), ISBLANK(May_2025_SotM[[#This Row],[D ]])), "", "D "), IF(_xlfn.XOR(ISBLANK(May_2025_SotM[[#This Row],[L]]), ISBLANK(May_2025_SotM[[#This Row],[L ]])), "", "L "), IF(_xlfn.XOR(ISBLANK(May_2025_SotM[[#This Row],[S]]), ISBLANK(May_2025_SotM[[#This Row],[S ]])), "", "S "), IF(_xlfn.XOR(ISBLANK(May_2025_SotM[[#This Row],[H]]), ISBLANK(May_2025_SotM[[#This Row],[H ]])), "", "H ")))</calculatedColumnFormula>
    </tableColumn>
  </tableColumns>
  <tableStyleInfo name="TableStyleLight8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906EEB7-88EC-4761-9692-39AEFC9A7FD4}" name="Jun_2025_SotM" displayName="Jun_2025_SotM" ref="A96:X112" totalsRowShown="0" headerRowDxfId="553" headerRowBorderDxfId="552" tableBorderDxfId="551" totalsRowBorderDxfId="550">
  <autoFilter ref="A96:X112" xr:uid="{B906EEB7-88EC-4761-9692-39AEFC9A7FD4}"/>
  <tableColumns count="24">
    <tableColumn id="1" xr3:uid="{84D22976-4C49-409D-8183-253111BEAB47}" name="Description" dataDxfId="549">
      <calculatedColumnFormula>_xlfn.CONCAT("Seed ", Jun_2025_SotM[[#This Row],[Top Seed]], " vs ",Jun_2025_SotM[[#This Row],[Low Seed]])</calculatedColumnFormula>
    </tableColumn>
    <tableColumn id="2" xr3:uid="{AD1135E5-839E-41F1-A49E-81E43C3BAF68}" name="Num" dataDxfId="548"/>
    <tableColumn id="3" xr3:uid="{081B4F41-26E3-43A6-85E1-6487250FC3C6}" name="Round" dataDxfId="547">
      <calculatedColumnFormula>FLOOR(LOG(Jun_2025_SotM[[#This Row],[Num]], 2), 1)</calculatedColumnFormula>
    </tableColumn>
    <tableColumn id="4" xr3:uid="{2832966B-4BB0-43A0-8FF3-6AD14D1E9759}" name="Max Seed" dataDxfId="546">
      <calculatedColumnFormula>2^(Jun_2025_SotM[[#This Row],[Round]]+1)</calculatedColumnFormula>
    </tableColumn>
    <tableColumn id="5" xr3:uid="{CAD63687-3F45-4CE0-A93B-EEE8D3058C91}" name="Top Seed" dataDxfId="545">
      <calculatedColumnFormula>Jun_2025_SotM[[#This Row],[Max Seed]]-Jun_2025_SotM[[#This Row],[Num]]</calculatedColumnFormula>
    </tableColumn>
    <tableColumn id="6" xr3:uid="{62B91627-A748-4778-8C81-01C83B1F991D}" name="Low Seed" dataDxfId="544">
      <calculatedColumnFormula>Jun_2025_SotM[[#This Row],[Max Seed]]-Jun_2025_SotM[[#This Row],[Top Seed]]+1</calculatedColumnFormula>
    </tableColumn>
    <tableColumn id="7" xr3:uid="{F89CDF57-09ED-4796-8FA8-332C551B439E}" name="Initial 1" dataDxfId="543">
      <calculatedColumnFormula>IF(Jun_2025_SotM[[#This Row],[Round]]=$C$95, TRUE(), IF(Jun_2025_SotM[[#This Row],[Round]]=$B$95, Jun_2025_SotM[[#This Row],[Top Seed]]&lt;=2*Jun_2025_SotM[[#This Row],[Max Seed]]-$A$95, FALSE()))</calculatedColumnFormula>
    </tableColumn>
    <tableColumn id="8" xr3:uid="{8290DB18-7F11-4F2E-B809-4DB39AA176ED}" name="Initial 2" dataDxfId="542">
      <calculatedColumnFormula>IF(Jun_2025_SotM[[#This Row],[Round]]=$C$95, TRUE(), IF(Jun_2025_SotM[[#This Row],[Round]]=$B$95, Jun_2025_SotM[[#This Row],[Low Seed]]&lt;=2*Jun_2025_SotM[[#This Row],[Max Seed]]-$A$95, FALSE()))</calculatedColumnFormula>
    </tableColumn>
    <tableColumn id="9" xr3:uid="{D5C426CB-7736-4121-8155-25811445833C}" name="J" dataDxfId="541"/>
    <tableColumn id="10" xr3:uid="{810A8504-4931-4770-A6D7-0BB5A8A43722}" name="D" dataDxfId="540"/>
    <tableColumn id="11" xr3:uid="{CCFCD247-2D52-4D55-A946-B8BD20FC5B20}" name="L" dataDxfId="539"/>
    <tableColumn id="12" xr3:uid="{3F95F888-FEE5-4191-ACC9-29C726742FE5}" name="S" dataDxfId="538"/>
    <tableColumn id="13" xr3:uid="{4E37A6B9-1BE3-4D78-8687-FF8AA4718E37}" name="H" dataDxfId="537"/>
    <tableColumn id="14" xr3:uid="{857FE2BC-A2DF-4802-970F-B237EDC8BCD3}" name="Song 1" dataDxfId="536">
      <calculatedColumnFormula>IF(Jun_2025_SotM[[#This Row],[Num]]&gt;=$A$95, "-", IF(Jun_2025_SotM[[#This Row],[Initial 1]], VLOOKUP(Jun_2025_SotM[[#This Row],[Top Seed]], $Z$96:$AE$112, 6, FALSE), OFFSET(Jun_2025_SotM[[#This Row],[Winner]], Jun_2025_SotM[[#This Row],[Max Seed]], 0)))</calculatedColumnFormula>
    </tableColumn>
    <tableColumn id="15" xr3:uid="{0507BFC1-32E5-4C8C-A5BF-B0F334A1CD36}" name="Score 1" dataDxfId="535">
      <calculatedColumnFormula>COUNTIF(Jun_2025_SotM[[#This Row],[J]:[H]],"x")</calculatedColumnFormula>
    </tableColumn>
    <tableColumn id="16" xr3:uid="{4D7E6C2F-E03C-47F4-A903-599C88CA9BED}" name="Winner" dataDxfId="534">
      <calculatedColumnFormula>IF(Jun_2025_SotM[[#This Row],[Num]]&gt;=$A$95, "-", IF(Jun_2025_SotM[[#This Row],[Score 1]]&gt;=3, Jun_2025_SotM[[#This Row],[Song 1]], IF(Jun_2025_SotM[[#This Row],[Score 2]]&gt;=3, Jun_2025_SotM[[#This Row],[Song 2]], "TBD")))</calculatedColumnFormula>
    </tableColumn>
    <tableColumn id="17" xr3:uid="{9B844FD4-4289-4010-B15F-48D7BF41FE87}" name="Score 2" dataDxfId="533">
      <calculatedColumnFormula>COUNTIF(Jun_2025_SotM[[#This Row],[H ]:[J ]],"x")</calculatedColumnFormula>
    </tableColumn>
    <tableColumn id="18" xr3:uid="{33F9467C-F8B2-433B-A5CB-F31DD4D5DC9F}" name="Song 2" dataDxfId="532">
      <calculatedColumnFormula>IF(Jun_2025_SotM[[#This Row],[Num]]&gt;=$A$95, "-", IF(Jun_2025_SotM[[#This Row],[Initial 2]], VLOOKUP(Jun_2025_SotM[[#This Row],[Low Seed]], $Z$96:$AE$112, 6, FALSE), OFFSET(Jun_2025_SotM[[#This Row],[Winner]], 2*(Jun_2025_SotM[[#This Row],[Max Seed]]-Jun_2025_SotM[[#This Row],[Low Seed]])+1, 0)))</calculatedColumnFormula>
    </tableColumn>
    <tableColumn id="19" xr3:uid="{0A09A8CA-7A14-40CD-9935-33F9ECD8FB05}" name="H " dataDxfId="531"/>
    <tableColumn id="20" xr3:uid="{13B1621A-2EBA-4307-9311-EB08CBCDCA46}" name="S " dataDxfId="530"/>
    <tableColumn id="21" xr3:uid="{885F04F7-8660-4B0A-8152-DA35E64C09B4}" name="L " dataDxfId="529"/>
    <tableColumn id="22" xr3:uid="{188EAFEB-4FDB-4E6E-8CE2-83D2AC750EE6}" name="D " dataDxfId="528"/>
    <tableColumn id="23" xr3:uid="{37F1E8A4-4380-44F9-881F-F67248455774}" name="J " dataDxfId="527"/>
    <tableColumn id="24" xr3:uid="{47A41DA0-AD9E-4D52-988C-0058293B9909}" name="Remaining" dataDxfId="526">
      <calculatedColumnFormula>IF(OR(Jun_2025_SotM[[#This Row],[Song 1]]="TBD", Jun_2025_SotM[[#This Row],[Song 2]]="TBD"), "TBD", _xlfn.CONCAT(IF(_xlfn.XOR(ISBLANK(Jun_2025_SotM[[#This Row],[J]]), ISBLANK(Jun_2025_SotM[[#This Row],[J ]])), "", "J "), IF(_xlfn.XOR(ISBLANK(Jun_2025_SotM[[#This Row],[D]]), ISBLANK(Jun_2025_SotM[[#This Row],[D ]])), "", "D "), IF(_xlfn.XOR(ISBLANK(Jun_2025_SotM[[#This Row],[L]]), ISBLANK(Jun_2025_SotM[[#This Row],[L ]])), "", "L "), IF(_xlfn.XOR(ISBLANK(Jun_2025_SotM[[#This Row],[S]]), ISBLANK(Jun_2025_SotM[[#This Row],[S ]])), "", "S "), IF(_xlfn.XOR(ISBLANK(Jun_2025_SotM[[#This Row],[H]]), ISBLANK(Jun_2025_SotM[[#This Row],[H ]])), "", "H ")))</calculatedColumnFormula>
    </tableColumn>
  </tableColumns>
  <tableStyleInfo name="TableStyleLight8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D317532-12F3-42B0-AE73-4540C126C298}" name="Jul_2025_SotM" displayName="Jul_2025_SotM" ref="A115:X133" totalsRowShown="0" headerRowDxfId="525" headerRowBorderDxfId="524" tableBorderDxfId="523" totalsRowBorderDxfId="522">
  <autoFilter ref="A115:X133" xr:uid="{ED317532-12F3-42B0-AE73-4540C126C298}"/>
  <tableColumns count="24">
    <tableColumn id="1" xr3:uid="{47B75839-27B1-4DD4-AB2B-65F26A85DB8F}" name="Description" dataDxfId="521">
      <calculatedColumnFormula>_xlfn.CONCAT("Seed ", Jul_2025_SotM[[#This Row],[Top Seed]], " vs ",Jul_2025_SotM[[#This Row],[Low Seed]])</calculatedColumnFormula>
    </tableColumn>
    <tableColumn id="2" xr3:uid="{6C2647EA-213B-4E6B-93CB-9955B587615A}" name="Num" dataDxfId="520"/>
    <tableColumn id="3" xr3:uid="{7EF1BD03-3D1A-4DD7-9D44-3FD6C7ADCB31}" name="Round" dataDxfId="519">
      <calculatedColumnFormula>FLOOR(LOG(Jul_2025_SotM[[#This Row],[Num]], 2), 1)</calculatedColumnFormula>
    </tableColumn>
    <tableColumn id="4" xr3:uid="{32F37618-CE42-4B57-A3DE-0655776B8AE6}" name="Max Seed" dataDxfId="518">
      <calculatedColumnFormula>2^(Jul_2025_SotM[[#This Row],[Round]]+1)</calculatedColumnFormula>
    </tableColumn>
    <tableColumn id="5" xr3:uid="{69E0942D-B3BC-4188-BB82-F2E07A41D639}" name="Top Seed" dataDxfId="517">
      <calculatedColumnFormula>Jul_2025_SotM[[#This Row],[Max Seed]]-Jul_2025_SotM[[#This Row],[Num]]</calculatedColumnFormula>
    </tableColumn>
    <tableColumn id="6" xr3:uid="{C23E6E88-7375-4E4E-A69F-FBA8D8AF09B6}" name="Low Seed" dataDxfId="516">
      <calculatedColumnFormula>Jul_2025_SotM[[#This Row],[Max Seed]]-Jul_2025_SotM[[#This Row],[Top Seed]]+1</calculatedColumnFormula>
    </tableColumn>
    <tableColumn id="7" xr3:uid="{A61216B5-97CC-439A-B4E4-263FDC27ADA1}" name="Initial 1" dataDxfId="515">
      <calculatedColumnFormula>IF(Jul_2025_SotM[[#This Row],[Round]]=$C$114, TRUE(), IF(Jul_2025_SotM[[#This Row],[Round]]=$B$114, Jul_2025_SotM[[#This Row],[Top Seed]]&lt;=2*Jul_2025_SotM[[#This Row],[Max Seed]]-$A$114, FALSE()))</calculatedColumnFormula>
    </tableColumn>
    <tableColumn id="8" xr3:uid="{1EC4ACCE-5586-4BFA-9F98-87E16131364E}" name="Initial 2" dataDxfId="514">
      <calculatedColumnFormula>IF(Jul_2025_SotM[[#This Row],[Round]]=$C$114, TRUE(), IF(Jul_2025_SotM[[#This Row],[Round]]=$B$114, Jul_2025_SotM[[#This Row],[Low Seed]]&lt;=2*Jul_2025_SotM[[#This Row],[Max Seed]]-$A$114, FALSE()))</calculatedColumnFormula>
    </tableColumn>
    <tableColumn id="9" xr3:uid="{3D278150-0418-48D5-9B1D-0190DBCFD88B}" name="J" dataDxfId="513"/>
    <tableColumn id="10" xr3:uid="{22B4B5E3-7F64-4266-BCDF-9E2C90D0153D}" name="D" dataDxfId="512"/>
    <tableColumn id="11" xr3:uid="{B03D0DBD-5262-4BFB-866B-9584E50FF7B3}" name="L" dataDxfId="511"/>
    <tableColumn id="12" xr3:uid="{53D6A41B-E620-4203-8067-43A36BC44C5F}" name="S" dataDxfId="510"/>
    <tableColumn id="13" xr3:uid="{3B600444-6AAC-4AB4-94B0-C366AC74AFF0}" name="H" dataDxfId="509"/>
    <tableColumn id="14" xr3:uid="{13AACD6D-0730-41B8-9688-D639ACEF3F3D}" name="Song 1" dataDxfId="508">
      <calculatedColumnFormula>IF(Jul_2025_SotM[[#This Row],[Num]]&gt;=$A$114, "-", IF(Jul_2025_SotM[[#This Row],[Initial 1]], VLOOKUP(Jul_2025_SotM[[#This Row],[Top Seed]], $Z$115:$AE$133, 6, FALSE), OFFSET(Jul_2025_SotM[[#This Row],[Winner]], Jul_2025_SotM[[#This Row],[Max Seed]], 0)))</calculatedColumnFormula>
    </tableColumn>
    <tableColumn id="15" xr3:uid="{023750A5-2A4D-4B5E-935C-7BBED08260F8}" name="Score 1" dataDxfId="507">
      <calculatedColumnFormula>COUNTIF(Jul_2025_SotM[[#This Row],[J]:[H]],"x")</calculatedColumnFormula>
    </tableColumn>
    <tableColumn id="16" xr3:uid="{83AAB6B3-4C06-4359-9939-1DE4AC671838}" name="Winner" dataDxfId="506">
      <calculatedColumnFormula>IF(Jul_2025_SotM[[#This Row],[Num]]&gt;=$A$114, "-", IF(Jul_2025_SotM[[#This Row],[Score 1]]&gt;=3, Jul_2025_SotM[[#This Row],[Song 1]], IF(Jul_2025_SotM[[#This Row],[Score 2]]&gt;=3, Jul_2025_SotM[[#This Row],[Song 2]], "TBD")))</calculatedColumnFormula>
    </tableColumn>
    <tableColumn id="17" xr3:uid="{B1ED32A9-A881-43E8-AADB-7B8BE41B88A6}" name="Score 2" dataDxfId="505">
      <calculatedColumnFormula>COUNTIF(Jul_2025_SotM[[#This Row],[H ]:[J ]],"x")</calculatedColumnFormula>
    </tableColumn>
    <tableColumn id="18" xr3:uid="{4F6D9B76-BA30-4596-B167-A5E4F550F410}" name="Song 2" dataDxfId="504">
      <calculatedColumnFormula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calculatedColumnFormula>
    </tableColumn>
    <tableColumn id="19" xr3:uid="{234D5852-12BD-4CF3-A74C-C065997E2BA7}" name="H " dataDxfId="503"/>
    <tableColumn id="20" xr3:uid="{C2AD6A76-956E-4E73-A4D7-3576D74EDC7D}" name="S " dataDxfId="502"/>
    <tableColumn id="21" xr3:uid="{084F0656-4128-42F4-9FED-A1D9A8611C12}" name="L " dataDxfId="501"/>
    <tableColumn id="22" xr3:uid="{2D74D36A-E799-4804-9EB0-AE5430DE88E4}" name="D " dataDxfId="500"/>
    <tableColumn id="23" xr3:uid="{A82793AE-D1BA-4F27-AABC-4ED676BBAAE7}" name="J " dataDxfId="499"/>
    <tableColumn id="24" xr3:uid="{82D99E53-7C6A-469A-9414-B7CC8D509542}" name="Remaining" dataDxfId="498">
      <calculatedColumnFormula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calculatedColumnFormula>
    </tableColumn>
  </tableColumns>
  <tableStyleInfo name="TableStyleLight8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8B8297D-D6DC-47DE-93B5-E85B3970999D}" name="Aug_2025_SotM" displayName="Aug_2025_SotM" ref="A136:X151" totalsRowShown="0" headerRowDxfId="497" headerRowBorderDxfId="496">
  <autoFilter ref="A136:X151" xr:uid="{C8B8297D-D6DC-47DE-93B5-E85B3970999D}"/>
  <tableColumns count="24">
    <tableColumn id="1" xr3:uid="{222AFDD8-2A2A-4CD8-B271-EB3EE7C333F1}" name="Description" dataDxfId="495">
      <calculatedColumnFormula>_xlfn.CONCAT("Seed ", Aug_2025_SotM[[#This Row],[Top Seed]], " vs ",Aug_2025_SotM[[#This Row],[Low Seed]])</calculatedColumnFormula>
    </tableColumn>
    <tableColumn id="2" xr3:uid="{8F6D0EFB-6376-4E19-8974-73C5BA75B911}" name="Num" dataDxfId="494"/>
    <tableColumn id="3" xr3:uid="{F9B10060-68E9-4766-B5A3-A7D11A6F957A}" name="Round" dataDxfId="493">
      <calculatedColumnFormula>FLOOR(LOG(Aug_2025_SotM[[#This Row],[Num]], 2), 1)</calculatedColumnFormula>
    </tableColumn>
    <tableColumn id="4" xr3:uid="{A711FDCA-9429-4A85-A499-09BC5ADDAA11}" name="Max Seed" dataDxfId="492">
      <calculatedColumnFormula>2^(Aug_2025_SotM[[#This Row],[Round]]+1)</calculatedColumnFormula>
    </tableColumn>
    <tableColumn id="5" xr3:uid="{DD9EEEA0-96BA-48CB-8EBA-393DEF0DA798}" name="Top Seed" dataDxfId="491">
      <calculatedColumnFormula>Aug_2025_SotM[[#This Row],[Max Seed]]-Aug_2025_SotM[[#This Row],[Num]]</calculatedColumnFormula>
    </tableColumn>
    <tableColumn id="6" xr3:uid="{36047769-1AC4-48A8-B113-8A41FD7DEA59}" name="Low Seed" dataDxfId="490">
      <calculatedColumnFormula>Aug_2025_SotM[[#This Row],[Max Seed]]-Aug_2025_SotM[[#This Row],[Top Seed]]+1</calculatedColumnFormula>
    </tableColumn>
    <tableColumn id="7" xr3:uid="{7B7FA84A-39A2-4C7F-BA3E-379415A6093B}" name="Initial 1" dataDxfId="489">
      <calculatedColumnFormula>IF(Aug_2025_SotM[[#This Row],[Round]]=$C$135, TRUE(), IF(Aug_2025_SotM[[#This Row],[Round]]=$B$135, Aug_2025_SotM[[#This Row],[Top Seed]]&lt;=2*Aug_2025_SotM[[#This Row],[Max Seed]]-$A$135, FALSE()))</calculatedColumnFormula>
    </tableColumn>
    <tableColumn id="8" xr3:uid="{B3A7BC38-C339-49D3-8137-251CDB2BC9EC}" name="Initial 2" dataDxfId="488">
      <calculatedColumnFormula>IF(Aug_2025_SotM[[#This Row],[Round]]=$C$135, TRUE(), IF(Aug_2025_SotM[[#This Row],[Round]]=$B$135, Aug_2025_SotM[[#This Row],[Low Seed]]&lt;=2*Aug_2025_SotM[[#This Row],[Max Seed]]-$A$135, FALSE()))</calculatedColumnFormula>
    </tableColumn>
    <tableColumn id="9" xr3:uid="{851917CF-CEED-460E-8F1D-25B5D51027C9}" name="J" dataDxfId="487"/>
    <tableColumn id="10" xr3:uid="{1FF66C23-EAF7-4494-BE3E-0D241515B65D}" name="D" dataDxfId="486"/>
    <tableColumn id="11" xr3:uid="{6D0E83DD-B91E-46FF-94BF-8A07783F7F83}" name="L" dataDxfId="485"/>
    <tableColumn id="12" xr3:uid="{C6C3255A-96F8-489C-A5FA-7C05BF74B2AA}" name="S" dataDxfId="484"/>
    <tableColumn id="13" xr3:uid="{98446832-62E2-40E0-B354-BADAD6A9829E}" name="H" dataDxfId="483"/>
    <tableColumn id="14" xr3:uid="{6C57A020-D9B6-4F84-90A5-21FAA6AC6D11}" name="Song 1" dataDxfId="482">
      <calculatedColumnFormula>IF(Aug_2025_SotM[[#This Row],[Num]]&gt;=$A$135, "-", IF(Aug_2025_SotM[[#This Row],[Initial 1]], VLOOKUP(Aug_2025_SotM[[#This Row],[Top Seed]], $Z$136:$AE$151, 6, FALSE), OFFSET(Aug_2025_SotM[[#This Row],[Winner]], Aug_2025_SotM[[#This Row],[Max Seed]], 0)))</calculatedColumnFormula>
    </tableColumn>
    <tableColumn id="15" xr3:uid="{0941AD68-4612-4EDD-9A8F-1168BB6E5EE0}" name="Score 1" dataDxfId="481">
      <calculatedColumnFormula>COUNTIF(Aug_2025_SotM[[#This Row],[J]:[H]],"x")</calculatedColumnFormula>
    </tableColumn>
    <tableColumn id="16" xr3:uid="{F0696DAF-B5D8-4BFE-8A97-FC04DB2ECDDE}" name="Winner" dataDxfId="480">
      <calculatedColumnFormula>IF(Aug_2025_SotM[[#This Row],[Num]]&gt;=$A$135, "-", IF(Aug_2025_SotM[[#This Row],[Score 1]]&gt;=3, Aug_2025_SotM[[#This Row],[Song 1]], IF(Aug_2025_SotM[[#This Row],[Score 2]]&gt;=3, Aug_2025_SotM[[#This Row],[Song 2]], "TBD")))</calculatedColumnFormula>
    </tableColumn>
    <tableColumn id="17" xr3:uid="{C2C3D8E2-8A15-409F-A94A-424B0757DB2E}" name="Score 2" dataDxfId="479">
      <calculatedColumnFormula>COUNTIF(Aug_2025_SotM[[#This Row],[H ]:[J ]],"x")</calculatedColumnFormula>
    </tableColumn>
    <tableColumn id="18" xr3:uid="{E75B6CD6-3C4B-4596-AD01-D2D40351C76A}" name="Song 2" dataDxfId="478">
      <calculatedColumnFormula>IF(Aug_2025_SotM[[#This Row],[Num]]&gt;=$A$135, "-", IF(Aug_2025_SotM[[#This Row],[Initial 2]], VLOOKUP(Aug_2025_SotM[[#This Row],[Low Seed]], $Z$136:$AE$151, 6, FALSE), OFFSET(Aug_2025_SotM[[#This Row],[Winner]], 2*(Aug_2025_SotM[[#This Row],[Max Seed]]-Aug_2025_SotM[[#This Row],[Low Seed]])+1, 0)))</calculatedColumnFormula>
    </tableColumn>
    <tableColumn id="19" xr3:uid="{1F052F15-EC58-4462-A677-E8DF3F73B899}" name="H " dataDxfId="477"/>
    <tableColumn id="20" xr3:uid="{3BBF6165-034A-48DC-B5B4-8FC4BB2B4495}" name="S " dataDxfId="476"/>
    <tableColumn id="21" xr3:uid="{C0776C78-540C-44C8-8DDE-F9B040B1AD03}" name="L " dataDxfId="475"/>
    <tableColumn id="22" xr3:uid="{A232C690-D151-47C3-8262-788832098755}" name="D " dataDxfId="474"/>
    <tableColumn id="23" xr3:uid="{6D1183E2-C0AF-4566-AD96-5645936816B7}" name="J " dataDxfId="473"/>
    <tableColumn id="24" xr3:uid="{B5BE537D-C78A-4B5E-8C3A-BDC0C9B63BF2}" name="Remaining" dataDxfId="472">
      <calculatedColumnFormula>IF(OR(Aug_2025_SotM[[#This Row],[Song 1]]="TBD", Aug_2025_SotM[[#This Row],[Song 2]]="TBD"), "TBD", _xlfn.CONCAT(IF(_xlfn.XOR(ISBLANK(Aug_2025_SotM[[#This Row],[J]]), ISBLANK(Aug_2025_SotM[[#This Row],[J ]])), "", "J "), IF(_xlfn.XOR(ISBLANK(Aug_2025_SotM[[#This Row],[D]]), ISBLANK(Aug_2025_SotM[[#This Row],[D ]])), "", "D "), IF(_xlfn.XOR(ISBLANK(Aug_2025_SotM[[#This Row],[L]]), ISBLANK(Aug_2025_SotM[[#This Row],[L ]])), "", "L "), IF(_xlfn.XOR(ISBLANK(Aug_2025_SotM[[#This Row],[S]]), ISBLANK(Aug_2025_SotM[[#This Row],[S ]])), "", "S "), IF(_xlfn.XOR(ISBLANK(Aug_2025_SotM[[#This Row],[H]]), ISBLANK(Aug_2025_SotM[[#This Row],[H ]])), "", "H ")))</calculatedColumnFormula>
    </tableColumn>
  </tableColumns>
  <tableStyleInfo name="TableStyleLight8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C1D5868-D8BB-4E2F-8296-99A81D2BFB4F}" name="Sep_2025_SotM" displayName="Sep_2025_SotM" ref="A154:X170" totalsRowShown="0" headerRowDxfId="471" headerRowBorderDxfId="470">
  <autoFilter ref="A154:X170" xr:uid="{8C1D5868-D8BB-4E2F-8296-99A81D2BFB4F}"/>
  <tableColumns count="24">
    <tableColumn id="1" xr3:uid="{4B02FC3A-B209-4BC9-8586-9A03B3A9A299}" name="Description" dataDxfId="469">
      <calculatedColumnFormula>_xlfn.CONCAT("Seed ", Sep_2025_SotM[[#This Row],[Top Seed]], " vs ",Sep_2025_SotM[[#This Row],[Low Seed]])</calculatedColumnFormula>
    </tableColumn>
    <tableColumn id="2" xr3:uid="{21C59E91-8ECC-478D-ABE7-DDA0FCC204D6}" name="Num" dataDxfId="468"/>
    <tableColumn id="3" xr3:uid="{DDEAA53B-A365-41E9-84F5-9988C22B6810}" name="Round" dataDxfId="467">
      <calculatedColumnFormula>FLOOR(LOG(Sep_2025_SotM[[#This Row],[Num]], 2), 1)</calculatedColumnFormula>
    </tableColumn>
    <tableColumn id="4" xr3:uid="{060990E0-6199-466F-9BD2-1ABF590A554B}" name="Max Seed" dataDxfId="466">
      <calculatedColumnFormula>2^(Sep_2025_SotM[[#This Row],[Round]]+1)</calculatedColumnFormula>
    </tableColumn>
    <tableColumn id="5" xr3:uid="{3CCA4249-BC27-4BC9-85F6-316EA11C0694}" name="Top Seed" dataDxfId="465">
      <calculatedColumnFormula>Sep_2025_SotM[[#This Row],[Max Seed]]-Sep_2025_SotM[[#This Row],[Num]]</calculatedColumnFormula>
    </tableColumn>
    <tableColumn id="6" xr3:uid="{436C54BE-69DA-40E8-9BD1-28A3D21FBE4A}" name="Low Seed" dataDxfId="464">
      <calculatedColumnFormula>Sep_2025_SotM[[#This Row],[Max Seed]]-Sep_2025_SotM[[#This Row],[Top Seed]]+1</calculatedColumnFormula>
    </tableColumn>
    <tableColumn id="7" xr3:uid="{64B2F4DC-184D-421E-BAF8-3A2F2BA94146}" name="Initial 1" dataDxfId="463">
      <calculatedColumnFormula>IF(Sep_2025_SotM[[#This Row],[Round]]=$C$153, TRUE(), IF(Sep_2025_SotM[[#This Row],[Round]]=$B$153, Sep_2025_SotM[[#This Row],[Top Seed]]&lt;=2*Sep_2025_SotM[[#This Row],[Max Seed]]-$A$153, FALSE()))</calculatedColumnFormula>
    </tableColumn>
    <tableColumn id="8" xr3:uid="{4C944A76-520F-40FC-AB0B-06F30695A07B}" name="Initial 2" dataDxfId="462">
      <calculatedColumnFormula>IF(Sep_2025_SotM[[#This Row],[Round]]=$C$153, TRUE(), IF(Sep_2025_SotM[[#This Row],[Round]]=$B$153, Sep_2025_SotM[[#This Row],[Low Seed]]&lt;=2*Sep_2025_SotM[[#This Row],[Max Seed]]-$A$153, FALSE()))</calculatedColumnFormula>
    </tableColumn>
    <tableColumn id="9" xr3:uid="{D6FDB21F-E9F7-46F7-B6FD-CF62460BF6F4}" name="J" dataDxfId="461"/>
    <tableColumn id="10" xr3:uid="{985DF38D-B833-45FB-8357-44AC807E2536}" name="D" dataDxfId="460"/>
    <tableColumn id="11" xr3:uid="{68B6DCEF-6F91-4BD9-A801-086B0819F3F9}" name="L" dataDxfId="459"/>
    <tableColumn id="12" xr3:uid="{DD0257EF-5399-460A-8604-602AED998863}" name="S" dataDxfId="458"/>
    <tableColumn id="13" xr3:uid="{793E1750-F75A-4955-9EF6-7351205E30EC}" name="H" dataDxfId="457"/>
    <tableColumn id="14" xr3:uid="{66E8830E-1E28-499D-B5D6-333FE8640B8D}" name="Song 1" dataDxfId="456">
      <calculatedColumnFormula>IF(Sep_2025_SotM[[#This Row],[Num]]&gt;=$A$153, "-", IF(Sep_2025_SotM[[#This Row],[Initial 1]], VLOOKUP(Sep_2025_SotM[[#This Row],[Top Seed]], $Z$154:$AE$170, 6, FALSE), OFFSET(Sep_2025_SotM[[#This Row],[Winner]], Sep_2025_SotM[[#This Row],[Max Seed]], 0)))</calculatedColumnFormula>
    </tableColumn>
    <tableColumn id="15" xr3:uid="{FAB05B05-07D5-48F0-9098-BB3D2E31AE68}" name="Score 1" dataDxfId="455">
      <calculatedColumnFormula>COUNTIF(Sep_2025_SotM[[#This Row],[J]:[H]],"x")</calculatedColumnFormula>
    </tableColumn>
    <tableColumn id="16" xr3:uid="{F4376078-62F7-4AB2-B43B-2CC639BFF0F2}" name="Winner" dataDxfId="454">
      <calculatedColumnFormula>IF(Sep_2025_SotM[[#This Row],[Num]]&gt;=$A$153, "-", IF(Sep_2025_SotM[[#This Row],[Score 1]]&gt;=3, Sep_2025_SotM[[#This Row],[Song 1]], IF(Sep_2025_SotM[[#This Row],[Score 2]]&gt;=3, Sep_2025_SotM[[#This Row],[Song 2]], "TBD")))</calculatedColumnFormula>
    </tableColumn>
    <tableColumn id="17" xr3:uid="{CB108AF6-1757-4F02-8D14-D1A52344755F}" name="Score 2" dataDxfId="453">
      <calculatedColumnFormula>COUNTIF(Sep_2025_SotM[[#This Row],[H ]:[J ]],"x")</calculatedColumnFormula>
    </tableColumn>
    <tableColumn id="18" xr3:uid="{F9578D7D-BCCA-4AE3-BA47-452F274F552D}" name="Song 2" dataDxfId="452">
      <calculatedColumnFormula>IF(Sep_2025_SotM[[#This Row],[Num]]&gt;=$A$153, "-", IF(Sep_2025_SotM[[#This Row],[Initial 2]], VLOOKUP(Sep_2025_SotM[[#This Row],[Low Seed]], $Z$154:$AE$170, 6, FALSE), OFFSET(Sep_2025_SotM[[#This Row],[Winner]], 2*(Sep_2025_SotM[[#This Row],[Max Seed]]-Sep_2025_SotM[[#This Row],[Low Seed]])+1, 0)))</calculatedColumnFormula>
    </tableColumn>
    <tableColumn id="19" xr3:uid="{E51CD7AE-1541-4FE2-A476-70B398BEAE67}" name="H " dataDxfId="451"/>
    <tableColumn id="20" xr3:uid="{CD65F41E-36FE-450A-A24C-E33B97CB957C}" name="S " dataDxfId="450"/>
    <tableColumn id="21" xr3:uid="{3900BFC9-BFBD-4762-A17C-53CBDB131572}" name="L " dataDxfId="449"/>
    <tableColumn id="22" xr3:uid="{5F5641DD-06CE-4FCF-88A7-B629F8296ABF}" name="D " dataDxfId="448"/>
    <tableColumn id="23" xr3:uid="{85D230D0-310B-45A7-9875-88D1223425A0}" name="J " dataDxfId="447"/>
    <tableColumn id="24" xr3:uid="{72B3AFD7-F6EC-4AD9-B1BF-2F957B1013F1}" name="Remaining" dataDxfId="446">
      <calculatedColumnFormula>IF(OR(Sep_2025_SotM[[#This Row],[Song 1]]="TBD", Sep_2025_SotM[[#This Row],[Song 2]]="TBD"), "TBD", _xlfn.CONCAT(IF(_xlfn.XOR(ISBLANK(Sep_2025_SotM[[#This Row],[J]]), ISBLANK(Sep_2025_SotM[[#This Row],[J ]])), "", "J "), IF(_xlfn.XOR(ISBLANK(Sep_2025_SotM[[#This Row],[D]]), ISBLANK(Sep_2025_SotM[[#This Row],[D ]])), "", "D "), IF(_xlfn.XOR(ISBLANK(Sep_2025_SotM[[#This Row],[L]]), ISBLANK(Sep_2025_SotM[[#This Row],[L ]])), "", "L "), IF(_xlfn.XOR(ISBLANK(Sep_2025_SotM[[#This Row],[S]]), ISBLANK(Sep_2025_SotM[[#This Row],[S ]])), "", "S "), IF(_xlfn.XOR(ISBLANK(Sep_2025_SotM[[#This Row],[H]]), ISBLANK(Sep_2025_SotM[[#This Row],[H ]])), "", "H ")))</calculatedColumnFormula>
    </tableColumn>
  </tableColumns>
  <tableStyleInfo name="TableStyleLight8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B728727-FB0A-4846-AE50-426AFF6272B5}" name="Oct_2025_SotM" displayName="Oct_2025_SotM" ref="A173:X190" totalsRowShown="0" headerRowDxfId="445" headerRowBorderDxfId="444">
  <autoFilter ref="A173:X190" xr:uid="{0B728727-FB0A-4846-AE50-426AFF6272B5}"/>
  <tableColumns count="24">
    <tableColumn id="1" xr3:uid="{5CD7E1F3-04A1-4570-967B-E1FE92712D04}" name="Description" dataDxfId="443">
      <calculatedColumnFormula>_xlfn.CONCAT("Seed ", Oct_2025_SotM[[#This Row],[Top Seed]], " vs ",Oct_2025_SotM[[#This Row],[Low Seed]])</calculatedColumnFormula>
    </tableColumn>
    <tableColumn id="2" xr3:uid="{4BA31F0F-86BB-40C8-BD7C-B8F22B5B9CE2}" name="Num" dataDxfId="442"/>
    <tableColumn id="3" xr3:uid="{F8A692A7-B182-4E93-B4D6-E0C7F27109C7}" name="Round" dataDxfId="441">
      <calculatedColumnFormula>FLOOR(LOG(Oct_2025_SotM[[#This Row],[Num]], 2), 1)</calculatedColumnFormula>
    </tableColumn>
    <tableColumn id="4" xr3:uid="{27A0CCF9-0CCB-4F66-B14D-D138BABD7F02}" name="Max Seed" dataDxfId="440">
      <calculatedColumnFormula>2^(Oct_2025_SotM[[#This Row],[Round]]+1)</calculatedColumnFormula>
    </tableColumn>
    <tableColumn id="5" xr3:uid="{26A340F2-9092-43D4-B33F-AF94E540B823}" name="Top Seed" dataDxfId="439">
      <calculatedColumnFormula>Oct_2025_SotM[[#This Row],[Max Seed]]-Oct_2025_SotM[[#This Row],[Num]]</calculatedColumnFormula>
    </tableColumn>
    <tableColumn id="6" xr3:uid="{91D5EE81-2493-4F3F-AADA-3F22A72FB430}" name="Low Seed" dataDxfId="438">
      <calculatedColumnFormula>Oct_2025_SotM[[#This Row],[Max Seed]]-Oct_2025_SotM[[#This Row],[Top Seed]]+1</calculatedColumnFormula>
    </tableColumn>
    <tableColumn id="7" xr3:uid="{893747FD-236A-4B9C-9EA4-D0A501875920}" name="Initial 1" dataDxfId="437">
      <calculatedColumnFormula>IF(Oct_2025_SotM[[#This Row],[Round]]=$C$172, TRUE(), IF(Oct_2025_SotM[[#This Row],[Round]]=$B$172, Oct_2025_SotM[[#This Row],[Top Seed]]&lt;=2*Oct_2025_SotM[[#This Row],[Max Seed]]-$A$172, FALSE()))</calculatedColumnFormula>
    </tableColumn>
    <tableColumn id="8" xr3:uid="{16A0918E-8CDC-45AE-892D-DEC972AD6BF1}" name="Initial 2" dataDxfId="436">
      <calculatedColumnFormula>IF(Oct_2025_SotM[[#This Row],[Round]]=$C$172, TRUE(), IF(Oct_2025_SotM[[#This Row],[Round]]=$B$172, Oct_2025_SotM[[#This Row],[Low Seed]]&lt;=2*Oct_2025_SotM[[#This Row],[Max Seed]]-$A$172, FALSE()))</calculatedColumnFormula>
    </tableColumn>
    <tableColumn id="9" xr3:uid="{120BCA56-5452-4BA9-853B-A24504C87CA8}" name="J" dataDxfId="435"/>
    <tableColumn id="10" xr3:uid="{93F311F9-6B3A-476A-913D-7971AC913443}" name="D" dataDxfId="434"/>
    <tableColumn id="11" xr3:uid="{EA455BA6-B83F-4596-AD48-F9ED6A580D42}" name="L" dataDxfId="433"/>
    <tableColumn id="12" xr3:uid="{7BD51470-2F0C-4003-A65F-082C863B3E48}" name="S" dataDxfId="432"/>
    <tableColumn id="13" xr3:uid="{92652B92-FD54-42E2-AB40-6D2D2F63DD5D}" name="H" dataDxfId="431"/>
    <tableColumn id="14" xr3:uid="{70F7E0AD-FF7F-4CC8-A5D2-EBC0E57230A4}" name="Song 1" dataDxfId="430">
      <calculatedColumnFormula>IF(Oct_2025_SotM[[#This Row],[Num]]&gt;=$A$172, "-", IF(Oct_2025_SotM[[#This Row],[Initial 1]], VLOOKUP(Oct_2025_SotM[[#This Row],[Top Seed]], $Z$173:$AE$190, 6, FALSE), OFFSET(Oct_2025_SotM[[#This Row],[Winner]], Oct_2025_SotM[[#This Row],[Max Seed]], 0)))</calculatedColumnFormula>
    </tableColumn>
    <tableColumn id="15" xr3:uid="{E5931471-5233-4957-9D08-E3E1661D195D}" name="Score 1" dataDxfId="429">
      <calculatedColumnFormula>COUNTIF(Oct_2025_SotM[[#This Row],[J]:[H]],"x")</calculatedColumnFormula>
    </tableColumn>
    <tableColumn id="16" xr3:uid="{8D99F063-2FDF-4D1A-B9E2-C24BF12B24B9}" name="Winner" dataDxfId="428">
      <calculatedColumnFormula>IF(Oct_2025_SotM[[#This Row],[Num]]&gt;=$A$172, "-", IF(Oct_2025_SotM[[#This Row],[Score 1]]&gt;=3, Oct_2025_SotM[[#This Row],[Song 1]], IF(Oct_2025_SotM[[#This Row],[Score 2]]&gt;=3, Oct_2025_SotM[[#This Row],[Song 2]], "TBD")))</calculatedColumnFormula>
    </tableColumn>
    <tableColumn id="17" xr3:uid="{96865C1F-FFC9-4856-B542-5F98675DBD70}" name="Score 2" dataDxfId="427">
      <calculatedColumnFormula>COUNTIF(Oct_2025_SotM[[#This Row],[H ]:[J ]],"x")</calculatedColumnFormula>
    </tableColumn>
    <tableColumn id="18" xr3:uid="{1BD4ABB7-1313-4DAC-992A-9816E3DE26B7}" name="Song 2" dataDxfId="426">
      <calculatedColumnFormula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calculatedColumnFormula>
    </tableColumn>
    <tableColumn id="19" xr3:uid="{1911D0AF-A9C4-4BC0-81F2-0C93BAEC3A0D}" name="H " dataDxfId="425"/>
    <tableColumn id="20" xr3:uid="{EEA6A3F5-534C-43E8-87C2-FACE4539D610}" name="S " dataDxfId="424"/>
    <tableColumn id="21" xr3:uid="{C798E95B-1CE1-458F-99D0-5386B8014BCB}" name="L " dataDxfId="423"/>
    <tableColumn id="22" xr3:uid="{AF0860F8-6846-465A-A990-B7FD78A62B82}" name="D " dataDxfId="422"/>
    <tableColumn id="23" xr3:uid="{259D0BEE-0116-4153-8330-FA2FC6E23A07}" name="J " dataDxfId="421"/>
    <tableColumn id="24" xr3:uid="{208F6DF8-C91A-4FED-9CC7-465298746BC4}" name="Remaining" dataDxfId="420">
      <calculatedColumnFormula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calculatedColumnFormula>
    </tableColumn>
  </tableColumns>
  <tableStyleInfo name="TableStyleLight8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8C7BD23-6D37-4113-AC32-2145DEDF1D71}" name="Nov_2025_SotM" displayName="Nov_2025_SotM" ref="A193:X208" totalsRowShown="0" headerRowDxfId="419" headerRowBorderDxfId="418">
  <autoFilter ref="A193:X208" xr:uid="{E8C7BD23-6D37-4113-AC32-2145DEDF1D71}"/>
  <tableColumns count="24">
    <tableColumn id="1" xr3:uid="{FCAC8376-A2A4-4203-A08B-1F5C50590BC1}" name="Description" dataDxfId="417">
      <calculatedColumnFormula>_xlfn.CONCAT("Seed ", Nov_2025_SotM[[#This Row],[Top Seed]], " vs ",Nov_2025_SotM[[#This Row],[Low Seed]])</calculatedColumnFormula>
    </tableColumn>
    <tableColumn id="2" xr3:uid="{1C6A44CC-2DE6-4E37-9782-579B3EE9D592}" name="Num" dataDxfId="416"/>
    <tableColumn id="3" xr3:uid="{EEF3108B-8C87-4B0C-9313-D3DDB23CA263}" name="Round" dataDxfId="415">
      <calculatedColumnFormula>FLOOR(LOG(Nov_2025_SotM[[#This Row],[Num]], 2), 1)</calculatedColumnFormula>
    </tableColumn>
    <tableColumn id="4" xr3:uid="{228D7CBB-F8E1-48C6-8524-976FFC026013}" name="Max Seed" dataDxfId="414">
      <calculatedColumnFormula>2^(Nov_2025_SotM[[#This Row],[Round]]+1)</calculatedColumnFormula>
    </tableColumn>
    <tableColumn id="5" xr3:uid="{BFFEB0C2-C384-415E-B866-375C78479F78}" name="Top Seed" dataDxfId="413">
      <calculatedColumnFormula>Nov_2025_SotM[[#This Row],[Max Seed]]-Nov_2025_SotM[[#This Row],[Num]]</calculatedColumnFormula>
    </tableColumn>
    <tableColumn id="6" xr3:uid="{C87838BD-0D54-4A31-9BCE-650B0CB22DBF}" name="Low Seed" dataDxfId="412">
      <calculatedColumnFormula>Nov_2025_SotM[[#This Row],[Max Seed]]-Nov_2025_SotM[[#This Row],[Top Seed]]+1</calculatedColumnFormula>
    </tableColumn>
    <tableColumn id="7" xr3:uid="{CE0D529B-A584-4A9D-A5C7-774E98F5D3AD}" name="Initial 1" dataDxfId="411">
      <calculatedColumnFormula>IF(Nov_2025_SotM[[#This Row],[Round]]=$C$192, TRUE(), IF(Nov_2025_SotM[[#This Row],[Round]]=$B$192, Nov_2025_SotM[[#This Row],[Top Seed]]&lt;=2*Nov_2025_SotM[[#This Row],[Max Seed]]-$A$192, FALSE()))</calculatedColumnFormula>
    </tableColumn>
    <tableColumn id="8" xr3:uid="{2EA66247-2312-4569-BE63-35C869CFD87B}" name="Initial 2" dataDxfId="410">
      <calculatedColumnFormula>IF(Nov_2025_SotM[[#This Row],[Round]]=$C$192, TRUE(), IF(Nov_2025_SotM[[#This Row],[Round]]=$B$192, Nov_2025_SotM[[#This Row],[Low Seed]]&lt;=2*Nov_2025_SotM[[#This Row],[Max Seed]]-$A$192, FALSE()))</calculatedColumnFormula>
    </tableColumn>
    <tableColumn id="9" xr3:uid="{1BBDC76C-F4F0-48E9-9E23-D6979BB9AA78}" name="J" dataDxfId="409"/>
    <tableColumn id="10" xr3:uid="{3E36F2B6-9454-42DF-B4F7-70ACEB32B79B}" name="D" dataDxfId="408"/>
    <tableColumn id="11" xr3:uid="{6B845315-24B6-4ED3-A22F-855BFDB75BDB}" name="L" dataDxfId="407"/>
    <tableColumn id="12" xr3:uid="{F9D4FE3A-C549-4B86-8D11-E0006D704D83}" name="S" dataDxfId="406"/>
    <tableColumn id="13" xr3:uid="{C44720E9-9B42-40BD-9EF8-AA8B8F238BC8}" name="H" dataDxfId="405"/>
    <tableColumn id="14" xr3:uid="{70BC81B4-47D5-4847-8C5A-A6D942806793}" name="Song 1" dataDxfId="404">
      <calculatedColumnFormula>IF(Nov_2025_SotM[[#This Row],[Num]]&gt;=$A$192, "-", IF(Nov_2025_SotM[[#This Row],[Initial 1]], VLOOKUP(Nov_2025_SotM[[#This Row],[Top Seed]], $Z$193:$AE$208, 6, FALSE), OFFSET(Nov_2025_SotM[[#This Row],[Winner]], Nov_2025_SotM[[#This Row],[Max Seed]], 0)))</calculatedColumnFormula>
    </tableColumn>
    <tableColumn id="15" xr3:uid="{9E7C0309-DD31-46EE-BCF2-1F58E6C4FB08}" name="Score 1" dataDxfId="403">
      <calculatedColumnFormula>COUNTIF(Nov_2025_SotM[[#This Row],[J]:[H]],"x")</calculatedColumnFormula>
    </tableColumn>
    <tableColumn id="16" xr3:uid="{BA986BD5-87CF-46A7-8DF1-E87D87C66CE9}" name="Winner" dataDxfId="402">
      <calculatedColumnFormula>IF(Nov_2025_SotM[[#This Row],[Num]]&gt;=$A$192, "-", IF(Nov_2025_SotM[[#This Row],[Score 1]]&gt;=3, Nov_2025_SotM[[#This Row],[Song 1]], IF(Nov_2025_SotM[[#This Row],[Score 2]]&gt;=3, Nov_2025_SotM[[#This Row],[Song 2]], "TBD")))</calculatedColumnFormula>
    </tableColumn>
    <tableColumn id="17" xr3:uid="{56ED247E-E432-4926-9F7A-6AFF739BCD32}" name="Score 2" dataDxfId="401">
      <calculatedColumnFormula>COUNTIF(Nov_2025_SotM[[#This Row],[H ]:[J ]],"x")</calculatedColumnFormula>
    </tableColumn>
    <tableColumn id="18" xr3:uid="{D7325AE3-7E40-4CE1-BA27-26AD801EDEBC}" name="Song 2" dataDxfId="400">
      <calculatedColumnFormula>IF(Nov_2025_SotM[[#This Row],[Num]]&gt;=$A$192, "-", IF(Nov_2025_SotM[[#This Row],[Initial 2]], VLOOKUP(Nov_2025_SotM[[#This Row],[Low Seed]], $Z$193:$AE$208, 6, FALSE), OFFSET(Nov_2025_SotM[[#This Row],[Winner]], 2*(Nov_2025_SotM[[#This Row],[Max Seed]]-Nov_2025_SotM[[#This Row],[Low Seed]])+1, 0)))</calculatedColumnFormula>
    </tableColumn>
    <tableColumn id="19" xr3:uid="{4E92FD15-4DEC-4EEF-B59F-77A014716F99}" name="H " dataDxfId="399"/>
    <tableColumn id="20" xr3:uid="{052E5CED-CFBD-4326-AC9A-B8AC25F66F3A}" name="S " dataDxfId="398"/>
    <tableColumn id="21" xr3:uid="{90BF03FE-5F74-408B-98E7-19CD48B40E81}" name="L " dataDxfId="397"/>
    <tableColumn id="22" xr3:uid="{B8DC13E5-0DBC-4F06-8DBD-CA08714A6A0C}" name="D " dataDxfId="396"/>
    <tableColumn id="23" xr3:uid="{0C190B88-6314-4B2E-ACBC-EDA0FD6D56AB}" name="J " dataDxfId="395"/>
    <tableColumn id="24" xr3:uid="{5BB8E7BA-1A85-46B5-9985-C41FAE764235}" name="Remaining" dataDxfId="394">
      <calculatedColumnFormula>IF(OR(Nov_2025_SotM[[#This Row],[Song 1]]="TBD", Nov_2025_SotM[[#This Row],[Song 2]]="TBD"), "TBD", _xlfn.CONCAT(IF(_xlfn.XOR(ISBLANK(Nov_2025_SotM[[#This Row],[J]]), ISBLANK(Nov_2025_SotM[[#This Row],[J ]])), "", "J "), IF(_xlfn.XOR(ISBLANK(Nov_2025_SotM[[#This Row],[D]]), ISBLANK(Nov_2025_SotM[[#This Row],[D ]])), "", "D "), IF(_xlfn.XOR(ISBLANK(Nov_2025_SotM[[#This Row],[L]]), ISBLANK(Nov_2025_SotM[[#This Row],[L ]])), "", "L "), IF(_xlfn.XOR(ISBLANK(Nov_2025_SotM[[#This Row],[S]]), ISBLANK(Nov_2025_SotM[[#This Row],[S ]])), "", "S "), IF(_xlfn.XOR(ISBLANK(Nov_2025_SotM[[#This Row],[H]]), ISBLANK(Nov_2025_SotM[[#This Row],[H ]])), "", "H ")))</calculatedColumnFormula>
    </tableColumn>
  </tableColumns>
  <tableStyleInfo name="TableStyleLight8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8C400506-84DE-4BE9-9084-70DABB2E6102}" name="Dec_2025_SotM" displayName="Dec_2025_SotM" ref="A211:X222" totalsRowShown="0" headerRowDxfId="393" headerRowBorderDxfId="392">
  <autoFilter ref="A211:X222" xr:uid="{8C400506-84DE-4BE9-9084-70DABB2E6102}"/>
  <tableColumns count="24">
    <tableColumn id="1" xr3:uid="{5410A791-4C97-422F-BE82-574AFF58CC9C}" name="Description" dataDxfId="391">
      <calculatedColumnFormula>_xlfn.CONCAT("Seed ", Dec_2025_SotM[[#This Row],[Top Seed]], " vs ",Dec_2025_SotM[[#This Row],[Low Seed]])</calculatedColumnFormula>
    </tableColumn>
    <tableColumn id="2" xr3:uid="{50294272-76C6-4DE7-85C4-A8E7AF68B2B8}" name="Num" dataDxfId="390"/>
    <tableColumn id="3" xr3:uid="{06CBF12F-9AE7-4021-892F-1CC4A0555869}" name="Round" dataDxfId="389">
      <calculatedColumnFormula>FLOOR(LOG(Dec_2025_SotM[[#This Row],[Num]], 2), 1)</calculatedColumnFormula>
    </tableColumn>
    <tableColumn id="4" xr3:uid="{A4D5F4FB-4F05-4D32-9AE8-442880DF0B4B}" name="Max Seed" dataDxfId="388">
      <calculatedColumnFormula>2^(Dec_2025_SotM[[#This Row],[Round]]+1)</calculatedColumnFormula>
    </tableColumn>
    <tableColumn id="5" xr3:uid="{C1C62685-0AA8-48EB-A8E4-3F23B132BC00}" name="Top Seed" dataDxfId="387">
      <calculatedColumnFormula>Dec_2025_SotM[[#This Row],[Max Seed]]-Dec_2025_SotM[[#This Row],[Num]]</calculatedColumnFormula>
    </tableColumn>
    <tableColumn id="6" xr3:uid="{91C5DBFF-7E4C-49D1-8386-63FF5F114CCE}" name="Low Seed" dataDxfId="386">
      <calculatedColumnFormula>Dec_2025_SotM[[#This Row],[Max Seed]]-Dec_2025_SotM[[#This Row],[Top Seed]]+1</calculatedColumnFormula>
    </tableColumn>
    <tableColumn id="7" xr3:uid="{FCE782F6-B8A1-4B56-997A-CD3A305DC9F6}" name="Initial 1" dataDxfId="385">
      <calculatedColumnFormula>IF(Dec_2025_SotM[[#This Row],[Round]]=$C$210, TRUE(), IF(Dec_2025_SotM[[#This Row],[Round]]=$B$210, Dec_2025_SotM[[#This Row],[Top Seed]]&lt;=2*Dec_2025_SotM[[#This Row],[Max Seed]]-$A$210, FALSE()))</calculatedColumnFormula>
    </tableColumn>
    <tableColumn id="8" xr3:uid="{68517FB5-5635-4D86-9B88-12031D68368C}" name="Initial 2" dataDxfId="384">
      <calculatedColumnFormula>IF(Dec_2025_SotM[[#This Row],[Round]]=$C$210, TRUE(), IF(Dec_2025_SotM[[#This Row],[Round]]=$B$210, Dec_2025_SotM[[#This Row],[Low Seed]]&lt;=2*Dec_2025_SotM[[#This Row],[Max Seed]]-$A$210, FALSE()))</calculatedColumnFormula>
    </tableColumn>
    <tableColumn id="9" xr3:uid="{67FFF56B-2212-4C9D-AE83-B720788C7F85}" name="J" dataDxfId="383"/>
    <tableColumn id="10" xr3:uid="{E7EF57F5-0D4F-48AA-9C70-A3637BA24279}" name="D" dataDxfId="382"/>
    <tableColumn id="11" xr3:uid="{332E89C2-1C30-4817-928B-FFC5047DE997}" name="L" dataDxfId="381"/>
    <tableColumn id="12" xr3:uid="{C99F6B4B-1204-45BC-854A-777B80D82FE4}" name="S" dataDxfId="380"/>
    <tableColumn id="13" xr3:uid="{4EBC2D49-D438-4C27-9FAE-498090DF719C}" name="H" dataDxfId="379"/>
    <tableColumn id="14" xr3:uid="{3011C2D8-EEAD-437B-B3E1-27487DF7C293}" name="Song 1" dataDxfId="378">
      <calculatedColumnFormula>IF(Dec_2025_SotM[[#This Row],[Num]]&gt;=$A$210, "-", IF(Dec_2025_SotM[[#This Row],[Initial 1]], VLOOKUP(Dec_2025_SotM[[#This Row],[Top Seed]], $Z$211:$AE$222, 6, FALSE), OFFSET(Dec_2025_SotM[[#This Row],[Winner]], Dec_2025_SotM[[#This Row],[Max Seed]], 0)))</calculatedColumnFormula>
    </tableColumn>
    <tableColumn id="15" xr3:uid="{A8A4247A-62A0-4023-857A-0CD88E495CE6}" name="Score 1" dataDxfId="377">
      <calculatedColumnFormula>COUNTIF(Dec_2025_SotM[[#This Row],[J]:[H]],"x")</calculatedColumnFormula>
    </tableColumn>
    <tableColumn id="16" xr3:uid="{74C12941-25FF-41ED-86C4-30B9E0C792B0}" name="Winner" dataDxfId="376">
      <calculatedColumnFormula>IF(Dec_2025_SotM[[#This Row],[Num]]&gt;=$A$210, "-", IF(Dec_2025_SotM[[#This Row],[Score 1]]&gt;=3, Dec_2025_SotM[[#This Row],[Song 1]], IF(Dec_2025_SotM[[#This Row],[Score 2]]&gt;=3, Dec_2025_SotM[[#This Row],[Song 2]], "TBD")))</calculatedColumnFormula>
    </tableColumn>
    <tableColumn id="17" xr3:uid="{719FF33F-39A4-4D09-9C2E-DFB586270CDD}" name="Score 2" dataDxfId="375">
      <calculatedColumnFormula>COUNTIF(Dec_2025_SotM[[#This Row],[H ]:[J ]],"x")</calculatedColumnFormula>
    </tableColumn>
    <tableColumn id="18" xr3:uid="{54278373-B71B-4440-8327-C82CD21A7785}" name="Song 2" dataDxfId="374">
      <calculatedColumnFormula>IF(Dec_2025_SotM[[#This Row],[Num]]&gt;=$A$210, "-", IF(Dec_2025_SotM[[#This Row],[Initial 2]], VLOOKUP(Dec_2025_SotM[[#This Row],[Low Seed]], $Z$211:$AE$222, 6, FALSE), OFFSET(Dec_2025_SotM[[#This Row],[Winner]], 2*(Dec_2025_SotM[[#This Row],[Max Seed]]-Dec_2025_SotM[[#This Row],[Low Seed]])+1, 0)))</calculatedColumnFormula>
    </tableColumn>
    <tableColumn id="19" xr3:uid="{FEB5656E-2286-47A3-A065-09AA56741B1A}" name="H " dataDxfId="373"/>
    <tableColumn id="20" xr3:uid="{7C8DBCE4-E8A8-4AFC-A08C-8D5D9FFAADE2}" name="S " dataDxfId="372"/>
    <tableColumn id="21" xr3:uid="{F0932AF9-8208-491F-A422-822A42DB121F}" name="L " dataDxfId="371"/>
    <tableColumn id="22" xr3:uid="{4D129A07-4002-4CE8-A36C-FD6BAE1D87E9}" name="D " dataDxfId="370"/>
    <tableColumn id="23" xr3:uid="{32FE54B3-CBB6-4EC9-8F4A-5259529FC1E8}" name="J " dataDxfId="369"/>
    <tableColumn id="24" xr3:uid="{8E229C3A-78C1-4BA4-8708-321C40735AE3}" name="Remaining" dataDxfId="368">
      <calculatedColumnFormula>IF(OR(Dec_2025_SotM[[#This Row],[Song 1]]="TBD", Dec_2025_SotM[[#This Row],[Song 2]]="TBD"), "TBD", _xlfn.CONCAT(IF(_xlfn.XOR(ISBLANK(Dec_2025_SotM[[#This Row],[J]]), ISBLANK(Dec_2025_SotM[[#This Row],[J ]])), "", "J "), IF(_xlfn.XOR(ISBLANK(Dec_2025_SotM[[#This Row],[D]]), ISBLANK(Dec_2025_SotM[[#This Row],[D ]])), "", "D "), IF(_xlfn.XOR(ISBLANK(Dec_2025_SotM[[#This Row],[L]]), ISBLANK(Dec_2025_SotM[[#This Row],[L ]])), "", "L "), IF(_xlfn.XOR(ISBLANK(Dec_2025_SotM[[#This Row],[S]]), ISBLANK(Dec_2025_SotM[[#This Row],[S ]])), "", "S "), IF(_xlfn.XOR(ISBLANK(Dec_2025_SotM[[#This Row],[H]]), ISBLANK(Dec_2025_SotM[[#This Row],[H ]])), "", "H ")))</calculatedColumnFormula>
    </tableColumn>
  </tableColumns>
  <tableStyleInfo name="TableStyleLight8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45125DC-D31C-4E7E-8538-895E5B6938D6}" name="Mar_2025_Results" displayName="Mar_2025_Results" ref="AI37:AL54" totalsRowShown="0" headerRowDxfId="367">
  <autoFilter ref="AI37:AL54" xr:uid="{245125DC-D31C-4E7E-8538-895E5B6938D6}"/>
  <tableColumns count="4">
    <tableColumn id="1" xr3:uid="{D8CC0F7F-D7A3-46B6-8CBA-AB738DB5BB9C}" name="Result" dataDxfId="366">
      <calculatedColumnFormula>Feb_2025_SotM[[#This Row],[Max Seed]]/2 + 1</calculatedColumnFormula>
    </tableColumn>
    <tableColumn id="2" xr3:uid="{8B1C22DC-3C33-4A6D-9E4C-DA461EEFE3FC}" name="Song Title" dataDxfId="365">
      <calculatedColumnFormula>IF(Feb_2025_SotM[[#This Row],[Num]]&gt;=$A$1, "-", IF(Feb_2025_SotM[[#This Row],[Score 1]]&gt;=3, Feb_2025_SotM[[#This Row],[Song 2]], IF(Feb_2025_SotM[[#This Row],[Score 2]]&gt;=3, Feb_2025_SotM[[#This Row],[Song 1]], "TBD")))</calculatedColumnFormula>
    </tableColumn>
    <tableColumn id="3" xr3:uid="{85B145B1-5DA3-421A-B88D-4D21A181AAED}" name="Diff" dataDxfId="364">
      <calculatedColumnFormula>IFERROR(VLOOKUP(Mar_2025_Results[[#This Row],[Song Title]], $AE$38:$AG$54, 3, FALSE)-Mar_2025_Results[[#This Row],[Result]], "TBD")</calculatedColumnFormula>
    </tableColumn>
    <tableColumn id="4" xr3:uid="{BAF3671D-2ED7-4C65-B10B-4F40D5AC4C12}" name="Shift" dataDxfId="363">
      <calculatedColumnFormula>IF(AK38&lt;0,"↓",IF(AK38=0,"-","↑"))</calculatedColumnFormula>
    </tableColumn>
  </tableColumns>
  <tableStyleInfo name="TableStyleLight8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1880CF4-D8C0-4C2C-847B-E5AFADA7D2D9}" name="Apr_2025_Results" displayName="Apr_2025_Results" ref="AI56:AL74" totalsRowShown="0" headerRowDxfId="362">
  <autoFilter ref="AI56:AL74" xr:uid="{31880CF4-D8C0-4C2C-847B-E5AFADA7D2D9}"/>
  <tableColumns count="4">
    <tableColumn id="1" xr3:uid="{5BAA47A2-49F8-457A-B998-A610306DF32F}" name="Result" dataDxfId="361">
      <calculatedColumnFormula>Mar_2025_SotM[[#This Row],[Max Seed]]/2 + 1</calculatedColumnFormula>
    </tableColumn>
    <tableColumn id="2" xr3:uid="{5944F9DE-48A7-4A2C-ADE2-AF8451EF50C6}" name="Song Title" dataDxfId="360">
      <calculatedColumnFormula>IF(Feb_2025_SotM[[#This Row],[Num]]&gt;=$A$1, "-", IF(Feb_2025_SotM[[#This Row],[Score 1]]&gt;=3, Feb_2025_SotM[[#This Row],[Song 2]], IF(Feb_2025_SotM[[#This Row],[Score 2]]&gt;=3, Feb_2025_SotM[[#This Row],[Song 1]], "TBD")))</calculatedColumnFormula>
    </tableColumn>
    <tableColumn id="3" xr3:uid="{DD4ACFA1-8606-4EA4-B88E-36DC37571F72}" name="Diff" dataDxfId="359">
      <calculatedColumnFormula>IFERROR(VLOOKUP(Apr_2025_Results[[#This Row],[Song Title]], $AE$57:$AG$74, 3, FALSE)-Apr_2025_Results[[#This Row],[Result]], "TBD")</calculatedColumnFormula>
    </tableColumn>
    <tableColumn id="4" xr3:uid="{5445771C-EB4C-44A5-A4C6-A71A430251CB}" name="Shift" dataDxfId="358">
      <calculatedColumnFormula>IF(AK57&lt;0,"↓",IF(AK57=0,"-","↑"))</calculatedColumnFormula>
    </tableColumn>
  </tableColumns>
  <tableStyleInfo name="TableStyleLight8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05807CA-9690-465F-87A4-4ACD09EBCAD7}" name="May_2025_Results" displayName="May_2025_Results" ref="AI76:AL93" totalsRowShown="0" headerRowDxfId="357" tableBorderDxfId="356">
  <autoFilter ref="AI76:AL93" xr:uid="{705807CA-9690-465F-87A4-4ACD09EBCAD7}"/>
  <tableColumns count="4">
    <tableColumn id="1" xr3:uid="{DCEAC68B-8CB8-44B4-A000-C9B176C87F6F}" name="Result" dataDxfId="355">
      <calculatedColumnFormula>Apr_2025_SotM[[#This Row],[Max Seed]]/2 + 1</calculatedColumnFormula>
    </tableColumn>
    <tableColumn id="2" xr3:uid="{23346EA0-B680-4837-B402-DB040B451B6E}" name="Song Title" dataDxfId="354">
      <calculatedColumnFormula>IF(Apr_2025_SotM[[#This Row],[Num]]&gt;=$A$56, "-", IF(Apr_2025_SotM[[#This Row],[Score 1]]&gt;=3, Apr_2025_SotM[[#This Row],[Song 2]], IF(Apr_2025_SotM[[#This Row],[Score 2]]&gt;=3, Apr_2025_SotM[[#This Row],[Song 1]], "TBD")))</calculatedColumnFormula>
    </tableColumn>
    <tableColumn id="3" xr3:uid="{0B74E52E-5CD1-496D-B371-8EAA94860E77}" name="Diff" dataDxfId="353">
      <calculatedColumnFormula>IFERROR(VLOOKUP(May_2025_Results[[#This Row],[Song Title]], $AE$77:$AG$93, 3, FALSE)-May_2025_Results[[#This Row],[Result]], "TBD")</calculatedColumnFormula>
    </tableColumn>
    <tableColumn id="4" xr3:uid="{829AB381-AD08-4A7E-AEEC-60B60AEAF6EF}" name="Shift" dataDxfId="352">
      <calculatedColumnFormula>IF(AK77&lt;0,"↓",IF(AK77=0,"-","↑"))</calculatedColumnFormula>
    </tableColumn>
  </tableColumns>
  <tableStyleInfo name="TableStyleLight8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792B875-B141-49DE-81C3-B1C1FC7D01F2}" name="Jun_2025_Results" displayName="Jun_2025_Results" ref="AI95:AL112" totalsRowShown="0" headerRowDxfId="351">
  <autoFilter ref="AI95:AL112" xr:uid="{2792B875-B141-49DE-81C3-B1C1FC7D01F2}"/>
  <tableColumns count="4">
    <tableColumn id="1" xr3:uid="{DFF34619-94AE-409C-A038-C21BEB5E2B3C}" name="Result" dataDxfId="350">
      <calculatedColumnFormula>Jun_2025_SotM[[#This Row],[Max Seed]]/2 + 1</calculatedColumnFormula>
    </tableColumn>
    <tableColumn id="2" xr3:uid="{703C4AEF-8C85-40B5-AB3F-14E1FF990059}" name="Song Title" dataDxfId="349">
      <calculatedColumnFormula>IF(Jun_2025_SotM[[#This Row],[Num]]&gt;=$A$56, "-", IF(Jun_2025_SotM[[#This Row],[Score 1]]&gt;=3, Jun_2025_SotM[[#This Row],[Song 2]], IF(Jun_2025_SotM[[#This Row],[Score 2]]&gt;=3, Jun_2025_SotM[[#This Row],[Song 1]], "TBD")))</calculatedColumnFormula>
    </tableColumn>
    <tableColumn id="3" xr3:uid="{A1D7F444-5621-402A-8668-F4CC64FBC746}" name="Diff" dataDxfId="348">
      <calculatedColumnFormula>IFERROR(VLOOKUP(Jun_2025_Results[[#This Row],[Song Title]], $AE$96:$AG$112, 3, FALSE)-Jun_2025_Results[[#This Row],[Result]], "TBD")</calculatedColumnFormula>
    </tableColumn>
    <tableColumn id="4" xr3:uid="{28E0DC01-7765-4034-9E97-15DA8EF02E65}" name="Shift" dataDxfId="347">
      <calculatedColumnFormula>IF(AK96&lt;0,"↓",IF(AK96=0,"-","↑"))</calculatedColumnFormula>
    </tableColumn>
  </tableColumns>
  <tableStyleInfo name="TableStyleLight8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818E04E-FE5B-436C-AE2B-B6AF89EAA82A}" name="Jul_2025_Results" displayName="Jul_2025_Results" ref="AI114:AL133" totalsRowShown="0" headerRowDxfId="346" tableBorderDxfId="345">
  <autoFilter ref="AI114:AL133" xr:uid="{5818E04E-FE5B-436C-AE2B-B6AF89EAA82A}"/>
  <tableColumns count="4">
    <tableColumn id="1" xr3:uid="{891A1800-5BF2-41BF-B15E-FAA3384A2C27}" name="Result" dataDxfId="344">
      <calculatedColumnFormula>Jun_2025_SotM[[#This Row],[Max Seed]]/2 + 1</calculatedColumnFormula>
    </tableColumn>
    <tableColumn id="2" xr3:uid="{8DE37EC1-972B-4853-99F2-51B09518E83C}" name="Song Title" dataDxfId="343">
      <calculatedColumnFormula>IF(Jun_2025_SotM[[#This Row],[Num]]&gt;=$A$56, "-", IF(Jun_2025_SotM[[#This Row],[Score 1]]&gt;=3, Jun_2025_SotM[[#This Row],[Song 2]], IF(Jun_2025_SotM[[#This Row],[Score 2]]&gt;=3, Jun_2025_SotM[[#This Row],[Song 1]], "TBD")))</calculatedColumnFormula>
    </tableColumn>
    <tableColumn id="3" xr3:uid="{9D2F6299-6F7D-4EED-881D-D2976FB38303}" name="Diff" dataDxfId="342">
      <calculatedColumnFormula>IFERROR(VLOOKUP(Jul_2025_Results[[#This Row],[Song Title]], $AE$115:$AG$133, 3, FALSE)-Jul_2025_Results[[#This Row],[Result]], "TBD")</calculatedColumnFormula>
    </tableColumn>
    <tableColumn id="4" xr3:uid="{C2469E4D-7EC9-457C-B3B8-E02A6437EFFC}" name="Shift" dataDxfId="341">
      <calculatedColumnFormula>IF(AK115&lt;0,"↓",IF(AK115=0,"-","↑"))</calculatedColumnFormula>
    </tableColumn>
  </tableColumns>
  <tableStyleInfo name="TableStyleLight8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5DF5CEB4-4941-4987-80A1-F138E6226917}" name="Aug_2025_Results" displayName="Aug_2025_Results" ref="AI135:AL151" totalsRowShown="0" headerRowDxfId="340" tableBorderDxfId="339">
  <autoFilter ref="AI135:AL151" xr:uid="{5DF5CEB4-4941-4987-80A1-F138E6226917}"/>
  <tableColumns count="4">
    <tableColumn id="1" xr3:uid="{24D47956-BFD1-4461-A1A6-8DE3AAA5F436}" name="Result" dataDxfId="338">
      <calculatedColumnFormula>Jul_2025_SotM[[#This Row],[Max Seed]]/2 + 1</calculatedColumnFormula>
    </tableColumn>
    <tableColumn id="2" xr3:uid="{AFD89294-ED9F-4524-AA39-780C2CD68D17}" name="Song Title" dataDxfId="337">
      <calculatedColumnFormula>IF(Jul_2025_SotM[[#This Row],[Num]]&gt;=$A$114, "-", IF(Jul_2025_SotM[[#This Row],[Score 1]]&gt;=3, Jul_2025_SotM[[#This Row],[Song 2]], IF(Jul_2025_SotM[[#This Row],[Score 2]]&gt;=3, Jul_2025_SotM[[#This Row],[Song 1]], "TBD")))</calculatedColumnFormula>
    </tableColumn>
    <tableColumn id="3" xr3:uid="{140DAB29-1B9B-4DBA-AB40-40C117C56A0F}" name="Diff" dataDxfId="336">
      <calculatedColumnFormula>IFERROR(VLOOKUP(Aug_2025_Results[[#This Row],[Song Title]], $AE$136:$AG$151, 3, FALSE)-Aug_2025_Results[[#This Row],[Result]], "TBD")</calculatedColumnFormula>
    </tableColumn>
    <tableColumn id="4" xr3:uid="{7B2DAABA-7D30-4165-8D41-E5AAFC9A23D0}" name="Shift" dataDxfId="335">
      <calculatedColumnFormula>IF(AK136&lt;0,"↓",IF(AK136=0,"-","↑"))</calculatedColumnFormula>
    </tableColumn>
  </tableColumns>
  <tableStyleInfo name="TableStyleLight8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7B3B6836-A5B0-4B63-BDA7-70169EC2B10A}" name="Sep_2025_Results" displayName="Sep_2025_Results" ref="AI153:AL170" totalsRowShown="0" headerRowDxfId="334" dataDxfId="333">
  <autoFilter ref="AI153:AL170" xr:uid="{7B3B6836-A5B0-4B63-BDA7-70169EC2B10A}"/>
  <tableColumns count="4">
    <tableColumn id="1" xr3:uid="{F7B3DB09-3FDD-48BC-BA3E-0B9FF668DDAD}" name="Result" dataDxfId="332">
      <calculatedColumnFormula>Aug_2025_SotM[[#This Row],[Max Seed]]/2 + 1</calculatedColumnFormula>
    </tableColumn>
    <tableColumn id="2" xr3:uid="{4842D1EB-0A16-42BB-8622-A5A32ED52D3D}" name="Song Title">
      <calculatedColumnFormula>IF(Aug_2025_SotM[[#This Row],[Num]]&gt;=$A$135, "-", IF(Aug_2025_SotM[[#This Row],[Score 1]]&gt;=3, Aug_2025_SotM[[#This Row],[Song 2]], IF(Aug_2025_SotM[[#This Row],[Score 2]]&gt;=3, Aug_2025_SotM[[#This Row],[Song 1]], "TBD")))</calculatedColumnFormula>
    </tableColumn>
    <tableColumn id="3" xr3:uid="{5BA29F72-EADD-46A9-9CC6-5595F353F6D8}" name="Diff" dataDxfId="331">
      <calculatedColumnFormula>IFERROR(VLOOKUP(Sep_2025_Results[[#This Row],[Song Title]], $AE$154:$AG$170, 3, FALSE)-Sep_2025_Results[[#This Row],[Result]], "TBD")</calculatedColumnFormula>
    </tableColumn>
    <tableColumn id="4" xr3:uid="{4DFCB012-B12F-4C9C-BBC1-49375C29004C}" name="Shift" dataDxfId="330">
      <calculatedColumnFormula>IF(AK154&lt;0,"↓",IF(AK154=0,"-","↑"))</calculatedColumnFormula>
    </tableColumn>
  </tableColumns>
  <tableStyleInfo name="TableStyleLight8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6511BD87-64FE-4B05-A9F4-0885B46E3AB1}" name="Oct_2025_Results" displayName="Oct_2025_Results" ref="AI172:AL190" totalsRowShown="0" headerRowDxfId="329" dataDxfId="328" tableBorderDxfId="327">
  <autoFilter ref="AI172:AL190" xr:uid="{6511BD87-64FE-4B05-A9F4-0885B46E3AB1}"/>
  <tableColumns count="4">
    <tableColumn id="1" xr3:uid="{950CDE66-186D-45F4-ADD4-BF137F97F10C}" name="Result" dataDxfId="326"/>
    <tableColumn id="2" xr3:uid="{CFF07002-2EA0-44AF-8399-F64072F94A39}" name="Song Title"/>
    <tableColumn id="3" xr3:uid="{A7A8B332-CA50-483F-A13B-65A3BA3BE77C}" name="Diff" dataDxfId="325">
      <calculatedColumnFormula>IFERROR(VLOOKUP(Oct_2025_Results[[#This Row],[Song Title]], $AE$173:$AG$190, 3, FALSE)-Oct_2025_Results[[#This Row],[Result]], "TBD")</calculatedColumnFormula>
    </tableColumn>
    <tableColumn id="4" xr3:uid="{271A7429-9991-478D-BF17-4AA243583510}" name="Shift" dataDxfId="324"/>
  </tableColumns>
  <tableStyleInfo name="TableStyleLight8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068069F-074E-4F39-AE87-05538770F817}" name="Nov_2025_Results" displayName="Nov_2025_Results" ref="AI192:AL208" totalsRowShown="0" headerRowDxfId="323" dataDxfId="322" tableBorderDxfId="321">
  <autoFilter ref="AI192:AL208" xr:uid="{1068069F-074E-4F39-AE87-05538770F817}"/>
  <tableColumns count="4">
    <tableColumn id="1" xr3:uid="{CB025755-7D19-42CF-9063-F11193C44506}" name="Result" dataDxfId="320">
      <calculatedColumnFormula>Sep_2025_SotM[[#This Row],[Max Seed]]/2 + 1</calculatedColumnFormula>
    </tableColumn>
    <tableColumn id="2" xr3:uid="{111DA2A3-334B-43F3-A0E1-9E11649130B6}" name="Song Title" dataDxfId="319">
      <calculatedColumnFormula>IF(Sep_2025_SotM[[#This Row],[Num]]&gt;=$A$153, "-", IF(Sep_2025_SotM[[#This Row],[Score 1]]&gt;=3, Sep_2025_SotM[[#This Row],[Song 2]], IF(Sep_2025_SotM[[#This Row],[Score 2]]&gt;=3, Sep_2025_SotM[[#This Row],[Song 1]], "TBD")))</calculatedColumnFormula>
    </tableColumn>
    <tableColumn id="3" xr3:uid="{79F96E19-63DE-4032-A1E6-20CA09740F31}" name="Diff" dataDxfId="318">
      <calculatedColumnFormula>IFERROR(VLOOKUP(Nov_2025_Results[[#This Row],[Song Title]], $AE$193:$AG$208, 3, FALSE)-Nov_2025_Results[[#This Row],[Result]], "TBD")</calculatedColumnFormula>
    </tableColumn>
    <tableColumn id="4" xr3:uid="{C2B47785-EC16-4DB2-A2DE-47C07E5034B2}" name="Shift" dataDxfId="317">
      <calculatedColumnFormula>IF(AK193&lt;0,"↓",IF(AK193=0,"-","↑"))</calculatedColumnFormula>
    </tableColumn>
  </tableColumns>
  <tableStyleInfo name="TableStyleLight8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FECD5B1C-75AE-422A-A8A3-F72001888942}" name="Dec_2025_Results" displayName="Dec_2025_Results" ref="AI210:AL222" totalsRowShown="0" headerRowDxfId="316" dataDxfId="315" tableBorderDxfId="314">
  <autoFilter ref="AI210:AL222" xr:uid="{FECD5B1C-75AE-422A-A8A3-F72001888942}"/>
  <tableColumns count="4">
    <tableColumn id="1" xr3:uid="{C03EA879-D858-4146-9560-CBB0515B1779}" name="Result" dataDxfId="313"/>
    <tableColumn id="2" xr3:uid="{CFEDF8F7-2164-4F8D-88AB-F8EA7D204064}" name="Song Title"/>
    <tableColumn id="3" xr3:uid="{FF5834DF-C379-4302-AF85-45DC78C704CB}" name="Diff" dataDxfId="312">
      <calculatedColumnFormula>IFERROR(VLOOKUP(Dec_2025_Results[[#This Row],[Song Title]], $AE$211:$AG$222, 3, FALSE)-Dec_2025_Results[[#This Row],[Result]], "TBD")</calculatedColumnFormula>
    </tableColumn>
    <tableColumn id="4" xr3:uid="{1269DE57-D646-4D7E-BCFA-E65C21B0E003}" name="Shift" dataDxfId="311">
      <calculatedColumnFormula>IF(AK211&lt;0,"↓",IF(AK211=0,"-","↑"))</calculatedColumnFormula>
    </tableColumn>
  </tableColumns>
  <tableStyleInfo name="TableStyleLight8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9C4997D8-430B-4534-BD78-948D76A0067B}" name="SotY_2025" displayName="SotY_2025" ref="A2:X200" totalsRowShown="0" headerRowDxfId="310" headerRowBorderDxfId="309" tableBorderDxfId="308" totalsRowBorderDxfId="307">
  <autoFilter ref="A2:X200" xr:uid="{4D4D6490-F35B-4D08-8CB2-139C3D2FE5F5}"/>
  <tableColumns count="24">
    <tableColumn id="1" xr3:uid="{DF52963D-0F98-4F79-A9AD-F25DF8A7A41C}" name="Description" dataDxfId="306">
      <calculatedColumnFormula>_xlfn.CONCAT("Seed ", SotY_2025[[#This Row],[Top Seed]], " vs ", SotY_2025[[#This Row],[Low Seed]])</calculatedColumnFormula>
    </tableColumn>
    <tableColumn id="2" xr3:uid="{AAB95CF7-C534-4360-948C-7B94697061F9}" name="Num" dataDxfId="305"/>
    <tableColumn id="3" xr3:uid="{BF8F6B92-150F-4A5A-BED7-D943BDF30A83}" name="Round" dataDxfId="304">
      <calculatedColumnFormula>FLOOR(LOG(SotY_2025[[#This Row],[Num]], 2), 1)</calculatedColumnFormula>
    </tableColumn>
    <tableColumn id="4" xr3:uid="{DB79A99F-DA0B-4BD9-B459-1049DA6F0C42}" name="Max Seed" dataDxfId="303">
      <calculatedColumnFormula>2^(SotY_2025[[#This Row],[Round]]+1)</calculatedColumnFormula>
    </tableColumn>
    <tableColumn id="5" xr3:uid="{3DF2D974-0BA4-4E9F-B290-A2CF74B31DF1}" name="Top Seed" dataDxfId="302">
      <calculatedColumnFormula>SotY_2025[[#This Row],[Max Seed]]-SotY_2025[[#This Row],[Num]]</calculatedColumnFormula>
    </tableColumn>
    <tableColumn id="6" xr3:uid="{D1F04F19-DFD9-4BB0-88C6-29500CE3955A}" name="Low Seed" dataDxfId="301">
      <calculatedColumnFormula>SotY_2025[[#This Row],[Max Seed]]-SotY_2025[[#This Row],[Top Seed]]+1</calculatedColumnFormula>
    </tableColumn>
    <tableColumn id="7" xr3:uid="{4E75397C-D468-4AD9-B7C4-86514D7CC4A6}" name="Initial 1" dataDxfId="300">
      <calculatedColumnFormula>IF(SotY_2025[[#This Row],[Round]]=$C$1, TRUE(), IF(SotY_2025[[#This Row],[Round]]=$B$1, SotY_2025[[#This Row],[Top Seed]]&lt;=2*SotY_2025[[#This Row],[Max Seed]]-$A$1, FALSE()))</calculatedColumnFormula>
    </tableColumn>
    <tableColumn id="8" xr3:uid="{96F159C1-DFA0-4C32-BB73-32D6F2C95801}" name="Initial 2" dataDxfId="299">
      <calculatedColumnFormula>IF(SotY_2025[[#This Row],[Round]]=$C$1, TRUE(), IF(SotY_2025[[#This Row],[Round]]=$B$1, SotY_2025[[#This Row],[Low Seed]]&lt;=2*SotY_2025[[#This Row],[Max Seed]]-$A$1, FALSE()))</calculatedColumnFormula>
    </tableColumn>
    <tableColumn id="9" xr3:uid="{8681AA8A-D23C-4816-A68F-A9561BFD84FF}" name="J" dataDxfId="298"/>
    <tableColumn id="10" xr3:uid="{C994D731-3CF6-443C-A733-DA4103E341E4}" name="D" dataDxfId="297"/>
    <tableColumn id="11" xr3:uid="{8F879104-823F-4424-B14A-F9B21B3D08B0}" name="L" dataDxfId="296"/>
    <tableColumn id="12" xr3:uid="{4AC47E50-3F37-478C-A661-01DE6CEE47DE}" name="S" dataDxfId="295"/>
    <tableColumn id="13" xr3:uid="{91E1C45E-6C8A-4A65-9651-7EA6DEBFED57}" name="H" dataDxfId="294"/>
    <tableColumn id="14" xr3:uid="{E05E766F-5E63-4C77-AB16-6845EF729A15}" name="Song 1" dataDxfId="293">
      <calculatedColumnFormula>IF(SotY_2025[[#This Row],[Num]]&gt;=$A$1, "-", IF(SotY_2025[[#This Row],[Initial 1]], VLOOKUP(SotY_2025[[#This Row],[Top Seed]], $Z$2:$AE$200, 6, FALSE), OFFSET(SotY_2025[[#This Row],[Winner]], SotY_2025[[#This Row],[Max Seed]], 0)))</calculatedColumnFormula>
    </tableColumn>
    <tableColumn id="15" xr3:uid="{239EBFF5-8C15-44DE-96DB-208424780AE8}" name="Score 1" dataDxfId="292">
      <calculatedColumnFormula>COUNTIF(SotY_2025[[#This Row],[J]:[H]],"x")</calculatedColumnFormula>
    </tableColumn>
    <tableColumn id="16" xr3:uid="{9AAEC5B1-C4CC-4C26-A663-333C502B120A}" name="Winner" dataDxfId="291">
      <calculatedColumnFormula>IF(SotY_2025[[#This Row],[Num]]&gt;=$A$1, "-", IF(SotY_2025[[#This Row],[Score 1]]&gt;=3, SotY_2025[[#This Row],[Song 1]], IF(SotY_2025[[#This Row],[Score 2]]&gt;=3, SotY_2025[[#This Row],[Song 2]], "TBD")))</calculatedColumnFormula>
    </tableColumn>
    <tableColumn id="17" xr3:uid="{4BCC440F-EB7D-4FDC-9897-B96A11168F44}" name="Score 2" dataDxfId="290">
      <calculatedColumnFormula>COUNTIF(SotY_2025[[#This Row],[H ]:[J ]],"x")</calculatedColumnFormula>
    </tableColumn>
    <tableColumn id="18" xr3:uid="{FBBE6359-A8B2-4B9C-AFCE-890094762A03}" name="Song 2" dataDxfId="289">
      <calculatedColumnFormula>IF(SotY_2025[[#This Row],[Num]]&gt;=$A$1, "-", IF(SotY_2025[[#This Row],[Initial 2]], VLOOKUP(SotY_2025[[#This Row],[Low Seed]], $Z$2:$AE$200, 6, FALSE), OFFSET(SotY_2025[[#This Row],[Winner]], 2*(SotY_2025[[#This Row],[Max Seed]]-SotY_2025[[#This Row],[Low Seed]])+1, 0)))</calculatedColumnFormula>
    </tableColumn>
    <tableColumn id="19" xr3:uid="{0C39E55D-B3D9-4C7C-B031-E87B297AADBC}" name="H " dataDxfId="288"/>
    <tableColumn id="20" xr3:uid="{775C3D02-573D-4EBF-B21A-B8A9DECA22B0}" name="S " dataDxfId="287"/>
    <tableColumn id="21" xr3:uid="{1114B704-D99F-4BA3-98E0-1FE2DCE55FF7}" name="L " dataDxfId="286"/>
    <tableColumn id="22" xr3:uid="{65A4050C-3911-4790-BB2B-C874CE2BC6FF}" name="D " dataDxfId="285"/>
    <tableColumn id="23" xr3:uid="{A97F48EB-A1D9-4D01-9DB0-805EB6D5722B}" name="J " dataDxfId="284"/>
    <tableColumn id="24" xr3:uid="{C43CF28D-3A49-4E23-B759-5FED12C8B7F4}" name="Remaining" dataDxfId="283">
      <calculatedColumnFormula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calculatedColumnFormula>
    </tableColumn>
  </tableColumns>
  <tableStyleInfo name="TableStyleLight8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A69EB98-FF2F-47EE-B77D-9146E5175D49}" name="SotY_2025_Results" displayName="SotY_2025_Results" ref="AI1:AL200" totalsRowShown="0" headerRowDxfId="282" headerRowBorderDxfId="281" tableBorderDxfId="280" totalsRowBorderDxfId="279">
  <autoFilter ref="AI1:AL200" xr:uid="{CF77363F-2B86-403C-873A-F60A27443ADE}"/>
  <tableColumns count="4">
    <tableColumn id="1" xr3:uid="{F9C682B9-8EC7-4A74-8E94-F3787EDFA40F}" name="Result" dataDxfId="278"/>
    <tableColumn id="2" xr3:uid="{EB625038-43D7-4B8E-ADB3-839A6F61CE7E}" name="Song Title" dataDxfId="277"/>
    <tableColumn id="3" xr3:uid="{5BC30951-66A9-41A9-9539-1D5235F4C179}" name="Diff" dataDxfId="276">
      <calculatedColumnFormula>IFERROR(VLOOKUP(SotY_2025_Results[[#This Row],[Song Title]], $AE$2:$AG$200, 3, FALSE)-SotY_2025_Results[[#This Row],[Result]], "TBD")</calculatedColumnFormula>
    </tableColumn>
    <tableColumn id="4" xr3:uid="{8BEE2834-74C7-45A1-B14B-FA7D8111351B}" name="Shift" dataDxfId="275">
      <calculatedColumnFormula>IF(SotY_2025_Results[[#This Row],[Diff]]&lt;0,"↓",IF(SotY_2025_Results[[#This Row],[Diff]]=0,"-","↑"))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596" dT="2025-01-20T21:23:48.27" personId="{DA9267A0-0274-45A3-B295-1DAB29D4B055}" id="{0739B962-4B78-4FB8-87E6-5134EE127A35}">
    <text>I would give it a 2 if i could revote after witnessing the cinematic</text>
  </threadedComment>
  <threadedComment ref="J787" dT="2025-03-27T15:06:39.83" personId="{DA9267A0-0274-45A3-B295-1DAB29D4B055}" id="{AEC0FB66-6993-4EAC-9031-E8974D8E26A2}">
    <text>1</text>
  </threadedComment>
  <threadedComment ref="J788" dT="2025-03-27T15:06:55.69" personId="{DA9267A0-0274-45A3-B295-1DAB29D4B055}" id="{ADFD0C43-4176-471F-A8E4-705865D489AF}">
    <text>D: 2; H: 3</text>
  </threadedComment>
  <threadedComment ref="J789" dT="2025-03-27T15:07:41.08" personId="{DA9267A0-0274-45A3-B295-1DAB29D4B055}" id="{6DBB44CC-C92C-48C6-B976-8427BDFEB6C4}">
    <text>D: 5; H: 5</text>
  </threadedComment>
  <threadedComment ref="J790" dT="2025-03-27T15:07:55.28" personId="{DA9267A0-0274-45A3-B295-1DAB29D4B055}" id="{AFE2E1B2-1084-4214-86A3-1F4A2932E609}">
    <text>D: 3; H: 3</text>
  </threadedComment>
  <threadedComment ref="J791" dT="2025-03-27T15:08:18.66" personId="{DA9267A0-0274-45A3-B295-1DAB29D4B055}" id="{9134AAE4-5425-4520-99DF-0EADC14B94D4}">
    <text>D: 4; H: 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aea.org/sites/default/files/publications/documents/infcircs/1970/infcirc140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13" Type="http://schemas.openxmlformats.org/officeDocument/2006/relationships/table" Target="../tables/table14.xml"/><Relationship Id="rId18" Type="http://schemas.openxmlformats.org/officeDocument/2006/relationships/table" Target="../tables/table19.xml"/><Relationship Id="rId3" Type="http://schemas.openxmlformats.org/officeDocument/2006/relationships/table" Target="../tables/table4.xml"/><Relationship Id="rId21" Type="http://schemas.openxmlformats.org/officeDocument/2006/relationships/table" Target="../tables/table22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17" Type="http://schemas.openxmlformats.org/officeDocument/2006/relationships/table" Target="../tables/table18.xml"/><Relationship Id="rId2" Type="http://schemas.openxmlformats.org/officeDocument/2006/relationships/table" Target="../tables/table3.xml"/><Relationship Id="rId16" Type="http://schemas.openxmlformats.org/officeDocument/2006/relationships/table" Target="../tables/table17.xml"/><Relationship Id="rId20" Type="http://schemas.openxmlformats.org/officeDocument/2006/relationships/table" Target="../tables/table21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24" Type="http://schemas.openxmlformats.org/officeDocument/2006/relationships/table" Target="../tables/table25.xml"/><Relationship Id="rId5" Type="http://schemas.openxmlformats.org/officeDocument/2006/relationships/table" Target="../tables/table6.xml"/><Relationship Id="rId15" Type="http://schemas.openxmlformats.org/officeDocument/2006/relationships/table" Target="../tables/table16.xml"/><Relationship Id="rId23" Type="http://schemas.openxmlformats.org/officeDocument/2006/relationships/table" Target="../tables/table24.xml"/><Relationship Id="rId10" Type="http://schemas.openxmlformats.org/officeDocument/2006/relationships/table" Target="../tables/table11.xml"/><Relationship Id="rId19" Type="http://schemas.openxmlformats.org/officeDocument/2006/relationships/table" Target="../tables/table20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Relationship Id="rId14" Type="http://schemas.openxmlformats.org/officeDocument/2006/relationships/table" Target="../tables/table15.xml"/><Relationship Id="rId22" Type="http://schemas.openxmlformats.org/officeDocument/2006/relationships/table" Target="../tables/table2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namedSheetView" Target="../namedSheetViews/namedSheetView1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7.xml"/><Relationship Id="rId13" Type="http://schemas.openxmlformats.org/officeDocument/2006/relationships/table" Target="../tables/table42.xml"/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12" Type="http://schemas.openxmlformats.org/officeDocument/2006/relationships/table" Target="../tables/table41.xml"/><Relationship Id="rId2" Type="http://schemas.openxmlformats.org/officeDocument/2006/relationships/table" Target="../tables/table31.xml"/><Relationship Id="rId1" Type="http://schemas.openxmlformats.org/officeDocument/2006/relationships/table" Target="../tables/table30.xml"/><Relationship Id="rId6" Type="http://schemas.openxmlformats.org/officeDocument/2006/relationships/table" Target="../tables/table35.xml"/><Relationship Id="rId11" Type="http://schemas.openxmlformats.org/officeDocument/2006/relationships/table" Target="../tables/table40.xml"/><Relationship Id="rId5" Type="http://schemas.openxmlformats.org/officeDocument/2006/relationships/table" Target="../tables/table34.xml"/><Relationship Id="rId10" Type="http://schemas.openxmlformats.org/officeDocument/2006/relationships/table" Target="../tables/table39.xml"/><Relationship Id="rId4" Type="http://schemas.openxmlformats.org/officeDocument/2006/relationships/table" Target="../tables/table33.xml"/><Relationship Id="rId9" Type="http://schemas.openxmlformats.org/officeDocument/2006/relationships/table" Target="../tables/table38.xml"/><Relationship Id="rId14" Type="http://schemas.openxmlformats.org/officeDocument/2006/relationships/table" Target="../tables/table43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1.xml"/><Relationship Id="rId13" Type="http://schemas.openxmlformats.org/officeDocument/2006/relationships/table" Target="../tables/table56.xml"/><Relationship Id="rId18" Type="http://schemas.openxmlformats.org/officeDocument/2006/relationships/table" Target="../tables/table61.xml"/><Relationship Id="rId3" Type="http://schemas.openxmlformats.org/officeDocument/2006/relationships/table" Target="../tables/table46.xml"/><Relationship Id="rId21" Type="http://schemas.openxmlformats.org/officeDocument/2006/relationships/table" Target="../tables/table64.xml"/><Relationship Id="rId7" Type="http://schemas.openxmlformats.org/officeDocument/2006/relationships/table" Target="../tables/table50.xml"/><Relationship Id="rId12" Type="http://schemas.openxmlformats.org/officeDocument/2006/relationships/table" Target="../tables/table55.xml"/><Relationship Id="rId17" Type="http://schemas.openxmlformats.org/officeDocument/2006/relationships/table" Target="../tables/table60.xml"/><Relationship Id="rId2" Type="http://schemas.openxmlformats.org/officeDocument/2006/relationships/table" Target="../tables/table45.xml"/><Relationship Id="rId16" Type="http://schemas.openxmlformats.org/officeDocument/2006/relationships/table" Target="../tables/table59.xml"/><Relationship Id="rId20" Type="http://schemas.openxmlformats.org/officeDocument/2006/relationships/table" Target="../tables/table63.xml"/><Relationship Id="rId1" Type="http://schemas.openxmlformats.org/officeDocument/2006/relationships/table" Target="../tables/table44.xml"/><Relationship Id="rId6" Type="http://schemas.openxmlformats.org/officeDocument/2006/relationships/table" Target="../tables/table49.xml"/><Relationship Id="rId11" Type="http://schemas.openxmlformats.org/officeDocument/2006/relationships/table" Target="../tables/table54.xml"/><Relationship Id="rId24" Type="http://schemas.openxmlformats.org/officeDocument/2006/relationships/table" Target="../tables/table67.xml"/><Relationship Id="rId5" Type="http://schemas.openxmlformats.org/officeDocument/2006/relationships/table" Target="../tables/table48.xml"/><Relationship Id="rId15" Type="http://schemas.openxmlformats.org/officeDocument/2006/relationships/table" Target="../tables/table58.xml"/><Relationship Id="rId23" Type="http://schemas.openxmlformats.org/officeDocument/2006/relationships/table" Target="../tables/table66.xml"/><Relationship Id="rId10" Type="http://schemas.openxmlformats.org/officeDocument/2006/relationships/table" Target="../tables/table53.xml"/><Relationship Id="rId19" Type="http://schemas.openxmlformats.org/officeDocument/2006/relationships/table" Target="../tables/table62.xml"/><Relationship Id="rId4" Type="http://schemas.openxmlformats.org/officeDocument/2006/relationships/table" Target="../tables/table47.xml"/><Relationship Id="rId9" Type="http://schemas.openxmlformats.org/officeDocument/2006/relationships/table" Target="../tables/table52.xml"/><Relationship Id="rId14" Type="http://schemas.openxmlformats.org/officeDocument/2006/relationships/table" Target="../tables/table57.xml"/><Relationship Id="rId22" Type="http://schemas.openxmlformats.org/officeDocument/2006/relationships/table" Target="../tables/table6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089C-F149-45E1-8AFC-BDC3F8158041}">
  <sheetPr codeName="Sheet1"/>
  <dimension ref="A1:Q32"/>
  <sheetViews>
    <sheetView workbookViewId="0">
      <selection activeCell="P14" sqref="P14"/>
    </sheetView>
  </sheetViews>
  <sheetFormatPr defaultColWidth="9.140625" defaultRowHeight="16.5"/>
  <cols>
    <col min="1" max="7" width="9.140625" style="26"/>
    <col min="8" max="11" width="9.140625" style="57"/>
    <col min="12" max="12" width="9" style="57" customWidth="1"/>
    <col min="13" max="16384" width="9.140625" style="26"/>
  </cols>
  <sheetData>
    <row r="1" spans="1:17">
      <c r="A1" s="308" t="s">
        <v>0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10"/>
    </row>
    <row r="2" spans="1:17">
      <c r="A2" s="311"/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3"/>
    </row>
    <row r="3" spans="1:17">
      <c r="A3" s="311"/>
      <c r="B3" s="312"/>
      <c r="C3" s="312"/>
      <c r="D3" s="312"/>
      <c r="E3" s="312"/>
      <c r="F3" s="312"/>
      <c r="G3" s="312"/>
      <c r="H3" s="312"/>
      <c r="I3" s="312"/>
      <c r="J3" s="312"/>
      <c r="K3" s="312"/>
      <c r="L3" s="313"/>
    </row>
    <row r="4" spans="1:17">
      <c r="A4" s="311"/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313"/>
    </row>
    <row r="5" spans="1:17">
      <c r="A5" s="314" t="s">
        <v>1</v>
      </c>
      <c r="B5" s="309"/>
      <c r="C5" s="309"/>
      <c r="D5" s="309"/>
      <c r="E5" s="309"/>
      <c r="F5" s="309"/>
      <c r="G5" s="314" t="s">
        <v>2</v>
      </c>
      <c r="H5" s="309"/>
      <c r="I5" s="309"/>
      <c r="J5" s="309"/>
      <c r="K5" s="309"/>
      <c r="L5" s="310"/>
    </row>
    <row r="6" spans="1:17">
      <c r="A6" s="19">
        <v>1</v>
      </c>
      <c r="B6" s="309" t="s">
        <v>3</v>
      </c>
      <c r="C6" s="309"/>
      <c r="D6" s="309"/>
      <c r="E6" s="309"/>
      <c r="F6" s="309"/>
      <c r="G6" s="19">
        <v>1</v>
      </c>
      <c r="H6" s="318" t="s">
        <v>4</v>
      </c>
      <c r="I6" s="318"/>
      <c r="J6" s="318"/>
      <c r="K6" s="318"/>
      <c r="L6" s="319"/>
    </row>
    <row r="7" spans="1:17" ht="42" customHeight="1">
      <c r="A7" s="20">
        <v>2</v>
      </c>
      <c r="B7" s="312" t="s">
        <v>5</v>
      </c>
      <c r="C7" s="312"/>
      <c r="D7" s="312"/>
      <c r="E7" s="312"/>
      <c r="F7" s="312"/>
      <c r="G7" s="20">
        <v>2</v>
      </c>
      <c r="H7" s="303" t="s">
        <v>6</v>
      </c>
      <c r="I7" s="303"/>
      <c r="J7" s="303"/>
      <c r="K7" s="303"/>
      <c r="L7" s="304"/>
    </row>
    <row r="8" spans="1:17" ht="57" customHeight="1">
      <c r="A8" s="20">
        <v>3</v>
      </c>
      <c r="B8" s="312"/>
      <c r="C8" s="312"/>
      <c r="D8" s="312"/>
      <c r="E8" s="312"/>
      <c r="F8" s="312"/>
      <c r="G8" s="20">
        <v>3</v>
      </c>
      <c r="H8" s="303" t="s">
        <v>7</v>
      </c>
      <c r="I8" s="303"/>
      <c r="J8" s="303"/>
      <c r="K8" s="303"/>
      <c r="L8" s="304"/>
    </row>
    <row r="9" spans="1:17">
      <c r="A9" s="20">
        <v>4</v>
      </c>
      <c r="B9" s="312"/>
      <c r="C9" s="312"/>
      <c r="D9" s="312"/>
      <c r="E9" s="312"/>
      <c r="F9" s="312"/>
      <c r="G9" s="20">
        <v>4</v>
      </c>
      <c r="H9" s="303" t="s">
        <v>8</v>
      </c>
      <c r="I9" s="303"/>
      <c r="J9" s="303"/>
      <c r="K9" s="303"/>
      <c r="L9" s="304"/>
    </row>
    <row r="10" spans="1:17">
      <c r="A10" s="20">
        <v>5</v>
      </c>
      <c r="B10" s="312"/>
      <c r="C10" s="312"/>
      <c r="D10" s="312"/>
      <c r="E10" s="312"/>
      <c r="F10" s="312"/>
      <c r="G10" s="20">
        <v>5</v>
      </c>
      <c r="H10" s="303" t="s">
        <v>9</v>
      </c>
      <c r="I10" s="303"/>
      <c r="J10" s="303"/>
      <c r="K10" s="303"/>
      <c r="L10" s="304"/>
    </row>
    <row r="11" spans="1:17" ht="36.75" customHeight="1">
      <c r="A11" s="20">
        <v>6</v>
      </c>
      <c r="B11" s="312"/>
      <c r="C11" s="312"/>
      <c r="D11" s="312"/>
      <c r="E11" s="312"/>
      <c r="F11" s="312"/>
      <c r="G11" s="20">
        <v>6</v>
      </c>
      <c r="H11" s="303" t="s">
        <v>10</v>
      </c>
      <c r="I11" s="303"/>
      <c r="J11" s="303"/>
      <c r="K11" s="303"/>
      <c r="L11" s="304"/>
    </row>
    <row r="12" spans="1:17" ht="33.75" customHeight="1">
      <c r="A12" s="20">
        <v>7</v>
      </c>
      <c r="B12" s="312"/>
      <c r="C12" s="312"/>
      <c r="D12" s="312"/>
      <c r="E12" s="312"/>
      <c r="F12" s="312"/>
      <c r="G12" s="20">
        <v>7</v>
      </c>
      <c r="H12" s="303" t="s">
        <v>11</v>
      </c>
      <c r="I12" s="303"/>
      <c r="J12" s="303"/>
      <c r="K12" s="303"/>
      <c r="L12" s="304"/>
    </row>
    <row r="13" spans="1:17">
      <c r="A13" s="20">
        <v>8</v>
      </c>
      <c r="B13" s="312"/>
      <c r="C13" s="312"/>
      <c r="D13" s="312"/>
      <c r="E13" s="312"/>
      <c r="F13" s="312"/>
      <c r="G13" s="20">
        <v>8</v>
      </c>
      <c r="H13" s="320" t="s">
        <v>12</v>
      </c>
      <c r="I13" s="320"/>
      <c r="J13" s="320"/>
      <c r="K13" s="320"/>
      <c r="L13" s="321"/>
    </row>
    <row r="14" spans="1:17">
      <c r="A14" s="20">
        <v>9</v>
      </c>
      <c r="B14" s="312"/>
      <c r="C14" s="312"/>
      <c r="D14" s="312"/>
      <c r="E14" s="312"/>
      <c r="F14" s="313"/>
      <c r="G14" s="20">
        <v>9</v>
      </c>
      <c r="H14" s="303"/>
      <c r="I14" s="303"/>
      <c r="J14" s="303"/>
      <c r="K14" s="303"/>
      <c r="L14" s="304"/>
    </row>
    <row r="15" spans="1:17" ht="17.25" thickBot="1">
      <c r="A15" s="20">
        <v>10</v>
      </c>
      <c r="B15" s="312"/>
      <c r="C15" s="312"/>
      <c r="D15" s="312"/>
      <c r="E15" s="312"/>
      <c r="F15" s="312"/>
      <c r="G15" s="21">
        <v>10</v>
      </c>
      <c r="H15" s="315"/>
      <c r="I15" s="315"/>
      <c r="J15" s="315"/>
      <c r="K15" s="315"/>
      <c r="L15" s="316"/>
    </row>
    <row r="16" spans="1:17" ht="17.25" customHeight="1">
      <c r="A16" s="314" t="s">
        <v>13</v>
      </c>
      <c r="B16" s="309"/>
      <c r="C16" s="309"/>
      <c r="D16" s="309"/>
      <c r="E16" s="309"/>
      <c r="F16" s="309"/>
      <c r="G16" s="311" t="s">
        <v>14</v>
      </c>
      <c r="H16" s="312"/>
      <c r="I16" s="312"/>
      <c r="J16" s="312"/>
      <c r="K16" s="312"/>
      <c r="L16" s="312"/>
      <c r="M16" s="19" t="s">
        <v>15</v>
      </c>
      <c r="N16" s="24" t="s">
        <v>16</v>
      </c>
      <c r="O16" s="24" t="s">
        <v>17</v>
      </c>
      <c r="P16" s="24" t="s">
        <v>18</v>
      </c>
      <c r="Q16" s="25" t="s">
        <v>19</v>
      </c>
    </row>
    <row r="17" spans="1:17" ht="36" customHeight="1">
      <c r="A17" s="19">
        <v>1</v>
      </c>
      <c r="B17" s="309" t="s">
        <v>20</v>
      </c>
      <c r="C17" s="309"/>
      <c r="D17" s="309"/>
      <c r="E17" s="309"/>
      <c r="F17" s="309"/>
      <c r="G17" s="19">
        <v>1</v>
      </c>
      <c r="H17" s="303" t="s">
        <v>21</v>
      </c>
      <c r="I17" s="303"/>
      <c r="J17" s="303"/>
      <c r="K17" s="303"/>
      <c r="L17" s="303"/>
      <c r="M17" s="20" t="s">
        <v>22</v>
      </c>
      <c r="N17" s="26" t="s">
        <v>23</v>
      </c>
      <c r="O17" s="26" t="s">
        <v>23</v>
      </c>
      <c r="P17" s="26" t="s">
        <v>23</v>
      </c>
      <c r="Q17" s="27" t="s">
        <v>24</v>
      </c>
    </row>
    <row r="18" spans="1:17" ht="51.75" customHeight="1">
      <c r="A18" s="20">
        <v>2</v>
      </c>
      <c r="B18" s="312"/>
      <c r="C18" s="312"/>
      <c r="D18" s="312"/>
      <c r="E18" s="312"/>
      <c r="F18" s="312"/>
      <c r="G18" s="20">
        <v>2</v>
      </c>
      <c r="H18" s="303" t="s">
        <v>25</v>
      </c>
      <c r="I18" s="303"/>
      <c r="J18" s="303"/>
      <c r="K18" s="303"/>
      <c r="L18" s="304"/>
      <c r="M18" s="20"/>
      <c r="N18" s="26" t="s">
        <v>24</v>
      </c>
      <c r="Q18" s="27"/>
    </row>
    <row r="19" spans="1:17" ht="48.75" customHeight="1">
      <c r="A19" s="20">
        <v>3</v>
      </c>
      <c r="B19" s="312"/>
      <c r="C19" s="312"/>
      <c r="D19" s="312"/>
      <c r="E19" s="312"/>
      <c r="F19" s="312"/>
      <c r="G19" s="20">
        <v>3</v>
      </c>
      <c r="H19" s="303" t="s">
        <v>26</v>
      </c>
      <c r="I19" s="303"/>
      <c r="J19" s="303"/>
      <c r="K19" s="303"/>
      <c r="L19" s="304"/>
      <c r="M19" s="20" t="s">
        <v>23</v>
      </c>
      <c r="N19" s="26" t="s">
        <v>23</v>
      </c>
      <c r="O19" s="26" t="s">
        <v>23</v>
      </c>
      <c r="Q19" s="27" t="s">
        <v>23</v>
      </c>
    </row>
    <row r="20" spans="1:17" ht="51" customHeight="1">
      <c r="A20" s="20">
        <v>4</v>
      </c>
      <c r="B20" s="312"/>
      <c r="C20" s="312"/>
      <c r="D20" s="312"/>
      <c r="E20" s="312"/>
      <c r="F20" s="312"/>
      <c r="G20" s="20">
        <v>4</v>
      </c>
      <c r="H20" s="303" t="s">
        <v>27</v>
      </c>
      <c r="I20" s="303"/>
      <c r="J20" s="303"/>
      <c r="K20" s="303"/>
      <c r="L20" s="304"/>
      <c r="M20" s="20" t="s">
        <v>22</v>
      </c>
      <c r="N20" s="26" t="s">
        <v>23</v>
      </c>
      <c r="O20" s="26" t="s">
        <v>23</v>
      </c>
      <c r="P20" s="26" t="s">
        <v>23</v>
      </c>
      <c r="Q20" s="27" t="s">
        <v>23</v>
      </c>
    </row>
    <row r="21" spans="1:17">
      <c r="A21" s="20">
        <v>5</v>
      </c>
      <c r="B21" s="312"/>
      <c r="C21" s="312"/>
      <c r="D21" s="312"/>
      <c r="E21" s="312"/>
      <c r="F21" s="312"/>
      <c r="G21" s="20">
        <v>5</v>
      </c>
      <c r="H21" s="303"/>
      <c r="I21" s="303"/>
      <c r="J21" s="303"/>
      <c r="K21" s="303"/>
      <c r="L21" s="303"/>
      <c r="M21" s="20"/>
      <c r="Q21" s="27"/>
    </row>
    <row r="22" spans="1:17" ht="16.5" customHeight="1">
      <c r="A22" s="20">
        <v>6</v>
      </c>
      <c r="B22" s="312"/>
      <c r="C22" s="312"/>
      <c r="D22" s="312"/>
      <c r="E22" s="312"/>
      <c r="F22" s="312"/>
      <c r="G22" s="20">
        <v>6</v>
      </c>
      <c r="H22" s="303"/>
      <c r="I22" s="303"/>
      <c r="J22" s="303"/>
      <c r="K22" s="303"/>
      <c r="L22" s="304"/>
      <c r="M22" s="20"/>
      <c r="Q22" s="27"/>
    </row>
    <row r="23" spans="1:17" ht="16.5" customHeight="1">
      <c r="A23" s="20">
        <v>7</v>
      </c>
      <c r="B23" s="312"/>
      <c r="C23" s="312"/>
      <c r="D23" s="312"/>
      <c r="E23" s="312"/>
      <c r="F23" s="312"/>
      <c r="G23" s="20">
        <v>7</v>
      </c>
      <c r="H23" s="303"/>
      <c r="I23" s="303"/>
      <c r="J23" s="303"/>
      <c r="K23" s="303"/>
      <c r="L23" s="304"/>
      <c r="M23" s="20"/>
      <c r="Q23" s="27"/>
    </row>
    <row r="24" spans="1:17" ht="16.5" customHeight="1">
      <c r="A24" s="20">
        <v>8</v>
      </c>
      <c r="B24" s="312"/>
      <c r="C24" s="312"/>
      <c r="D24" s="312"/>
      <c r="E24" s="312"/>
      <c r="F24" s="312"/>
      <c r="G24" s="20">
        <v>8</v>
      </c>
      <c r="H24" s="303"/>
      <c r="I24" s="303"/>
      <c r="J24" s="303"/>
      <c r="K24" s="303"/>
      <c r="L24" s="304"/>
      <c r="M24" s="20"/>
      <c r="Q24" s="27"/>
    </row>
    <row r="25" spans="1:17">
      <c r="A25" s="20">
        <v>9</v>
      </c>
      <c r="B25" s="312"/>
      <c r="C25" s="312"/>
      <c r="D25" s="312"/>
      <c r="E25" s="312"/>
      <c r="F25" s="312"/>
      <c r="G25" s="20">
        <v>9</v>
      </c>
      <c r="H25" s="303"/>
      <c r="I25" s="303"/>
      <c r="J25" s="303"/>
      <c r="K25" s="303"/>
      <c r="L25" s="303"/>
      <c r="M25" s="20"/>
      <c r="Q25" s="27"/>
    </row>
    <row r="26" spans="1:17">
      <c r="A26" s="20">
        <v>10</v>
      </c>
      <c r="B26" s="312"/>
      <c r="C26" s="312"/>
      <c r="D26" s="312"/>
      <c r="E26" s="312"/>
      <c r="F26" s="312"/>
      <c r="G26" s="20">
        <v>10</v>
      </c>
      <c r="H26" s="303"/>
      <c r="I26" s="303"/>
      <c r="J26" s="303"/>
      <c r="K26" s="303"/>
      <c r="L26" s="303"/>
      <c r="M26" s="20"/>
      <c r="Q26" s="27"/>
    </row>
    <row r="27" spans="1:17">
      <c r="A27" s="20">
        <v>11</v>
      </c>
      <c r="B27" s="312"/>
      <c r="C27" s="312"/>
      <c r="D27" s="312"/>
      <c r="E27" s="312"/>
      <c r="F27" s="312"/>
      <c r="G27" s="20">
        <v>11</v>
      </c>
      <c r="H27" s="303"/>
      <c r="I27" s="303"/>
      <c r="J27" s="303"/>
      <c r="K27" s="303"/>
      <c r="L27" s="303"/>
      <c r="M27" s="20"/>
      <c r="Q27" s="27"/>
    </row>
    <row r="28" spans="1:17">
      <c r="A28" s="20">
        <v>12</v>
      </c>
      <c r="B28" s="312"/>
      <c r="C28" s="312"/>
      <c r="D28" s="312"/>
      <c r="E28" s="312"/>
      <c r="F28" s="312"/>
      <c r="G28" s="20">
        <v>12</v>
      </c>
      <c r="H28" s="303"/>
      <c r="I28" s="303"/>
      <c r="J28" s="303"/>
      <c r="K28" s="303"/>
      <c r="L28" s="303"/>
      <c r="M28" s="20"/>
      <c r="Q28" s="27"/>
    </row>
    <row r="29" spans="1:17">
      <c r="A29" s="20">
        <v>13</v>
      </c>
      <c r="B29" s="312"/>
      <c r="C29" s="312"/>
      <c r="D29" s="312"/>
      <c r="E29" s="312"/>
      <c r="F29" s="312"/>
      <c r="G29" s="20">
        <v>13</v>
      </c>
      <c r="H29" s="303"/>
      <c r="I29" s="303"/>
      <c r="J29" s="303"/>
      <c r="K29" s="303"/>
      <c r="L29" s="303"/>
      <c r="M29" s="20"/>
      <c r="Q29" s="27"/>
    </row>
    <row r="30" spans="1:17">
      <c r="A30" s="20">
        <v>14</v>
      </c>
      <c r="B30" s="312"/>
      <c r="C30" s="312"/>
      <c r="D30" s="312"/>
      <c r="E30" s="312"/>
      <c r="F30" s="312"/>
      <c r="G30" s="20">
        <v>14</v>
      </c>
      <c r="H30" s="303"/>
      <c r="I30" s="303"/>
      <c r="J30" s="303"/>
      <c r="K30" s="303"/>
      <c r="L30" s="303"/>
      <c r="M30" s="20"/>
      <c r="Q30" s="27"/>
    </row>
    <row r="31" spans="1:17">
      <c r="A31" s="21">
        <v>15</v>
      </c>
      <c r="B31" s="317"/>
      <c r="C31" s="317"/>
      <c r="D31" s="317"/>
      <c r="E31" s="317"/>
      <c r="F31" s="317"/>
      <c r="G31" s="20">
        <v>15</v>
      </c>
      <c r="H31" s="303"/>
      <c r="I31" s="303"/>
      <c r="J31" s="303"/>
      <c r="K31" s="303"/>
      <c r="L31" s="303"/>
      <c r="M31" s="20"/>
      <c r="Q31" s="27"/>
    </row>
    <row r="32" spans="1:17" ht="50.25" customHeight="1">
      <c r="G32" s="305" t="s">
        <v>28</v>
      </c>
      <c r="H32" s="306"/>
      <c r="I32" s="306"/>
      <c r="J32" s="306"/>
      <c r="K32" s="306"/>
      <c r="L32" s="306"/>
      <c r="M32" s="306"/>
      <c r="N32" s="306"/>
      <c r="O32" s="306"/>
      <c r="P32" s="306"/>
      <c r="Q32" s="307"/>
    </row>
  </sheetData>
  <mergeCells count="56">
    <mergeCell ref="H11:L11"/>
    <mergeCell ref="H12:L12"/>
    <mergeCell ref="H14:L14"/>
    <mergeCell ref="B25:F25"/>
    <mergeCell ref="B20:F20"/>
    <mergeCell ref="B21:F21"/>
    <mergeCell ref="B22:F22"/>
    <mergeCell ref="B23:F23"/>
    <mergeCell ref="B24:F24"/>
    <mergeCell ref="H17:L17"/>
    <mergeCell ref="H18:L18"/>
    <mergeCell ref="H13:L13"/>
    <mergeCell ref="B17:F17"/>
    <mergeCell ref="B18:F18"/>
    <mergeCell ref="B19:F19"/>
    <mergeCell ref="H19:L19"/>
    <mergeCell ref="H6:L6"/>
    <mergeCell ref="H7:L7"/>
    <mergeCell ref="H8:L8"/>
    <mergeCell ref="H9:L9"/>
    <mergeCell ref="H10:L10"/>
    <mergeCell ref="B31:F31"/>
    <mergeCell ref="B26:F26"/>
    <mergeCell ref="B27:F27"/>
    <mergeCell ref="B28:F28"/>
    <mergeCell ref="B29:F29"/>
    <mergeCell ref="B30:F30"/>
    <mergeCell ref="A1:L4"/>
    <mergeCell ref="A5:F5"/>
    <mergeCell ref="G5:L5"/>
    <mergeCell ref="A16:F16"/>
    <mergeCell ref="B6:F6"/>
    <mergeCell ref="B7:F7"/>
    <mergeCell ref="B8:F8"/>
    <mergeCell ref="B9:F9"/>
    <mergeCell ref="B10:F10"/>
    <mergeCell ref="B11:F11"/>
    <mergeCell ref="G16:L16"/>
    <mergeCell ref="B14:F14"/>
    <mergeCell ref="B15:F15"/>
    <mergeCell ref="H15:L15"/>
    <mergeCell ref="B12:F12"/>
    <mergeCell ref="B13:F13"/>
    <mergeCell ref="H30:L30"/>
    <mergeCell ref="H31:L31"/>
    <mergeCell ref="G32:Q32"/>
    <mergeCell ref="H24:L24"/>
    <mergeCell ref="H25:L25"/>
    <mergeCell ref="H26:L26"/>
    <mergeCell ref="H27:L27"/>
    <mergeCell ref="H28:L28"/>
    <mergeCell ref="H20:L20"/>
    <mergeCell ref="H21:L21"/>
    <mergeCell ref="H22:L22"/>
    <mergeCell ref="H23:L23"/>
    <mergeCell ref="H29:L29"/>
  </mergeCells>
  <hyperlinks>
    <hyperlink ref="H13:L13" r:id="rId1" display="Non-Proliferation Treaty" xr:uid="{EBC3F2A6-FAE8-474A-96D9-54AE515553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369F-D742-40A4-AA6D-640C9BCC238E}">
  <sheetPr codeName="Sheet2"/>
  <dimension ref="A1:U2226"/>
  <sheetViews>
    <sheetView tabSelected="1" zoomScale="70" zoomScaleNormal="70" workbookViewId="0">
      <pane ySplit="1" topLeftCell="A2184" activePane="bottomLeft" state="frozen"/>
      <selection activeCell="J1583" sqref="J1583"/>
      <selection pane="bottomLeft" activeCell="I2231" sqref="I2231"/>
    </sheetView>
  </sheetViews>
  <sheetFormatPr defaultColWidth="9.140625" defaultRowHeight="15" customHeight="1" outlineLevelCol="1"/>
  <cols>
    <col min="1" max="1" width="14.5703125" style="1" customWidth="1"/>
    <col min="2" max="2" width="14.42578125" style="1" customWidth="1"/>
    <col min="3" max="3" width="17" style="3" bestFit="1" customWidth="1"/>
    <col min="4" max="4" width="14.5703125" style="3" customWidth="1" outlineLevel="1"/>
    <col min="5" max="5" width="16.42578125" style="3" customWidth="1" outlineLevel="1"/>
    <col min="6" max="6" width="12.85546875" style="3" bestFit="1" customWidth="1"/>
    <col min="7" max="7" width="13.7109375" style="17" customWidth="1"/>
    <col min="8" max="8" width="50.85546875" customWidth="1"/>
    <col min="9" max="9" width="87.7109375" bestFit="1" customWidth="1"/>
    <col min="10" max="10" width="13" style="3" customWidth="1"/>
    <col min="11" max="11" width="10.28515625" style="3" customWidth="1"/>
    <col min="12" max="12" width="16.140625" style="3" customWidth="1"/>
    <col min="13" max="13" width="16.85546875" style="3" customWidth="1"/>
    <col min="14" max="14" width="18.85546875" style="3" bestFit="1" customWidth="1"/>
    <col min="15" max="15" width="17" style="243" customWidth="1"/>
    <col min="16" max="16" width="15.28515625" style="3" bestFit="1" customWidth="1"/>
    <col min="17" max="17" width="24.28515625" style="3" bestFit="1" customWidth="1"/>
    <col min="18" max="18" width="13.5703125" style="3" bestFit="1" customWidth="1"/>
    <col min="19" max="19" width="13.5703125" style="3" customWidth="1"/>
    <col min="20" max="20" width="10" style="3" bestFit="1" customWidth="1"/>
    <col min="21" max="21" width="15.42578125" style="77" customWidth="1"/>
    <col min="23" max="23" width="9.140625" customWidth="1"/>
  </cols>
  <sheetData>
    <row r="1" spans="1:21" ht="15.75" thickBot="1">
      <c r="A1" s="2" t="s">
        <v>29</v>
      </c>
      <c r="B1" s="2" t="s">
        <v>30</v>
      </c>
      <c r="C1" s="2" t="s">
        <v>31</v>
      </c>
      <c r="D1" s="127" t="s">
        <v>29</v>
      </c>
      <c r="E1" s="2" t="s">
        <v>32</v>
      </c>
      <c r="F1" s="6" t="s">
        <v>33</v>
      </c>
      <c r="G1" s="16" t="s">
        <v>34</v>
      </c>
      <c r="H1" s="4" t="s">
        <v>35</v>
      </c>
      <c r="I1" s="4" t="s">
        <v>36</v>
      </c>
      <c r="J1" s="250" t="s">
        <v>37</v>
      </c>
      <c r="K1" s="251" t="s">
        <v>38</v>
      </c>
      <c r="L1" s="252" t="s">
        <v>39</v>
      </c>
      <c r="M1" s="253" t="s">
        <v>40</v>
      </c>
      <c r="N1" s="254" t="s">
        <v>41</v>
      </c>
      <c r="O1" s="267" t="s">
        <v>42</v>
      </c>
      <c r="P1" s="89" t="s">
        <v>43</v>
      </c>
      <c r="Q1" s="89" t="s">
        <v>44</v>
      </c>
      <c r="R1" s="89" t="s">
        <v>45</v>
      </c>
      <c r="S1" s="89" t="s">
        <v>46</v>
      </c>
      <c r="T1" s="89" t="s">
        <v>47</v>
      </c>
      <c r="U1" s="16" t="s">
        <v>48</v>
      </c>
    </row>
    <row r="2" spans="1:21">
      <c r="A2" s="332">
        <v>45455</v>
      </c>
      <c r="B2" s="332"/>
      <c r="C2" s="338" t="str" cm="1">
        <f t="array" ref="C2">_xlfn.LET(_xlpm.matches, _xlfn._xlws.FILTER(Data[Poster], (Data[Date]=A2)*(Data[Winner]=TRUE)), IF(ROWS(_xlpm.matches)&gt;1, "TIE", _xlpm.matches))</f>
        <v>danram</v>
      </c>
      <c r="D2" s="80">
        <f>A2</f>
        <v>45455</v>
      </c>
      <c r="E2" s="214" t="str">
        <f>$J$1</f>
        <v>alappatjoe</v>
      </c>
      <c r="F2" s="84">
        <f>IFERROR(AVERAGE(Data[[#This Row],[alappatjoe]:[currydestroyer27]]), "TBD")</f>
        <v>2.8</v>
      </c>
      <c r="G2" s="261">
        <f>IFERROR(_xlfn.STDEV.P(Data[[#This Row],[alappatjoe]:[currydestroyer27]]), "TBD")</f>
        <v>1.3266499161421599</v>
      </c>
      <c r="H2" s="263" t="s">
        <v>49</v>
      </c>
      <c r="I2" s="265" t="s">
        <v>50</v>
      </c>
      <c r="J2" s="3">
        <v>1</v>
      </c>
      <c r="K2" s="3">
        <v>5</v>
      </c>
      <c r="L2" s="3">
        <v>3</v>
      </c>
      <c r="M2" s="3">
        <v>2</v>
      </c>
      <c r="N2" s="3">
        <v>3</v>
      </c>
      <c r="O2" s="238"/>
      <c r="P2" s="233" t="s">
        <v>51</v>
      </c>
      <c r="Q2" s="10" t="s">
        <v>52</v>
      </c>
      <c r="R2" s="10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" s="10">
        <v>1</v>
      </c>
      <c r="T2" s="92" t="b">
        <f>Data[[#This Row],[Day Rank]]=Data[[#This Row],[W Rank]]</f>
        <v>0</v>
      </c>
      <c r="U2" s="95"/>
    </row>
    <row r="3" spans="1:21">
      <c r="A3" s="333"/>
      <c r="B3" s="333"/>
      <c r="C3" s="339"/>
      <c r="D3" s="81">
        <f>D2</f>
        <v>45455</v>
      </c>
      <c r="E3" s="140" t="str">
        <f>$K$1</f>
        <v>danram</v>
      </c>
      <c r="F3" s="8">
        <f>IFERROR(AVERAGE(Data[[#This Row],[alappatjoe]:[currydestroyer27]]), "TBD")</f>
        <v>2.2000000000000002</v>
      </c>
      <c r="G3" s="177">
        <f>IFERROR(_xlfn.STDEV.P(Data[[#This Row],[alappatjoe]:[currydestroyer27]]), "TBD")</f>
        <v>0.74833147735478833</v>
      </c>
      <c r="H3" s="135" t="s">
        <v>53</v>
      </c>
      <c r="I3" s="229" t="s">
        <v>54</v>
      </c>
      <c r="J3" s="7">
        <v>3</v>
      </c>
      <c r="K3" s="7">
        <v>1</v>
      </c>
      <c r="L3" s="7">
        <v>2</v>
      </c>
      <c r="M3" s="7">
        <v>3</v>
      </c>
      <c r="N3" s="7">
        <v>2</v>
      </c>
      <c r="O3" s="238"/>
      <c r="P3" s="234" t="s">
        <v>51</v>
      </c>
      <c r="Q3" s="18" t="s">
        <v>55</v>
      </c>
      <c r="R3" s="18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" s="18">
        <v>1</v>
      </c>
      <c r="T3" s="93" t="b">
        <f>Data[[#This Row],[Day Rank]]=Data[[#This Row],[W Rank]]</f>
        <v>1</v>
      </c>
      <c r="U3" s="95"/>
    </row>
    <row r="4" spans="1:21">
      <c r="A4" s="333"/>
      <c r="B4" s="333"/>
      <c r="C4" s="339"/>
      <c r="D4" s="81">
        <f>D2</f>
        <v>45455</v>
      </c>
      <c r="E4" s="140" t="str">
        <f>$L$1</f>
        <v>loganworsdell</v>
      </c>
      <c r="F4" s="8">
        <f>IFERROR(AVERAGE(Data[[#This Row],[alappatjoe]:[currydestroyer27]]), "TBD")</f>
        <v>3.2</v>
      </c>
      <c r="G4" s="177">
        <f>IFERROR(_xlfn.STDEV.P(Data[[#This Row],[alappatjoe]:[currydestroyer27]]), "TBD")</f>
        <v>1.1661903789690602</v>
      </c>
      <c r="H4" s="135" t="s">
        <v>56</v>
      </c>
      <c r="I4" s="229" t="s">
        <v>57</v>
      </c>
      <c r="J4" s="8">
        <v>4</v>
      </c>
      <c r="K4" s="8">
        <v>3</v>
      </c>
      <c r="L4" s="8">
        <v>1</v>
      </c>
      <c r="M4" s="8">
        <v>4</v>
      </c>
      <c r="N4" s="8">
        <v>4</v>
      </c>
      <c r="O4" s="238"/>
      <c r="P4" s="234" t="s">
        <v>58</v>
      </c>
      <c r="Q4" s="18" t="s">
        <v>59</v>
      </c>
      <c r="R4" s="18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" s="18">
        <v>1</v>
      </c>
      <c r="T4" s="93" t="b">
        <f>Data[[#This Row],[Day Rank]]=Data[[#This Row],[W Rank]]</f>
        <v>0</v>
      </c>
      <c r="U4" s="95"/>
    </row>
    <row r="5" spans="1:21" ht="15.75" thickBot="1">
      <c r="A5" s="333"/>
      <c r="B5" s="333"/>
      <c r="C5" s="339"/>
      <c r="D5" s="81">
        <f>D2</f>
        <v>45455</v>
      </c>
      <c r="E5" s="140" t="str">
        <f>$M$1</f>
        <v>samuelbattista</v>
      </c>
      <c r="F5" s="8">
        <f>IFERROR(AVERAGE(Data[[#This Row],[alappatjoe]:[currydestroyer27]]), "TBD")</f>
        <v>2.8</v>
      </c>
      <c r="G5" s="177">
        <f>IFERROR(_xlfn.STDEV.P(Data[[#This Row],[alappatjoe]:[currydestroyer27]]), "TBD")</f>
        <v>1.4696938456699069</v>
      </c>
      <c r="H5" s="135" t="s">
        <v>60</v>
      </c>
      <c r="I5" s="229" t="s">
        <v>61</v>
      </c>
      <c r="J5" s="9">
        <v>2</v>
      </c>
      <c r="K5" s="9">
        <v>2</v>
      </c>
      <c r="L5" s="9">
        <v>4</v>
      </c>
      <c r="M5" s="9">
        <v>1</v>
      </c>
      <c r="N5" s="9">
        <v>5</v>
      </c>
      <c r="O5" s="238"/>
      <c r="P5" s="234" t="s">
        <v>51</v>
      </c>
      <c r="Q5" s="18" t="s">
        <v>62</v>
      </c>
      <c r="R5" s="18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" s="18">
        <v>1</v>
      </c>
      <c r="T5" s="93" t="b">
        <f>Data[[#This Row],[Day Rank]]=Data[[#This Row],[W Rank]]</f>
        <v>0</v>
      </c>
      <c r="U5" s="95"/>
    </row>
    <row r="6" spans="1:21" ht="15.75" thickBot="1">
      <c r="A6" s="334"/>
      <c r="B6" s="334"/>
      <c r="C6" s="340"/>
      <c r="D6" s="82">
        <f>D2</f>
        <v>45455</v>
      </c>
      <c r="E6" s="182" t="str">
        <f>$N$1</f>
        <v>currydestroyer27</v>
      </c>
      <c r="F6" s="83">
        <f>IFERROR(AVERAGE(Data[[#This Row],[alappatjoe]:[currydestroyer27]]), "TBD")</f>
        <v>4</v>
      </c>
      <c r="G6" s="183">
        <f>IFERROR(_xlfn.STDEV.P(Data[[#This Row],[alappatjoe]:[currydestroyer27]]), "TBD")</f>
        <v>1.5491933384829668</v>
      </c>
      <c r="H6" s="184" t="s">
        <v>63</v>
      </c>
      <c r="I6" s="185" t="s">
        <v>64</v>
      </c>
      <c r="J6" s="22">
        <v>5</v>
      </c>
      <c r="K6" s="22">
        <v>4</v>
      </c>
      <c r="L6" s="22">
        <v>5</v>
      </c>
      <c r="M6" s="22">
        <v>5</v>
      </c>
      <c r="N6" s="22">
        <v>1</v>
      </c>
      <c r="O6" s="239"/>
      <c r="P6" s="235" t="s">
        <v>58</v>
      </c>
      <c r="Q6" s="11" t="s">
        <v>65</v>
      </c>
      <c r="R6" s="11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" s="11">
        <v>1</v>
      </c>
      <c r="T6" s="94" t="b">
        <f>Data[[#This Row],[Day Rank]]=Data[[#This Row],[W Rank]]</f>
        <v>0</v>
      </c>
      <c r="U6" s="96"/>
    </row>
    <row r="7" spans="1:21">
      <c r="A7" s="332">
        <v>45456</v>
      </c>
      <c r="B7" s="325"/>
      <c r="C7" s="338" t="str" cm="1">
        <f t="array" ref="C7">_xlfn.LET(_xlpm.matches, _xlfn._xlws.FILTER(Data[Poster], (Data[Date]=A7)*(Data[Winner]=TRUE)), IF(ROWS(_xlpm.matches)&gt;1, "TIE", _xlpm.matches))</f>
        <v>alappatjoe</v>
      </c>
      <c r="D7" s="80">
        <f>A7</f>
        <v>45456</v>
      </c>
      <c r="E7" s="214" t="str">
        <f>$J$1</f>
        <v>alappatjoe</v>
      </c>
      <c r="F7" s="84">
        <f>IFERROR(AVERAGE(Data[[#This Row],[alappatjoe]:[currydestroyer27]]), "TBD")</f>
        <v>2.2000000000000002</v>
      </c>
      <c r="G7" s="261">
        <f>IFERROR(_xlfn.STDEV.P(Data[[#This Row],[alappatjoe]:[currydestroyer27]]), "TBD")</f>
        <v>0.74833147735478833</v>
      </c>
      <c r="H7" s="263" t="s">
        <v>66</v>
      </c>
      <c r="I7" s="265" t="s">
        <v>50</v>
      </c>
      <c r="J7" s="10">
        <v>1</v>
      </c>
      <c r="K7" s="23">
        <v>2</v>
      </c>
      <c r="L7" s="23">
        <v>2</v>
      </c>
      <c r="M7" s="23">
        <v>3</v>
      </c>
      <c r="N7" s="23">
        <v>3</v>
      </c>
      <c r="O7" s="240"/>
      <c r="P7" s="233" t="s">
        <v>51</v>
      </c>
      <c r="Q7" s="92" t="s">
        <v>52</v>
      </c>
      <c r="R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" s="92">
        <v>1</v>
      </c>
      <c r="T7" s="92" t="b">
        <f>Data[[#This Row],[Day Rank]]=Data[[#This Row],[W Rank]]</f>
        <v>1</v>
      </c>
      <c r="U7" s="76"/>
    </row>
    <row r="8" spans="1:21">
      <c r="A8" s="333"/>
      <c r="B8" s="326"/>
      <c r="C8" s="339"/>
      <c r="D8" s="81">
        <f>D7</f>
        <v>45456</v>
      </c>
      <c r="E8" s="140" t="str">
        <f>$K$1</f>
        <v>danram</v>
      </c>
      <c r="F8" s="8">
        <f>IFERROR(AVERAGE(Data[[#This Row],[alappatjoe]:[currydestroyer27]]), "TBD")</f>
        <v>4.5999999999999996</v>
      </c>
      <c r="G8" s="177">
        <f>IFERROR(_xlfn.STDEV.P(Data[[#This Row],[alappatjoe]:[currydestroyer27]]), "TBD")</f>
        <v>0.8</v>
      </c>
      <c r="H8" s="135" t="s">
        <v>67</v>
      </c>
      <c r="I8" s="229" t="s">
        <v>68</v>
      </c>
      <c r="J8" s="12">
        <v>5</v>
      </c>
      <c r="K8" s="7">
        <v>3</v>
      </c>
      <c r="L8" s="7">
        <v>5</v>
      </c>
      <c r="M8" s="7">
        <v>5</v>
      </c>
      <c r="N8" s="7">
        <v>5</v>
      </c>
      <c r="O8" s="238"/>
      <c r="P8" s="234" t="s">
        <v>69</v>
      </c>
      <c r="Q8" s="93" t="s">
        <v>69</v>
      </c>
      <c r="R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" s="93">
        <v>1</v>
      </c>
      <c r="T8" s="93" t="b">
        <f>Data[[#This Row],[Day Rank]]=Data[[#This Row],[W Rank]]</f>
        <v>0</v>
      </c>
      <c r="U8" s="76"/>
    </row>
    <row r="9" spans="1:21">
      <c r="A9" s="333"/>
      <c r="B9" s="326"/>
      <c r="C9" s="339"/>
      <c r="D9" s="81">
        <f>D7</f>
        <v>45456</v>
      </c>
      <c r="E9" s="140" t="str">
        <f>$L$1</f>
        <v>loganworsdell</v>
      </c>
      <c r="F9" s="8">
        <f>IFERROR(AVERAGE(Data[[#This Row],[alappatjoe]:[currydestroyer27]]), "TBD")</f>
        <v>2.2000000000000002</v>
      </c>
      <c r="G9" s="177">
        <f>IFERROR(_xlfn.STDEV.P(Data[[#This Row],[alappatjoe]:[currydestroyer27]]), "TBD")</f>
        <v>1.4696938456699069</v>
      </c>
      <c r="H9" s="135" t="s">
        <v>70</v>
      </c>
      <c r="I9" s="229" t="s">
        <v>71</v>
      </c>
      <c r="J9" s="13">
        <v>4</v>
      </c>
      <c r="K9" s="8">
        <v>1</v>
      </c>
      <c r="L9" s="8">
        <v>1</v>
      </c>
      <c r="M9" s="8">
        <v>1</v>
      </c>
      <c r="N9" s="8">
        <v>4</v>
      </c>
      <c r="O9" s="238"/>
      <c r="P9" s="234" t="s">
        <v>72</v>
      </c>
      <c r="Q9" s="93" t="s">
        <v>73</v>
      </c>
      <c r="R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" s="93">
        <v>1</v>
      </c>
      <c r="T9" s="93" t="b">
        <f>Data[[#This Row],[Day Rank]]=Data[[#This Row],[W Rank]]</f>
        <v>0</v>
      </c>
      <c r="U9" s="76"/>
    </row>
    <row r="10" spans="1:21">
      <c r="A10" s="333"/>
      <c r="B10" s="326"/>
      <c r="C10" s="339"/>
      <c r="D10" s="81">
        <f>D7</f>
        <v>45456</v>
      </c>
      <c r="E10" s="140" t="str">
        <f>$M$1</f>
        <v>samuelbattista</v>
      </c>
      <c r="F10" s="8">
        <f>IFERROR(AVERAGE(Data[[#This Row],[alappatjoe]:[currydestroyer27]]), "TBD")</f>
        <v>2.6</v>
      </c>
      <c r="G10" s="177">
        <f>IFERROR(_xlfn.STDEV.P(Data[[#This Row],[alappatjoe]:[currydestroyer27]]), "TBD")</f>
        <v>1.019803902718557</v>
      </c>
      <c r="H10" s="135" t="s">
        <v>74</v>
      </c>
      <c r="I10" s="229" t="s">
        <v>75</v>
      </c>
      <c r="J10" s="14">
        <v>3</v>
      </c>
      <c r="K10" s="9">
        <v>4</v>
      </c>
      <c r="L10" s="9">
        <v>3</v>
      </c>
      <c r="M10" s="9">
        <v>2</v>
      </c>
      <c r="N10" s="9">
        <v>1</v>
      </c>
      <c r="O10" s="238"/>
      <c r="P10" s="234" t="s">
        <v>76</v>
      </c>
      <c r="Q10" s="93" t="s">
        <v>77</v>
      </c>
      <c r="R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" s="93">
        <v>1</v>
      </c>
      <c r="T10" s="93" t="b">
        <f>Data[[#This Row],[Day Rank]]=Data[[#This Row],[W Rank]]</f>
        <v>0</v>
      </c>
      <c r="U10" s="76"/>
    </row>
    <row r="11" spans="1:21" ht="15.75" thickBot="1">
      <c r="A11" s="333"/>
      <c r="B11" s="327"/>
      <c r="C11" s="340"/>
      <c r="D11" s="82">
        <f>D7</f>
        <v>45456</v>
      </c>
      <c r="E11" s="182" t="str">
        <f>$N$1</f>
        <v>currydestroyer27</v>
      </c>
      <c r="F11" s="83">
        <f>IFERROR(AVERAGE(Data[[#This Row],[alappatjoe]:[currydestroyer27]]), "TBD")</f>
        <v>3.4</v>
      </c>
      <c r="G11" s="183">
        <f>IFERROR(_xlfn.STDEV.P(Data[[#This Row],[alappatjoe]:[currydestroyer27]]), "TBD")</f>
        <v>1.2</v>
      </c>
      <c r="H11" s="184" t="s">
        <v>78</v>
      </c>
      <c r="I11" s="185" t="s">
        <v>79</v>
      </c>
      <c r="J11" s="18">
        <v>2</v>
      </c>
      <c r="K11" s="3">
        <v>5</v>
      </c>
      <c r="L11" s="3">
        <v>4</v>
      </c>
      <c r="M11" s="3">
        <v>4</v>
      </c>
      <c r="N11" s="3">
        <v>2</v>
      </c>
      <c r="O11" s="238"/>
      <c r="P11" s="235" t="s">
        <v>51</v>
      </c>
      <c r="Q11" s="94" t="s">
        <v>80</v>
      </c>
      <c r="R1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" s="94">
        <v>1</v>
      </c>
      <c r="T11" s="94" t="b">
        <f>Data[[#This Row],[Day Rank]]=Data[[#This Row],[W Rank]]</f>
        <v>0</v>
      </c>
      <c r="U11" s="79"/>
    </row>
    <row r="12" spans="1:21">
      <c r="A12" s="332">
        <v>45460</v>
      </c>
      <c r="B12" s="325"/>
      <c r="C12" s="338" t="str" cm="1">
        <f t="array" ref="C12">_xlfn.LET(_xlpm.matches, _xlfn._xlws.FILTER(Data[Poster], (Data[Date]=A12)*(Data[Winner]=TRUE)), IF(ROWS(_xlpm.matches)&gt;1, "TIE", _xlpm.matches))</f>
        <v>danram</v>
      </c>
      <c r="D12" s="80">
        <f>A12</f>
        <v>45460</v>
      </c>
      <c r="E12" s="214" t="str">
        <f>$J$1</f>
        <v>alappatjoe</v>
      </c>
      <c r="F12" s="84">
        <f>IFERROR(AVERAGE(Data[[#This Row],[alappatjoe]:[currydestroyer27]]), "TBD")</f>
        <v>4</v>
      </c>
      <c r="G12" s="261">
        <f>IFERROR(_xlfn.STDEV.P(Data[[#This Row],[alappatjoe]:[currydestroyer27]]), "TBD")</f>
        <v>1.2649110640673518</v>
      </c>
      <c r="H12" s="263" t="s">
        <v>81</v>
      </c>
      <c r="I12" s="265" t="s">
        <v>82</v>
      </c>
      <c r="J12" s="10">
        <v>2</v>
      </c>
      <c r="K12" s="23">
        <v>5</v>
      </c>
      <c r="L12" s="23">
        <v>5</v>
      </c>
      <c r="M12" s="23">
        <v>5</v>
      </c>
      <c r="N12" s="23">
        <v>3</v>
      </c>
      <c r="O12" s="240"/>
      <c r="P12" s="233" t="s">
        <v>51</v>
      </c>
      <c r="Q12" s="92" t="s">
        <v>51</v>
      </c>
      <c r="R1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" s="92">
        <v>1</v>
      </c>
      <c r="T12" s="92" t="b">
        <f>Data[[#This Row],[Day Rank]]=Data[[#This Row],[W Rank]]</f>
        <v>0</v>
      </c>
      <c r="U12" s="76"/>
    </row>
    <row r="13" spans="1:21">
      <c r="A13" s="333"/>
      <c r="B13" s="326"/>
      <c r="C13" s="339"/>
      <c r="D13" s="81">
        <f>D12</f>
        <v>45460</v>
      </c>
      <c r="E13" s="140" t="str">
        <f>$K$1</f>
        <v>danram</v>
      </c>
      <c r="F13" s="8">
        <f>IFERROR(AVERAGE(Data[[#This Row],[alappatjoe]:[currydestroyer27]]), "TBD")</f>
        <v>2.2000000000000002</v>
      </c>
      <c r="G13" s="177">
        <f>IFERROR(_xlfn.STDEV.P(Data[[#This Row],[alappatjoe]:[currydestroyer27]]), "TBD")</f>
        <v>0.9797958971132712</v>
      </c>
      <c r="H13" s="135" t="s">
        <v>83</v>
      </c>
      <c r="I13" s="229" t="s">
        <v>84</v>
      </c>
      <c r="J13" s="12">
        <v>1</v>
      </c>
      <c r="K13" s="7">
        <v>2</v>
      </c>
      <c r="L13" s="7">
        <v>4</v>
      </c>
      <c r="M13" s="7">
        <v>2</v>
      </c>
      <c r="N13" s="7">
        <v>2</v>
      </c>
      <c r="O13" s="238"/>
      <c r="P13" s="234" t="s">
        <v>51</v>
      </c>
      <c r="Q13" s="93" t="s">
        <v>80</v>
      </c>
      <c r="R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" s="93">
        <v>1</v>
      </c>
      <c r="T13" s="93" t="b">
        <f>Data[[#This Row],[Day Rank]]=Data[[#This Row],[W Rank]]</f>
        <v>1</v>
      </c>
      <c r="U13" s="76"/>
    </row>
    <row r="14" spans="1:21">
      <c r="A14" s="333"/>
      <c r="B14" s="326"/>
      <c r="C14" s="339"/>
      <c r="D14" s="81">
        <f>D12</f>
        <v>45460</v>
      </c>
      <c r="E14" s="140" t="str">
        <f>$L$1</f>
        <v>loganworsdell</v>
      </c>
      <c r="F14" s="8">
        <f>IFERROR(AVERAGE(Data[[#This Row],[alappatjoe]:[currydestroyer27]]), "TBD")</f>
        <v>3.4</v>
      </c>
      <c r="G14" s="177">
        <f>IFERROR(_xlfn.STDEV.P(Data[[#This Row],[alappatjoe]:[currydestroyer27]]), "TBD")</f>
        <v>1.019803902718557</v>
      </c>
      <c r="H14" s="135" t="s">
        <v>85</v>
      </c>
      <c r="I14" s="229" t="s">
        <v>86</v>
      </c>
      <c r="J14" s="13">
        <v>3</v>
      </c>
      <c r="K14" s="8">
        <v>4</v>
      </c>
      <c r="L14" s="8">
        <v>2</v>
      </c>
      <c r="M14" s="8">
        <v>3</v>
      </c>
      <c r="N14" s="8">
        <v>5</v>
      </c>
      <c r="O14" s="238"/>
      <c r="P14" s="234" t="s">
        <v>87</v>
      </c>
      <c r="Q14" s="93" t="s">
        <v>88</v>
      </c>
      <c r="R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" s="93">
        <v>1</v>
      </c>
      <c r="T14" s="93" t="b">
        <f>Data[[#This Row],[Day Rank]]=Data[[#This Row],[W Rank]]</f>
        <v>0</v>
      </c>
      <c r="U14" s="76"/>
    </row>
    <row r="15" spans="1:21" ht="15.75" thickBot="1">
      <c r="A15" s="333"/>
      <c r="B15" s="326"/>
      <c r="C15" s="339"/>
      <c r="D15" s="81">
        <f>D12</f>
        <v>45460</v>
      </c>
      <c r="E15" s="140" t="str">
        <f>$M$1</f>
        <v>samuelbattista</v>
      </c>
      <c r="F15" s="8">
        <f>IFERROR(AVERAGE(Data[[#This Row],[alappatjoe]:[currydestroyer27]]), "TBD")</f>
        <v>2.6</v>
      </c>
      <c r="G15" s="177">
        <f>IFERROR(_xlfn.STDEV.P(Data[[#This Row],[alappatjoe]:[currydestroyer27]]), "TBD")</f>
        <v>1.3564659966250536</v>
      </c>
      <c r="H15" s="135" t="s">
        <v>89</v>
      </c>
      <c r="I15" s="229" t="s">
        <v>90</v>
      </c>
      <c r="J15" s="14">
        <v>4</v>
      </c>
      <c r="K15" s="9">
        <v>1</v>
      </c>
      <c r="L15" s="9">
        <v>3</v>
      </c>
      <c r="M15" s="9">
        <v>1</v>
      </c>
      <c r="N15" s="9">
        <v>4</v>
      </c>
      <c r="O15" s="238"/>
      <c r="P15" s="234" t="s">
        <v>51</v>
      </c>
      <c r="Q15" s="93" t="s">
        <v>91</v>
      </c>
      <c r="R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" s="93">
        <v>1</v>
      </c>
      <c r="T15" s="93" t="b">
        <f>Data[[#This Row],[Day Rank]]=Data[[#This Row],[W Rank]]</f>
        <v>0</v>
      </c>
      <c r="U15" s="76"/>
    </row>
    <row r="16" spans="1:21" ht="15.75" thickBot="1">
      <c r="A16" s="334"/>
      <c r="B16" s="327"/>
      <c r="C16" s="340"/>
      <c r="D16" s="82">
        <f>D12</f>
        <v>45460</v>
      </c>
      <c r="E16" s="182" t="str">
        <f>$N$1</f>
        <v>currydestroyer27</v>
      </c>
      <c r="F16" s="83">
        <f>IFERROR(AVERAGE(Data[[#This Row],[alappatjoe]:[currydestroyer27]]), "TBD")</f>
        <v>2.8</v>
      </c>
      <c r="G16" s="183">
        <f>IFERROR(_xlfn.STDEV.P(Data[[#This Row],[alappatjoe]:[currydestroyer27]]), "TBD")</f>
        <v>1.6</v>
      </c>
      <c r="H16" s="184" t="s">
        <v>92</v>
      </c>
      <c r="I16" s="185" t="s">
        <v>93</v>
      </c>
      <c r="J16" s="18">
        <v>5</v>
      </c>
      <c r="K16" s="3">
        <v>3</v>
      </c>
      <c r="L16" s="3">
        <v>1</v>
      </c>
      <c r="M16" s="3">
        <v>4</v>
      </c>
      <c r="N16" s="3">
        <v>1</v>
      </c>
      <c r="O16" s="238"/>
      <c r="P16" s="235" t="s">
        <v>69</v>
      </c>
      <c r="Q16" s="94" t="s">
        <v>69</v>
      </c>
      <c r="R1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" s="94">
        <v>1</v>
      </c>
      <c r="T16" s="94" t="b">
        <f>Data[[#This Row],[Day Rank]]=Data[[#This Row],[W Rank]]</f>
        <v>0</v>
      </c>
      <c r="U16" s="79"/>
    </row>
    <row r="17" spans="1:21" ht="15.75" thickBot="1">
      <c r="A17" s="333">
        <v>45461</v>
      </c>
      <c r="B17" s="325"/>
      <c r="C17" s="328" t="str" cm="1">
        <f t="array" ref="C17">_xlfn.LET(_xlpm.matches, _xlfn._xlws.FILTER(Data[Poster], (Data[Date]=A17)*(Data[Winner]=TRUE)), IF(ROWS(_xlpm.matches)&gt;1, "TIE", _xlpm.matches))</f>
        <v>loganworsdell</v>
      </c>
      <c r="D17" s="80">
        <f>A17</f>
        <v>45461</v>
      </c>
      <c r="E17" s="214" t="str">
        <f>$J$1</f>
        <v>alappatjoe</v>
      </c>
      <c r="F17" s="84">
        <f>IFERROR(AVERAGE(Data[[#This Row],[alappatjoe]:[currydestroyer27]]), "TBD")</f>
        <v>3.4</v>
      </c>
      <c r="G17" s="261">
        <f>IFERROR(_xlfn.STDEV.P(Data[[#This Row],[alappatjoe]:[currydestroyer27]]), "TBD")</f>
        <v>0.8</v>
      </c>
      <c r="H17" s="263" t="s">
        <v>94</v>
      </c>
      <c r="I17" s="265" t="s">
        <v>95</v>
      </c>
      <c r="J17" s="10">
        <v>2</v>
      </c>
      <c r="K17" s="23">
        <v>4</v>
      </c>
      <c r="L17" s="23">
        <v>4</v>
      </c>
      <c r="M17" s="23">
        <v>4</v>
      </c>
      <c r="N17" s="23">
        <v>3</v>
      </c>
      <c r="O17" s="240"/>
      <c r="P17" s="233" t="s">
        <v>76</v>
      </c>
      <c r="Q17" s="92" t="s">
        <v>96</v>
      </c>
      <c r="R1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" s="92">
        <v>1</v>
      </c>
      <c r="T17" s="92" t="b">
        <f>Data[[#This Row],[Day Rank]]=Data[[#This Row],[W Rank]]</f>
        <v>0</v>
      </c>
      <c r="U17" s="76"/>
    </row>
    <row r="18" spans="1:21">
      <c r="A18" s="333"/>
      <c r="B18" s="326"/>
      <c r="C18" s="329"/>
      <c r="D18" s="81">
        <f>D17</f>
        <v>45461</v>
      </c>
      <c r="E18" s="140" t="str">
        <f>$K$1</f>
        <v>danram</v>
      </c>
      <c r="F18" s="8">
        <f>IFERROR(AVERAGE(Data[[#This Row],[alappatjoe]:[currydestroyer27]]), "TBD")</f>
        <v>3.2</v>
      </c>
      <c r="G18" s="177">
        <f>IFERROR(_xlfn.STDEV.P(Data[[#This Row],[alappatjoe]:[currydestroyer27]]), "TBD")</f>
        <v>0.9797958971132712</v>
      </c>
      <c r="H18" s="135" t="s">
        <v>97</v>
      </c>
      <c r="I18" s="229" t="s">
        <v>98</v>
      </c>
      <c r="J18" s="12">
        <v>5</v>
      </c>
      <c r="K18" s="7">
        <v>3</v>
      </c>
      <c r="L18" s="7">
        <v>3</v>
      </c>
      <c r="M18" s="7">
        <v>3</v>
      </c>
      <c r="N18" s="7">
        <v>2</v>
      </c>
      <c r="O18" s="238"/>
      <c r="P18" s="234" t="s">
        <v>76</v>
      </c>
      <c r="Q18" s="93" t="s">
        <v>99</v>
      </c>
      <c r="R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" s="93">
        <v>1</v>
      </c>
      <c r="T18" s="93" t="b">
        <f>Data[[#This Row],[Day Rank]]=Data[[#This Row],[W Rank]]</f>
        <v>0</v>
      </c>
      <c r="U18" s="76"/>
    </row>
    <row r="19" spans="1:21">
      <c r="A19" s="333"/>
      <c r="B19" s="326"/>
      <c r="C19" s="329"/>
      <c r="D19" s="81">
        <f>D17</f>
        <v>45461</v>
      </c>
      <c r="E19" s="140" t="str">
        <f>$L$1</f>
        <v>loganworsdell</v>
      </c>
      <c r="F19" s="8">
        <f>IFERROR(AVERAGE(Data[[#This Row],[alappatjoe]:[currydestroyer27]]), "TBD")</f>
        <v>1.8</v>
      </c>
      <c r="G19" s="177">
        <f>IFERROR(_xlfn.STDEV.P(Data[[#This Row],[alappatjoe]:[currydestroyer27]]), "TBD")</f>
        <v>0.74833147735478833</v>
      </c>
      <c r="H19" s="135" t="s">
        <v>100</v>
      </c>
      <c r="I19" s="229" t="s">
        <v>101</v>
      </c>
      <c r="J19" s="13">
        <v>3</v>
      </c>
      <c r="K19" s="8">
        <v>1</v>
      </c>
      <c r="L19" s="8">
        <v>2</v>
      </c>
      <c r="M19" s="8">
        <v>2</v>
      </c>
      <c r="N19" s="8">
        <v>1</v>
      </c>
      <c r="O19" s="238"/>
      <c r="P19" s="234" t="s">
        <v>87</v>
      </c>
      <c r="Q19" s="93" t="s">
        <v>102</v>
      </c>
      <c r="R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" s="93">
        <v>1</v>
      </c>
      <c r="T19" s="93" t="b">
        <f>Data[[#This Row],[Day Rank]]=Data[[#This Row],[W Rank]]</f>
        <v>1</v>
      </c>
      <c r="U19" s="76"/>
    </row>
    <row r="20" spans="1:21">
      <c r="A20" s="333"/>
      <c r="B20" s="326"/>
      <c r="C20" s="329"/>
      <c r="D20" s="81">
        <f>D17</f>
        <v>45461</v>
      </c>
      <c r="E20" s="140" t="str">
        <f>$M$1</f>
        <v>samuelbattista</v>
      </c>
      <c r="F20" s="8">
        <f>IFERROR(AVERAGE(Data[[#This Row],[alappatjoe]:[currydestroyer27]]), "TBD")</f>
        <v>2</v>
      </c>
      <c r="G20" s="177">
        <f>IFERROR(_xlfn.STDEV.P(Data[[#This Row],[alappatjoe]:[currydestroyer27]]), "TBD")</f>
        <v>1.5491933384829668</v>
      </c>
      <c r="H20" s="135" t="s">
        <v>103</v>
      </c>
      <c r="I20" s="229" t="s">
        <v>104</v>
      </c>
      <c r="J20" s="14">
        <v>1</v>
      </c>
      <c r="K20" s="9">
        <v>2</v>
      </c>
      <c r="L20" s="9">
        <v>1</v>
      </c>
      <c r="M20" s="9">
        <v>1</v>
      </c>
      <c r="N20" s="9">
        <v>5</v>
      </c>
      <c r="O20" s="238"/>
      <c r="P20" s="234" t="s">
        <v>87</v>
      </c>
      <c r="Q20" s="93" t="s">
        <v>105</v>
      </c>
      <c r="R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" s="93">
        <v>1</v>
      </c>
      <c r="T20" s="93" t="b">
        <f>Data[[#This Row],[Day Rank]]=Data[[#This Row],[W Rank]]</f>
        <v>0</v>
      </c>
      <c r="U20" s="76"/>
    </row>
    <row r="21" spans="1:21" ht="15.75" thickBot="1">
      <c r="A21" s="334"/>
      <c r="B21" s="327"/>
      <c r="C21" s="330"/>
      <c r="D21" s="82">
        <f>D17</f>
        <v>45461</v>
      </c>
      <c r="E21" s="182" t="str">
        <f>$N$1</f>
        <v>currydestroyer27</v>
      </c>
      <c r="F21" s="83">
        <f>IFERROR(AVERAGE(Data[[#This Row],[alappatjoe]:[currydestroyer27]]), "TBD")</f>
        <v>4.5999999999999996</v>
      </c>
      <c r="G21" s="183">
        <f>IFERROR(_xlfn.STDEV.P(Data[[#This Row],[alappatjoe]:[currydestroyer27]]), "TBD")</f>
        <v>0.4898979485566356</v>
      </c>
      <c r="H21" s="184" t="s">
        <v>106</v>
      </c>
      <c r="I21" s="185" t="s">
        <v>107</v>
      </c>
      <c r="J21" s="11">
        <v>4</v>
      </c>
      <c r="K21" s="22">
        <v>5</v>
      </c>
      <c r="L21" s="22">
        <v>5</v>
      </c>
      <c r="M21" s="22">
        <v>5</v>
      </c>
      <c r="N21" s="22">
        <v>4</v>
      </c>
      <c r="O21" s="239"/>
      <c r="P21" s="235" t="s">
        <v>69</v>
      </c>
      <c r="Q21" s="94" t="s">
        <v>69</v>
      </c>
      <c r="R2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" s="94">
        <v>1</v>
      </c>
      <c r="T21" s="94" t="b">
        <f>Data[[#This Row],[Day Rank]]=Data[[#This Row],[W Rank]]</f>
        <v>0</v>
      </c>
      <c r="U21" s="79"/>
    </row>
    <row r="22" spans="1:21" ht="15.75" thickBot="1">
      <c r="A22" s="333">
        <v>45462</v>
      </c>
      <c r="B22" s="325"/>
      <c r="C22" s="338" t="str" cm="1">
        <f t="array" ref="C22">_xlfn.LET(_xlpm.matches, _xlfn._xlws.FILTER(Data[Poster], (Data[Date]=A22)*(Data[Winner]=TRUE)), IF(ROWS(_xlpm.matches)&gt;1, "TIE", _xlpm.matches))</f>
        <v>currydestroyer27</v>
      </c>
      <c r="D22" s="80">
        <f>A22</f>
        <v>45462</v>
      </c>
      <c r="E22" s="214" t="str">
        <f>$J$1</f>
        <v>alappatjoe</v>
      </c>
      <c r="F22" s="84">
        <f>IFERROR(AVERAGE(Data[[#This Row],[alappatjoe]:[currydestroyer27]]), "TBD")</f>
        <v>3</v>
      </c>
      <c r="G22" s="261">
        <f>IFERROR(_xlfn.STDEV.P(Data[[#This Row],[alappatjoe]:[currydestroyer27]]), "TBD")</f>
        <v>1.4142135623730951</v>
      </c>
      <c r="H22" s="263" t="s">
        <v>108</v>
      </c>
      <c r="I22" s="265" t="s">
        <v>109</v>
      </c>
      <c r="J22" s="3">
        <v>1</v>
      </c>
      <c r="K22" s="3">
        <v>5</v>
      </c>
      <c r="L22" s="3">
        <v>2</v>
      </c>
      <c r="M22" s="3">
        <v>4</v>
      </c>
      <c r="N22" s="3">
        <v>3</v>
      </c>
      <c r="O22" s="238"/>
      <c r="P22" s="233" t="s">
        <v>76</v>
      </c>
      <c r="Q22" s="92" t="s">
        <v>99</v>
      </c>
      <c r="R2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2" s="92">
        <v>1</v>
      </c>
      <c r="T22" s="92" t="b">
        <f>Data[[#This Row],[Day Rank]]=Data[[#This Row],[W Rank]]</f>
        <v>0</v>
      </c>
      <c r="U22" s="76"/>
    </row>
    <row r="23" spans="1:21" ht="15.75" thickBot="1">
      <c r="A23" s="333"/>
      <c r="B23" s="326"/>
      <c r="C23" s="339"/>
      <c r="D23" s="81">
        <f>D22</f>
        <v>45462</v>
      </c>
      <c r="E23" s="140" t="str">
        <f>$K$1</f>
        <v>danram</v>
      </c>
      <c r="F23" s="8">
        <f>IFERROR(AVERAGE(Data[[#This Row],[alappatjoe]:[currydestroyer27]]), "TBD")</f>
        <v>4.2</v>
      </c>
      <c r="G23" s="177">
        <f>IFERROR(_xlfn.STDEV.P(Data[[#This Row],[alappatjoe]:[currydestroyer27]]), "TBD")</f>
        <v>0.74833147735478833</v>
      </c>
      <c r="H23" s="135" t="s">
        <v>110</v>
      </c>
      <c r="I23" s="229" t="s">
        <v>111</v>
      </c>
      <c r="J23" s="7">
        <v>4</v>
      </c>
      <c r="K23" s="7">
        <v>4</v>
      </c>
      <c r="L23" s="7">
        <v>5</v>
      </c>
      <c r="M23" s="7">
        <v>3</v>
      </c>
      <c r="N23" s="7">
        <v>5</v>
      </c>
      <c r="O23" s="238"/>
      <c r="P23" s="234" t="s">
        <v>76</v>
      </c>
      <c r="Q23" s="93" t="s">
        <v>112</v>
      </c>
      <c r="R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3" s="93">
        <v>1</v>
      </c>
      <c r="T23" s="93" t="b">
        <f>Data[[#This Row],[Day Rank]]=Data[[#This Row],[W Rank]]</f>
        <v>0</v>
      </c>
      <c r="U23" s="76"/>
    </row>
    <row r="24" spans="1:21" ht="15.75" thickBot="1">
      <c r="A24" s="333"/>
      <c r="B24" s="326"/>
      <c r="C24" s="339"/>
      <c r="D24" s="81">
        <f>D22</f>
        <v>45462</v>
      </c>
      <c r="E24" s="140" t="str">
        <f>$L$1</f>
        <v>loganworsdell</v>
      </c>
      <c r="F24" s="8">
        <f>IFERROR(AVERAGE(Data[[#This Row],[alappatjoe]:[currydestroyer27]]), "TBD")</f>
        <v>4</v>
      </c>
      <c r="G24" s="177">
        <f>IFERROR(_xlfn.STDEV.P(Data[[#This Row],[alappatjoe]:[currydestroyer27]]), "TBD")</f>
        <v>0.89442719099991586</v>
      </c>
      <c r="H24" s="135" t="s">
        <v>113</v>
      </c>
      <c r="I24" s="229" t="s">
        <v>114</v>
      </c>
      <c r="J24" s="8">
        <v>5</v>
      </c>
      <c r="K24" s="8">
        <v>3</v>
      </c>
      <c r="L24" s="8">
        <v>3</v>
      </c>
      <c r="M24" s="8">
        <v>5</v>
      </c>
      <c r="N24" s="8">
        <v>4</v>
      </c>
      <c r="O24" s="238"/>
      <c r="P24" s="234" t="s">
        <v>58</v>
      </c>
      <c r="Q24" s="93" t="s">
        <v>115</v>
      </c>
      <c r="R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4" s="93">
        <v>1</v>
      </c>
      <c r="T24" s="93" t="b">
        <f>Data[[#This Row],[Day Rank]]=Data[[#This Row],[W Rank]]</f>
        <v>0</v>
      </c>
      <c r="U24" s="76"/>
    </row>
    <row r="25" spans="1:21">
      <c r="A25" s="333"/>
      <c r="B25" s="326"/>
      <c r="C25" s="339"/>
      <c r="D25" s="81">
        <f>D22</f>
        <v>45462</v>
      </c>
      <c r="E25" s="140" t="str">
        <f>$M$1</f>
        <v>samuelbattista</v>
      </c>
      <c r="F25" s="8">
        <f>IFERROR(AVERAGE(Data[[#This Row],[alappatjoe]:[currydestroyer27]]), "TBD")</f>
        <v>2.4</v>
      </c>
      <c r="G25" s="177">
        <f>IFERROR(_xlfn.STDEV.P(Data[[#This Row],[alappatjoe]:[currydestroyer27]]), "TBD")</f>
        <v>1.019803902718557</v>
      </c>
      <c r="H25" s="135" t="s">
        <v>116</v>
      </c>
      <c r="I25" s="229" t="s">
        <v>117</v>
      </c>
      <c r="J25" s="9">
        <v>3</v>
      </c>
      <c r="K25" s="9">
        <v>1</v>
      </c>
      <c r="L25" s="9">
        <v>4</v>
      </c>
      <c r="M25" s="9">
        <v>2</v>
      </c>
      <c r="N25" s="9">
        <v>2</v>
      </c>
      <c r="O25" s="238"/>
      <c r="P25" s="234" t="s">
        <v>51</v>
      </c>
      <c r="Q25" s="93" t="s">
        <v>62</v>
      </c>
      <c r="R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5" s="93">
        <v>1</v>
      </c>
      <c r="T25" s="93" t="b">
        <f>Data[[#This Row],[Day Rank]]=Data[[#This Row],[W Rank]]</f>
        <v>0</v>
      </c>
      <c r="U25" s="76"/>
    </row>
    <row r="26" spans="1:21" ht="15.75" thickBot="1">
      <c r="A26" s="333"/>
      <c r="B26" s="327"/>
      <c r="C26" s="340"/>
      <c r="D26" s="82">
        <f>D22</f>
        <v>45462</v>
      </c>
      <c r="E26" s="182" t="str">
        <f>$N$1</f>
        <v>currydestroyer27</v>
      </c>
      <c r="F26" s="83">
        <f>IFERROR(AVERAGE(Data[[#This Row],[alappatjoe]:[currydestroyer27]]), "TBD")</f>
        <v>1.4</v>
      </c>
      <c r="G26" s="183">
        <f>IFERROR(_xlfn.STDEV.P(Data[[#This Row],[alappatjoe]:[currydestroyer27]]), "TBD")</f>
        <v>0.4898979485566356</v>
      </c>
      <c r="H26" s="184" t="s">
        <v>118</v>
      </c>
      <c r="I26" s="185" t="s">
        <v>119</v>
      </c>
      <c r="J26" s="3">
        <v>2</v>
      </c>
      <c r="K26" s="3">
        <v>2</v>
      </c>
      <c r="L26" s="3">
        <v>1</v>
      </c>
      <c r="M26" s="3">
        <v>1</v>
      </c>
      <c r="N26" s="3">
        <v>1</v>
      </c>
      <c r="O26" s="238"/>
      <c r="P26" s="235" t="s">
        <v>120</v>
      </c>
      <c r="Q26" s="94" t="s">
        <v>120</v>
      </c>
      <c r="R2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6" s="94">
        <v>1</v>
      </c>
      <c r="T26" s="94" t="b">
        <f>Data[[#This Row],[Day Rank]]=Data[[#This Row],[W Rank]]</f>
        <v>1</v>
      </c>
      <c r="U26" s="79"/>
    </row>
    <row r="27" spans="1:21">
      <c r="A27" s="332">
        <v>45463</v>
      </c>
      <c r="B27" s="325"/>
      <c r="C27" s="328" t="str" cm="1">
        <f t="array" ref="C27">_xlfn.LET(_xlpm.matches, _xlfn._xlws.FILTER(Data[Poster], (Data[Date]=A27)*(Data[Winner]=TRUE)), IF(ROWS(_xlpm.matches)&gt;1, "TIE", _xlpm.matches))</f>
        <v>alappatjoe</v>
      </c>
      <c r="D27" s="80">
        <f>A27</f>
        <v>45463</v>
      </c>
      <c r="E27" s="214" t="str">
        <f>$J$1</f>
        <v>alappatjoe</v>
      </c>
      <c r="F27" s="84">
        <f>IFERROR(AVERAGE(Data[[#This Row],[alappatjoe]:[currydestroyer27]]), "TBD")</f>
        <v>1.8</v>
      </c>
      <c r="G27" s="261">
        <f>IFERROR(_xlfn.STDEV.P(Data[[#This Row],[alappatjoe]:[currydestroyer27]]), "TBD")</f>
        <v>0.4</v>
      </c>
      <c r="H27" s="263" t="s">
        <v>121</v>
      </c>
      <c r="I27" s="265" t="s">
        <v>122</v>
      </c>
      <c r="J27" s="10">
        <v>1</v>
      </c>
      <c r="K27" s="23">
        <v>2</v>
      </c>
      <c r="L27" s="23">
        <v>2</v>
      </c>
      <c r="M27" s="23">
        <v>2</v>
      </c>
      <c r="N27" s="23">
        <v>2</v>
      </c>
      <c r="O27" s="240"/>
      <c r="P27" s="233" t="s">
        <v>51</v>
      </c>
      <c r="Q27" s="92" t="s">
        <v>51</v>
      </c>
      <c r="R2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7" s="92">
        <v>1</v>
      </c>
      <c r="T27" s="92" t="b">
        <f>Data[[#This Row],[Day Rank]]=Data[[#This Row],[W Rank]]</f>
        <v>1</v>
      </c>
      <c r="U27" s="76"/>
    </row>
    <row r="28" spans="1:21">
      <c r="A28" s="333"/>
      <c r="B28" s="326"/>
      <c r="C28" s="329"/>
      <c r="D28" s="81">
        <f>D27</f>
        <v>45463</v>
      </c>
      <c r="E28" s="140" t="str">
        <f>$K$1</f>
        <v>danram</v>
      </c>
      <c r="F28" s="8">
        <f>IFERROR(AVERAGE(Data[[#This Row],[alappatjoe]:[currydestroyer27]]), "TBD")</f>
        <v>3.4</v>
      </c>
      <c r="G28" s="177">
        <f>IFERROR(_xlfn.STDEV.P(Data[[#This Row],[alappatjoe]:[currydestroyer27]]), "TBD")</f>
        <v>1.3564659966250536</v>
      </c>
      <c r="H28" s="135" t="s">
        <v>123</v>
      </c>
      <c r="I28" s="229" t="s">
        <v>124</v>
      </c>
      <c r="J28" s="12">
        <v>4</v>
      </c>
      <c r="K28" s="7">
        <v>3</v>
      </c>
      <c r="L28" s="7">
        <v>5</v>
      </c>
      <c r="M28" s="7">
        <v>4</v>
      </c>
      <c r="N28" s="7">
        <v>1</v>
      </c>
      <c r="O28" s="238"/>
      <c r="P28" s="234" t="s">
        <v>120</v>
      </c>
      <c r="Q28" s="93" t="s">
        <v>125</v>
      </c>
      <c r="R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8" s="93">
        <v>1</v>
      </c>
      <c r="T28" s="93" t="b">
        <f>Data[[#This Row],[Day Rank]]=Data[[#This Row],[W Rank]]</f>
        <v>0</v>
      </c>
      <c r="U28" s="76"/>
    </row>
    <row r="29" spans="1:21" ht="15.75" thickBot="1">
      <c r="A29" s="333"/>
      <c r="B29" s="326"/>
      <c r="C29" s="329"/>
      <c r="D29" s="81">
        <f>D27</f>
        <v>45463</v>
      </c>
      <c r="E29" s="140" t="str">
        <f>$L$1</f>
        <v>loganworsdell</v>
      </c>
      <c r="F29" s="8">
        <f>IFERROR(AVERAGE(Data[[#This Row],[alappatjoe]:[currydestroyer27]]), "TBD")</f>
        <v>3.8</v>
      </c>
      <c r="G29" s="177">
        <f>IFERROR(_xlfn.STDEV.P(Data[[#This Row],[alappatjoe]:[currydestroyer27]]), "TBD")</f>
        <v>1.1661903789690602</v>
      </c>
      <c r="H29" s="135" t="s">
        <v>126</v>
      </c>
      <c r="I29" s="229" t="s">
        <v>127</v>
      </c>
      <c r="J29" s="12">
        <v>2</v>
      </c>
      <c r="K29" s="8">
        <v>5</v>
      </c>
      <c r="L29" s="8">
        <v>4</v>
      </c>
      <c r="M29" s="8">
        <v>3</v>
      </c>
      <c r="N29" s="8">
        <v>5</v>
      </c>
      <c r="O29" s="238"/>
      <c r="P29" s="234" t="s">
        <v>120</v>
      </c>
      <c r="Q29" s="93" t="s">
        <v>128</v>
      </c>
      <c r="R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9" s="93">
        <v>1</v>
      </c>
      <c r="T29" s="93" t="b">
        <f>Data[[#This Row],[Day Rank]]=Data[[#This Row],[W Rank]]</f>
        <v>0</v>
      </c>
      <c r="U29" s="76"/>
    </row>
    <row r="30" spans="1:21" ht="15.75" thickBot="1">
      <c r="A30" s="333"/>
      <c r="B30" s="326"/>
      <c r="C30" s="329"/>
      <c r="D30" s="81">
        <f>D27</f>
        <v>45463</v>
      </c>
      <c r="E30" s="140" t="str">
        <f>$M$1</f>
        <v>samuelbattista</v>
      </c>
      <c r="F30" s="8">
        <f>IFERROR(AVERAGE(Data[[#This Row],[alappatjoe]:[currydestroyer27]]), "TBD")</f>
        <v>2.4</v>
      </c>
      <c r="G30" s="177">
        <f>IFERROR(_xlfn.STDEV.P(Data[[#This Row],[alappatjoe]:[currydestroyer27]]), "TBD")</f>
        <v>1.7435595774162693</v>
      </c>
      <c r="H30" s="135" t="s">
        <v>129</v>
      </c>
      <c r="I30" s="229" t="s">
        <v>130</v>
      </c>
      <c r="J30" s="13">
        <v>5</v>
      </c>
      <c r="K30" s="9">
        <v>1</v>
      </c>
      <c r="L30" s="9">
        <v>1</v>
      </c>
      <c r="M30" s="9">
        <v>1</v>
      </c>
      <c r="N30" s="9">
        <v>4</v>
      </c>
      <c r="O30" s="238"/>
      <c r="P30" s="234" t="s">
        <v>58</v>
      </c>
      <c r="Q30" s="93" t="s">
        <v>65</v>
      </c>
      <c r="R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0" s="93">
        <v>1</v>
      </c>
      <c r="T30" s="93" t="b">
        <f>Data[[#This Row],[Day Rank]]=Data[[#This Row],[W Rank]]</f>
        <v>0</v>
      </c>
      <c r="U30" s="76"/>
    </row>
    <row r="31" spans="1:21" ht="15.75" thickBot="1">
      <c r="A31" s="334"/>
      <c r="B31" s="327"/>
      <c r="C31" s="330"/>
      <c r="D31" s="82">
        <f>D27</f>
        <v>45463</v>
      </c>
      <c r="E31" s="182" t="str">
        <f>$N$1</f>
        <v>currydestroyer27</v>
      </c>
      <c r="F31" s="83">
        <f>IFERROR(AVERAGE(Data[[#This Row],[alappatjoe]:[currydestroyer27]]), "TBD")</f>
        <v>3.6</v>
      </c>
      <c r="G31" s="183">
        <f>IFERROR(_xlfn.STDEV.P(Data[[#This Row],[alappatjoe]:[currydestroyer27]]), "TBD")</f>
        <v>0.8</v>
      </c>
      <c r="H31" s="184" t="s">
        <v>131</v>
      </c>
      <c r="I31" s="185" t="s">
        <v>132</v>
      </c>
      <c r="J31" s="11">
        <v>3</v>
      </c>
      <c r="K31" s="22">
        <v>4</v>
      </c>
      <c r="L31" s="22">
        <v>3</v>
      </c>
      <c r="M31" s="22">
        <v>5</v>
      </c>
      <c r="N31" s="22">
        <v>3</v>
      </c>
      <c r="O31" s="239"/>
      <c r="P31" s="235" t="s">
        <v>51</v>
      </c>
      <c r="Q31" s="94" t="s">
        <v>51</v>
      </c>
      <c r="R3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1" s="94">
        <v>1</v>
      </c>
      <c r="T31" s="94" t="b">
        <f>Data[[#This Row],[Day Rank]]=Data[[#This Row],[W Rank]]</f>
        <v>0</v>
      </c>
      <c r="U31" s="79"/>
    </row>
    <row r="32" spans="1:21" ht="15.75" thickBot="1">
      <c r="A32" s="332">
        <v>45467</v>
      </c>
      <c r="B32" s="325"/>
      <c r="C32" s="338" t="str" cm="1">
        <f t="array" ref="C32">_xlfn.LET(_xlpm.matches, _xlfn._xlws.FILTER(Data[Poster], (Data[Date]=A32)*(Data[Winner]=TRUE)), IF(ROWS(_xlpm.matches)&gt;1, "TIE", _xlpm.matches))</f>
        <v>loganworsdell</v>
      </c>
      <c r="D32" s="80">
        <f>A32</f>
        <v>45467</v>
      </c>
      <c r="E32" s="214" t="str">
        <f>$J$1</f>
        <v>alappatjoe</v>
      </c>
      <c r="F32" s="84">
        <f>IFERROR(AVERAGE(Data[[#This Row],[alappatjoe]:[currydestroyer27]]), "TBD")</f>
        <v>3.8</v>
      </c>
      <c r="G32" s="261">
        <f>IFERROR(_xlfn.STDEV.P(Data[[#This Row],[alappatjoe]:[currydestroyer27]]), "TBD")</f>
        <v>0.9797958971132712</v>
      </c>
      <c r="H32" s="263" t="s">
        <v>133</v>
      </c>
      <c r="I32" s="265" t="s">
        <v>134</v>
      </c>
      <c r="J32" s="18">
        <v>2</v>
      </c>
      <c r="K32" s="3">
        <v>4</v>
      </c>
      <c r="L32" s="3">
        <v>4</v>
      </c>
      <c r="M32" s="3">
        <v>5</v>
      </c>
      <c r="N32" s="3">
        <v>4</v>
      </c>
      <c r="O32" s="238"/>
      <c r="P32" s="233" t="s">
        <v>76</v>
      </c>
      <c r="Q32" s="92" t="s">
        <v>135</v>
      </c>
      <c r="R3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2" s="92">
        <v>1</v>
      </c>
      <c r="T32" s="92" t="b">
        <f>Data[[#This Row],[Day Rank]]=Data[[#This Row],[W Rank]]</f>
        <v>0</v>
      </c>
      <c r="U32" s="76"/>
    </row>
    <row r="33" spans="1:21">
      <c r="A33" s="333"/>
      <c r="B33" s="326"/>
      <c r="C33" s="339"/>
      <c r="D33" s="81">
        <f>D32</f>
        <v>45467</v>
      </c>
      <c r="E33" s="140" t="str">
        <f>$K$1</f>
        <v>danram</v>
      </c>
      <c r="F33" s="8">
        <f>IFERROR(AVERAGE(Data[[#This Row],[alappatjoe]:[currydestroyer27]]), "TBD")</f>
        <v>2.6</v>
      </c>
      <c r="G33" s="177">
        <f>IFERROR(_xlfn.STDEV.P(Data[[#This Row],[alappatjoe]:[currydestroyer27]]), "TBD")</f>
        <v>1.3564659966250536</v>
      </c>
      <c r="H33" s="135" t="s">
        <v>136</v>
      </c>
      <c r="I33" s="229" t="s">
        <v>137</v>
      </c>
      <c r="J33" s="12">
        <v>1</v>
      </c>
      <c r="K33" s="7">
        <v>2</v>
      </c>
      <c r="L33" s="7">
        <v>5</v>
      </c>
      <c r="M33" s="7">
        <v>2</v>
      </c>
      <c r="N33" s="7">
        <v>3</v>
      </c>
      <c r="O33" s="238"/>
      <c r="P33" s="234" t="s">
        <v>76</v>
      </c>
      <c r="Q33" s="93" t="s">
        <v>138</v>
      </c>
      <c r="R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3" s="93">
        <v>1</v>
      </c>
      <c r="T33" s="93" t="b">
        <f>Data[[#This Row],[Day Rank]]=Data[[#This Row],[W Rank]]</f>
        <v>0</v>
      </c>
      <c r="U33" s="76"/>
    </row>
    <row r="34" spans="1:21">
      <c r="A34" s="333"/>
      <c r="B34" s="326"/>
      <c r="C34" s="339"/>
      <c r="D34" s="81">
        <f>D32</f>
        <v>45467</v>
      </c>
      <c r="E34" s="140" t="str">
        <f>$L$1</f>
        <v>loganworsdell</v>
      </c>
      <c r="F34" s="8">
        <f>IFERROR(AVERAGE(Data[[#This Row],[alappatjoe]:[currydestroyer27]]), "TBD")</f>
        <v>2.2000000000000002</v>
      </c>
      <c r="G34" s="177">
        <f>IFERROR(_xlfn.STDEV.P(Data[[#This Row],[alappatjoe]:[currydestroyer27]]), "TBD")</f>
        <v>1.6</v>
      </c>
      <c r="H34" s="135" t="s">
        <v>139</v>
      </c>
      <c r="I34" s="229" t="s">
        <v>140</v>
      </c>
      <c r="J34" s="13">
        <v>5</v>
      </c>
      <c r="K34" s="8">
        <v>1</v>
      </c>
      <c r="L34" s="8">
        <v>1</v>
      </c>
      <c r="M34" s="8">
        <v>3</v>
      </c>
      <c r="N34" s="8">
        <v>1</v>
      </c>
      <c r="O34" s="238"/>
      <c r="P34" s="234" t="s">
        <v>58</v>
      </c>
      <c r="Q34" s="93" t="s">
        <v>141</v>
      </c>
      <c r="R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4" s="93">
        <v>1</v>
      </c>
      <c r="T34" s="93" t="b">
        <f>Data[[#This Row],[Day Rank]]=Data[[#This Row],[W Rank]]</f>
        <v>1</v>
      </c>
      <c r="U34" s="76"/>
    </row>
    <row r="35" spans="1:21">
      <c r="A35" s="333"/>
      <c r="B35" s="326"/>
      <c r="C35" s="339"/>
      <c r="D35" s="81">
        <f>D32</f>
        <v>45467</v>
      </c>
      <c r="E35" s="140" t="str">
        <f>$M$1</f>
        <v>samuelbattista</v>
      </c>
      <c r="F35" s="8">
        <f>IFERROR(AVERAGE(Data[[#This Row],[alappatjoe]:[currydestroyer27]]), "TBD")</f>
        <v>3</v>
      </c>
      <c r="G35" s="177">
        <f>IFERROR(_xlfn.STDEV.P(Data[[#This Row],[alappatjoe]:[currydestroyer27]]), "TBD")</f>
        <v>1.4142135623730951</v>
      </c>
      <c r="H35" s="135" t="s">
        <v>142</v>
      </c>
      <c r="I35" s="229" t="s">
        <v>143</v>
      </c>
      <c r="J35" s="14">
        <v>4</v>
      </c>
      <c r="K35" s="9">
        <v>3</v>
      </c>
      <c r="L35" s="9">
        <v>2</v>
      </c>
      <c r="M35" s="9">
        <v>1</v>
      </c>
      <c r="N35" s="9">
        <v>5</v>
      </c>
      <c r="O35" s="238"/>
      <c r="P35" s="234" t="s">
        <v>144</v>
      </c>
      <c r="Q35" s="93" t="s">
        <v>145</v>
      </c>
      <c r="R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5" s="93">
        <v>1</v>
      </c>
      <c r="T35" s="93" t="b">
        <f>Data[[#This Row],[Day Rank]]=Data[[#This Row],[W Rank]]</f>
        <v>0</v>
      </c>
      <c r="U35" s="76"/>
    </row>
    <row r="36" spans="1:21" ht="15.75" thickBot="1">
      <c r="A36" s="334"/>
      <c r="B36" s="327"/>
      <c r="C36" s="340"/>
      <c r="D36" s="82">
        <f>D32</f>
        <v>45467</v>
      </c>
      <c r="E36" s="182" t="str">
        <f>$N$1</f>
        <v>currydestroyer27</v>
      </c>
      <c r="F36" s="83">
        <f>IFERROR(AVERAGE(Data[[#This Row],[alappatjoe]:[currydestroyer27]]), "TBD")</f>
        <v>3.4</v>
      </c>
      <c r="G36" s="183">
        <f>IFERROR(_xlfn.STDEV.P(Data[[#This Row],[alappatjoe]:[currydestroyer27]]), "TBD")</f>
        <v>1.019803902718557</v>
      </c>
      <c r="H36" s="184" t="s">
        <v>146</v>
      </c>
      <c r="I36" s="185" t="s">
        <v>147</v>
      </c>
      <c r="J36" s="11">
        <v>3</v>
      </c>
      <c r="K36" s="22">
        <v>5</v>
      </c>
      <c r="L36" s="22">
        <v>3</v>
      </c>
      <c r="M36" s="22">
        <v>4</v>
      </c>
      <c r="N36" s="22">
        <v>2</v>
      </c>
      <c r="O36" s="239"/>
      <c r="P36" s="235" t="s">
        <v>51</v>
      </c>
      <c r="Q36" s="94" t="s">
        <v>51</v>
      </c>
      <c r="R3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6" s="94">
        <v>1</v>
      </c>
      <c r="T36" s="94" t="b">
        <f>Data[[#This Row],[Day Rank]]=Data[[#This Row],[W Rank]]</f>
        <v>0</v>
      </c>
      <c r="U36" s="79"/>
    </row>
    <row r="37" spans="1:21" ht="15.75" thickBot="1">
      <c r="A37" s="332">
        <v>45468</v>
      </c>
      <c r="B37" s="325"/>
      <c r="C37" s="328" t="str" cm="1">
        <f t="array" ref="C37">_xlfn.LET(_xlpm.matches, _xlfn._xlws.FILTER(Data[Poster], (Data[Date]=A37)*(Data[Winner]=TRUE)), IF(ROWS(_xlpm.matches)&gt;1, "TIE", _xlpm.matches))</f>
        <v>currydestroyer27</v>
      </c>
      <c r="D37" s="80">
        <f>A37</f>
        <v>45468</v>
      </c>
      <c r="E37" s="214" t="str">
        <f>$J$1</f>
        <v>alappatjoe</v>
      </c>
      <c r="F37" s="84">
        <f>IFERROR(AVERAGE(Data[[#This Row],[alappatjoe]:[currydestroyer27]]), "TBD")</f>
        <v>3.4</v>
      </c>
      <c r="G37" s="261">
        <f>IFERROR(_xlfn.STDEV.P(Data[[#This Row],[alappatjoe]:[currydestroyer27]]), "TBD")</f>
        <v>1.6248076809271921</v>
      </c>
      <c r="H37" s="263" t="s">
        <v>148</v>
      </c>
      <c r="I37" s="265" t="s">
        <v>149</v>
      </c>
      <c r="J37" s="10">
        <v>1</v>
      </c>
      <c r="K37" s="23">
        <v>4</v>
      </c>
      <c r="L37" s="23">
        <v>5</v>
      </c>
      <c r="M37" s="23">
        <v>5</v>
      </c>
      <c r="N37" s="23">
        <v>2</v>
      </c>
      <c r="O37" s="240"/>
      <c r="P37" s="233" t="s">
        <v>76</v>
      </c>
      <c r="Q37" s="92"/>
      <c r="R3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7" s="92">
        <v>1</v>
      </c>
      <c r="T37" s="92" t="b">
        <f>Data[[#This Row],[Day Rank]]=Data[[#This Row],[W Rank]]</f>
        <v>0</v>
      </c>
      <c r="U37" s="76"/>
    </row>
    <row r="38" spans="1:21" ht="15.75" thickBot="1">
      <c r="A38" s="333"/>
      <c r="B38" s="326"/>
      <c r="C38" s="329"/>
      <c r="D38" s="81">
        <f>D37</f>
        <v>45468</v>
      </c>
      <c r="E38" s="140" t="str">
        <f>$K$1</f>
        <v>danram</v>
      </c>
      <c r="F38" s="8">
        <f>IFERROR(AVERAGE(Data[[#This Row],[alappatjoe]:[currydestroyer27]]), "TBD")</f>
        <v>3</v>
      </c>
      <c r="G38" s="177">
        <f>IFERROR(_xlfn.STDEV.P(Data[[#This Row],[alappatjoe]:[currydestroyer27]]), "TBD")</f>
        <v>1.2649110640673518</v>
      </c>
      <c r="H38" s="135" t="s">
        <v>150</v>
      </c>
      <c r="I38" s="229" t="s">
        <v>151</v>
      </c>
      <c r="J38" s="12">
        <v>3</v>
      </c>
      <c r="K38" s="7">
        <v>1</v>
      </c>
      <c r="L38" s="7">
        <v>3</v>
      </c>
      <c r="M38" s="7">
        <v>3</v>
      </c>
      <c r="N38" s="7">
        <v>5</v>
      </c>
      <c r="O38" s="238"/>
      <c r="P38" s="234" t="s">
        <v>120</v>
      </c>
      <c r="Q38" s="93" t="s">
        <v>152</v>
      </c>
      <c r="R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8" s="93">
        <v>1</v>
      </c>
      <c r="T38" s="93" t="b">
        <f>Data[[#This Row],[Day Rank]]=Data[[#This Row],[W Rank]]</f>
        <v>0</v>
      </c>
      <c r="U38" s="76"/>
    </row>
    <row r="39" spans="1:21" ht="15.75" thickBot="1">
      <c r="A39" s="333"/>
      <c r="B39" s="326"/>
      <c r="C39" s="329"/>
      <c r="D39" s="81">
        <f>D37</f>
        <v>45468</v>
      </c>
      <c r="E39" s="140" t="str">
        <f>$L$1</f>
        <v>loganworsdell</v>
      </c>
      <c r="F39" s="8">
        <f>IFERROR(AVERAGE(Data[[#This Row],[alappatjoe]:[currydestroyer27]]), "TBD")</f>
        <v>3</v>
      </c>
      <c r="G39" s="177">
        <f>IFERROR(_xlfn.STDEV.P(Data[[#This Row],[alappatjoe]:[currydestroyer27]]), "TBD")</f>
        <v>0.89442719099991586</v>
      </c>
      <c r="H39" s="135" t="s">
        <v>153</v>
      </c>
      <c r="I39" s="229" t="s">
        <v>154</v>
      </c>
      <c r="J39" s="13">
        <v>4</v>
      </c>
      <c r="K39" s="8">
        <v>2</v>
      </c>
      <c r="L39" s="8">
        <v>4</v>
      </c>
      <c r="M39" s="8">
        <v>2</v>
      </c>
      <c r="N39" s="8">
        <v>3</v>
      </c>
      <c r="O39" s="238"/>
      <c r="P39" s="234" t="s">
        <v>51</v>
      </c>
      <c r="Q39" s="93" t="s">
        <v>62</v>
      </c>
      <c r="R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9" s="93">
        <v>1</v>
      </c>
      <c r="T39" s="93" t="b">
        <f>Data[[#This Row],[Day Rank]]=Data[[#This Row],[W Rank]]</f>
        <v>0</v>
      </c>
      <c r="U39" s="76"/>
    </row>
    <row r="40" spans="1:21">
      <c r="A40" s="333"/>
      <c r="B40" s="326"/>
      <c r="C40" s="329"/>
      <c r="D40" s="81">
        <f>D37</f>
        <v>45468</v>
      </c>
      <c r="E40" s="140" t="str">
        <f>$M$1</f>
        <v>samuelbattista</v>
      </c>
      <c r="F40" s="8">
        <f>IFERROR(AVERAGE(Data[[#This Row],[alappatjoe]:[currydestroyer27]]), "TBD")</f>
        <v>3</v>
      </c>
      <c r="G40" s="177">
        <f>IFERROR(_xlfn.STDEV.P(Data[[#This Row],[alappatjoe]:[currydestroyer27]]), "TBD")</f>
        <v>1.4142135623730951</v>
      </c>
      <c r="H40" s="135" t="s">
        <v>155</v>
      </c>
      <c r="I40" s="229" t="s">
        <v>156</v>
      </c>
      <c r="J40" s="14">
        <v>5</v>
      </c>
      <c r="K40" s="9">
        <v>3</v>
      </c>
      <c r="L40" s="9">
        <v>2</v>
      </c>
      <c r="M40" s="9">
        <v>1</v>
      </c>
      <c r="N40" s="9">
        <v>4</v>
      </c>
      <c r="O40" s="238"/>
      <c r="P40" s="234" t="s">
        <v>72</v>
      </c>
      <c r="Q40" s="93" t="s">
        <v>157</v>
      </c>
      <c r="R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0" s="93">
        <v>1</v>
      </c>
      <c r="T40" s="93" t="b">
        <f>Data[[#This Row],[Day Rank]]=Data[[#This Row],[W Rank]]</f>
        <v>0</v>
      </c>
      <c r="U40" s="76"/>
    </row>
    <row r="41" spans="1:21" ht="15.75" thickBot="1">
      <c r="A41" s="334"/>
      <c r="B41" s="327"/>
      <c r="C41" s="330"/>
      <c r="D41" s="82">
        <f>D37</f>
        <v>45468</v>
      </c>
      <c r="E41" s="182" t="str">
        <f>$N$1</f>
        <v>currydestroyer27</v>
      </c>
      <c r="F41" s="83">
        <f>IFERROR(AVERAGE(Data[[#This Row],[alappatjoe]:[currydestroyer27]]), "TBD")</f>
        <v>2.6</v>
      </c>
      <c r="G41" s="183">
        <f>IFERROR(_xlfn.STDEV.P(Data[[#This Row],[alappatjoe]:[currydestroyer27]]), "TBD")</f>
        <v>1.6248076809271921</v>
      </c>
      <c r="H41" s="184" t="s">
        <v>158</v>
      </c>
      <c r="I41" s="185" t="s">
        <v>159</v>
      </c>
      <c r="J41" s="11">
        <v>2</v>
      </c>
      <c r="K41" s="22">
        <v>5</v>
      </c>
      <c r="L41" s="22">
        <v>1</v>
      </c>
      <c r="M41" s="22">
        <v>4</v>
      </c>
      <c r="N41" s="22">
        <v>1</v>
      </c>
      <c r="O41" s="239"/>
      <c r="P41" s="235" t="s">
        <v>76</v>
      </c>
      <c r="Q41" s="94" t="s">
        <v>99</v>
      </c>
      <c r="R4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1" s="94">
        <v>1</v>
      </c>
      <c r="T41" s="94" t="b">
        <f>Data[[#This Row],[Day Rank]]=Data[[#This Row],[W Rank]]</f>
        <v>1</v>
      </c>
      <c r="U41" s="79"/>
    </row>
    <row r="42" spans="1:21">
      <c r="A42" s="332">
        <v>45469</v>
      </c>
      <c r="B42" s="325"/>
      <c r="C42" s="338" t="str" cm="1">
        <f t="array" ref="C42">_xlfn.LET(_xlpm.matches, _xlfn._xlws.FILTER(Data[Poster], (Data[Date]=A42)*(Data[Winner]=TRUE)), IF(ROWS(_xlpm.matches)&gt;1, "TIE", _xlpm.matches))</f>
        <v>loganworsdell</v>
      </c>
      <c r="D42" s="80">
        <f>A42</f>
        <v>45469</v>
      </c>
      <c r="E42" s="214" t="str">
        <f>$J$1</f>
        <v>alappatjoe</v>
      </c>
      <c r="F42" s="84">
        <f>IFERROR(AVERAGE(Data[[#This Row],[alappatjoe]:[currydestroyer27]]), "TBD")</f>
        <v>3.4</v>
      </c>
      <c r="G42" s="261">
        <f>IFERROR(_xlfn.STDEV.P(Data[[#This Row],[alappatjoe]:[currydestroyer27]]), "TBD")</f>
        <v>1.3564659966250536</v>
      </c>
      <c r="H42" s="263" t="s">
        <v>160</v>
      </c>
      <c r="I42" s="265" t="s">
        <v>161</v>
      </c>
      <c r="J42" s="10">
        <v>1</v>
      </c>
      <c r="K42" s="23">
        <v>5</v>
      </c>
      <c r="L42" s="23">
        <v>4</v>
      </c>
      <c r="M42" s="23">
        <v>3</v>
      </c>
      <c r="N42" s="23">
        <v>4</v>
      </c>
      <c r="O42" s="240"/>
      <c r="P42" s="233" t="s">
        <v>76</v>
      </c>
      <c r="Q42" s="92" t="s">
        <v>162</v>
      </c>
      <c r="R4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2" s="92">
        <v>1</v>
      </c>
      <c r="T42" s="92" t="b">
        <f>Data[[#This Row],[Day Rank]]=Data[[#This Row],[W Rank]]</f>
        <v>0</v>
      </c>
      <c r="U42" s="76"/>
    </row>
    <row r="43" spans="1:21">
      <c r="A43" s="333"/>
      <c r="B43" s="326"/>
      <c r="C43" s="339"/>
      <c r="D43" s="81">
        <f>D42</f>
        <v>45469</v>
      </c>
      <c r="E43" s="140" t="str">
        <f>$K$1</f>
        <v>danram</v>
      </c>
      <c r="F43" s="8">
        <f>IFERROR(AVERAGE(Data[[#This Row],[alappatjoe]:[currydestroyer27]]), "TBD")</f>
        <v>4.8</v>
      </c>
      <c r="G43" s="177">
        <f>IFERROR(_xlfn.STDEV.P(Data[[#This Row],[alappatjoe]:[currydestroyer27]]), "TBD")</f>
        <v>0.39999999999999997</v>
      </c>
      <c r="H43" s="135" t="s">
        <v>163</v>
      </c>
      <c r="I43" s="229" t="s">
        <v>164</v>
      </c>
      <c r="J43" s="12">
        <v>5</v>
      </c>
      <c r="K43" s="7">
        <v>4</v>
      </c>
      <c r="L43" s="7">
        <v>5</v>
      </c>
      <c r="M43" s="7">
        <v>5</v>
      </c>
      <c r="N43" s="7">
        <v>5</v>
      </c>
      <c r="O43" s="238"/>
      <c r="P43" s="234" t="s">
        <v>69</v>
      </c>
      <c r="Q43" s="93" t="s">
        <v>69</v>
      </c>
      <c r="R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3" s="93">
        <v>1</v>
      </c>
      <c r="T43" s="93" t="b">
        <f>Data[[#This Row],[Day Rank]]=Data[[#This Row],[W Rank]]</f>
        <v>0</v>
      </c>
      <c r="U43" s="76"/>
    </row>
    <row r="44" spans="1:21">
      <c r="A44" s="333"/>
      <c r="B44" s="326"/>
      <c r="C44" s="339"/>
      <c r="D44" s="81">
        <f>D42</f>
        <v>45469</v>
      </c>
      <c r="E44" s="140" t="str">
        <f>$L$1</f>
        <v>loganworsdell</v>
      </c>
      <c r="F44" s="8">
        <f>IFERROR(AVERAGE(Data[[#This Row],[alappatjoe]:[currydestroyer27]]), "TBD")</f>
        <v>2</v>
      </c>
      <c r="G44" s="177">
        <f>IFERROR(_xlfn.STDEV.P(Data[[#This Row],[alappatjoe]:[currydestroyer27]]), "TBD")</f>
        <v>0.89442719099991586</v>
      </c>
      <c r="H44" s="135" t="s">
        <v>165</v>
      </c>
      <c r="I44" s="229" t="s">
        <v>166</v>
      </c>
      <c r="J44" s="13">
        <v>3</v>
      </c>
      <c r="K44" s="8">
        <v>1</v>
      </c>
      <c r="L44" s="8">
        <v>3</v>
      </c>
      <c r="M44" s="8">
        <v>2</v>
      </c>
      <c r="N44" s="8">
        <v>1</v>
      </c>
      <c r="O44" s="238"/>
      <c r="P44" s="234" t="s">
        <v>87</v>
      </c>
      <c r="Q44" s="93" t="s">
        <v>167</v>
      </c>
      <c r="R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4" s="93">
        <v>1</v>
      </c>
      <c r="T44" s="93" t="b">
        <f>Data[[#This Row],[Day Rank]]=Data[[#This Row],[W Rank]]</f>
        <v>1</v>
      </c>
      <c r="U44" s="76"/>
    </row>
    <row r="45" spans="1:21">
      <c r="A45" s="333"/>
      <c r="B45" s="326"/>
      <c r="C45" s="339"/>
      <c r="D45" s="81">
        <f>D42</f>
        <v>45469</v>
      </c>
      <c r="E45" s="140" t="str">
        <f>$M$1</f>
        <v>samuelbattista</v>
      </c>
      <c r="F45" s="8">
        <f>IFERROR(AVERAGE(Data[[#This Row],[alappatjoe]:[currydestroyer27]]), "TBD")</f>
        <v>2.2000000000000002</v>
      </c>
      <c r="G45" s="177">
        <f>IFERROR(_xlfn.STDEV.P(Data[[#This Row],[alappatjoe]:[currydestroyer27]]), "TBD")</f>
        <v>1.1661903789690602</v>
      </c>
      <c r="H45" s="135" t="s">
        <v>168</v>
      </c>
      <c r="I45" s="229" t="s">
        <v>169</v>
      </c>
      <c r="J45" s="14">
        <v>4</v>
      </c>
      <c r="K45" s="9">
        <v>2</v>
      </c>
      <c r="L45" s="9">
        <v>1</v>
      </c>
      <c r="M45" s="9">
        <v>1</v>
      </c>
      <c r="N45" s="9">
        <v>3</v>
      </c>
      <c r="O45" s="238"/>
      <c r="P45" s="234" t="s">
        <v>170</v>
      </c>
      <c r="Q45" s="93" t="s">
        <v>171</v>
      </c>
      <c r="R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5" s="93">
        <v>1</v>
      </c>
      <c r="T45" s="93" t="b">
        <f>Data[[#This Row],[Day Rank]]=Data[[#This Row],[W Rank]]</f>
        <v>0</v>
      </c>
      <c r="U45" s="76"/>
    </row>
    <row r="46" spans="1:21" ht="15.75" thickBot="1">
      <c r="A46" s="334"/>
      <c r="B46" s="327"/>
      <c r="C46" s="340"/>
      <c r="D46" s="82">
        <f>D42</f>
        <v>45469</v>
      </c>
      <c r="E46" s="182" t="str">
        <f>$N$1</f>
        <v>currydestroyer27</v>
      </c>
      <c r="F46" s="83">
        <f>IFERROR(AVERAGE(Data[[#This Row],[alappatjoe]:[currydestroyer27]]), "TBD")</f>
        <v>2.6</v>
      </c>
      <c r="G46" s="183">
        <f>IFERROR(_xlfn.STDEV.P(Data[[#This Row],[alappatjoe]:[currydestroyer27]]), "TBD")</f>
        <v>0.8</v>
      </c>
      <c r="H46" s="184" t="s">
        <v>172</v>
      </c>
      <c r="I46" s="185" t="s">
        <v>173</v>
      </c>
      <c r="J46" s="11">
        <v>2</v>
      </c>
      <c r="K46" s="22">
        <v>3</v>
      </c>
      <c r="L46" s="22">
        <v>2</v>
      </c>
      <c r="M46" s="22">
        <v>4</v>
      </c>
      <c r="N46" s="22">
        <v>2</v>
      </c>
      <c r="O46" s="239"/>
      <c r="P46" s="235" t="s">
        <v>76</v>
      </c>
      <c r="Q46" s="94" t="s">
        <v>96</v>
      </c>
      <c r="R4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6" s="94">
        <v>1</v>
      </c>
      <c r="T46" s="94" t="b">
        <f>Data[[#This Row],[Day Rank]]=Data[[#This Row],[W Rank]]</f>
        <v>0</v>
      </c>
      <c r="U46" s="79"/>
    </row>
    <row r="47" spans="1:21" ht="15.75" thickBot="1">
      <c r="A47" s="332">
        <v>45470</v>
      </c>
      <c r="B47" s="325"/>
      <c r="C47" s="328" t="str" cm="1">
        <f t="array" ref="C47">_xlfn.LET(_xlpm.matches, _xlfn._xlws.FILTER(Data[Poster], (Data[Date]=A47)*(Data[Winner]=TRUE)), IF(ROWS(_xlpm.matches)&gt;1, "TIE", _xlpm.matches))</f>
        <v>samuelbattista</v>
      </c>
      <c r="D47" s="80">
        <f>A47</f>
        <v>45470</v>
      </c>
      <c r="E47" s="214" t="str">
        <f>$J$1</f>
        <v>alappatjoe</v>
      </c>
      <c r="F47" s="84">
        <f>IFERROR(AVERAGE(Data[[#This Row],[alappatjoe]:[currydestroyer27]]), "TBD")</f>
        <v>2.8</v>
      </c>
      <c r="G47" s="261">
        <f>IFERROR(_xlfn.STDEV.P(Data[[#This Row],[alappatjoe]:[currydestroyer27]]), "TBD")</f>
        <v>1.4696938456699069</v>
      </c>
      <c r="H47" s="263" t="s">
        <v>174</v>
      </c>
      <c r="I47" s="265" t="s">
        <v>175</v>
      </c>
      <c r="J47" s="10">
        <v>1</v>
      </c>
      <c r="K47" s="23">
        <v>2</v>
      </c>
      <c r="L47" s="23">
        <v>5</v>
      </c>
      <c r="M47" s="23">
        <v>2</v>
      </c>
      <c r="N47" s="23">
        <v>4</v>
      </c>
      <c r="O47" s="240"/>
      <c r="P47" s="233" t="s">
        <v>176</v>
      </c>
      <c r="Q47" s="92" t="s">
        <v>177</v>
      </c>
      <c r="R4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7" s="92">
        <v>1</v>
      </c>
      <c r="T47" s="92" t="b">
        <f>Data[[#This Row],[Day Rank]]=Data[[#This Row],[W Rank]]</f>
        <v>0</v>
      </c>
      <c r="U47" s="331" t="s">
        <v>178</v>
      </c>
    </row>
    <row r="48" spans="1:21" ht="15.75" thickBot="1">
      <c r="A48" s="333"/>
      <c r="B48" s="326"/>
      <c r="C48" s="329"/>
      <c r="D48" s="81">
        <f>D47</f>
        <v>45470</v>
      </c>
      <c r="E48" s="140" t="str">
        <f>$K$1</f>
        <v>danram</v>
      </c>
      <c r="F48" s="8">
        <f>IFERROR(AVERAGE(Data[[#This Row],[alappatjoe]:[currydestroyer27]]), "TBD")</f>
        <v>2.6</v>
      </c>
      <c r="G48" s="177">
        <f>IFERROR(_xlfn.STDEV.P(Data[[#This Row],[alappatjoe]:[currydestroyer27]]), "TBD")</f>
        <v>1.9595917942265424</v>
      </c>
      <c r="H48" s="135" t="s">
        <v>179</v>
      </c>
      <c r="I48" s="229" t="s">
        <v>180</v>
      </c>
      <c r="J48" s="12">
        <v>5</v>
      </c>
      <c r="K48" s="7">
        <v>1</v>
      </c>
      <c r="L48" s="7">
        <v>1</v>
      </c>
      <c r="M48" s="7">
        <v>5</v>
      </c>
      <c r="N48" s="7">
        <v>1</v>
      </c>
      <c r="O48" s="238"/>
      <c r="P48" s="234" t="s">
        <v>170</v>
      </c>
      <c r="Q48" s="93" t="s">
        <v>181</v>
      </c>
      <c r="R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8" s="93">
        <v>1</v>
      </c>
      <c r="T48" s="93" t="b">
        <f>Data[[#This Row],[Day Rank]]=Data[[#This Row],[W Rank]]</f>
        <v>0</v>
      </c>
      <c r="U48" s="323"/>
    </row>
    <row r="49" spans="1:21">
      <c r="A49" s="333"/>
      <c r="B49" s="326"/>
      <c r="C49" s="329"/>
      <c r="D49" s="81">
        <f>D47</f>
        <v>45470</v>
      </c>
      <c r="E49" s="140" t="str">
        <f>$L$1</f>
        <v>loganworsdell</v>
      </c>
      <c r="F49" s="8">
        <f>IFERROR(AVERAGE(Data[[#This Row],[alappatjoe]:[currydestroyer27]]), "TBD")</f>
        <v>4.2</v>
      </c>
      <c r="G49" s="177">
        <f>IFERROR(_xlfn.STDEV.P(Data[[#This Row],[alappatjoe]:[currydestroyer27]]), "TBD")</f>
        <v>0.74833147735478833</v>
      </c>
      <c r="H49" s="135" t="s">
        <v>182</v>
      </c>
      <c r="I49" s="229" t="s">
        <v>183</v>
      </c>
      <c r="J49" s="13">
        <v>3</v>
      </c>
      <c r="K49" s="8">
        <v>5</v>
      </c>
      <c r="L49" s="8">
        <v>4</v>
      </c>
      <c r="M49" s="8">
        <v>4</v>
      </c>
      <c r="N49" s="8">
        <v>5</v>
      </c>
      <c r="O49" s="238"/>
      <c r="P49" s="234" t="s">
        <v>51</v>
      </c>
      <c r="Q49" s="93" t="s">
        <v>184</v>
      </c>
      <c r="R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9" s="93">
        <v>1</v>
      </c>
      <c r="T49" s="93" t="b">
        <f>Data[[#This Row],[Day Rank]]=Data[[#This Row],[W Rank]]</f>
        <v>0</v>
      </c>
      <c r="U49" s="323"/>
    </row>
    <row r="50" spans="1:21">
      <c r="A50" s="333"/>
      <c r="B50" s="326"/>
      <c r="C50" s="329"/>
      <c r="D50" s="81">
        <f>D47</f>
        <v>45470</v>
      </c>
      <c r="E50" s="140" t="str">
        <f>$M$1</f>
        <v>samuelbattista</v>
      </c>
      <c r="F50" s="8">
        <f>IFERROR(AVERAGE(Data[[#This Row],[alappatjoe]:[currydestroyer27]]), "TBD")</f>
        <v>2.6</v>
      </c>
      <c r="G50" s="177">
        <f>IFERROR(_xlfn.STDEV.P(Data[[#This Row],[alappatjoe]:[currydestroyer27]]), "TBD")</f>
        <v>1.019803902718557</v>
      </c>
      <c r="H50" s="135" t="s">
        <v>185</v>
      </c>
      <c r="I50" s="229" t="s">
        <v>90</v>
      </c>
      <c r="J50" s="14">
        <v>2</v>
      </c>
      <c r="K50" s="9">
        <v>4</v>
      </c>
      <c r="L50" s="9">
        <v>3</v>
      </c>
      <c r="M50" s="9">
        <v>1</v>
      </c>
      <c r="N50" s="9">
        <v>3</v>
      </c>
      <c r="O50" s="238"/>
      <c r="P50" s="234" t="s">
        <v>51</v>
      </c>
      <c r="Q50" s="93" t="s">
        <v>91</v>
      </c>
      <c r="R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0" s="93">
        <v>1</v>
      </c>
      <c r="T50" s="93" t="b">
        <f>Data[[#This Row],[Day Rank]]=Data[[#This Row],[W Rank]]</f>
        <v>1</v>
      </c>
      <c r="U50" s="323"/>
    </row>
    <row r="51" spans="1:21" ht="15.75" thickBot="1">
      <c r="A51" s="334"/>
      <c r="B51" s="327"/>
      <c r="C51" s="330"/>
      <c r="D51" s="82">
        <f>D47</f>
        <v>45470</v>
      </c>
      <c r="E51" s="182" t="str">
        <f>$N$1</f>
        <v>currydestroyer27</v>
      </c>
      <c r="F51" s="83">
        <f>IFERROR(AVERAGE(Data[[#This Row],[alappatjoe]:[currydestroyer27]]), "TBD")</f>
        <v>2.8</v>
      </c>
      <c r="G51" s="183">
        <f>IFERROR(_xlfn.STDEV.P(Data[[#This Row],[alappatjoe]:[currydestroyer27]]), "TBD")</f>
        <v>0.74833147735478833</v>
      </c>
      <c r="H51" s="184" t="s">
        <v>186</v>
      </c>
      <c r="I51" s="185" t="s">
        <v>187</v>
      </c>
      <c r="J51" s="11">
        <v>4</v>
      </c>
      <c r="K51" s="22">
        <v>3</v>
      </c>
      <c r="L51" s="22">
        <v>2</v>
      </c>
      <c r="M51" s="22">
        <v>3</v>
      </c>
      <c r="N51" s="22">
        <v>2</v>
      </c>
      <c r="O51" s="239"/>
      <c r="P51" s="235" t="s">
        <v>170</v>
      </c>
      <c r="Q51" s="94" t="s">
        <v>181</v>
      </c>
      <c r="R5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1" s="94">
        <v>1</v>
      </c>
      <c r="T51" s="94" t="b">
        <f>Data[[#This Row],[Day Rank]]=Data[[#This Row],[W Rank]]</f>
        <v>0</v>
      </c>
      <c r="U51" s="324"/>
    </row>
    <row r="52" spans="1:21">
      <c r="A52" s="332">
        <v>45474</v>
      </c>
      <c r="B52" s="325"/>
      <c r="C52" s="338" t="str" cm="1">
        <f t="array" ref="C52">_xlfn.LET(_xlpm.matches, _xlfn._xlws.FILTER(Data[Poster], (Data[Date]=A52)*(Data[Winner]=TRUE)), IF(ROWS(_xlpm.matches)&gt;1, "TIE", _xlpm.matches))</f>
        <v>alappatjoe</v>
      </c>
      <c r="D52" s="80">
        <f>A52</f>
        <v>45474</v>
      </c>
      <c r="E52" s="214" t="str">
        <f>$J$1</f>
        <v>alappatjoe</v>
      </c>
      <c r="F52" s="84">
        <f>IFERROR(AVERAGE(Data[[#This Row],[alappatjoe]:[currydestroyer27]]), "TBD")</f>
        <v>2.6</v>
      </c>
      <c r="G52" s="261">
        <f>IFERROR(_xlfn.STDEV.P(Data[[#This Row],[alappatjoe]:[currydestroyer27]]), "TBD")</f>
        <v>1.9595917942265424</v>
      </c>
      <c r="H52" s="263" t="s">
        <v>188</v>
      </c>
      <c r="I52" s="265" t="s">
        <v>189</v>
      </c>
      <c r="J52" s="10">
        <v>1</v>
      </c>
      <c r="K52" s="23">
        <v>1</v>
      </c>
      <c r="L52" s="23">
        <v>5</v>
      </c>
      <c r="M52" s="23">
        <v>1</v>
      </c>
      <c r="N52" s="23">
        <v>5</v>
      </c>
      <c r="O52" s="240"/>
      <c r="P52" s="233" t="s">
        <v>176</v>
      </c>
      <c r="Q52" s="92" t="s">
        <v>177</v>
      </c>
      <c r="R5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2" s="92">
        <v>1</v>
      </c>
      <c r="T52" s="92" t="b">
        <f>Data[[#This Row],[Day Rank]]=Data[[#This Row],[W Rank]]</f>
        <v>1</v>
      </c>
      <c r="U52" s="76"/>
    </row>
    <row r="53" spans="1:21">
      <c r="A53" s="333"/>
      <c r="B53" s="326"/>
      <c r="C53" s="339"/>
      <c r="D53" s="81">
        <f>D52</f>
        <v>45474</v>
      </c>
      <c r="E53" s="140" t="str">
        <f>$K$1</f>
        <v>danram</v>
      </c>
      <c r="F53" s="8">
        <f>IFERROR(AVERAGE(Data[[#This Row],[alappatjoe]:[currydestroyer27]]), "TBD")</f>
        <v>3.2</v>
      </c>
      <c r="G53" s="177">
        <f>IFERROR(_xlfn.STDEV.P(Data[[#This Row],[alappatjoe]:[currydestroyer27]]), "TBD")</f>
        <v>1.1661903789690602</v>
      </c>
      <c r="H53" s="135" t="s">
        <v>190</v>
      </c>
      <c r="I53" s="229" t="s">
        <v>191</v>
      </c>
      <c r="J53" s="12">
        <v>4</v>
      </c>
      <c r="K53" s="7">
        <v>2</v>
      </c>
      <c r="L53" s="7">
        <v>2</v>
      </c>
      <c r="M53" s="7">
        <v>5</v>
      </c>
      <c r="N53" s="7">
        <v>3</v>
      </c>
      <c r="O53" s="238"/>
      <c r="P53" s="234" t="s">
        <v>69</v>
      </c>
      <c r="Q53" s="93" t="s">
        <v>69</v>
      </c>
      <c r="R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3" s="93">
        <v>1</v>
      </c>
      <c r="T53" s="93" t="b">
        <f>Data[[#This Row],[Day Rank]]=Data[[#This Row],[W Rank]]</f>
        <v>0</v>
      </c>
      <c r="U53" s="76"/>
    </row>
    <row r="54" spans="1:21" ht="15.75" thickBot="1">
      <c r="A54" s="333"/>
      <c r="B54" s="326"/>
      <c r="C54" s="339"/>
      <c r="D54" s="81">
        <f>D52</f>
        <v>45474</v>
      </c>
      <c r="E54" s="140" t="str">
        <f>$L$1</f>
        <v>loganworsdell</v>
      </c>
      <c r="F54" s="8">
        <f>IFERROR(AVERAGE(Data[[#This Row],[alappatjoe]:[currydestroyer27]]), "TBD")</f>
        <v>3.6</v>
      </c>
      <c r="G54" s="177">
        <f>IFERROR(_xlfn.STDEV.P(Data[[#This Row],[alappatjoe]:[currydestroyer27]]), "TBD")</f>
        <v>1.019803902718557</v>
      </c>
      <c r="H54" s="135" t="s">
        <v>192</v>
      </c>
      <c r="I54" s="229" t="s">
        <v>193</v>
      </c>
      <c r="J54" s="13">
        <v>2</v>
      </c>
      <c r="K54" s="8">
        <v>5</v>
      </c>
      <c r="L54" s="8">
        <v>3</v>
      </c>
      <c r="M54" s="8">
        <v>4</v>
      </c>
      <c r="N54" s="8">
        <v>4</v>
      </c>
      <c r="O54" s="238"/>
      <c r="P54" s="234" t="s">
        <v>69</v>
      </c>
      <c r="Q54" s="93" t="s">
        <v>69</v>
      </c>
      <c r="R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4" s="93">
        <v>1</v>
      </c>
      <c r="T54" s="93" t="b">
        <f>Data[[#This Row],[Day Rank]]=Data[[#This Row],[W Rank]]</f>
        <v>0</v>
      </c>
      <c r="U54" s="76"/>
    </row>
    <row r="55" spans="1:21" ht="15.75" thickBot="1">
      <c r="A55" s="333"/>
      <c r="B55" s="326"/>
      <c r="C55" s="339"/>
      <c r="D55" s="81">
        <f>D52</f>
        <v>45474</v>
      </c>
      <c r="E55" s="140" t="str">
        <f>$M$1</f>
        <v>samuelbattista</v>
      </c>
      <c r="F55" s="8">
        <f>IFERROR(AVERAGE(Data[[#This Row],[alappatjoe]:[currydestroyer27]]), "TBD")</f>
        <v>2.8</v>
      </c>
      <c r="G55" s="177">
        <f>IFERROR(_xlfn.STDEV.P(Data[[#This Row],[alappatjoe]:[currydestroyer27]]), "TBD")</f>
        <v>0.74833147735478833</v>
      </c>
      <c r="H55" s="135" t="s">
        <v>194</v>
      </c>
      <c r="I55" s="229" t="s">
        <v>195</v>
      </c>
      <c r="J55" s="14">
        <v>3</v>
      </c>
      <c r="K55" s="9">
        <v>3</v>
      </c>
      <c r="L55" s="9">
        <v>4</v>
      </c>
      <c r="M55" s="9">
        <v>2</v>
      </c>
      <c r="N55" s="9">
        <v>2</v>
      </c>
      <c r="O55" s="238"/>
      <c r="P55" s="234" t="s">
        <v>51</v>
      </c>
      <c r="Q55" s="93" t="s">
        <v>196</v>
      </c>
      <c r="R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5" s="93">
        <v>1</v>
      </c>
      <c r="T55" s="93" t="b">
        <f>Data[[#This Row],[Day Rank]]=Data[[#This Row],[W Rank]]</f>
        <v>0</v>
      </c>
      <c r="U55" s="76"/>
    </row>
    <row r="56" spans="1:21" ht="15.75" thickBot="1">
      <c r="A56" s="334"/>
      <c r="B56" s="327"/>
      <c r="C56" s="340"/>
      <c r="D56" s="82">
        <f>D52</f>
        <v>45474</v>
      </c>
      <c r="E56" s="182" t="str">
        <f>$N$1</f>
        <v>currydestroyer27</v>
      </c>
      <c r="F56" s="83">
        <f>IFERROR(AVERAGE(Data[[#This Row],[alappatjoe]:[currydestroyer27]]), "TBD")</f>
        <v>2.8</v>
      </c>
      <c r="G56" s="183">
        <f>IFERROR(_xlfn.STDEV.P(Data[[#This Row],[alappatjoe]:[currydestroyer27]]), "TBD")</f>
        <v>1.6</v>
      </c>
      <c r="H56" s="184" t="s">
        <v>197</v>
      </c>
      <c r="I56" s="185" t="s">
        <v>198</v>
      </c>
      <c r="J56" s="11">
        <v>5</v>
      </c>
      <c r="K56" s="22">
        <v>4</v>
      </c>
      <c r="L56" s="22">
        <v>1</v>
      </c>
      <c r="M56" s="22">
        <v>3</v>
      </c>
      <c r="N56" s="22">
        <v>1</v>
      </c>
      <c r="O56" s="239"/>
      <c r="P56" s="235" t="s">
        <v>51</v>
      </c>
      <c r="Q56" s="94" t="s">
        <v>51</v>
      </c>
      <c r="R5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6" s="94">
        <v>1</v>
      </c>
      <c r="T56" s="94" t="b">
        <f>Data[[#This Row],[Day Rank]]=Data[[#This Row],[W Rank]]</f>
        <v>0</v>
      </c>
      <c r="U56" s="79"/>
    </row>
    <row r="57" spans="1:21">
      <c r="A57" s="332">
        <v>45475</v>
      </c>
      <c r="B57" s="325"/>
      <c r="C57" s="328" t="str" cm="1">
        <f t="array" ref="C57">_xlfn.LET(_xlpm.matches, _xlfn._xlws.FILTER(Data[Poster], (Data[Date]=A57)*(Data[Winner]=TRUE)), IF(ROWS(_xlpm.matches)&gt;1, "TIE", _xlpm.matches))</f>
        <v>danram</v>
      </c>
      <c r="D57" s="80">
        <f>A57</f>
        <v>45475</v>
      </c>
      <c r="E57" s="214" t="str">
        <f>$J$1</f>
        <v>alappatjoe</v>
      </c>
      <c r="F57" s="84">
        <f>IFERROR(AVERAGE(Data[[#This Row],[alappatjoe]:[currydestroyer27]]), "TBD")</f>
        <v>3.8</v>
      </c>
      <c r="G57" s="261">
        <f>IFERROR(_xlfn.STDEV.P(Data[[#This Row],[alappatjoe]:[currydestroyer27]]), "TBD")</f>
        <v>1.6</v>
      </c>
      <c r="H57" s="263" t="s">
        <v>199</v>
      </c>
      <c r="I57" s="265" t="s">
        <v>200</v>
      </c>
      <c r="J57" s="10">
        <v>1</v>
      </c>
      <c r="K57" s="23">
        <v>5</v>
      </c>
      <c r="L57" s="23">
        <v>5</v>
      </c>
      <c r="M57" s="23">
        <v>3</v>
      </c>
      <c r="N57" s="23">
        <v>5</v>
      </c>
      <c r="O57" s="240"/>
      <c r="P57" s="233" t="s">
        <v>176</v>
      </c>
      <c r="Q57" s="92" t="s">
        <v>177</v>
      </c>
      <c r="R5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7" s="92">
        <v>1</v>
      </c>
      <c r="T57" s="92" t="b">
        <f>Data[[#This Row],[Day Rank]]=Data[[#This Row],[W Rank]]</f>
        <v>0</v>
      </c>
      <c r="U57" s="76"/>
    </row>
    <row r="58" spans="1:21">
      <c r="A58" s="333"/>
      <c r="B58" s="326"/>
      <c r="C58" s="329"/>
      <c r="D58" s="81">
        <f>D57</f>
        <v>45475</v>
      </c>
      <c r="E58" s="140" t="str">
        <f>$K$1</f>
        <v>danram</v>
      </c>
      <c r="F58" s="8">
        <f>IFERROR(AVERAGE(Data[[#This Row],[alappatjoe]:[currydestroyer27]]), "TBD")</f>
        <v>2.2000000000000002</v>
      </c>
      <c r="G58" s="177">
        <f>IFERROR(_xlfn.STDEV.P(Data[[#This Row],[alappatjoe]:[currydestroyer27]]), "TBD")</f>
        <v>1.4696938456699069</v>
      </c>
      <c r="H58" s="135" t="s">
        <v>201</v>
      </c>
      <c r="I58" s="229" t="s">
        <v>202</v>
      </c>
      <c r="J58" s="12">
        <v>5</v>
      </c>
      <c r="K58" s="7">
        <v>2</v>
      </c>
      <c r="L58" s="7">
        <v>2</v>
      </c>
      <c r="M58" s="7">
        <v>1</v>
      </c>
      <c r="N58" s="7">
        <v>1</v>
      </c>
      <c r="O58" s="238"/>
      <c r="P58" s="234" t="s">
        <v>120</v>
      </c>
      <c r="Q58" s="93" t="s">
        <v>203</v>
      </c>
      <c r="R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8" s="93">
        <v>1</v>
      </c>
      <c r="T58" s="93" t="b">
        <f>Data[[#This Row],[Day Rank]]=Data[[#This Row],[W Rank]]</f>
        <v>1</v>
      </c>
      <c r="U58" s="76"/>
    </row>
    <row r="59" spans="1:21">
      <c r="A59" s="333"/>
      <c r="B59" s="326"/>
      <c r="C59" s="329"/>
      <c r="D59" s="81">
        <f>D57</f>
        <v>45475</v>
      </c>
      <c r="E59" s="140" t="str">
        <f>$L$1</f>
        <v>loganworsdell</v>
      </c>
      <c r="F59" s="8">
        <f>IFERROR(AVERAGE(Data[[#This Row],[alappatjoe]:[currydestroyer27]]), "TBD")</f>
        <v>2.6</v>
      </c>
      <c r="G59" s="177">
        <f>IFERROR(_xlfn.STDEV.P(Data[[#This Row],[alappatjoe]:[currydestroyer27]]), "TBD")</f>
        <v>1.6248076809271921</v>
      </c>
      <c r="H59" s="135" t="s">
        <v>204</v>
      </c>
      <c r="I59" s="229" t="s">
        <v>205</v>
      </c>
      <c r="J59" s="13">
        <v>2</v>
      </c>
      <c r="K59" s="8">
        <v>1</v>
      </c>
      <c r="L59" s="8">
        <v>1</v>
      </c>
      <c r="M59" s="8">
        <v>5</v>
      </c>
      <c r="N59" s="8">
        <v>4</v>
      </c>
      <c r="O59" s="238"/>
      <c r="P59" s="234" t="s">
        <v>51</v>
      </c>
      <c r="Q59" s="93" t="s">
        <v>206</v>
      </c>
      <c r="R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9" s="93">
        <v>1</v>
      </c>
      <c r="T59" s="93" t="b">
        <f>Data[[#This Row],[Day Rank]]=Data[[#This Row],[W Rank]]</f>
        <v>0</v>
      </c>
      <c r="U59" s="76"/>
    </row>
    <row r="60" spans="1:21" ht="15.75" thickBot="1">
      <c r="A60" s="333"/>
      <c r="B60" s="326"/>
      <c r="C60" s="329"/>
      <c r="D60" s="81">
        <f>D57</f>
        <v>45475</v>
      </c>
      <c r="E60" s="140" t="str">
        <f>$M$1</f>
        <v>samuelbattista</v>
      </c>
      <c r="F60" s="8">
        <f>IFERROR(AVERAGE(Data[[#This Row],[alappatjoe]:[currydestroyer27]]), "TBD")</f>
        <v>3.2</v>
      </c>
      <c r="G60" s="177">
        <f>IFERROR(_xlfn.STDEV.P(Data[[#This Row],[alappatjoe]:[currydestroyer27]]), "TBD")</f>
        <v>0.74833147735478833</v>
      </c>
      <c r="H60" s="135" t="s">
        <v>207</v>
      </c>
      <c r="I60" s="229" t="s">
        <v>208</v>
      </c>
      <c r="J60" s="14">
        <v>4</v>
      </c>
      <c r="K60" s="9">
        <v>3</v>
      </c>
      <c r="L60" s="9">
        <v>4</v>
      </c>
      <c r="M60" s="9">
        <v>2</v>
      </c>
      <c r="N60" s="9">
        <v>3</v>
      </c>
      <c r="O60" s="238"/>
      <c r="P60" s="234" t="s">
        <v>87</v>
      </c>
      <c r="Q60" s="93" t="s">
        <v>209</v>
      </c>
      <c r="R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0" s="93">
        <v>1</v>
      </c>
      <c r="T60" s="93" t="b">
        <f>Data[[#This Row],[Day Rank]]=Data[[#This Row],[W Rank]]</f>
        <v>0</v>
      </c>
      <c r="U60" s="76"/>
    </row>
    <row r="61" spans="1:21" ht="15.75" thickBot="1">
      <c r="A61" s="334"/>
      <c r="B61" s="327"/>
      <c r="C61" s="330"/>
      <c r="D61" s="82">
        <f>D57</f>
        <v>45475</v>
      </c>
      <c r="E61" s="182" t="str">
        <f>$N$1</f>
        <v>currydestroyer27</v>
      </c>
      <c r="F61" s="83">
        <f>IFERROR(AVERAGE(Data[[#This Row],[alappatjoe]:[currydestroyer27]]), "TBD")</f>
        <v>3.2</v>
      </c>
      <c r="G61" s="183">
        <f>IFERROR(_xlfn.STDEV.P(Data[[#This Row],[alappatjoe]:[currydestroyer27]]), "TBD")</f>
        <v>0.74833147735478833</v>
      </c>
      <c r="H61" s="184" t="s">
        <v>210</v>
      </c>
      <c r="I61" s="185" t="s">
        <v>211</v>
      </c>
      <c r="J61" s="11">
        <v>3</v>
      </c>
      <c r="K61" s="22">
        <v>4</v>
      </c>
      <c r="L61" s="22">
        <v>3</v>
      </c>
      <c r="M61" s="22">
        <v>4</v>
      </c>
      <c r="N61" s="22">
        <v>2</v>
      </c>
      <c r="O61" s="239"/>
      <c r="P61" s="235" t="s">
        <v>51</v>
      </c>
      <c r="Q61" s="94" t="s">
        <v>80</v>
      </c>
      <c r="R6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1" s="94">
        <v>1</v>
      </c>
      <c r="T61" s="94" t="b">
        <f>Data[[#This Row],[Day Rank]]=Data[[#This Row],[W Rank]]</f>
        <v>0</v>
      </c>
      <c r="U61" s="79"/>
    </row>
    <row r="62" spans="1:21">
      <c r="A62" s="333">
        <v>45476</v>
      </c>
      <c r="B62" s="326"/>
      <c r="C62" s="338" t="str" cm="1">
        <f t="array" ref="C62">_xlfn.LET(_xlpm.matches, _xlfn._xlws.FILTER(Data[Poster], (Data[Date]=A62)*(Data[Winner]=TRUE)), IF(ROWS(_xlpm.matches)&gt;1, "TIE", _xlpm.matches))</f>
        <v>alappatjoe</v>
      </c>
      <c r="D62" s="80">
        <f>A62</f>
        <v>45476</v>
      </c>
      <c r="E62" s="214" t="str">
        <f>$J$1</f>
        <v>alappatjoe</v>
      </c>
      <c r="F62" s="84">
        <f>IFERROR(AVERAGE(Data[[#This Row],[alappatjoe]:[currydestroyer27]]), "TBD")</f>
        <v>1.4</v>
      </c>
      <c r="G62" s="261">
        <f>IFERROR(_xlfn.STDEV.P(Data[[#This Row],[alappatjoe]:[currydestroyer27]]), "TBD")</f>
        <v>0.4898979485566356</v>
      </c>
      <c r="H62" s="263" t="s">
        <v>212</v>
      </c>
      <c r="I62" s="265" t="s">
        <v>213</v>
      </c>
      <c r="J62" s="10">
        <v>1</v>
      </c>
      <c r="K62" s="23">
        <v>2</v>
      </c>
      <c r="L62" s="23">
        <v>1</v>
      </c>
      <c r="M62" s="23">
        <v>2</v>
      </c>
      <c r="N62" s="23">
        <v>1</v>
      </c>
      <c r="O62" s="240"/>
      <c r="P62" s="233" t="s">
        <v>176</v>
      </c>
      <c r="Q62" s="92" t="s">
        <v>214</v>
      </c>
      <c r="R6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2" s="92">
        <v>1</v>
      </c>
      <c r="T62" s="92" t="b">
        <f>Data[[#This Row],[Day Rank]]=Data[[#This Row],[W Rank]]</f>
        <v>1</v>
      </c>
      <c r="U62" s="76"/>
    </row>
    <row r="63" spans="1:21">
      <c r="A63" s="333"/>
      <c r="B63" s="326"/>
      <c r="C63" s="339"/>
      <c r="D63" s="81">
        <f>D62</f>
        <v>45476</v>
      </c>
      <c r="E63" s="140" t="str">
        <f>$K$1</f>
        <v>danram</v>
      </c>
      <c r="F63" s="8">
        <f>IFERROR(AVERAGE(Data[[#This Row],[alappatjoe]:[currydestroyer27]]), "TBD")</f>
        <v>4.4000000000000004</v>
      </c>
      <c r="G63" s="177">
        <f>IFERROR(_xlfn.STDEV.P(Data[[#This Row],[alappatjoe]:[currydestroyer27]]), "TBD")</f>
        <v>0.8</v>
      </c>
      <c r="H63" s="135" t="s">
        <v>215</v>
      </c>
      <c r="I63" s="229" t="s">
        <v>216</v>
      </c>
      <c r="J63" s="12">
        <v>5</v>
      </c>
      <c r="K63" s="7">
        <v>5</v>
      </c>
      <c r="L63" s="7">
        <v>4</v>
      </c>
      <c r="M63" s="7">
        <v>5</v>
      </c>
      <c r="N63" s="7">
        <v>3</v>
      </c>
      <c r="O63" s="238"/>
      <c r="P63" s="234" t="s">
        <v>69</v>
      </c>
      <c r="Q63" s="93" t="s">
        <v>69</v>
      </c>
      <c r="R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3" s="93">
        <v>1</v>
      </c>
      <c r="T63" s="93" t="b">
        <f>Data[[#This Row],[Day Rank]]=Data[[#This Row],[W Rank]]</f>
        <v>0</v>
      </c>
      <c r="U63" s="76"/>
    </row>
    <row r="64" spans="1:21" ht="15.75" thickBot="1">
      <c r="A64" s="333"/>
      <c r="B64" s="326"/>
      <c r="C64" s="339"/>
      <c r="D64" s="81">
        <f>D62</f>
        <v>45476</v>
      </c>
      <c r="E64" s="140" t="str">
        <f>$L$1</f>
        <v>loganworsdell</v>
      </c>
      <c r="F64" s="8">
        <f>IFERROR(AVERAGE(Data[[#This Row],[alappatjoe]:[currydestroyer27]]), "TBD")</f>
        <v>4.2</v>
      </c>
      <c r="G64" s="177">
        <f>IFERROR(_xlfn.STDEV.P(Data[[#This Row],[alappatjoe]:[currydestroyer27]]), "TBD")</f>
        <v>0.74833147735478833</v>
      </c>
      <c r="H64" s="135" t="s">
        <v>217</v>
      </c>
      <c r="I64" s="229" t="s">
        <v>218</v>
      </c>
      <c r="J64" s="13">
        <v>4</v>
      </c>
      <c r="K64" s="8">
        <v>4</v>
      </c>
      <c r="L64" s="8">
        <v>5</v>
      </c>
      <c r="M64" s="8">
        <v>3</v>
      </c>
      <c r="N64" s="8">
        <v>5</v>
      </c>
      <c r="O64" s="238"/>
      <c r="P64" s="234" t="s">
        <v>58</v>
      </c>
      <c r="Q64" s="93" t="s">
        <v>219</v>
      </c>
      <c r="R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4" s="93">
        <v>1</v>
      </c>
      <c r="T64" s="93" t="b">
        <f>Data[[#This Row],[Day Rank]]=Data[[#This Row],[W Rank]]</f>
        <v>0</v>
      </c>
      <c r="U64" s="76"/>
    </row>
    <row r="65" spans="1:21" ht="15.75" thickBot="1">
      <c r="A65" s="333"/>
      <c r="B65" s="326"/>
      <c r="C65" s="339"/>
      <c r="D65" s="81">
        <f>D62</f>
        <v>45476</v>
      </c>
      <c r="E65" s="140" t="str">
        <f>$M$1</f>
        <v>samuelbattista</v>
      </c>
      <c r="F65" s="8">
        <f>IFERROR(AVERAGE(Data[[#This Row],[alappatjoe]:[currydestroyer27]]), "TBD")</f>
        <v>2.2000000000000002</v>
      </c>
      <c r="G65" s="177">
        <f>IFERROR(_xlfn.STDEV.P(Data[[#This Row],[alappatjoe]:[currydestroyer27]]), "TBD")</f>
        <v>1.1661903789690602</v>
      </c>
      <c r="H65" s="135" t="s">
        <v>220</v>
      </c>
      <c r="I65" s="229" t="s">
        <v>221</v>
      </c>
      <c r="J65" s="14">
        <v>3</v>
      </c>
      <c r="K65" s="9">
        <v>1</v>
      </c>
      <c r="L65" s="9">
        <v>2</v>
      </c>
      <c r="M65" s="9">
        <v>1</v>
      </c>
      <c r="N65" s="9">
        <v>4</v>
      </c>
      <c r="O65" s="238"/>
      <c r="P65" s="234" t="s">
        <v>69</v>
      </c>
      <c r="Q65" s="93" t="s">
        <v>69</v>
      </c>
      <c r="R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5" s="93">
        <v>1</v>
      </c>
      <c r="T65" s="93" t="b">
        <f>Data[[#This Row],[Day Rank]]=Data[[#This Row],[W Rank]]</f>
        <v>0</v>
      </c>
      <c r="U65" s="76"/>
    </row>
    <row r="66" spans="1:21" ht="15.75" thickBot="1">
      <c r="A66" s="334"/>
      <c r="B66" s="327"/>
      <c r="C66" s="340"/>
      <c r="D66" s="82">
        <f>D62</f>
        <v>45476</v>
      </c>
      <c r="E66" s="182" t="str">
        <f>$N$1</f>
        <v>currydestroyer27</v>
      </c>
      <c r="F66" s="83">
        <f>IFERROR(AVERAGE(Data[[#This Row],[alappatjoe]:[currydestroyer27]]), "TBD")</f>
        <v>2.8</v>
      </c>
      <c r="G66" s="183">
        <f>IFERROR(_xlfn.STDEV.P(Data[[#This Row],[alappatjoe]:[currydestroyer27]]), "TBD")</f>
        <v>0.74833147735478833</v>
      </c>
      <c r="H66" s="184" t="s">
        <v>222</v>
      </c>
      <c r="I66" s="185" t="s">
        <v>223</v>
      </c>
      <c r="J66" s="11">
        <v>2</v>
      </c>
      <c r="K66" s="22">
        <v>3</v>
      </c>
      <c r="L66" s="22">
        <v>3</v>
      </c>
      <c r="M66" s="22">
        <v>4</v>
      </c>
      <c r="N66" s="22">
        <v>2</v>
      </c>
      <c r="O66" s="239"/>
      <c r="P66" s="235" t="s">
        <v>120</v>
      </c>
      <c r="Q66" s="94" t="s">
        <v>224</v>
      </c>
      <c r="R6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6" s="94">
        <v>1</v>
      </c>
      <c r="T66" s="94" t="b">
        <f>Data[[#This Row],[Day Rank]]=Data[[#This Row],[W Rank]]</f>
        <v>0</v>
      </c>
      <c r="U66" s="79"/>
    </row>
    <row r="67" spans="1:21" ht="15.75" thickBot="1">
      <c r="A67" s="332">
        <v>45477</v>
      </c>
      <c r="B67" s="325"/>
      <c r="C67" s="328" t="str" cm="1">
        <f t="array" ref="C67">_xlfn.LET(_xlpm.matches, _xlfn._xlws.FILTER(Data[Poster], (Data[Date]=A67)*(Data[Winner]=TRUE)), IF(ROWS(_xlpm.matches)&gt;1, "TIE", _xlpm.matches))</f>
        <v>loganworsdell</v>
      </c>
      <c r="D67" s="80">
        <f>A67</f>
        <v>45477</v>
      </c>
      <c r="E67" s="214" t="str">
        <f>$J$1</f>
        <v>alappatjoe</v>
      </c>
      <c r="F67" s="84">
        <f>IFERROR(AVERAGE(Data[[#This Row],[alappatjoe]:[currydestroyer27]]), "TBD")</f>
        <v>3.8</v>
      </c>
      <c r="G67" s="261">
        <f>IFERROR(_xlfn.STDEV.P(Data[[#This Row],[alappatjoe]:[currydestroyer27]]), "TBD")</f>
        <v>1.4696938456699069</v>
      </c>
      <c r="H67" s="263" t="s">
        <v>225</v>
      </c>
      <c r="I67" s="265" t="s">
        <v>223</v>
      </c>
      <c r="J67" s="10">
        <v>1</v>
      </c>
      <c r="K67" s="23">
        <v>5</v>
      </c>
      <c r="L67" s="23">
        <v>4</v>
      </c>
      <c r="M67" s="23">
        <v>4</v>
      </c>
      <c r="N67" s="23">
        <v>5</v>
      </c>
      <c r="O67" s="240"/>
      <c r="P67" s="233" t="s">
        <v>170</v>
      </c>
      <c r="Q67" s="92" t="s">
        <v>226</v>
      </c>
      <c r="R6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7" s="92">
        <v>1</v>
      </c>
      <c r="T67" s="92" t="b">
        <f>Data[[#This Row],[Day Rank]]=Data[[#This Row],[W Rank]]</f>
        <v>0</v>
      </c>
      <c r="U67" s="323" t="s">
        <v>227</v>
      </c>
    </row>
    <row r="68" spans="1:21">
      <c r="A68" s="333"/>
      <c r="B68" s="326"/>
      <c r="C68" s="329"/>
      <c r="D68" s="81">
        <f>D67</f>
        <v>45477</v>
      </c>
      <c r="E68" s="140" t="str">
        <f>$K$1</f>
        <v>danram</v>
      </c>
      <c r="F68" s="8">
        <f>IFERROR(AVERAGE(Data[[#This Row],[alappatjoe]:[currydestroyer27]]), "TBD")</f>
        <v>3.6</v>
      </c>
      <c r="G68" s="177">
        <f>IFERROR(_xlfn.STDEV.P(Data[[#This Row],[alappatjoe]:[currydestroyer27]]), "TBD")</f>
        <v>1.3564659966250536</v>
      </c>
      <c r="H68" s="135" t="s">
        <v>228</v>
      </c>
      <c r="I68" s="229" t="s">
        <v>229</v>
      </c>
      <c r="J68" s="12">
        <v>5</v>
      </c>
      <c r="K68" s="7">
        <v>2</v>
      </c>
      <c r="L68" s="7">
        <v>5</v>
      </c>
      <c r="M68" s="7">
        <v>2</v>
      </c>
      <c r="N68" s="7">
        <v>4</v>
      </c>
      <c r="O68" s="238"/>
      <c r="P68" s="234" t="s">
        <v>76</v>
      </c>
      <c r="Q68" s="93" t="s">
        <v>230</v>
      </c>
      <c r="R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8" s="93">
        <v>1</v>
      </c>
      <c r="T68" s="93" t="b">
        <f>Data[[#This Row],[Day Rank]]=Data[[#This Row],[W Rank]]</f>
        <v>0</v>
      </c>
      <c r="U68" s="323"/>
    </row>
    <row r="69" spans="1:21">
      <c r="A69" s="333"/>
      <c r="B69" s="326"/>
      <c r="C69" s="329"/>
      <c r="D69" s="81">
        <f>D67</f>
        <v>45477</v>
      </c>
      <c r="E69" s="140" t="str">
        <f>$L$1</f>
        <v>loganworsdell</v>
      </c>
      <c r="F69" s="8">
        <f>IFERROR(AVERAGE(Data[[#This Row],[alappatjoe]:[currydestroyer27]]), "TBD")</f>
        <v>2.4</v>
      </c>
      <c r="G69" s="177">
        <f>IFERROR(_xlfn.STDEV.P(Data[[#This Row],[alappatjoe]:[currydestroyer27]]), "TBD")</f>
        <v>0.8</v>
      </c>
      <c r="H69" s="135" t="s">
        <v>231</v>
      </c>
      <c r="I69" s="229" t="s">
        <v>232</v>
      </c>
      <c r="J69" s="13">
        <v>3</v>
      </c>
      <c r="K69" s="8">
        <v>1</v>
      </c>
      <c r="L69" s="8">
        <v>2</v>
      </c>
      <c r="M69" s="8">
        <v>3</v>
      </c>
      <c r="N69" s="8">
        <v>3</v>
      </c>
      <c r="O69" s="238"/>
      <c r="P69" s="234" t="s">
        <v>69</v>
      </c>
      <c r="Q69" s="93" t="s">
        <v>233</v>
      </c>
      <c r="R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9" s="93">
        <v>1</v>
      </c>
      <c r="T69" s="93" t="b">
        <f>Data[[#This Row],[Day Rank]]=Data[[#This Row],[W Rank]]</f>
        <v>1</v>
      </c>
      <c r="U69" s="323"/>
    </row>
    <row r="70" spans="1:21">
      <c r="A70" s="333"/>
      <c r="B70" s="326"/>
      <c r="C70" s="329"/>
      <c r="D70" s="81">
        <f>D67</f>
        <v>45477</v>
      </c>
      <c r="E70" s="140" t="str">
        <f>$M$1</f>
        <v>samuelbattista</v>
      </c>
      <c r="F70" s="8">
        <f>IFERROR(AVERAGE(Data[[#This Row],[alappatjoe]:[currydestroyer27]]), "TBD")</f>
        <v>2.4</v>
      </c>
      <c r="G70" s="177">
        <f>IFERROR(_xlfn.STDEV.P(Data[[#This Row],[alappatjoe]:[currydestroyer27]]), "TBD")</f>
        <v>1.3564659966250536</v>
      </c>
      <c r="H70" s="135" t="s">
        <v>234</v>
      </c>
      <c r="I70" s="229" t="s">
        <v>235</v>
      </c>
      <c r="J70" s="14">
        <v>4</v>
      </c>
      <c r="K70" s="9">
        <v>4</v>
      </c>
      <c r="L70" s="9">
        <v>1</v>
      </c>
      <c r="M70" s="9">
        <v>1</v>
      </c>
      <c r="N70" s="9">
        <v>2</v>
      </c>
      <c r="O70" s="238"/>
      <c r="P70" s="234" t="s">
        <v>120</v>
      </c>
      <c r="Q70" s="93" t="s">
        <v>120</v>
      </c>
      <c r="R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0" s="93">
        <v>1</v>
      </c>
      <c r="T70" s="93" t="b">
        <f>Data[[#This Row],[Day Rank]]=Data[[#This Row],[W Rank]]</f>
        <v>0</v>
      </c>
      <c r="U70" s="323"/>
    </row>
    <row r="71" spans="1:21" ht="15.75" thickBot="1">
      <c r="A71" s="334"/>
      <c r="B71" s="327"/>
      <c r="C71" s="330"/>
      <c r="D71" s="82">
        <f>D67</f>
        <v>45477</v>
      </c>
      <c r="E71" s="182" t="str">
        <f>$N$1</f>
        <v>currydestroyer27</v>
      </c>
      <c r="F71" s="83">
        <f>IFERROR(AVERAGE(Data[[#This Row],[alappatjoe]:[currydestroyer27]]), "TBD")</f>
        <v>2.8</v>
      </c>
      <c r="G71" s="183">
        <f>IFERROR(_xlfn.STDEV.P(Data[[#This Row],[alappatjoe]:[currydestroyer27]]), "TBD")</f>
        <v>1.3266499161421599</v>
      </c>
      <c r="H71" s="184" t="s">
        <v>236</v>
      </c>
      <c r="I71" s="185" t="s">
        <v>237</v>
      </c>
      <c r="J71" s="11">
        <v>2</v>
      </c>
      <c r="K71" s="22">
        <v>3</v>
      </c>
      <c r="L71" s="22">
        <v>3</v>
      </c>
      <c r="M71" s="22">
        <v>5</v>
      </c>
      <c r="N71" s="22">
        <v>1</v>
      </c>
      <c r="O71" s="239"/>
      <c r="P71" s="235" t="s">
        <v>120</v>
      </c>
      <c r="Q71" s="94" t="s">
        <v>224</v>
      </c>
      <c r="R7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1" s="94">
        <v>1</v>
      </c>
      <c r="T71" s="94" t="b">
        <f>Data[[#This Row],[Day Rank]]=Data[[#This Row],[W Rank]]</f>
        <v>0</v>
      </c>
      <c r="U71" s="324"/>
    </row>
    <row r="72" spans="1:21" ht="15.75" thickBot="1">
      <c r="A72" s="332">
        <v>45481</v>
      </c>
      <c r="B72" s="325"/>
      <c r="C72" s="338" t="str" cm="1">
        <f t="array" ref="C72">_xlfn.LET(_xlpm.matches, _xlfn._xlws.FILTER(Data[Poster], (Data[Date]=A72)*(Data[Winner]=TRUE)), IF(ROWS(_xlpm.matches)&gt;1, "TIE", _xlpm.matches))</f>
        <v>currydestroyer27</v>
      </c>
      <c r="D72" s="80">
        <f>A72</f>
        <v>45481</v>
      </c>
      <c r="E72" s="214" t="str">
        <f>$J$1</f>
        <v>alappatjoe</v>
      </c>
      <c r="F72" s="84">
        <f>IFERROR(AVERAGE(Data[[#This Row],[alappatjoe]:[currydestroyer27]]), "TBD")</f>
        <v>2.6</v>
      </c>
      <c r="G72" s="261">
        <f>IFERROR(_xlfn.STDEV.P(Data[[#This Row],[alappatjoe]:[currydestroyer27]]), "TBD")</f>
        <v>1.4966629547095767</v>
      </c>
      <c r="H72" s="263" t="s">
        <v>238</v>
      </c>
      <c r="I72" s="265" t="s">
        <v>239</v>
      </c>
      <c r="J72" s="10">
        <v>1</v>
      </c>
      <c r="K72" s="23">
        <v>3</v>
      </c>
      <c r="L72" s="23">
        <v>5</v>
      </c>
      <c r="M72" s="23">
        <v>1</v>
      </c>
      <c r="N72" s="23">
        <v>3</v>
      </c>
      <c r="O72" s="240"/>
      <c r="P72" s="233" t="s">
        <v>76</v>
      </c>
      <c r="Q72" s="92" t="s">
        <v>99</v>
      </c>
      <c r="R7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2" s="92">
        <v>1</v>
      </c>
      <c r="T72" s="92" t="b">
        <f>Data[[#This Row],[Day Rank]]=Data[[#This Row],[W Rank]]</f>
        <v>0</v>
      </c>
      <c r="U72" s="78"/>
    </row>
    <row r="73" spans="1:21" ht="15.75" thickBot="1">
      <c r="A73" s="333"/>
      <c r="B73" s="326"/>
      <c r="C73" s="339"/>
      <c r="D73" s="81">
        <f>D72</f>
        <v>45481</v>
      </c>
      <c r="E73" s="140" t="str">
        <f>$K$1</f>
        <v>danram</v>
      </c>
      <c r="F73" s="8">
        <f>IFERROR(AVERAGE(Data[[#This Row],[alappatjoe]:[currydestroyer27]]), "TBD")</f>
        <v>4</v>
      </c>
      <c r="G73" s="177">
        <f>IFERROR(_xlfn.STDEV.P(Data[[#This Row],[alappatjoe]:[currydestroyer27]]), "TBD")</f>
        <v>1.0954451150103321</v>
      </c>
      <c r="H73" s="135" t="s">
        <v>240</v>
      </c>
      <c r="I73" s="229" t="s">
        <v>241</v>
      </c>
      <c r="J73" s="12">
        <v>4</v>
      </c>
      <c r="K73" s="7">
        <v>2</v>
      </c>
      <c r="L73" s="7">
        <v>4</v>
      </c>
      <c r="M73" s="7">
        <v>5</v>
      </c>
      <c r="N73" s="7">
        <v>5</v>
      </c>
      <c r="O73" s="238"/>
      <c r="P73" s="234" t="s">
        <v>120</v>
      </c>
      <c r="Q73" s="93" t="s">
        <v>242</v>
      </c>
      <c r="R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3" s="93">
        <v>1</v>
      </c>
      <c r="T73" s="93" t="b">
        <f>Data[[#This Row],[Day Rank]]=Data[[#This Row],[W Rank]]</f>
        <v>0</v>
      </c>
      <c r="U73" s="76"/>
    </row>
    <row r="74" spans="1:21" ht="15.75" thickBot="1">
      <c r="A74" s="333"/>
      <c r="B74" s="326"/>
      <c r="C74" s="339"/>
      <c r="D74" s="81">
        <f>D72</f>
        <v>45481</v>
      </c>
      <c r="E74" s="140" t="str">
        <f>$L$1</f>
        <v>loganworsdell</v>
      </c>
      <c r="F74" s="8">
        <f>IFERROR(AVERAGE(Data[[#This Row],[alappatjoe]:[currydestroyer27]]), "TBD")</f>
        <v>2.6</v>
      </c>
      <c r="G74" s="177">
        <f>IFERROR(_xlfn.STDEV.P(Data[[#This Row],[alappatjoe]:[currydestroyer27]]), "TBD")</f>
        <v>0.8</v>
      </c>
      <c r="H74" s="135" t="s">
        <v>243</v>
      </c>
      <c r="I74" s="229" t="s">
        <v>244</v>
      </c>
      <c r="J74" s="13">
        <v>2</v>
      </c>
      <c r="K74" s="8">
        <v>4</v>
      </c>
      <c r="L74" s="8">
        <v>2</v>
      </c>
      <c r="M74" s="8">
        <v>3</v>
      </c>
      <c r="N74" s="8">
        <v>2</v>
      </c>
      <c r="O74" s="238"/>
      <c r="P74" s="234" t="s">
        <v>76</v>
      </c>
      <c r="Q74" s="93" t="s">
        <v>245</v>
      </c>
      <c r="R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4" s="93">
        <v>1</v>
      </c>
      <c r="T74" s="93" t="b">
        <f>Data[[#This Row],[Day Rank]]=Data[[#This Row],[W Rank]]</f>
        <v>0</v>
      </c>
      <c r="U74" s="76"/>
    </row>
    <row r="75" spans="1:21">
      <c r="A75" s="333"/>
      <c r="B75" s="326"/>
      <c r="C75" s="339"/>
      <c r="D75" s="81">
        <f>D72</f>
        <v>45481</v>
      </c>
      <c r="E75" s="140" t="str">
        <f>$M$1</f>
        <v>samuelbattista</v>
      </c>
      <c r="F75" s="8">
        <f>IFERROR(AVERAGE(Data[[#This Row],[alappatjoe]:[currydestroyer27]]), "TBD")</f>
        <v>3.8</v>
      </c>
      <c r="G75" s="177">
        <f>IFERROR(_xlfn.STDEV.P(Data[[#This Row],[alappatjoe]:[currydestroyer27]]), "TBD")</f>
        <v>1.1661903789690602</v>
      </c>
      <c r="H75" s="135" t="s">
        <v>246</v>
      </c>
      <c r="I75" s="229" t="s">
        <v>247</v>
      </c>
      <c r="J75" s="14">
        <v>5</v>
      </c>
      <c r="K75" s="9">
        <v>5</v>
      </c>
      <c r="L75" s="9">
        <v>3</v>
      </c>
      <c r="M75" s="9">
        <v>2</v>
      </c>
      <c r="N75" s="9">
        <v>4</v>
      </c>
      <c r="O75" s="238"/>
      <c r="P75" s="234" t="s">
        <v>51</v>
      </c>
      <c r="Q75" s="93" t="s">
        <v>248</v>
      </c>
      <c r="R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5" s="93">
        <v>1</v>
      </c>
      <c r="T75" s="93" t="b">
        <f>Data[[#This Row],[Day Rank]]=Data[[#This Row],[W Rank]]</f>
        <v>0</v>
      </c>
      <c r="U75" s="76"/>
    </row>
    <row r="76" spans="1:21" ht="15.75" thickBot="1">
      <c r="A76" s="334"/>
      <c r="B76" s="327"/>
      <c r="C76" s="340"/>
      <c r="D76" s="82">
        <f>D72</f>
        <v>45481</v>
      </c>
      <c r="E76" s="182" t="str">
        <f>$N$1</f>
        <v>currydestroyer27</v>
      </c>
      <c r="F76" s="83">
        <f>IFERROR(AVERAGE(Data[[#This Row],[alappatjoe]:[currydestroyer27]]), "TBD")</f>
        <v>2</v>
      </c>
      <c r="G76" s="183">
        <f>IFERROR(_xlfn.STDEV.P(Data[[#This Row],[alappatjoe]:[currydestroyer27]]), "TBD")</f>
        <v>1.2649110640673518</v>
      </c>
      <c r="H76" s="184" t="s">
        <v>249</v>
      </c>
      <c r="I76" s="185" t="s">
        <v>250</v>
      </c>
      <c r="J76" s="11">
        <v>3</v>
      </c>
      <c r="K76" s="22">
        <v>1</v>
      </c>
      <c r="L76" s="22">
        <v>1</v>
      </c>
      <c r="M76" s="22">
        <v>4</v>
      </c>
      <c r="N76" s="22">
        <v>1</v>
      </c>
      <c r="O76" s="239"/>
      <c r="P76" s="235" t="s">
        <v>51</v>
      </c>
      <c r="Q76" s="94" t="s">
        <v>51</v>
      </c>
      <c r="R7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6" s="94">
        <v>1</v>
      </c>
      <c r="T76" s="94" t="b">
        <f>Data[[#This Row],[Day Rank]]=Data[[#This Row],[W Rank]]</f>
        <v>1</v>
      </c>
      <c r="U76" s="79"/>
    </row>
    <row r="77" spans="1:21">
      <c r="A77" s="332">
        <v>45482</v>
      </c>
      <c r="B77" s="325"/>
      <c r="C77" s="328" t="str" cm="1">
        <f t="array" ref="C77">_xlfn.LET(_xlpm.matches, _xlfn._xlws.FILTER(Data[Poster], (Data[Date]=A77)*(Data[Winner]=TRUE)), IF(ROWS(_xlpm.matches)&gt;1, "TIE", _xlpm.matches))</f>
        <v>loganworsdell</v>
      </c>
      <c r="D77" s="80">
        <f>A77</f>
        <v>45482</v>
      </c>
      <c r="E77" s="214" t="str">
        <f>$J$1</f>
        <v>alappatjoe</v>
      </c>
      <c r="F77" s="84">
        <f>IFERROR(AVERAGE(Data[[#This Row],[alappatjoe]:[currydestroyer27]]), "TBD")</f>
        <v>3.8</v>
      </c>
      <c r="G77" s="261">
        <f>IFERROR(_xlfn.STDEV.P(Data[[#This Row],[alappatjoe]:[currydestroyer27]]), "TBD")</f>
        <v>0.9797958971132712</v>
      </c>
      <c r="H77" s="263" t="s">
        <v>251</v>
      </c>
      <c r="I77" s="265" t="s">
        <v>252</v>
      </c>
      <c r="J77" s="10">
        <v>2</v>
      </c>
      <c r="K77" s="23">
        <v>4</v>
      </c>
      <c r="L77" s="23">
        <v>4</v>
      </c>
      <c r="M77" s="23">
        <v>5</v>
      </c>
      <c r="N77" s="23">
        <v>4</v>
      </c>
      <c r="O77" s="240"/>
      <c r="P77" s="233" t="s">
        <v>76</v>
      </c>
      <c r="Q77" s="92" t="s">
        <v>253</v>
      </c>
      <c r="R7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7" s="92">
        <v>1</v>
      </c>
      <c r="T77" s="92" t="b">
        <f>Data[[#This Row],[Day Rank]]=Data[[#This Row],[W Rank]]</f>
        <v>0</v>
      </c>
      <c r="U77" s="78"/>
    </row>
    <row r="78" spans="1:21">
      <c r="A78" s="333"/>
      <c r="B78" s="326"/>
      <c r="C78" s="329"/>
      <c r="D78" s="81">
        <f>D77</f>
        <v>45482</v>
      </c>
      <c r="E78" s="140" t="str">
        <f>$K$1</f>
        <v>danram</v>
      </c>
      <c r="F78" s="8">
        <f>IFERROR(AVERAGE(Data[[#This Row],[alappatjoe]:[currydestroyer27]]), "TBD")</f>
        <v>2.8</v>
      </c>
      <c r="G78" s="177">
        <f>IFERROR(_xlfn.STDEV.P(Data[[#This Row],[alappatjoe]:[currydestroyer27]]), "TBD")</f>
        <v>1.3266499161421599</v>
      </c>
      <c r="H78" s="135" t="s">
        <v>254</v>
      </c>
      <c r="I78" s="229" t="s">
        <v>255</v>
      </c>
      <c r="J78" s="12">
        <v>5</v>
      </c>
      <c r="K78" s="7">
        <v>1</v>
      </c>
      <c r="L78" s="7">
        <v>3</v>
      </c>
      <c r="M78" s="7">
        <v>2</v>
      </c>
      <c r="N78" s="7">
        <v>3</v>
      </c>
      <c r="O78" s="238"/>
      <c r="P78" s="234" t="s">
        <v>120</v>
      </c>
      <c r="Q78" s="93" t="s">
        <v>157</v>
      </c>
      <c r="R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8" s="93">
        <v>1</v>
      </c>
      <c r="T78" s="93" t="b">
        <f>Data[[#This Row],[Day Rank]]=Data[[#This Row],[W Rank]]</f>
        <v>0</v>
      </c>
      <c r="U78" s="76"/>
    </row>
    <row r="79" spans="1:21">
      <c r="A79" s="333"/>
      <c r="B79" s="326"/>
      <c r="C79" s="329"/>
      <c r="D79" s="81">
        <f>D77</f>
        <v>45482</v>
      </c>
      <c r="E79" s="140" t="str">
        <f>$L$1</f>
        <v>loganworsdell</v>
      </c>
      <c r="F79" s="8">
        <f>IFERROR(AVERAGE(Data[[#This Row],[alappatjoe]:[currydestroyer27]]), "TBD")</f>
        <v>2.4</v>
      </c>
      <c r="G79" s="177">
        <f>IFERROR(_xlfn.STDEV.P(Data[[#This Row],[alappatjoe]:[currydestroyer27]]), "TBD")</f>
        <v>1.4966629547095767</v>
      </c>
      <c r="H79" s="135" t="s">
        <v>256</v>
      </c>
      <c r="I79" s="229" t="s">
        <v>257</v>
      </c>
      <c r="J79" s="13">
        <v>1</v>
      </c>
      <c r="K79" s="8">
        <v>5</v>
      </c>
      <c r="L79" s="8">
        <v>1</v>
      </c>
      <c r="M79" s="8">
        <v>3</v>
      </c>
      <c r="N79" s="8">
        <v>2</v>
      </c>
      <c r="O79" s="238"/>
      <c r="P79" s="234" t="s">
        <v>76</v>
      </c>
      <c r="Q79" s="93" t="s">
        <v>258</v>
      </c>
      <c r="R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9" s="93">
        <v>1</v>
      </c>
      <c r="T79" s="93" t="b">
        <f>Data[[#This Row],[Day Rank]]=Data[[#This Row],[W Rank]]</f>
        <v>1</v>
      </c>
      <c r="U79" s="76"/>
    </row>
    <row r="80" spans="1:21">
      <c r="A80" s="333"/>
      <c r="B80" s="326"/>
      <c r="C80" s="329"/>
      <c r="D80" s="81">
        <f>D77</f>
        <v>45482</v>
      </c>
      <c r="E80" s="140" t="str">
        <f>$M$1</f>
        <v>samuelbattista</v>
      </c>
      <c r="F80" s="8">
        <f>IFERROR(AVERAGE(Data[[#This Row],[alappatjoe]:[currydestroyer27]]), "TBD")</f>
        <v>3.2</v>
      </c>
      <c r="G80" s="177">
        <f>IFERROR(_xlfn.STDEV.P(Data[[#This Row],[alappatjoe]:[currydestroyer27]]), "TBD")</f>
        <v>1.6</v>
      </c>
      <c r="H80" s="135" t="s">
        <v>259</v>
      </c>
      <c r="I80" s="229" t="s">
        <v>260</v>
      </c>
      <c r="J80" s="14">
        <v>3</v>
      </c>
      <c r="K80" s="9">
        <v>2</v>
      </c>
      <c r="L80" s="9">
        <v>5</v>
      </c>
      <c r="M80" s="9">
        <v>1</v>
      </c>
      <c r="N80" s="9">
        <v>5</v>
      </c>
      <c r="O80" s="238"/>
      <c r="P80" s="234" t="s">
        <v>51</v>
      </c>
      <c r="Q80" s="93" t="s">
        <v>261</v>
      </c>
      <c r="R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0" s="93">
        <v>1</v>
      </c>
      <c r="T80" s="93" t="b">
        <f>Data[[#This Row],[Day Rank]]=Data[[#This Row],[W Rank]]</f>
        <v>0</v>
      </c>
      <c r="U80" s="76"/>
    </row>
    <row r="81" spans="1:21" ht="15.75" thickBot="1">
      <c r="A81" s="334"/>
      <c r="B81" s="327"/>
      <c r="C81" s="330"/>
      <c r="D81" s="82">
        <f>D77</f>
        <v>45482</v>
      </c>
      <c r="E81" s="182" t="str">
        <f>$N$1</f>
        <v>currydestroyer27</v>
      </c>
      <c r="F81" s="83">
        <f>IFERROR(AVERAGE(Data[[#This Row],[alappatjoe]:[currydestroyer27]]), "TBD")</f>
        <v>2.8</v>
      </c>
      <c r="G81" s="183">
        <f>IFERROR(_xlfn.STDEV.P(Data[[#This Row],[alappatjoe]:[currydestroyer27]]), "TBD")</f>
        <v>1.1661903789690602</v>
      </c>
      <c r="H81" s="184" t="s">
        <v>262</v>
      </c>
      <c r="I81" s="185" t="s">
        <v>263</v>
      </c>
      <c r="J81" s="11">
        <v>4</v>
      </c>
      <c r="K81" s="22">
        <v>3</v>
      </c>
      <c r="L81" s="22">
        <v>2</v>
      </c>
      <c r="M81" s="22">
        <v>4</v>
      </c>
      <c r="N81" s="22">
        <v>1</v>
      </c>
      <c r="O81" s="239"/>
      <c r="P81" s="235" t="s">
        <v>76</v>
      </c>
      <c r="Q81" s="94" t="s">
        <v>99</v>
      </c>
      <c r="R8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1" s="94">
        <v>1</v>
      </c>
      <c r="T81" s="94" t="b">
        <f>Data[[#This Row],[Day Rank]]=Data[[#This Row],[W Rank]]</f>
        <v>0</v>
      </c>
      <c r="U81" s="79"/>
    </row>
    <row r="82" spans="1:21" ht="15.75" thickBot="1">
      <c r="A82" s="332">
        <v>45483</v>
      </c>
      <c r="B82" s="325"/>
      <c r="C82" s="338" t="str" cm="1">
        <f t="array" ref="C82">_xlfn.LET(_xlpm.matches, _xlfn._xlws.FILTER(Data[Poster], (Data[Date]=A82)*(Data[Winner]=TRUE)), IF(ROWS(_xlpm.matches)&gt;1, "TIE", _xlpm.matches))</f>
        <v>currydestroyer27</v>
      </c>
      <c r="D82" s="80">
        <f>A82</f>
        <v>45483</v>
      </c>
      <c r="E82" s="214" t="str">
        <f>$J$1</f>
        <v>alappatjoe</v>
      </c>
      <c r="F82" s="84">
        <f>IFERROR(AVERAGE(Data[[#This Row],[alappatjoe]:[currydestroyer27]]), "TBD")</f>
        <v>3.4</v>
      </c>
      <c r="G82" s="261">
        <f>IFERROR(_xlfn.STDEV.P(Data[[#This Row],[alappatjoe]:[currydestroyer27]]), "TBD")</f>
        <v>1.6248076809271921</v>
      </c>
      <c r="H82" s="263" t="s">
        <v>264</v>
      </c>
      <c r="I82" s="265" t="s">
        <v>265</v>
      </c>
      <c r="J82" s="10">
        <v>1</v>
      </c>
      <c r="K82" s="23">
        <v>5</v>
      </c>
      <c r="L82" s="23">
        <v>4</v>
      </c>
      <c r="M82" s="23">
        <v>5</v>
      </c>
      <c r="N82" s="23">
        <v>2</v>
      </c>
      <c r="O82" s="240"/>
      <c r="P82" s="233" t="s">
        <v>76</v>
      </c>
      <c r="Q82" s="92" t="s">
        <v>99</v>
      </c>
      <c r="R8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2" s="92">
        <v>1</v>
      </c>
      <c r="T82" s="92" t="b">
        <f>Data[[#This Row],[Day Rank]]=Data[[#This Row],[W Rank]]</f>
        <v>0</v>
      </c>
      <c r="U82" s="78"/>
    </row>
    <row r="83" spans="1:21" ht="15.75" thickBot="1">
      <c r="A83" s="333"/>
      <c r="B83" s="326"/>
      <c r="C83" s="339"/>
      <c r="D83" s="81">
        <f>D82</f>
        <v>45483</v>
      </c>
      <c r="E83" s="140" t="str">
        <f>$K$1</f>
        <v>danram</v>
      </c>
      <c r="F83" s="8">
        <f>IFERROR(AVERAGE(Data[[#This Row],[alappatjoe]:[currydestroyer27]]), "TBD")</f>
        <v>2.4</v>
      </c>
      <c r="G83" s="177">
        <f>IFERROR(_xlfn.STDEV.P(Data[[#This Row],[alappatjoe]:[currydestroyer27]]), "TBD")</f>
        <v>1.4966629547095767</v>
      </c>
      <c r="H83" s="135" t="s">
        <v>266</v>
      </c>
      <c r="I83" s="229" t="s">
        <v>267</v>
      </c>
      <c r="J83" s="12">
        <v>5</v>
      </c>
      <c r="K83" s="7">
        <v>1</v>
      </c>
      <c r="L83" s="7">
        <v>1</v>
      </c>
      <c r="M83" s="7">
        <v>2</v>
      </c>
      <c r="N83" s="7">
        <v>3</v>
      </c>
      <c r="O83" s="238"/>
      <c r="P83" s="234" t="s">
        <v>76</v>
      </c>
      <c r="Q83" s="93" t="s">
        <v>268</v>
      </c>
      <c r="R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3" s="93">
        <v>1</v>
      </c>
      <c r="T83" s="93" t="b">
        <f>Data[[#This Row],[Day Rank]]=Data[[#This Row],[W Rank]]</f>
        <v>0</v>
      </c>
      <c r="U83" s="76"/>
    </row>
    <row r="84" spans="1:21" ht="15.75" thickBot="1">
      <c r="A84" s="333"/>
      <c r="B84" s="326"/>
      <c r="C84" s="339"/>
      <c r="D84" s="81">
        <f>D82</f>
        <v>45483</v>
      </c>
      <c r="E84" s="140" t="str">
        <f>$L$1</f>
        <v>loganworsdell</v>
      </c>
      <c r="F84" s="8">
        <f>IFERROR(AVERAGE(Data[[#This Row],[alappatjoe]:[currydestroyer27]]), "TBD")</f>
        <v>3.8</v>
      </c>
      <c r="G84" s="177">
        <f>IFERROR(_xlfn.STDEV.P(Data[[#This Row],[alappatjoe]:[currydestroyer27]]), "TBD")</f>
        <v>0.74833147735478833</v>
      </c>
      <c r="H84" s="135" t="s">
        <v>269</v>
      </c>
      <c r="I84" s="229" t="s">
        <v>270</v>
      </c>
      <c r="J84" s="13">
        <v>3</v>
      </c>
      <c r="K84" s="8">
        <v>3</v>
      </c>
      <c r="L84" s="8">
        <v>5</v>
      </c>
      <c r="M84" s="8">
        <v>4</v>
      </c>
      <c r="N84" s="8">
        <v>4</v>
      </c>
      <c r="O84" s="238"/>
      <c r="P84" s="234" t="s">
        <v>76</v>
      </c>
      <c r="Q84" s="93" t="s">
        <v>271</v>
      </c>
      <c r="R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4" s="93">
        <v>1</v>
      </c>
      <c r="T84" s="93" t="b">
        <f>Data[[#This Row],[Day Rank]]=Data[[#This Row],[W Rank]]</f>
        <v>0</v>
      </c>
      <c r="U84" s="76"/>
    </row>
    <row r="85" spans="1:21">
      <c r="A85" s="333"/>
      <c r="B85" s="326"/>
      <c r="C85" s="339"/>
      <c r="D85" s="81">
        <f>D82</f>
        <v>45483</v>
      </c>
      <c r="E85" s="140" t="str">
        <f>$M$1</f>
        <v>samuelbattista</v>
      </c>
      <c r="F85" s="8">
        <f>IFERROR(AVERAGE(Data[[#This Row],[alappatjoe]:[currydestroyer27]]), "TBD")</f>
        <v>3.6</v>
      </c>
      <c r="G85" s="177">
        <f>IFERROR(_xlfn.STDEV.P(Data[[#This Row],[alappatjoe]:[currydestroyer27]]), "TBD")</f>
        <v>1.019803902718557</v>
      </c>
      <c r="H85" s="135" t="s">
        <v>272</v>
      </c>
      <c r="I85" s="229" t="s">
        <v>273</v>
      </c>
      <c r="J85" s="14">
        <v>4</v>
      </c>
      <c r="K85" s="9">
        <v>4</v>
      </c>
      <c r="L85" s="9">
        <v>2</v>
      </c>
      <c r="M85" s="9">
        <v>3</v>
      </c>
      <c r="N85" s="9">
        <v>5</v>
      </c>
      <c r="O85" s="238"/>
      <c r="P85" s="234" t="s">
        <v>69</v>
      </c>
      <c r="Q85" s="93" t="s">
        <v>274</v>
      </c>
      <c r="R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5" s="93">
        <v>1</v>
      </c>
      <c r="T85" s="93" t="b">
        <f>Data[[#This Row],[Day Rank]]=Data[[#This Row],[W Rank]]</f>
        <v>0</v>
      </c>
      <c r="U85" s="76"/>
    </row>
    <row r="86" spans="1:21" ht="15.75" thickBot="1">
      <c r="A86" s="334"/>
      <c r="B86" s="327"/>
      <c r="C86" s="340"/>
      <c r="D86" s="82">
        <f>D82</f>
        <v>45483</v>
      </c>
      <c r="E86" s="182" t="str">
        <f>$N$1</f>
        <v>currydestroyer27</v>
      </c>
      <c r="F86" s="83">
        <f>IFERROR(AVERAGE(Data[[#This Row],[alappatjoe]:[currydestroyer27]]), "TBD")</f>
        <v>1.8</v>
      </c>
      <c r="G86" s="183">
        <f>IFERROR(_xlfn.STDEV.P(Data[[#This Row],[alappatjoe]:[currydestroyer27]]), "TBD")</f>
        <v>0.74833147735478833</v>
      </c>
      <c r="H86" s="184" t="s">
        <v>275</v>
      </c>
      <c r="I86" s="185" t="s">
        <v>276</v>
      </c>
      <c r="J86" s="11">
        <v>2</v>
      </c>
      <c r="K86" s="22">
        <v>2</v>
      </c>
      <c r="L86" s="22">
        <v>3</v>
      </c>
      <c r="M86" s="22">
        <v>1</v>
      </c>
      <c r="N86" s="22">
        <v>1</v>
      </c>
      <c r="O86" s="239"/>
      <c r="P86" s="235" t="s">
        <v>76</v>
      </c>
      <c r="Q86" s="94" t="s">
        <v>277</v>
      </c>
      <c r="R8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6" s="94">
        <v>1</v>
      </c>
      <c r="T86" s="94" t="b">
        <f>Data[[#This Row],[Day Rank]]=Data[[#This Row],[W Rank]]</f>
        <v>1</v>
      </c>
      <c r="U86" s="79"/>
    </row>
    <row r="87" spans="1:21">
      <c r="A87" s="332">
        <v>45484</v>
      </c>
      <c r="B87" s="325"/>
      <c r="C87" s="328" t="str" cm="1">
        <f t="array" ref="C87">_xlfn.LET(_xlpm.matches, _xlfn._xlws.FILTER(Data[Poster], (Data[Date]=A87)*(Data[Winner]=TRUE)), IF(ROWS(_xlpm.matches)&gt;1, "TIE", _xlpm.matches))</f>
        <v>samuelbattista</v>
      </c>
      <c r="D87" s="80">
        <f>A87</f>
        <v>45484</v>
      </c>
      <c r="E87" s="214" t="str">
        <f>$J$1</f>
        <v>alappatjoe</v>
      </c>
      <c r="F87" s="84">
        <f>IFERROR(AVERAGE(Data[[#This Row],[alappatjoe]:[currydestroyer27]]), "TBD")</f>
        <v>3</v>
      </c>
      <c r="G87" s="261">
        <f>IFERROR(_xlfn.STDEV.P(Data[[#This Row],[alappatjoe]:[currydestroyer27]]), "TBD")</f>
        <v>1.7888543819998317</v>
      </c>
      <c r="H87" s="263" t="s">
        <v>278</v>
      </c>
      <c r="I87" s="265" t="s">
        <v>279</v>
      </c>
      <c r="J87" s="10">
        <v>1</v>
      </c>
      <c r="K87" s="23">
        <v>5</v>
      </c>
      <c r="L87" s="23">
        <v>3</v>
      </c>
      <c r="M87" s="23">
        <v>5</v>
      </c>
      <c r="N87" s="23">
        <v>1</v>
      </c>
      <c r="O87" s="240"/>
      <c r="P87" s="233" t="s">
        <v>51</v>
      </c>
      <c r="Q87" s="92" t="s">
        <v>51</v>
      </c>
      <c r="R8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7" s="92">
        <v>1</v>
      </c>
      <c r="T87" s="92" t="b">
        <f>Data[[#This Row],[Day Rank]]=Data[[#This Row],[W Rank]]</f>
        <v>0</v>
      </c>
      <c r="U87" s="331" t="s">
        <v>280</v>
      </c>
    </row>
    <row r="88" spans="1:21" ht="15.75" thickBot="1">
      <c r="A88" s="333"/>
      <c r="B88" s="326"/>
      <c r="C88" s="329"/>
      <c r="D88" s="81">
        <f>D87</f>
        <v>45484</v>
      </c>
      <c r="E88" s="140" t="str">
        <f>$K$1</f>
        <v>danram</v>
      </c>
      <c r="F88" s="8">
        <f>IFERROR(AVERAGE(Data[[#This Row],[alappatjoe]:[currydestroyer27]]), "TBD")</f>
        <v>3</v>
      </c>
      <c r="G88" s="177">
        <f>IFERROR(_xlfn.STDEV.P(Data[[#This Row],[alappatjoe]:[currydestroyer27]]), "TBD")</f>
        <v>1.6733200530681511</v>
      </c>
      <c r="H88" s="135" t="s">
        <v>281</v>
      </c>
      <c r="I88" s="229" t="s">
        <v>282</v>
      </c>
      <c r="J88" s="12">
        <v>2</v>
      </c>
      <c r="K88" s="7">
        <v>1</v>
      </c>
      <c r="L88" s="7">
        <v>5</v>
      </c>
      <c r="M88" s="7">
        <v>2</v>
      </c>
      <c r="N88" s="7">
        <v>5</v>
      </c>
      <c r="O88" s="238"/>
      <c r="P88" s="234" t="s">
        <v>69</v>
      </c>
      <c r="Q88" s="93" t="s">
        <v>69</v>
      </c>
      <c r="R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8" s="93">
        <v>1</v>
      </c>
      <c r="T88" s="93" t="b">
        <f>Data[[#This Row],[Day Rank]]=Data[[#This Row],[W Rank]]</f>
        <v>0</v>
      </c>
      <c r="U88" s="323"/>
    </row>
    <row r="89" spans="1:21">
      <c r="A89" s="333"/>
      <c r="B89" s="326"/>
      <c r="C89" s="329"/>
      <c r="D89" s="81">
        <f>D87</f>
        <v>45484</v>
      </c>
      <c r="E89" s="140" t="str">
        <f>$L$1</f>
        <v>loganworsdell</v>
      </c>
      <c r="F89" s="8">
        <f>IFERROR(AVERAGE(Data[[#This Row],[alappatjoe]:[currydestroyer27]]), "TBD")</f>
        <v>3.4</v>
      </c>
      <c r="G89" s="177">
        <f>IFERROR(_xlfn.STDEV.P(Data[[#This Row],[alappatjoe]:[currydestroyer27]]), "TBD")</f>
        <v>0.8</v>
      </c>
      <c r="H89" s="135" t="s">
        <v>283</v>
      </c>
      <c r="I89" s="229" t="s">
        <v>284</v>
      </c>
      <c r="J89" s="13">
        <v>4</v>
      </c>
      <c r="K89" s="8">
        <v>3</v>
      </c>
      <c r="L89" s="8">
        <v>2</v>
      </c>
      <c r="M89" s="8">
        <v>4</v>
      </c>
      <c r="N89" s="8">
        <v>4</v>
      </c>
      <c r="O89" s="238"/>
      <c r="P89" s="234" t="s">
        <v>120</v>
      </c>
      <c r="Q89" s="93" t="s">
        <v>285</v>
      </c>
      <c r="R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9" s="93">
        <v>1</v>
      </c>
      <c r="T89" s="93" t="b">
        <f>Data[[#This Row],[Day Rank]]=Data[[#This Row],[W Rank]]</f>
        <v>0</v>
      </c>
      <c r="U89" s="323"/>
    </row>
    <row r="90" spans="1:21">
      <c r="A90" s="333"/>
      <c r="B90" s="326"/>
      <c r="C90" s="329"/>
      <c r="D90" s="81">
        <f>D87</f>
        <v>45484</v>
      </c>
      <c r="E90" s="140" t="str">
        <f>$M$1</f>
        <v>samuelbattista</v>
      </c>
      <c r="F90" s="8">
        <f>IFERROR(AVERAGE(Data[[#This Row],[alappatjoe]:[currydestroyer27]]), "TBD")</f>
        <v>2.2000000000000002</v>
      </c>
      <c r="G90" s="177">
        <f>IFERROR(_xlfn.STDEV.P(Data[[#This Row],[alappatjoe]:[currydestroyer27]]), "TBD")</f>
        <v>1.4696938456699069</v>
      </c>
      <c r="H90" s="135" t="s">
        <v>286</v>
      </c>
      <c r="I90" s="229" t="s">
        <v>287</v>
      </c>
      <c r="J90" s="14">
        <v>5</v>
      </c>
      <c r="K90" s="9">
        <v>2</v>
      </c>
      <c r="L90" s="9">
        <v>1</v>
      </c>
      <c r="M90" s="9">
        <v>1</v>
      </c>
      <c r="N90" s="9">
        <v>2</v>
      </c>
      <c r="O90" s="238"/>
      <c r="P90" s="234" t="s">
        <v>69</v>
      </c>
      <c r="Q90" s="93" t="s">
        <v>69</v>
      </c>
      <c r="R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0" s="93">
        <v>1</v>
      </c>
      <c r="T90" s="93" t="b">
        <f>Data[[#This Row],[Day Rank]]=Data[[#This Row],[W Rank]]</f>
        <v>1</v>
      </c>
      <c r="U90" s="323"/>
    </row>
    <row r="91" spans="1:21" ht="15.75" thickBot="1">
      <c r="A91" s="334"/>
      <c r="B91" s="327"/>
      <c r="C91" s="330"/>
      <c r="D91" s="82">
        <f>D87</f>
        <v>45484</v>
      </c>
      <c r="E91" s="182" t="str">
        <f>$N$1</f>
        <v>currydestroyer27</v>
      </c>
      <c r="F91" s="83">
        <f>IFERROR(AVERAGE(Data[[#This Row],[alappatjoe]:[currydestroyer27]]), "TBD")</f>
        <v>3.4</v>
      </c>
      <c r="G91" s="183">
        <f>IFERROR(_xlfn.STDEV.P(Data[[#This Row],[alappatjoe]:[currydestroyer27]]), "TBD")</f>
        <v>0.4898979485566356</v>
      </c>
      <c r="H91" s="184" t="s">
        <v>288</v>
      </c>
      <c r="I91" s="185" t="s">
        <v>289</v>
      </c>
      <c r="J91" s="11">
        <v>3</v>
      </c>
      <c r="K91" s="22">
        <v>4</v>
      </c>
      <c r="L91" s="22">
        <v>4</v>
      </c>
      <c r="M91" s="22">
        <v>3</v>
      </c>
      <c r="N91" s="22">
        <v>3</v>
      </c>
      <c r="O91" s="239"/>
      <c r="P91" s="235" t="s">
        <v>69</v>
      </c>
      <c r="Q91" s="94" t="s">
        <v>290</v>
      </c>
      <c r="R9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1" s="94">
        <v>1</v>
      </c>
      <c r="T91" s="94" t="b">
        <f>Data[[#This Row],[Day Rank]]=Data[[#This Row],[W Rank]]</f>
        <v>0</v>
      </c>
      <c r="U91" s="324"/>
    </row>
    <row r="92" spans="1:21" ht="15.75" thickBot="1">
      <c r="A92" s="332">
        <v>45488</v>
      </c>
      <c r="B92" s="325"/>
      <c r="C92" s="338" t="str" cm="1">
        <f t="array" ref="C92">_xlfn.LET(_xlpm.matches, _xlfn._xlws.FILTER(Data[Poster], (Data[Date]=A92)*(Data[Winner]=TRUE)), IF(ROWS(_xlpm.matches)&gt;1, "TIE", _xlpm.matches))</f>
        <v>currydestroyer27</v>
      </c>
      <c r="D92" s="80">
        <f>A92</f>
        <v>45488</v>
      </c>
      <c r="E92" s="214" t="str">
        <f>$J$1</f>
        <v>alappatjoe</v>
      </c>
      <c r="F92" s="84">
        <f>IFERROR(AVERAGE(Data[[#This Row],[alappatjoe]:[currydestroyer27]]), "TBD")</f>
        <v>2.6</v>
      </c>
      <c r="G92" s="261">
        <f>IFERROR(_xlfn.STDEV.P(Data[[#This Row],[alappatjoe]:[currydestroyer27]]), "TBD")</f>
        <v>1.6248076809271921</v>
      </c>
      <c r="H92" s="263" t="s">
        <v>291</v>
      </c>
      <c r="I92" s="265" t="s">
        <v>292</v>
      </c>
      <c r="J92" s="10">
        <v>1</v>
      </c>
      <c r="K92" s="23">
        <v>1</v>
      </c>
      <c r="L92" s="23">
        <v>4</v>
      </c>
      <c r="M92" s="23">
        <v>5</v>
      </c>
      <c r="N92" s="23">
        <v>2</v>
      </c>
      <c r="O92" s="240"/>
      <c r="P92" s="233" t="s">
        <v>293</v>
      </c>
      <c r="Q92" s="92" t="s">
        <v>293</v>
      </c>
      <c r="R9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2" s="92">
        <v>1</v>
      </c>
      <c r="T92" s="92" t="b">
        <f>Data[[#This Row],[Day Rank]]=Data[[#This Row],[W Rank]]</f>
        <v>0</v>
      </c>
      <c r="U92" s="331"/>
    </row>
    <row r="93" spans="1:21" ht="15.75" thickBot="1">
      <c r="A93" s="333"/>
      <c r="B93" s="326"/>
      <c r="C93" s="339"/>
      <c r="D93" s="81">
        <f>D92</f>
        <v>45488</v>
      </c>
      <c r="E93" s="140" t="str">
        <f>$K$1</f>
        <v>danram</v>
      </c>
      <c r="F93" s="8">
        <f>IFERROR(AVERAGE(Data[[#This Row],[alappatjoe]:[currydestroyer27]]), "TBD")</f>
        <v>3.6</v>
      </c>
      <c r="G93" s="177">
        <f>IFERROR(_xlfn.STDEV.P(Data[[#This Row],[alappatjoe]:[currydestroyer27]]), "TBD")</f>
        <v>0.8</v>
      </c>
      <c r="H93" s="135" t="s">
        <v>294</v>
      </c>
      <c r="I93" s="229" t="s">
        <v>295</v>
      </c>
      <c r="J93" s="12">
        <v>3</v>
      </c>
      <c r="K93" s="7">
        <v>3</v>
      </c>
      <c r="L93" s="7">
        <v>5</v>
      </c>
      <c r="M93" s="7">
        <v>3</v>
      </c>
      <c r="N93" s="7">
        <v>4</v>
      </c>
      <c r="O93" s="238"/>
      <c r="P93" s="234" t="s">
        <v>69</v>
      </c>
      <c r="Q93" s="93" t="s">
        <v>274</v>
      </c>
      <c r="R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3" s="93">
        <v>1</v>
      </c>
      <c r="T93" s="93" t="b">
        <f>Data[[#This Row],[Day Rank]]=Data[[#This Row],[W Rank]]</f>
        <v>0</v>
      </c>
      <c r="U93" s="323"/>
    </row>
    <row r="94" spans="1:21" ht="15.75" thickBot="1">
      <c r="A94" s="333"/>
      <c r="B94" s="326"/>
      <c r="C94" s="339"/>
      <c r="D94" s="81">
        <f>D92</f>
        <v>45488</v>
      </c>
      <c r="E94" s="140" t="str">
        <f>$L$1</f>
        <v>loganworsdell</v>
      </c>
      <c r="F94" s="8">
        <f>IFERROR(AVERAGE(Data[[#This Row],[alappatjoe]:[currydestroyer27]]), "TBD")</f>
        <v>3.2</v>
      </c>
      <c r="G94" s="177">
        <f>IFERROR(_xlfn.STDEV.P(Data[[#This Row],[alappatjoe]:[currydestroyer27]]), "TBD")</f>
        <v>1.1661903789690602</v>
      </c>
      <c r="H94" s="135" t="s">
        <v>296</v>
      </c>
      <c r="I94" s="229" t="s">
        <v>297</v>
      </c>
      <c r="J94" s="13">
        <v>4</v>
      </c>
      <c r="K94" s="8">
        <v>4</v>
      </c>
      <c r="L94" s="8">
        <v>1</v>
      </c>
      <c r="M94" s="8">
        <v>4</v>
      </c>
      <c r="N94" s="8">
        <v>3</v>
      </c>
      <c r="O94" s="238"/>
      <c r="P94" s="234" t="s">
        <v>69</v>
      </c>
      <c r="Q94" s="93" t="s">
        <v>298</v>
      </c>
      <c r="R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4" s="93">
        <v>1</v>
      </c>
      <c r="T94" s="93" t="b">
        <f>Data[[#This Row],[Day Rank]]=Data[[#This Row],[W Rank]]</f>
        <v>0</v>
      </c>
      <c r="U94" s="323"/>
    </row>
    <row r="95" spans="1:21">
      <c r="A95" s="333"/>
      <c r="B95" s="326"/>
      <c r="C95" s="339"/>
      <c r="D95" s="81">
        <f>D92</f>
        <v>45488</v>
      </c>
      <c r="E95" s="140" t="str">
        <f>$M$1</f>
        <v>samuelbattista</v>
      </c>
      <c r="F95" s="8">
        <f>IFERROR(AVERAGE(Data[[#This Row],[alappatjoe]:[currydestroyer27]]), "TBD")</f>
        <v>3.8</v>
      </c>
      <c r="G95" s="177">
        <f>IFERROR(_xlfn.STDEV.P(Data[[#This Row],[alappatjoe]:[currydestroyer27]]), "TBD")</f>
        <v>1.6</v>
      </c>
      <c r="H95" s="135" t="s">
        <v>299</v>
      </c>
      <c r="I95" s="229" t="s">
        <v>300</v>
      </c>
      <c r="J95" s="14">
        <v>5</v>
      </c>
      <c r="K95" s="9">
        <v>5</v>
      </c>
      <c r="L95" s="9">
        <v>3</v>
      </c>
      <c r="M95" s="9">
        <v>1</v>
      </c>
      <c r="N95" s="9">
        <v>5</v>
      </c>
      <c r="O95" s="238"/>
      <c r="P95" s="234" t="s">
        <v>72</v>
      </c>
      <c r="Q95" s="93" t="s">
        <v>301</v>
      </c>
      <c r="R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5" s="93">
        <v>1</v>
      </c>
      <c r="T95" s="93" t="b">
        <f>Data[[#This Row],[Day Rank]]=Data[[#This Row],[W Rank]]</f>
        <v>0</v>
      </c>
      <c r="U95" s="323"/>
    </row>
    <row r="96" spans="1:21" ht="15.75" thickBot="1">
      <c r="A96" s="334"/>
      <c r="B96" s="327"/>
      <c r="C96" s="340"/>
      <c r="D96" s="82">
        <f>D92</f>
        <v>45488</v>
      </c>
      <c r="E96" s="182" t="str">
        <f>$N$1</f>
        <v>currydestroyer27</v>
      </c>
      <c r="F96" s="83">
        <f>IFERROR(AVERAGE(Data[[#This Row],[alappatjoe]:[currydestroyer27]]), "TBD")</f>
        <v>1.8</v>
      </c>
      <c r="G96" s="183">
        <f>IFERROR(_xlfn.STDEV.P(Data[[#This Row],[alappatjoe]:[currydestroyer27]]), "TBD")</f>
        <v>0.4</v>
      </c>
      <c r="H96" s="184" t="s">
        <v>302</v>
      </c>
      <c r="I96" s="185" t="s">
        <v>303</v>
      </c>
      <c r="J96" s="11">
        <v>2</v>
      </c>
      <c r="K96" s="22">
        <v>2</v>
      </c>
      <c r="L96" s="22">
        <v>2</v>
      </c>
      <c r="M96" s="22">
        <v>2</v>
      </c>
      <c r="N96" s="22">
        <v>1</v>
      </c>
      <c r="O96" s="239"/>
      <c r="P96" s="235" t="s">
        <v>69</v>
      </c>
      <c r="Q96" s="94" t="s">
        <v>69</v>
      </c>
      <c r="R9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6" s="94">
        <v>1</v>
      </c>
      <c r="T96" s="94" t="b">
        <f>Data[[#This Row],[Day Rank]]=Data[[#This Row],[W Rank]]</f>
        <v>1</v>
      </c>
      <c r="U96" s="324"/>
    </row>
    <row r="97" spans="1:21">
      <c r="A97" s="332">
        <v>45489</v>
      </c>
      <c r="B97" s="325"/>
      <c r="C97" s="328" t="str" cm="1">
        <f t="array" ref="C97">_xlfn.LET(_xlpm.matches, _xlfn._xlws.FILTER(Data[Poster], (Data[Date]=A97)*(Data[Winner]=TRUE)), IF(ROWS(_xlpm.matches)&gt;1, "TIE", _xlpm.matches))</f>
        <v>loganworsdell</v>
      </c>
      <c r="D97" s="80">
        <f>A97</f>
        <v>45489</v>
      </c>
      <c r="E97" s="214" t="str">
        <f>$J$1</f>
        <v>alappatjoe</v>
      </c>
      <c r="F97" s="84">
        <f>IFERROR(AVERAGE(Data[[#This Row],[alappatjoe]:[currydestroyer27]]), "TBD")</f>
        <v>3.2</v>
      </c>
      <c r="G97" s="261">
        <f>IFERROR(_xlfn.STDEV.P(Data[[#This Row],[alappatjoe]:[currydestroyer27]]), "TBD")</f>
        <v>1.1661903789690602</v>
      </c>
      <c r="H97" s="263" t="s">
        <v>304</v>
      </c>
      <c r="I97" s="265" t="s">
        <v>305</v>
      </c>
      <c r="J97" s="10">
        <v>1</v>
      </c>
      <c r="K97" s="23">
        <v>4</v>
      </c>
      <c r="L97" s="23">
        <v>4</v>
      </c>
      <c r="M97" s="23">
        <v>4</v>
      </c>
      <c r="N97" s="23">
        <v>3</v>
      </c>
      <c r="O97" s="240"/>
      <c r="P97" s="233" t="s">
        <v>87</v>
      </c>
      <c r="Q97" s="92" t="s">
        <v>306</v>
      </c>
      <c r="R9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7" s="92">
        <v>1</v>
      </c>
      <c r="T97" s="92" t="b">
        <f>Data[[#This Row],[Day Rank]]=Data[[#This Row],[W Rank]]</f>
        <v>0</v>
      </c>
      <c r="U97" s="331"/>
    </row>
    <row r="98" spans="1:21">
      <c r="A98" s="333"/>
      <c r="B98" s="326"/>
      <c r="C98" s="329"/>
      <c r="D98" s="81">
        <f>D97</f>
        <v>45489</v>
      </c>
      <c r="E98" s="140" t="str">
        <f>$K$1</f>
        <v>danram</v>
      </c>
      <c r="F98" s="8">
        <f>IFERROR(AVERAGE(Data[[#This Row],[alappatjoe]:[currydestroyer27]]), "TBD")</f>
        <v>3.4</v>
      </c>
      <c r="G98" s="177">
        <f>IFERROR(_xlfn.STDEV.P(Data[[#This Row],[alappatjoe]:[currydestroyer27]]), "TBD")</f>
        <v>1.019803902718557</v>
      </c>
      <c r="H98" s="135" t="s">
        <v>307</v>
      </c>
      <c r="I98" s="229" t="s">
        <v>308</v>
      </c>
      <c r="J98" s="12">
        <v>5</v>
      </c>
      <c r="K98" s="7">
        <v>2</v>
      </c>
      <c r="L98" s="7">
        <v>3</v>
      </c>
      <c r="M98" s="7">
        <v>3</v>
      </c>
      <c r="N98" s="7">
        <v>4</v>
      </c>
      <c r="O98" s="238"/>
      <c r="P98" s="234" t="s">
        <v>76</v>
      </c>
      <c r="Q98" s="93" t="s">
        <v>309</v>
      </c>
      <c r="R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8" s="93">
        <v>1</v>
      </c>
      <c r="T98" s="93" t="b">
        <f>Data[[#This Row],[Day Rank]]=Data[[#This Row],[W Rank]]</f>
        <v>0</v>
      </c>
      <c r="U98" s="323"/>
    </row>
    <row r="99" spans="1:21">
      <c r="A99" s="333"/>
      <c r="B99" s="326"/>
      <c r="C99" s="329"/>
      <c r="D99" s="81">
        <f>D97</f>
        <v>45489</v>
      </c>
      <c r="E99" s="140" t="str">
        <f>$L$1</f>
        <v>loganworsdell</v>
      </c>
      <c r="F99" s="8">
        <f>IFERROR(AVERAGE(Data[[#This Row],[alappatjoe]:[currydestroyer27]]), "TBD")</f>
        <v>1.4</v>
      </c>
      <c r="G99" s="177">
        <f>IFERROR(_xlfn.STDEV.P(Data[[#This Row],[alappatjoe]:[currydestroyer27]]), "TBD")</f>
        <v>0.8</v>
      </c>
      <c r="H99" s="135" t="s">
        <v>310</v>
      </c>
      <c r="I99" s="229" t="s">
        <v>311</v>
      </c>
      <c r="J99" s="13">
        <v>3</v>
      </c>
      <c r="K99" s="8">
        <v>1</v>
      </c>
      <c r="L99" s="8">
        <v>1</v>
      </c>
      <c r="M99" s="8">
        <v>1</v>
      </c>
      <c r="N99" s="8">
        <v>1</v>
      </c>
      <c r="O99" s="238"/>
      <c r="P99" s="234" t="s">
        <v>51</v>
      </c>
      <c r="Q99" s="93" t="s">
        <v>312</v>
      </c>
      <c r="R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9" s="93">
        <v>1</v>
      </c>
      <c r="T99" s="93" t="b">
        <f>Data[[#This Row],[Day Rank]]=Data[[#This Row],[W Rank]]</f>
        <v>1</v>
      </c>
      <c r="U99" s="323"/>
    </row>
    <row r="100" spans="1:21">
      <c r="A100" s="333"/>
      <c r="B100" s="326"/>
      <c r="C100" s="329"/>
      <c r="D100" s="81">
        <f>D97</f>
        <v>45489</v>
      </c>
      <c r="E100" s="140" t="str">
        <f>$M$1</f>
        <v>samuelbattista</v>
      </c>
      <c r="F100" s="8">
        <f>IFERROR(AVERAGE(Data[[#This Row],[alappatjoe]:[currydestroyer27]]), "TBD")</f>
        <v>4.2</v>
      </c>
      <c r="G100" s="177">
        <f>IFERROR(_xlfn.STDEV.P(Data[[#This Row],[alappatjoe]:[currydestroyer27]]), "TBD")</f>
        <v>1.1661903789690602</v>
      </c>
      <c r="H100" s="135" t="s">
        <v>313</v>
      </c>
      <c r="I100" s="229" t="s">
        <v>314</v>
      </c>
      <c r="J100" s="14">
        <v>4</v>
      </c>
      <c r="K100" s="9">
        <v>5</v>
      </c>
      <c r="L100" s="9">
        <v>5</v>
      </c>
      <c r="M100" s="9">
        <v>2</v>
      </c>
      <c r="N100" s="9">
        <v>5</v>
      </c>
      <c r="O100" s="238"/>
      <c r="P100" s="234" t="s">
        <v>87</v>
      </c>
      <c r="Q100" s="93" t="s">
        <v>315</v>
      </c>
      <c r="R1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0" s="93">
        <v>1</v>
      </c>
      <c r="T100" s="93" t="b">
        <f>Data[[#This Row],[Day Rank]]=Data[[#This Row],[W Rank]]</f>
        <v>0</v>
      </c>
      <c r="U100" s="323"/>
    </row>
    <row r="101" spans="1:21" ht="15.75" thickBot="1">
      <c r="A101" s="334"/>
      <c r="B101" s="327"/>
      <c r="C101" s="330"/>
      <c r="D101" s="82">
        <f>D97</f>
        <v>45489</v>
      </c>
      <c r="E101" s="182" t="str">
        <f>$N$1</f>
        <v>currydestroyer27</v>
      </c>
      <c r="F101" s="83">
        <f>IFERROR(AVERAGE(Data[[#This Row],[alappatjoe]:[currydestroyer27]]), "TBD")</f>
        <v>2.8</v>
      </c>
      <c r="G101" s="183">
        <f>IFERROR(_xlfn.STDEV.P(Data[[#This Row],[alappatjoe]:[currydestroyer27]]), "TBD")</f>
        <v>1.1661903789690602</v>
      </c>
      <c r="H101" s="184" t="s">
        <v>304</v>
      </c>
      <c r="I101" s="185" t="s">
        <v>316</v>
      </c>
      <c r="J101" s="11">
        <v>2</v>
      </c>
      <c r="K101" s="22">
        <v>3</v>
      </c>
      <c r="L101" s="22">
        <v>2</v>
      </c>
      <c r="M101" s="22">
        <v>5</v>
      </c>
      <c r="N101" s="22">
        <v>2</v>
      </c>
      <c r="O101" s="239"/>
      <c r="P101" s="235" t="s">
        <v>69</v>
      </c>
      <c r="Q101" s="94" t="s">
        <v>317</v>
      </c>
      <c r="R10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1" s="94">
        <v>1</v>
      </c>
      <c r="T101" s="94" t="b">
        <f>Data[[#This Row],[Day Rank]]=Data[[#This Row],[W Rank]]</f>
        <v>0</v>
      </c>
      <c r="U101" s="324"/>
    </row>
    <row r="102" spans="1:21">
      <c r="A102" s="332">
        <v>45490</v>
      </c>
      <c r="B102" s="325"/>
      <c r="C102" s="338" t="str" cm="1">
        <f t="array" ref="C102">_xlfn.LET(_xlpm.matches, _xlfn._xlws.FILTER(Data[Poster], (Data[Date]=A102)*(Data[Winner]=TRUE)), IF(ROWS(_xlpm.matches)&gt;1, "TIE", _xlpm.matches))</f>
        <v>danram</v>
      </c>
      <c r="D102" s="80">
        <f>A102</f>
        <v>45490</v>
      </c>
      <c r="E102" s="214" t="str">
        <f>$J$1</f>
        <v>alappatjoe</v>
      </c>
      <c r="F102" s="84">
        <f>IFERROR(AVERAGE(Data[[#This Row],[alappatjoe]:[currydestroyer27]]), "TBD")</f>
        <v>3</v>
      </c>
      <c r="G102" s="261">
        <f>IFERROR(_xlfn.STDEV.P(Data[[#This Row],[alappatjoe]:[currydestroyer27]]), "TBD")</f>
        <v>1.2649110640673518</v>
      </c>
      <c r="H102" s="263" t="s">
        <v>318</v>
      </c>
      <c r="I102" s="265" t="s">
        <v>319</v>
      </c>
      <c r="J102" s="10">
        <v>1</v>
      </c>
      <c r="K102" s="23">
        <v>4</v>
      </c>
      <c r="L102" s="23">
        <v>4</v>
      </c>
      <c r="M102" s="23">
        <v>4</v>
      </c>
      <c r="N102" s="23">
        <v>2</v>
      </c>
      <c r="O102" s="240"/>
      <c r="P102" s="233" t="s">
        <v>76</v>
      </c>
      <c r="Q102" s="92" t="s">
        <v>99</v>
      </c>
      <c r="R10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2" s="92">
        <v>1</v>
      </c>
      <c r="T102" s="92" t="b">
        <f>Data[[#This Row],[Day Rank]]=Data[[#This Row],[W Rank]]</f>
        <v>0</v>
      </c>
      <c r="U102" s="331"/>
    </row>
    <row r="103" spans="1:21">
      <c r="A103" s="333"/>
      <c r="B103" s="326"/>
      <c r="C103" s="339"/>
      <c r="D103" s="81">
        <f>D102</f>
        <v>45490</v>
      </c>
      <c r="E103" s="140" t="str">
        <f>$K$1</f>
        <v>danram</v>
      </c>
      <c r="F103" s="8">
        <f>IFERROR(AVERAGE(Data[[#This Row],[alappatjoe]:[currydestroyer27]]), "TBD")</f>
        <v>2.6</v>
      </c>
      <c r="G103" s="177">
        <f>IFERROR(_xlfn.STDEV.P(Data[[#This Row],[alappatjoe]:[currydestroyer27]]), "TBD")</f>
        <v>1.9595917942265424</v>
      </c>
      <c r="H103" s="135" t="s">
        <v>320</v>
      </c>
      <c r="I103" s="229" t="s">
        <v>321</v>
      </c>
      <c r="J103" s="12">
        <v>5</v>
      </c>
      <c r="K103" s="7">
        <v>1</v>
      </c>
      <c r="L103" s="7">
        <v>1</v>
      </c>
      <c r="M103" s="7">
        <v>1</v>
      </c>
      <c r="N103" s="7">
        <v>5</v>
      </c>
      <c r="O103" s="238"/>
      <c r="P103" s="234" t="s">
        <v>120</v>
      </c>
      <c r="Q103" s="93" t="s">
        <v>322</v>
      </c>
      <c r="R1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3" s="93">
        <v>1</v>
      </c>
      <c r="T103" s="93" t="b">
        <f>Data[[#This Row],[Day Rank]]=Data[[#This Row],[W Rank]]</f>
        <v>1</v>
      </c>
      <c r="U103" s="323"/>
    </row>
    <row r="104" spans="1:21">
      <c r="A104" s="333"/>
      <c r="B104" s="326"/>
      <c r="C104" s="339"/>
      <c r="D104" s="81">
        <f>D102</f>
        <v>45490</v>
      </c>
      <c r="E104" s="140" t="str">
        <f>$L$1</f>
        <v>loganworsdell</v>
      </c>
      <c r="F104" s="8">
        <f>IFERROR(AVERAGE(Data[[#This Row],[alappatjoe]:[currydestroyer27]]), "TBD")</f>
        <v>2.8</v>
      </c>
      <c r="G104" s="177">
        <f>IFERROR(_xlfn.STDEV.P(Data[[#This Row],[alappatjoe]:[currydestroyer27]]), "TBD")</f>
        <v>0.4</v>
      </c>
      <c r="H104" s="135" t="s">
        <v>323</v>
      </c>
      <c r="I104" s="229" t="s">
        <v>324</v>
      </c>
      <c r="J104" s="13">
        <v>3</v>
      </c>
      <c r="K104" s="8">
        <v>3</v>
      </c>
      <c r="L104" s="8">
        <v>2</v>
      </c>
      <c r="M104" s="8">
        <v>3</v>
      </c>
      <c r="N104" s="8">
        <v>3</v>
      </c>
      <c r="O104" s="238"/>
      <c r="P104" s="234" t="s">
        <v>120</v>
      </c>
      <c r="Q104" s="93" t="s">
        <v>268</v>
      </c>
      <c r="R1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4" s="93">
        <v>1</v>
      </c>
      <c r="T104" s="93" t="b">
        <f>Data[[#This Row],[Day Rank]]=Data[[#This Row],[W Rank]]</f>
        <v>0</v>
      </c>
      <c r="U104" s="323"/>
    </row>
    <row r="105" spans="1:21" ht="15.75" thickBot="1">
      <c r="A105" s="333"/>
      <c r="B105" s="326"/>
      <c r="C105" s="339"/>
      <c r="D105" s="81">
        <f>D102</f>
        <v>45490</v>
      </c>
      <c r="E105" s="140" t="str">
        <f>$M$1</f>
        <v>samuelbattista</v>
      </c>
      <c r="F105" s="8">
        <f>IFERROR(AVERAGE(Data[[#This Row],[alappatjoe]:[currydestroyer27]]), "TBD")</f>
        <v>3</v>
      </c>
      <c r="G105" s="177">
        <f>IFERROR(_xlfn.STDEV.P(Data[[#This Row],[alappatjoe]:[currydestroyer27]]), "TBD")</f>
        <v>0.89442719099991586</v>
      </c>
      <c r="H105" s="135" t="s">
        <v>325</v>
      </c>
      <c r="I105" s="229" t="s">
        <v>326</v>
      </c>
      <c r="J105" s="14">
        <v>4</v>
      </c>
      <c r="K105" s="9">
        <v>2</v>
      </c>
      <c r="L105" s="9">
        <v>3</v>
      </c>
      <c r="M105" s="9">
        <v>2</v>
      </c>
      <c r="N105" s="9">
        <v>4</v>
      </c>
      <c r="O105" s="238"/>
      <c r="P105" s="234" t="s">
        <v>87</v>
      </c>
      <c r="Q105" s="93" t="s">
        <v>306</v>
      </c>
      <c r="R1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5" s="93">
        <v>1</v>
      </c>
      <c r="T105" s="93" t="b">
        <f>Data[[#This Row],[Day Rank]]=Data[[#This Row],[W Rank]]</f>
        <v>0</v>
      </c>
      <c r="U105" s="323"/>
    </row>
    <row r="106" spans="1:21" ht="15.75" thickBot="1">
      <c r="A106" s="334"/>
      <c r="B106" s="327"/>
      <c r="C106" s="340"/>
      <c r="D106" s="82">
        <f>D102</f>
        <v>45490</v>
      </c>
      <c r="E106" s="182" t="str">
        <f>$N$1</f>
        <v>currydestroyer27</v>
      </c>
      <c r="F106" s="83">
        <f>IFERROR(AVERAGE(Data[[#This Row],[alappatjoe]:[currydestroyer27]]), "TBD")</f>
        <v>3.6</v>
      </c>
      <c r="G106" s="183">
        <f>IFERROR(_xlfn.STDEV.P(Data[[#This Row],[alappatjoe]:[currydestroyer27]]), "TBD")</f>
        <v>1.7435595774162693</v>
      </c>
      <c r="H106" s="184" t="s">
        <v>327</v>
      </c>
      <c r="I106" s="185" t="s">
        <v>328</v>
      </c>
      <c r="J106" s="11">
        <v>2</v>
      </c>
      <c r="K106" s="22">
        <v>5</v>
      </c>
      <c r="L106" s="22">
        <v>5</v>
      </c>
      <c r="M106" s="22">
        <v>5</v>
      </c>
      <c r="N106" s="22">
        <v>1</v>
      </c>
      <c r="O106" s="239"/>
      <c r="P106" s="235" t="s">
        <v>51</v>
      </c>
      <c r="Q106" s="94" t="s">
        <v>329</v>
      </c>
      <c r="R10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6" s="94">
        <v>1</v>
      </c>
      <c r="T106" s="94" t="b">
        <f>Data[[#This Row],[Day Rank]]=Data[[#This Row],[W Rank]]</f>
        <v>0</v>
      </c>
      <c r="U106" s="324"/>
    </row>
    <row r="107" spans="1:21">
      <c r="A107" s="332">
        <v>45491</v>
      </c>
      <c r="B107" s="325"/>
      <c r="C107" s="328" t="str" cm="1">
        <f t="array" ref="C107">_xlfn.LET(_xlpm.matches, _xlfn._xlws.FILTER(Data[Poster], (Data[Date]=A107)*(Data[Winner]=TRUE)), IF(ROWS(_xlpm.matches)&gt;1, "TIE", _xlpm.matches))</f>
        <v>danram</v>
      </c>
      <c r="D107" s="80">
        <f>A107</f>
        <v>45491</v>
      </c>
      <c r="E107" s="214" t="str">
        <f>$J$1</f>
        <v>alappatjoe</v>
      </c>
      <c r="F107" s="84">
        <f>IFERROR(AVERAGE(Data[[#This Row],[alappatjoe]:[currydestroyer27]]), "TBD")</f>
        <v>4.2</v>
      </c>
      <c r="G107" s="261">
        <f>IFERROR(_xlfn.STDEV.P(Data[[#This Row],[alappatjoe]:[currydestroyer27]]), "TBD")</f>
        <v>1.6</v>
      </c>
      <c r="H107" s="263" t="s">
        <v>330</v>
      </c>
      <c r="I107" s="265" t="s">
        <v>331</v>
      </c>
      <c r="J107" s="10">
        <v>1</v>
      </c>
      <c r="K107" s="23">
        <v>5</v>
      </c>
      <c r="L107" s="23">
        <v>5</v>
      </c>
      <c r="M107" s="23">
        <v>5</v>
      </c>
      <c r="N107" s="23">
        <v>5</v>
      </c>
      <c r="O107" s="240"/>
      <c r="P107" s="233" t="s">
        <v>51</v>
      </c>
      <c r="Q107" s="92" t="s">
        <v>51</v>
      </c>
      <c r="R10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7" s="92">
        <v>1</v>
      </c>
      <c r="T107" s="92" t="b">
        <f>Data[[#This Row],[Day Rank]]=Data[[#This Row],[W Rank]]</f>
        <v>0</v>
      </c>
      <c r="U107" s="331" t="s">
        <v>332</v>
      </c>
    </row>
    <row r="108" spans="1:21">
      <c r="A108" s="333"/>
      <c r="B108" s="326"/>
      <c r="C108" s="329"/>
      <c r="D108" s="81">
        <f>D107</f>
        <v>45491</v>
      </c>
      <c r="E108" s="140" t="str">
        <f>$K$1</f>
        <v>danram</v>
      </c>
      <c r="F108" s="8">
        <f>IFERROR(AVERAGE(Data[[#This Row],[alappatjoe]:[currydestroyer27]]), "TBD")</f>
        <v>2.2000000000000002</v>
      </c>
      <c r="G108" s="177">
        <f>IFERROR(_xlfn.STDEV.P(Data[[#This Row],[alappatjoe]:[currydestroyer27]]), "TBD")</f>
        <v>1.1661903789690602</v>
      </c>
      <c r="H108" s="135" t="s">
        <v>333</v>
      </c>
      <c r="I108" s="229" t="s">
        <v>334</v>
      </c>
      <c r="J108" s="12">
        <v>3</v>
      </c>
      <c r="K108" s="7">
        <v>1</v>
      </c>
      <c r="L108" s="7">
        <v>1</v>
      </c>
      <c r="M108" s="7">
        <v>2</v>
      </c>
      <c r="N108" s="7">
        <v>4</v>
      </c>
      <c r="O108" s="238"/>
      <c r="P108" s="234" t="s">
        <v>76</v>
      </c>
      <c r="Q108" s="93" t="s">
        <v>335</v>
      </c>
      <c r="R1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8" s="93">
        <v>1</v>
      </c>
      <c r="T108" s="93" t="b">
        <f>Data[[#This Row],[Day Rank]]=Data[[#This Row],[W Rank]]</f>
        <v>1</v>
      </c>
      <c r="U108" s="323"/>
    </row>
    <row r="109" spans="1:21">
      <c r="A109" s="333"/>
      <c r="B109" s="326"/>
      <c r="C109" s="329"/>
      <c r="D109" s="81">
        <f>D107</f>
        <v>45491</v>
      </c>
      <c r="E109" s="140" t="str">
        <f>$L$1</f>
        <v>loganworsdell</v>
      </c>
      <c r="F109" s="8">
        <f>IFERROR(AVERAGE(Data[[#This Row],[alappatjoe]:[currydestroyer27]]), "TBD")</f>
        <v>2.4</v>
      </c>
      <c r="G109" s="177">
        <f>IFERROR(_xlfn.STDEV.P(Data[[#This Row],[alappatjoe]:[currydestroyer27]]), "TBD")</f>
        <v>0.8</v>
      </c>
      <c r="H109" s="135" t="s">
        <v>336</v>
      </c>
      <c r="I109" s="229" t="s">
        <v>337</v>
      </c>
      <c r="J109" s="13">
        <v>2</v>
      </c>
      <c r="K109" s="8">
        <v>3</v>
      </c>
      <c r="L109" s="8">
        <v>3</v>
      </c>
      <c r="M109" s="8">
        <v>3</v>
      </c>
      <c r="N109" s="8">
        <v>1</v>
      </c>
      <c r="O109" s="238"/>
      <c r="P109" s="234" t="s">
        <v>170</v>
      </c>
      <c r="Q109" s="93" t="s">
        <v>338</v>
      </c>
      <c r="R1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9" s="93">
        <v>1</v>
      </c>
      <c r="T109" s="93" t="b">
        <f>Data[[#This Row],[Day Rank]]=Data[[#This Row],[W Rank]]</f>
        <v>0</v>
      </c>
      <c r="U109" s="323"/>
    </row>
    <row r="110" spans="1:21" ht="15.75" thickBot="1">
      <c r="A110" s="333"/>
      <c r="B110" s="326"/>
      <c r="C110" s="329"/>
      <c r="D110" s="81">
        <f>D107</f>
        <v>45491</v>
      </c>
      <c r="E110" s="140" t="str">
        <f>$M$1</f>
        <v>samuelbattista</v>
      </c>
      <c r="F110" s="8">
        <f>IFERROR(AVERAGE(Data[[#This Row],[alappatjoe]:[currydestroyer27]]), "TBD")</f>
        <v>2.4</v>
      </c>
      <c r="G110" s="177">
        <f>IFERROR(_xlfn.STDEV.P(Data[[#This Row],[alappatjoe]:[currydestroyer27]]), "TBD")</f>
        <v>1.019803902718557</v>
      </c>
      <c r="H110" s="135" t="s">
        <v>339</v>
      </c>
      <c r="I110" s="229" t="s">
        <v>340</v>
      </c>
      <c r="J110" s="14">
        <v>4</v>
      </c>
      <c r="K110" s="9">
        <v>2</v>
      </c>
      <c r="L110" s="9">
        <v>2</v>
      </c>
      <c r="M110" s="9">
        <v>1</v>
      </c>
      <c r="N110" s="9">
        <v>3</v>
      </c>
      <c r="O110" s="238"/>
      <c r="P110" s="234" t="s">
        <v>51</v>
      </c>
      <c r="Q110" s="93" t="s">
        <v>341</v>
      </c>
      <c r="R1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0" s="93">
        <v>1</v>
      </c>
      <c r="T110" s="93" t="b">
        <f>Data[[#This Row],[Day Rank]]=Data[[#This Row],[W Rank]]</f>
        <v>0</v>
      </c>
      <c r="U110" s="323"/>
    </row>
    <row r="111" spans="1:21" ht="15.75" thickBot="1">
      <c r="A111" s="334"/>
      <c r="B111" s="327"/>
      <c r="C111" s="330"/>
      <c r="D111" s="82">
        <f>D107</f>
        <v>45491</v>
      </c>
      <c r="E111" s="182" t="str">
        <f>$N$1</f>
        <v>currydestroyer27</v>
      </c>
      <c r="F111" s="83">
        <f>IFERROR(AVERAGE(Data[[#This Row],[alappatjoe]:[currydestroyer27]]), "TBD")</f>
        <v>3.8</v>
      </c>
      <c r="G111" s="183">
        <f>IFERROR(_xlfn.STDEV.P(Data[[#This Row],[alappatjoe]:[currydestroyer27]]), "TBD")</f>
        <v>0.9797958971132712</v>
      </c>
      <c r="H111" s="184" t="s">
        <v>342</v>
      </c>
      <c r="I111" s="185" t="s">
        <v>343</v>
      </c>
      <c r="J111" s="11">
        <v>5</v>
      </c>
      <c r="K111" s="22">
        <v>4</v>
      </c>
      <c r="L111" s="22">
        <v>4</v>
      </c>
      <c r="M111" s="22">
        <v>4</v>
      </c>
      <c r="N111" s="22">
        <v>2</v>
      </c>
      <c r="O111" s="239"/>
      <c r="P111" s="235" t="s">
        <v>76</v>
      </c>
      <c r="Q111" s="94" t="s">
        <v>99</v>
      </c>
      <c r="R11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1" s="94">
        <v>1</v>
      </c>
      <c r="T111" s="94" t="b">
        <f>Data[[#This Row],[Day Rank]]=Data[[#This Row],[W Rank]]</f>
        <v>0</v>
      </c>
      <c r="U111" s="324"/>
    </row>
    <row r="112" spans="1:21" ht="15.75" thickBot="1">
      <c r="A112" s="332">
        <v>45495</v>
      </c>
      <c r="B112" s="325"/>
      <c r="C112" s="338" t="str" cm="1">
        <f t="array" ref="C112">_xlfn.LET(_xlpm.matches, _xlfn._xlws.FILTER(Data[Poster], (Data[Date]=A112)*(Data[Winner]=TRUE)), IF(ROWS(_xlpm.matches)&gt;1, "TIE", _xlpm.matches))</f>
        <v>loganworsdell</v>
      </c>
      <c r="D112" s="80">
        <f>A112</f>
        <v>45495</v>
      </c>
      <c r="E112" s="214" t="str">
        <f>$J$1</f>
        <v>alappatjoe</v>
      </c>
      <c r="F112" s="84">
        <f>IFERROR(AVERAGE(Data[[#This Row],[alappatjoe]:[currydestroyer27]]), "TBD")</f>
        <v>3.2</v>
      </c>
      <c r="G112" s="261">
        <f>IFERROR(_xlfn.STDEV.P(Data[[#This Row],[alappatjoe]:[currydestroyer27]]), "TBD")</f>
        <v>1.4696938456699069</v>
      </c>
      <c r="H112" s="263" t="s">
        <v>344</v>
      </c>
      <c r="I112" s="265" t="s">
        <v>345</v>
      </c>
      <c r="J112" s="10">
        <v>1</v>
      </c>
      <c r="K112" s="23">
        <v>5</v>
      </c>
      <c r="L112" s="23">
        <v>4</v>
      </c>
      <c r="M112" s="23">
        <v>4</v>
      </c>
      <c r="N112" s="23">
        <v>2</v>
      </c>
      <c r="O112" s="240"/>
      <c r="P112" s="233" t="s">
        <v>69</v>
      </c>
      <c r="Q112" s="92" t="s">
        <v>290</v>
      </c>
      <c r="R11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2" s="92">
        <v>1</v>
      </c>
      <c r="T112" s="92" t="b">
        <f>Data[[#This Row],[Day Rank]]=Data[[#This Row],[W Rank]]</f>
        <v>0</v>
      </c>
      <c r="U112" s="331"/>
    </row>
    <row r="113" spans="1:21">
      <c r="A113" s="333"/>
      <c r="B113" s="326"/>
      <c r="C113" s="339"/>
      <c r="D113" s="81">
        <f>D112</f>
        <v>45495</v>
      </c>
      <c r="E113" s="140" t="str">
        <f>$K$1</f>
        <v>danram</v>
      </c>
      <c r="F113" s="8">
        <f>IFERROR(AVERAGE(Data[[#This Row],[alappatjoe]:[currydestroyer27]]), "TBD")</f>
        <v>2.6</v>
      </c>
      <c r="G113" s="177">
        <f>IFERROR(_xlfn.STDEV.P(Data[[#This Row],[alappatjoe]:[currydestroyer27]]), "TBD")</f>
        <v>0.8</v>
      </c>
      <c r="H113" s="135" t="s">
        <v>346</v>
      </c>
      <c r="I113" s="229" t="s">
        <v>347</v>
      </c>
      <c r="J113" s="12">
        <v>3</v>
      </c>
      <c r="K113" s="7">
        <v>2</v>
      </c>
      <c r="L113" s="7">
        <v>2</v>
      </c>
      <c r="M113" s="7">
        <v>2</v>
      </c>
      <c r="N113" s="7">
        <v>4</v>
      </c>
      <c r="O113" s="238"/>
      <c r="P113" s="234" t="s">
        <v>51</v>
      </c>
      <c r="Q113" s="93" t="s">
        <v>348</v>
      </c>
      <c r="R1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3" s="93">
        <v>1</v>
      </c>
      <c r="T113" s="93" t="b">
        <f>Data[[#This Row],[Day Rank]]=Data[[#This Row],[W Rank]]</f>
        <v>0</v>
      </c>
      <c r="U113" s="323"/>
    </row>
    <row r="114" spans="1:21">
      <c r="A114" s="333"/>
      <c r="B114" s="326"/>
      <c r="C114" s="339"/>
      <c r="D114" s="81">
        <f>D112</f>
        <v>45495</v>
      </c>
      <c r="E114" s="140" t="str">
        <f>$L$1</f>
        <v>loganworsdell</v>
      </c>
      <c r="F114" s="8">
        <f>IFERROR(AVERAGE(Data[[#This Row],[alappatjoe]:[currydestroyer27]]), "TBD")</f>
        <v>2.4</v>
      </c>
      <c r="G114" s="177">
        <f>IFERROR(_xlfn.STDEV.P(Data[[#This Row],[alappatjoe]:[currydestroyer27]]), "TBD")</f>
        <v>0.8</v>
      </c>
      <c r="H114" s="135" t="s">
        <v>349</v>
      </c>
      <c r="I114" s="229" t="s">
        <v>350</v>
      </c>
      <c r="J114" s="13">
        <v>2</v>
      </c>
      <c r="K114" s="8">
        <v>1</v>
      </c>
      <c r="L114" s="8">
        <v>3</v>
      </c>
      <c r="M114" s="8">
        <v>3</v>
      </c>
      <c r="N114" s="8">
        <v>3</v>
      </c>
      <c r="O114" s="238"/>
      <c r="P114" s="234" t="s">
        <v>76</v>
      </c>
      <c r="Q114" s="93" t="s">
        <v>351</v>
      </c>
      <c r="R1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4" s="93">
        <v>1</v>
      </c>
      <c r="T114" s="93" t="b">
        <f>Data[[#This Row],[Day Rank]]=Data[[#This Row],[W Rank]]</f>
        <v>1</v>
      </c>
      <c r="U114" s="323"/>
    </row>
    <row r="115" spans="1:21">
      <c r="A115" s="333"/>
      <c r="B115" s="326"/>
      <c r="C115" s="339"/>
      <c r="D115" s="81">
        <f>D112</f>
        <v>45495</v>
      </c>
      <c r="E115" s="140" t="str">
        <f>$M$1</f>
        <v>samuelbattista</v>
      </c>
      <c r="F115" s="8">
        <f>IFERROR(AVERAGE(Data[[#This Row],[alappatjoe]:[currydestroyer27]]), "TBD")</f>
        <v>4</v>
      </c>
      <c r="G115" s="177">
        <f>IFERROR(_xlfn.STDEV.P(Data[[#This Row],[alappatjoe]:[currydestroyer27]]), "TBD")</f>
        <v>1.5491933384829668</v>
      </c>
      <c r="H115" s="135" t="s">
        <v>352</v>
      </c>
      <c r="I115" s="229" t="s">
        <v>353</v>
      </c>
      <c r="J115" s="14">
        <v>5</v>
      </c>
      <c r="K115" s="9">
        <v>4</v>
      </c>
      <c r="L115" s="9">
        <v>5</v>
      </c>
      <c r="M115" s="9">
        <v>1</v>
      </c>
      <c r="N115" s="9">
        <v>5</v>
      </c>
      <c r="O115" s="238"/>
      <c r="P115" s="234" t="s">
        <v>120</v>
      </c>
      <c r="Q115" s="93" t="s">
        <v>354</v>
      </c>
      <c r="R1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5" s="93">
        <v>1</v>
      </c>
      <c r="T115" s="93" t="b">
        <f>Data[[#This Row],[Day Rank]]=Data[[#This Row],[W Rank]]</f>
        <v>0</v>
      </c>
      <c r="U115" s="323"/>
    </row>
    <row r="116" spans="1:21" ht="15.75" thickBot="1">
      <c r="A116" s="334"/>
      <c r="B116" s="327"/>
      <c r="C116" s="340"/>
      <c r="D116" s="82">
        <f>D112</f>
        <v>45495</v>
      </c>
      <c r="E116" s="182" t="str">
        <f>$N$1</f>
        <v>currydestroyer27</v>
      </c>
      <c r="F116" s="83">
        <f>IFERROR(AVERAGE(Data[[#This Row],[alappatjoe]:[currydestroyer27]]), "TBD")</f>
        <v>2.8</v>
      </c>
      <c r="G116" s="183">
        <f>IFERROR(_xlfn.STDEV.P(Data[[#This Row],[alappatjoe]:[currydestroyer27]]), "TBD")</f>
        <v>1.6</v>
      </c>
      <c r="H116" s="184" t="s">
        <v>355</v>
      </c>
      <c r="I116" s="185" t="s">
        <v>356</v>
      </c>
      <c r="J116" s="11">
        <v>4</v>
      </c>
      <c r="K116" s="22">
        <v>3</v>
      </c>
      <c r="L116" s="22">
        <v>1</v>
      </c>
      <c r="M116" s="22">
        <v>5</v>
      </c>
      <c r="N116" s="22">
        <v>1</v>
      </c>
      <c r="O116" s="239"/>
      <c r="P116" s="235" t="s">
        <v>51</v>
      </c>
      <c r="Q116" s="94" t="s">
        <v>357</v>
      </c>
      <c r="R11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6" s="94">
        <v>1</v>
      </c>
      <c r="T116" s="94" t="b">
        <f>Data[[#This Row],[Day Rank]]=Data[[#This Row],[W Rank]]</f>
        <v>0</v>
      </c>
      <c r="U116" s="324"/>
    </row>
    <row r="117" spans="1:21" ht="15.75" thickBot="1">
      <c r="A117" s="332">
        <v>45496</v>
      </c>
      <c r="B117" s="325"/>
      <c r="C117" s="328" t="str" cm="1">
        <f t="array" ref="C117">_xlfn.LET(_xlpm.matches, _xlfn._xlws.FILTER(Data[Poster], (Data[Date]=A117)*(Data[Winner]=TRUE)), IF(ROWS(_xlpm.matches)&gt;1, "TIE", _xlpm.matches))</f>
        <v>currydestroyer27</v>
      </c>
      <c r="D117" s="80">
        <f>A117</f>
        <v>45496</v>
      </c>
      <c r="E117" s="214" t="str">
        <f>$J$1</f>
        <v>alappatjoe</v>
      </c>
      <c r="F117" s="84">
        <f>IFERROR(AVERAGE(Data[[#This Row],[alappatjoe]:[currydestroyer27]]), "TBD")</f>
        <v>2.6</v>
      </c>
      <c r="G117" s="261">
        <f>IFERROR(_xlfn.STDEV.P(Data[[#This Row],[alappatjoe]:[currydestroyer27]]), "TBD")</f>
        <v>1.3564659966250536</v>
      </c>
      <c r="H117" s="263" t="s">
        <v>358</v>
      </c>
      <c r="I117" s="265" t="s">
        <v>359</v>
      </c>
      <c r="J117" s="10">
        <v>1</v>
      </c>
      <c r="K117" s="23">
        <v>2</v>
      </c>
      <c r="L117" s="23">
        <v>2</v>
      </c>
      <c r="M117" s="23">
        <v>3</v>
      </c>
      <c r="N117" s="23">
        <v>5</v>
      </c>
      <c r="O117" s="240"/>
      <c r="P117" s="233" t="s">
        <v>87</v>
      </c>
      <c r="Q117" s="92" t="s">
        <v>105</v>
      </c>
      <c r="R11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7" s="92">
        <v>1</v>
      </c>
      <c r="T117" s="92" t="b">
        <f>Data[[#This Row],[Day Rank]]=Data[[#This Row],[W Rank]]</f>
        <v>0</v>
      </c>
      <c r="U117" s="331"/>
    </row>
    <row r="118" spans="1:21" ht="15.75" thickBot="1">
      <c r="A118" s="333"/>
      <c r="B118" s="326"/>
      <c r="C118" s="329"/>
      <c r="D118" s="81">
        <f>D117</f>
        <v>45496</v>
      </c>
      <c r="E118" s="140" t="str">
        <f>$K$1</f>
        <v>danram</v>
      </c>
      <c r="F118" s="8">
        <f>IFERROR(AVERAGE(Data[[#This Row],[alappatjoe]:[currydestroyer27]]), "TBD")</f>
        <v>2.8</v>
      </c>
      <c r="G118" s="177">
        <f>IFERROR(_xlfn.STDEV.P(Data[[#This Row],[alappatjoe]:[currydestroyer27]]), "TBD")</f>
        <v>1.3266499161421599</v>
      </c>
      <c r="H118" s="135" t="s">
        <v>360</v>
      </c>
      <c r="I118" s="229" t="s">
        <v>361</v>
      </c>
      <c r="J118" s="12">
        <v>3</v>
      </c>
      <c r="K118" s="7">
        <v>1</v>
      </c>
      <c r="L118" s="7">
        <v>3</v>
      </c>
      <c r="M118" s="7">
        <v>5</v>
      </c>
      <c r="N118" s="7">
        <v>2</v>
      </c>
      <c r="O118" s="238"/>
      <c r="P118" s="234" t="s">
        <v>120</v>
      </c>
      <c r="Q118" s="93" t="s">
        <v>268</v>
      </c>
      <c r="R1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8" s="93">
        <v>1</v>
      </c>
      <c r="T118" s="93" t="b">
        <f>Data[[#This Row],[Day Rank]]=Data[[#This Row],[W Rank]]</f>
        <v>0</v>
      </c>
      <c r="U118" s="323"/>
    </row>
    <row r="119" spans="1:21" ht="15.75" thickBot="1">
      <c r="A119" s="333"/>
      <c r="B119" s="326"/>
      <c r="C119" s="329"/>
      <c r="D119" s="81">
        <f>D117</f>
        <v>45496</v>
      </c>
      <c r="E119" s="140" t="str">
        <f>$L$1</f>
        <v>loganworsdell</v>
      </c>
      <c r="F119" s="8">
        <f>IFERROR(AVERAGE(Data[[#This Row],[alappatjoe]:[currydestroyer27]]), "TBD")</f>
        <v>3.6</v>
      </c>
      <c r="G119" s="177">
        <f>IFERROR(_xlfn.STDEV.P(Data[[#This Row],[alappatjoe]:[currydestroyer27]]), "TBD")</f>
        <v>1.019803902718557</v>
      </c>
      <c r="H119" s="135" t="s">
        <v>362</v>
      </c>
      <c r="I119" s="229" t="s">
        <v>363</v>
      </c>
      <c r="J119" s="13">
        <v>2</v>
      </c>
      <c r="K119" s="8">
        <v>5</v>
      </c>
      <c r="L119" s="8">
        <v>4</v>
      </c>
      <c r="M119" s="8">
        <v>4</v>
      </c>
      <c r="N119" s="8">
        <v>3</v>
      </c>
      <c r="O119" s="238"/>
      <c r="P119" s="234" t="s">
        <v>87</v>
      </c>
      <c r="Q119" s="93" t="s">
        <v>102</v>
      </c>
      <c r="R1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9" s="93">
        <v>1</v>
      </c>
      <c r="T119" s="93" t="b">
        <f>Data[[#This Row],[Day Rank]]=Data[[#This Row],[W Rank]]</f>
        <v>0</v>
      </c>
      <c r="U119" s="323"/>
    </row>
    <row r="120" spans="1:21">
      <c r="A120" s="333"/>
      <c r="B120" s="326"/>
      <c r="C120" s="329"/>
      <c r="D120" s="81">
        <f>D117</f>
        <v>45496</v>
      </c>
      <c r="E120" s="140" t="str">
        <f>$M$1</f>
        <v>samuelbattista</v>
      </c>
      <c r="F120" s="8">
        <f>IFERROR(AVERAGE(Data[[#This Row],[alappatjoe]:[currydestroyer27]]), "TBD")</f>
        <v>4</v>
      </c>
      <c r="G120" s="177">
        <f>IFERROR(_xlfn.STDEV.P(Data[[#This Row],[alappatjoe]:[currydestroyer27]]), "TBD")</f>
        <v>1.0954451150103321</v>
      </c>
      <c r="H120" s="135" t="s">
        <v>364</v>
      </c>
      <c r="I120" s="229" t="s">
        <v>365</v>
      </c>
      <c r="J120" s="14">
        <v>5</v>
      </c>
      <c r="K120" s="9">
        <v>4</v>
      </c>
      <c r="L120" s="9">
        <v>5</v>
      </c>
      <c r="M120" s="9">
        <v>2</v>
      </c>
      <c r="N120" s="9">
        <v>4</v>
      </c>
      <c r="O120" s="238"/>
      <c r="P120" s="234" t="s">
        <v>51</v>
      </c>
      <c r="Q120" s="93" t="s">
        <v>348</v>
      </c>
      <c r="R1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0" s="93">
        <v>1</v>
      </c>
      <c r="T120" s="93" t="b">
        <f>Data[[#This Row],[Day Rank]]=Data[[#This Row],[W Rank]]</f>
        <v>0</v>
      </c>
      <c r="U120" s="323"/>
    </row>
    <row r="121" spans="1:21" ht="15.75" thickBot="1">
      <c r="A121" s="334"/>
      <c r="B121" s="327"/>
      <c r="C121" s="330"/>
      <c r="D121" s="82">
        <f>D117</f>
        <v>45496</v>
      </c>
      <c r="E121" s="182" t="str">
        <f>$N$1</f>
        <v>currydestroyer27</v>
      </c>
      <c r="F121" s="83">
        <f>IFERROR(AVERAGE(Data[[#This Row],[alappatjoe]:[currydestroyer27]]), "TBD")</f>
        <v>2</v>
      </c>
      <c r="G121" s="183">
        <f>IFERROR(_xlfn.STDEV.P(Data[[#This Row],[alappatjoe]:[currydestroyer27]]), "TBD")</f>
        <v>1.2649110640673518</v>
      </c>
      <c r="H121" s="184" t="s">
        <v>366</v>
      </c>
      <c r="I121" s="185" t="s">
        <v>367</v>
      </c>
      <c r="J121" s="11">
        <v>4</v>
      </c>
      <c r="K121" s="22">
        <v>3</v>
      </c>
      <c r="L121" s="22">
        <v>1</v>
      </c>
      <c r="M121" s="22">
        <v>1</v>
      </c>
      <c r="N121" s="22">
        <v>1</v>
      </c>
      <c r="O121" s="239"/>
      <c r="P121" s="235" t="s">
        <v>120</v>
      </c>
      <c r="Q121" s="94" t="s">
        <v>368</v>
      </c>
      <c r="R12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1" s="94">
        <v>1</v>
      </c>
      <c r="T121" s="94" t="b">
        <f>Data[[#This Row],[Day Rank]]=Data[[#This Row],[W Rank]]</f>
        <v>1</v>
      </c>
      <c r="U121" s="324"/>
    </row>
    <row r="122" spans="1:21">
      <c r="A122" s="332">
        <v>45497</v>
      </c>
      <c r="B122" s="325"/>
      <c r="C122" s="338" t="str" cm="1">
        <f t="array" ref="C122">_xlfn.LET(_xlpm.matches, _xlfn._xlws.FILTER(Data[Poster], (Data[Date]=A122)*(Data[Winner]=TRUE)), IF(ROWS(_xlpm.matches)&gt;1, "TIE", _xlpm.matches))</f>
        <v>samuelbattista</v>
      </c>
      <c r="D122" s="80">
        <f>A122</f>
        <v>45497</v>
      </c>
      <c r="E122" s="214" t="str">
        <f>$J$1</f>
        <v>alappatjoe</v>
      </c>
      <c r="F122" s="84">
        <f>IFERROR(AVERAGE(Data[[#This Row],[alappatjoe]:[currydestroyer27]]), "TBD")</f>
        <v>3.2</v>
      </c>
      <c r="G122" s="261">
        <f>IFERROR(_xlfn.STDEV.P(Data[[#This Row],[alappatjoe]:[currydestroyer27]]), "TBD")</f>
        <v>1.6</v>
      </c>
      <c r="H122" s="263" t="s">
        <v>369</v>
      </c>
      <c r="I122" s="265" t="s">
        <v>370</v>
      </c>
      <c r="J122" s="10">
        <v>1</v>
      </c>
      <c r="K122" s="23">
        <v>2</v>
      </c>
      <c r="L122" s="23">
        <v>5</v>
      </c>
      <c r="M122" s="23">
        <v>5</v>
      </c>
      <c r="N122" s="23">
        <v>3</v>
      </c>
      <c r="O122" s="240"/>
      <c r="P122" s="233" t="s">
        <v>76</v>
      </c>
      <c r="Q122" s="92" t="s">
        <v>371</v>
      </c>
      <c r="R12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2" s="92">
        <v>1</v>
      </c>
      <c r="T122" s="92" t="b">
        <f>Data[[#This Row],[Day Rank]]=Data[[#This Row],[W Rank]]</f>
        <v>0</v>
      </c>
      <c r="U122" s="331"/>
    </row>
    <row r="123" spans="1:21" ht="15.75" thickBot="1">
      <c r="A123" s="333"/>
      <c r="B123" s="326"/>
      <c r="C123" s="339"/>
      <c r="D123" s="81">
        <f>D122</f>
        <v>45497</v>
      </c>
      <c r="E123" s="140" t="str">
        <f>$K$1</f>
        <v>danram</v>
      </c>
      <c r="F123" s="8">
        <f>IFERROR(AVERAGE(Data[[#This Row],[alappatjoe]:[currydestroyer27]]), "TBD")</f>
        <v>2.6</v>
      </c>
      <c r="G123" s="177">
        <f>IFERROR(_xlfn.STDEV.P(Data[[#This Row],[alappatjoe]:[currydestroyer27]]), "TBD")</f>
        <v>1.019803902718557</v>
      </c>
      <c r="H123" s="135" t="s">
        <v>372</v>
      </c>
      <c r="I123" s="229" t="s">
        <v>373</v>
      </c>
      <c r="J123" s="12">
        <v>2</v>
      </c>
      <c r="K123" s="7">
        <v>1</v>
      </c>
      <c r="L123" s="7">
        <v>3</v>
      </c>
      <c r="M123" s="7">
        <v>3</v>
      </c>
      <c r="N123" s="7">
        <v>4</v>
      </c>
      <c r="O123" s="238"/>
      <c r="P123" s="234" t="s">
        <v>76</v>
      </c>
      <c r="Q123" s="93" t="s">
        <v>374</v>
      </c>
      <c r="R1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3" s="93">
        <v>1</v>
      </c>
      <c r="T123" s="93" t="b">
        <f>Data[[#This Row],[Day Rank]]=Data[[#This Row],[W Rank]]</f>
        <v>0</v>
      </c>
      <c r="U123" s="323"/>
    </row>
    <row r="124" spans="1:21">
      <c r="A124" s="333"/>
      <c r="B124" s="326"/>
      <c r="C124" s="339"/>
      <c r="D124" s="81">
        <f>D122</f>
        <v>45497</v>
      </c>
      <c r="E124" s="140" t="str">
        <f>$L$1</f>
        <v>loganworsdell</v>
      </c>
      <c r="F124" s="8">
        <f>IFERROR(AVERAGE(Data[[#This Row],[alappatjoe]:[currydestroyer27]]), "TBD")</f>
        <v>3.6</v>
      </c>
      <c r="G124" s="177">
        <f>IFERROR(_xlfn.STDEV.P(Data[[#This Row],[alappatjoe]:[currydestroyer27]]), "TBD")</f>
        <v>1.019803902718557</v>
      </c>
      <c r="H124" s="135" t="s">
        <v>375</v>
      </c>
      <c r="I124" s="229" t="s">
        <v>376</v>
      </c>
      <c r="J124" s="13">
        <v>3</v>
      </c>
      <c r="K124" s="8">
        <v>4</v>
      </c>
      <c r="L124" s="8">
        <v>4</v>
      </c>
      <c r="M124" s="8">
        <v>2</v>
      </c>
      <c r="N124" s="8">
        <v>5</v>
      </c>
      <c r="O124" s="238"/>
      <c r="P124" s="234" t="s">
        <v>72</v>
      </c>
      <c r="Q124" s="93" t="s">
        <v>377</v>
      </c>
      <c r="R1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4" s="93">
        <v>1</v>
      </c>
      <c r="T124" s="93" t="b">
        <f>Data[[#This Row],[Day Rank]]=Data[[#This Row],[W Rank]]</f>
        <v>0</v>
      </c>
      <c r="U124" s="323"/>
    </row>
    <row r="125" spans="1:21">
      <c r="A125" s="333"/>
      <c r="B125" s="326"/>
      <c r="C125" s="339"/>
      <c r="D125" s="81">
        <f>D122</f>
        <v>45497</v>
      </c>
      <c r="E125" s="140" t="str">
        <f>$M$1</f>
        <v>samuelbattista</v>
      </c>
      <c r="F125" s="8">
        <f>IFERROR(AVERAGE(Data[[#This Row],[alappatjoe]:[currydestroyer27]]), "TBD")</f>
        <v>2.4</v>
      </c>
      <c r="G125" s="177">
        <f>IFERROR(_xlfn.STDEV.P(Data[[#This Row],[alappatjoe]:[currydestroyer27]]), "TBD")</f>
        <v>1.019803902718557</v>
      </c>
      <c r="H125" s="135" t="s">
        <v>378</v>
      </c>
      <c r="I125" s="229" t="s">
        <v>379</v>
      </c>
      <c r="J125" s="14">
        <v>4</v>
      </c>
      <c r="K125" s="9">
        <v>3</v>
      </c>
      <c r="L125" s="9">
        <v>2</v>
      </c>
      <c r="M125" s="9">
        <v>1</v>
      </c>
      <c r="N125" s="9">
        <v>2</v>
      </c>
      <c r="O125" s="238"/>
      <c r="P125" s="234" t="s">
        <v>72</v>
      </c>
      <c r="Q125" s="93" t="s">
        <v>380</v>
      </c>
      <c r="R1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5" s="93">
        <v>1</v>
      </c>
      <c r="T125" s="93" t="b">
        <f>Data[[#This Row],[Day Rank]]=Data[[#This Row],[W Rank]]</f>
        <v>1</v>
      </c>
      <c r="U125" s="323"/>
    </row>
    <row r="126" spans="1:21" ht="15.75" thickBot="1">
      <c r="A126" s="334"/>
      <c r="B126" s="327"/>
      <c r="C126" s="340"/>
      <c r="D126" s="82">
        <f>D122</f>
        <v>45497</v>
      </c>
      <c r="E126" s="182" t="str">
        <f>$N$1</f>
        <v>currydestroyer27</v>
      </c>
      <c r="F126" s="83">
        <f>IFERROR(AVERAGE(Data[[#This Row],[alappatjoe]:[currydestroyer27]]), "TBD")</f>
        <v>3.2</v>
      </c>
      <c r="G126" s="183">
        <f>IFERROR(_xlfn.STDEV.P(Data[[#This Row],[alappatjoe]:[currydestroyer27]]), "TBD")</f>
        <v>1.833030277982336</v>
      </c>
      <c r="H126" s="184" t="s">
        <v>381</v>
      </c>
      <c r="I126" s="185" t="s">
        <v>382</v>
      </c>
      <c r="J126" s="11">
        <v>5</v>
      </c>
      <c r="K126" s="22">
        <v>5</v>
      </c>
      <c r="L126" s="22">
        <v>1</v>
      </c>
      <c r="M126" s="22">
        <v>4</v>
      </c>
      <c r="N126" s="22">
        <v>1</v>
      </c>
      <c r="O126" s="239"/>
      <c r="P126" s="235" t="s">
        <v>69</v>
      </c>
      <c r="Q126" s="94" t="s">
        <v>317</v>
      </c>
      <c r="R12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6" s="94">
        <v>1</v>
      </c>
      <c r="T126" s="94" t="b">
        <f>Data[[#This Row],[Day Rank]]=Data[[#This Row],[W Rank]]</f>
        <v>0</v>
      </c>
      <c r="U126" s="324"/>
    </row>
    <row r="127" spans="1:21">
      <c r="A127" s="332">
        <v>45498</v>
      </c>
      <c r="B127" s="325"/>
      <c r="C127" s="328" t="str" cm="1">
        <f t="array" ref="C127">_xlfn.LET(_xlpm.matches, _xlfn._xlws.FILTER(Data[Poster], (Data[Date]=A127)*(Data[Winner]=TRUE)), IF(ROWS(_xlpm.matches)&gt;1, "TIE", _xlpm.matches))</f>
        <v>danram</v>
      </c>
      <c r="D127" s="80">
        <f>A127</f>
        <v>45498</v>
      </c>
      <c r="E127" s="214" t="str">
        <f>$J$1</f>
        <v>alappatjoe</v>
      </c>
      <c r="F127" s="84">
        <f>IFERROR(AVERAGE(Data[[#This Row],[alappatjoe]:[currydestroyer27]]), "TBD")</f>
        <v>2.8</v>
      </c>
      <c r="G127" s="261">
        <f>IFERROR(_xlfn.STDEV.P(Data[[#This Row],[alappatjoe]:[currydestroyer27]]), "TBD")</f>
        <v>1.1661903789690602</v>
      </c>
      <c r="H127" s="263" t="s">
        <v>383</v>
      </c>
      <c r="I127" s="265" t="s">
        <v>384</v>
      </c>
      <c r="J127" s="10">
        <v>1</v>
      </c>
      <c r="K127" s="23">
        <v>4</v>
      </c>
      <c r="L127" s="23">
        <v>4</v>
      </c>
      <c r="M127" s="23">
        <v>2</v>
      </c>
      <c r="N127" s="23">
        <v>3</v>
      </c>
      <c r="O127" s="240"/>
      <c r="P127" s="233" t="s">
        <v>170</v>
      </c>
      <c r="Q127" s="92" t="s">
        <v>226</v>
      </c>
      <c r="R12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7" s="92">
        <v>1</v>
      </c>
      <c r="T127" s="92" t="b">
        <f>Data[[#This Row],[Day Rank]]=Data[[#This Row],[W Rank]]</f>
        <v>0</v>
      </c>
      <c r="U127" s="331" t="s">
        <v>385</v>
      </c>
    </row>
    <row r="128" spans="1:21">
      <c r="A128" s="333"/>
      <c r="B128" s="326"/>
      <c r="C128" s="329"/>
      <c r="D128" s="81">
        <f>D127</f>
        <v>45498</v>
      </c>
      <c r="E128" s="140" t="str">
        <f>$K$1</f>
        <v>danram</v>
      </c>
      <c r="F128" s="8">
        <f>IFERROR(AVERAGE(Data[[#This Row],[alappatjoe]:[currydestroyer27]]), "TBD")</f>
        <v>2.2000000000000002</v>
      </c>
      <c r="G128" s="177">
        <f>IFERROR(_xlfn.STDEV.P(Data[[#This Row],[alappatjoe]:[currydestroyer27]]), "TBD")</f>
        <v>0.9797958971132712</v>
      </c>
      <c r="H128" s="135" t="s">
        <v>386</v>
      </c>
      <c r="I128" s="229" t="s">
        <v>387</v>
      </c>
      <c r="J128" s="12">
        <v>2</v>
      </c>
      <c r="K128" s="7">
        <v>2</v>
      </c>
      <c r="L128" s="7">
        <v>2</v>
      </c>
      <c r="M128" s="7">
        <v>4</v>
      </c>
      <c r="N128" s="7">
        <v>1</v>
      </c>
      <c r="O128" s="238"/>
      <c r="P128" s="234" t="s">
        <v>51</v>
      </c>
      <c r="Q128" s="93" t="s">
        <v>51</v>
      </c>
      <c r="R1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8" s="93">
        <v>1</v>
      </c>
      <c r="T128" s="93" t="b">
        <f>Data[[#This Row],[Day Rank]]=Data[[#This Row],[W Rank]]</f>
        <v>1</v>
      </c>
      <c r="U128" s="323"/>
    </row>
    <row r="129" spans="1:21">
      <c r="A129" s="333"/>
      <c r="B129" s="326"/>
      <c r="C129" s="329"/>
      <c r="D129" s="81">
        <f>D127</f>
        <v>45498</v>
      </c>
      <c r="E129" s="140" t="str">
        <f>$L$1</f>
        <v>loganworsdell</v>
      </c>
      <c r="F129" s="8">
        <f>IFERROR(AVERAGE(Data[[#This Row],[alappatjoe]:[currydestroyer27]]), "TBD")</f>
        <v>3.6</v>
      </c>
      <c r="G129" s="177">
        <f>IFERROR(_xlfn.STDEV.P(Data[[#This Row],[alappatjoe]:[currydestroyer27]]), "TBD")</f>
        <v>0.8</v>
      </c>
      <c r="H129" s="135" t="s">
        <v>388</v>
      </c>
      <c r="I129" s="229" t="s">
        <v>389</v>
      </c>
      <c r="J129" s="13">
        <v>3</v>
      </c>
      <c r="K129" s="8">
        <v>3</v>
      </c>
      <c r="L129" s="8">
        <v>3</v>
      </c>
      <c r="M129" s="8">
        <v>5</v>
      </c>
      <c r="N129" s="8">
        <v>4</v>
      </c>
      <c r="O129" s="238"/>
      <c r="P129" s="234" t="s">
        <v>51</v>
      </c>
      <c r="Q129" s="93" t="s">
        <v>51</v>
      </c>
      <c r="R1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9" s="93">
        <v>1</v>
      </c>
      <c r="T129" s="93" t="b">
        <f>Data[[#This Row],[Day Rank]]=Data[[#This Row],[W Rank]]</f>
        <v>0</v>
      </c>
      <c r="U129" s="323"/>
    </row>
    <row r="130" spans="1:21" ht="15.75" thickBot="1">
      <c r="A130" s="333"/>
      <c r="B130" s="326"/>
      <c r="C130" s="329"/>
      <c r="D130" s="81">
        <f>D127</f>
        <v>45498</v>
      </c>
      <c r="E130" s="140" t="str">
        <f>$M$1</f>
        <v>samuelbattista</v>
      </c>
      <c r="F130" s="8">
        <f>IFERROR(AVERAGE(Data[[#This Row],[alappatjoe]:[currydestroyer27]]), "TBD")</f>
        <v>4.2</v>
      </c>
      <c r="G130" s="177">
        <f>IFERROR(_xlfn.STDEV.P(Data[[#This Row],[alappatjoe]:[currydestroyer27]]), "TBD")</f>
        <v>1.6</v>
      </c>
      <c r="H130" s="135" t="s">
        <v>390</v>
      </c>
      <c r="I130" s="229" t="s">
        <v>391</v>
      </c>
      <c r="J130" s="14">
        <v>5</v>
      </c>
      <c r="K130" s="9">
        <v>5</v>
      </c>
      <c r="L130" s="9">
        <v>5</v>
      </c>
      <c r="M130" s="9">
        <v>1</v>
      </c>
      <c r="N130" s="9">
        <v>5</v>
      </c>
      <c r="O130" s="238"/>
      <c r="P130" s="234" t="s">
        <v>87</v>
      </c>
      <c r="Q130" s="93" t="s">
        <v>392</v>
      </c>
      <c r="R1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0" s="93">
        <v>1</v>
      </c>
      <c r="T130" s="93" t="b">
        <f>Data[[#This Row],[Day Rank]]=Data[[#This Row],[W Rank]]</f>
        <v>0</v>
      </c>
      <c r="U130" s="323"/>
    </row>
    <row r="131" spans="1:21" ht="15.75" thickBot="1">
      <c r="A131" s="334"/>
      <c r="B131" s="327"/>
      <c r="C131" s="330"/>
      <c r="D131" s="82">
        <f>D127</f>
        <v>45498</v>
      </c>
      <c r="E131" s="182" t="str">
        <f>$N$1</f>
        <v>currydestroyer27</v>
      </c>
      <c r="F131" s="83">
        <f>IFERROR(AVERAGE(Data[[#This Row],[alappatjoe]:[currydestroyer27]]), "TBD")</f>
        <v>2.2000000000000002</v>
      </c>
      <c r="G131" s="183">
        <f>IFERROR(_xlfn.STDEV.P(Data[[#This Row],[alappatjoe]:[currydestroyer27]]), "TBD")</f>
        <v>1.1661903789690602</v>
      </c>
      <c r="H131" s="184" t="s">
        <v>393</v>
      </c>
      <c r="I131" s="185" t="s">
        <v>394</v>
      </c>
      <c r="J131" s="11">
        <v>4</v>
      </c>
      <c r="K131" s="22">
        <v>1</v>
      </c>
      <c r="L131" s="22">
        <v>1</v>
      </c>
      <c r="M131" s="22">
        <v>3</v>
      </c>
      <c r="N131" s="22">
        <v>2</v>
      </c>
      <c r="O131" s="239"/>
      <c r="P131" s="235" t="s">
        <v>170</v>
      </c>
      <c r="Q131" s="94" t="s">
        <v>395</v>
      </c>
      <c r="R13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1" s="94">
        <v>1</v>
      </c>
      <c r="T131" s="94" t="b">
        <f>Data[[#This Row],[Day Rank]]=Data[[#This Row],[W Rank]]</f>
        <v>0</v>
      </c>
      <c r="U131" s="324"/>
    </row>
    <row r="132" spans="1:21" ht="15.75" thickBot="1">
      <c r="A132" s="332">
        <v>45502</v>
      </c>
      <c r="B132" s="325"/>
      <c r="C132" s="338" t="str" cm="1">
        <f t="array" ref="C132">_xlfn.LET(_xlpm.matches, _xlfn._xlws.FILTER(Data[Poster], (Data[Date]=A132)*(Data[Winner]=TRUE)), IF(ROWS(_xlpm.matches)&gt;1, "TIE", _xlpm.matches))</f>
        <v>loganworsdell</v>
      </c>
      <c r="D132" s="80">
        <f>A132</f>
        <v>45502</v>
      </c>
      <c r="E132" s="214" t="str">
        <f>$J$1</f>
        <v>alappatjoe</v>
      </c>
      <c r="F132" s="84">
        <f>IFERROR(AVERAGE(Data[[#This Row],[alappatjoe]:[currydestroyer27]]), "TBD")</f>
        <v>3.8</v>
      </c>
      <c r="G132" s="261">
        <f>IFERROR(_xlfn.STDEV.P(Data[[#This Row],[alappatjoe]:[currydestroyer27]]), "TBD")</f>
        <v>1.1661903789690602</v>
      </c>
      <c r="H132" s="263" t="s">
        <v>396</v>
      </c>
      <c r="I132" s="265" t="s">
        <v>397</v>
      </c>
      <c r="J132" s="10">
        <v>2</v>
      </c>
      <c r="K132" s="23">
        <v>5</v>
      </c>
      <c r="L132" s="23">
        <v>4</v>
      </c>
      <c r="M132" s="23">
        <v>5</v>
      </c>
      <c r="N132" s="23">
        <v>3</v>
      </c>
      <c r="O132" s="240"/>
      <c r="P132" s="233" t="s">
        <v>76</v>
      </c>
      <c r="Q132" s="92" t="s">
        <v>135</v>
      </c>
      <c r="R13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2" s="92">
        <v>1</v>
      </c>
      <c r="T132" s="92" t="b">
        <f>Data[[#This Row],[Day Rank]]=Data[[#This Row],[W Rank]]</f>
        <v>0</v>
      </c>
      <c r="U132" s="331"/>
    </row>
    <row r="133" spans="1:21">
      <c r="A133" s="333"/>
      <c r="B133" s="326"/>
      <c r="C133" s="339"/>
      <c r="D133" s="81">
        <f>D132</f>
        <v>45502</v>
      </c>
      <c r="E133" s="140" t="str">
        <f>$K$1</f>
        <v>danram</v>
      </c>
      <c r="F133" s="8">
        <f>IFERROR(AVERAGE(Data[[#This Row],[alappatjoe]:[currydestroyer27]]), "TBD")</f>
        <v>3.8</v>
      </c>
      <c r="G133" s="177">
        <f>IFERROR(_xlfn.STDEV.P(Data[[#This Row],[alappatjoe]:[currydestroyer27]]), "TBD")</f>
        <v>0.9797958971132712</v>
      </c>
      <c r="H133" s="135" t="s">
        <v>398</v>
      </c>
      <c r="I133" s="229" t="s">
        <v>399</v>
      </c>
      <c r="J133" s="12">
        <v>5</v>
      </c>
      <c r="K133" s="7">
        <v>3</v>
      </c>
      <c r="L133" s="7">
        <v>3</v>
      </c>
      <c r="M133" s="7">
        <v>3</v>
      </c>
      <c r="N133" s="7">
        <v>5</v>
      </c>
      <c r="O133" s="238"/>
      <c r="P133" s="234" t="s">
        <v>87</v>
      </c>
      <c r="Q133" s="93" t="s">
        <v>69</v>
      </c>
      <c r="R1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3" s="93">
        <v>1</v>
      </c>
      <c r="T133" s="93" t="b">
        <f>Data[[#This Row],[Day Rank]]=Data[[#This Row],[W Rank]]</f>
        <v>0</v>
      </c>
      <c r="U133" s="323"/>
    </row>
    <row r="134" spans="1:21">
      <c r="A134" s="333"/>
      <c r="B134" s="326"/>
      <c r="C134" s="339"/>
      <c r="D134" s="81">
        <f>D132</f>
        <v>45502</v>
      </c>
      <c r="E134" s="140" t="str">
        <f>$L$1</f>
        <v>loganworsdell</v>
      </c>
      <c r="F134" s="8">
        <f>IFERROR(AVERAGE(Data[[#This Row],[alappatjoe]:[currydestroyer27]]), "TBD")</f>
        <v>1.6</v>
      </c>
      <c r="G134" s="177">
        <f>IFERROR(_xlfn.STDEV.P(Data[[#This Row],[alappatjoe]:[currydestroyer27]]), "TBD")</f>
        <v>1.2</v>
      </c>
      <c r="H134" s="135" t="s">
        <v>400</v>
      </c>
      <c r="I134" s="229" t="s">
        <v>401</v>
      </c>
      <c r="J134" s="13">
        <v>1</v>
      </c>
      <c r="K134" s="8">
        <v>1</v>
      </c>
      <c r="L134" s="8">
        <v>1</v>
      </c>
      <c r="M134" s="8">
        <v>1</v>
      </c>
      <c r="N134" s="8">
        <v>4</v>
      </c>
      <c r="O134" s="238"/>
      <c r="P134" s="234" t="s">
        <v>51</v>
      </c>
      <c r="Q134" s="93" t="s">
        <v>402</v>
      </c>
      <c r="R1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4" s="93">
        <v>1</v>
      </c>
      <c r="T134" s="93" t="b">
        <f>Data[[#This Row],[Day Rank]]=Data[[#This Row],[W Rank]]</f>
        <v>1</v>
      </c>
      <c r="U134" s="323"/>
    </row>
    <row r="135" spans="1:21">
      <c r="A135" s="333"/>
      <c r="B135" s="326"/>
      <c r="C135" s="339"/>
      <c r="D135" s="81">
        <f>D132</f>
        <v>45502</v>
      </c>
      <c r="E135" s="140" t="str">
        <f>$M$1</f>
        <v>samuelbattista</v>
      </c>
      <c r="F135" s="8">
        <f>IFERROR(AVERAGE(Data[[#This Row],[alappatjoe]:[currydestroyer27]]), "TBD")</f>
        <v>2.8</v>
      </c>
      <c r="G135" s="177">
        <f>IFERROR(_xlfn.STDEV.P(Data[[#This Row],[alappatjoe]:[currydestroyer27]]), "TBD")</f>
        <v>0.9797958971132712</v>
      </c>
      <c r="H135" s="135" t="s">
        <v>403</v>
      </c>
      <c r="I135" s="229" t="s">
        <v>404</v>
      </c>
      <c r="J135" s="14">
        <v>4</v>
      </c>
      <c r="K135" s="9">
        <v>4</v>
      </c>
      <c r="L135" s="9">
        <v>2</v>
      </c>
      <c r="M135" s="9">
        <v>2</v>
      </c>
      <c r="N135" s="9">
        <v>2</v>
      </c>
      <c r="O135" s="238"/>
      <c r="P135" s="234" t="s">
        <v>120</v>
      </c>
      <c r="Q135" s="93" t="s">
        <v>268</v>
      </c>
      <c r="R1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5" s="93">
        <v>1</v>
      </c>
      <c r="T135" s="93" t="b">
        <f>Data[[#This Row],[Day Rank]]=Data[[#This Row],[W Rank]]</f>
        <v>0</v>
      </c>
      <c r="U135" s="323"/>
    </row>
    <row r="136" spans="1:21" ht="15.75" thickBot="1">
      <c r="A136" s="334"/>
      <c r="B136" s="327"/>
      <c r="C136" s="340"/>
      <c r="D136" s="82">
        <f>D132</f>
        <v>45502</v>
      </c>
      <c r="E136" s="182" t="str">
        <f>$N$1</f>
        <v>currydestroyer27</v>
      </c>
      <c r="F136" s="83">
        <f>IFERROR(AVERAGE(Data[[#This Row],[alappatjoe]:[currydestroyer27]]), "TBD")</f>
        <v>3</v>
      </c>
      <c r="G136" s="183">
        <f>IFERROR(_xlfn.STDEV.P(Data[[#This Row],[alappatjoe]:[currydestroyer27]]), "TBD")</f>
        <v>1.4142135623730951</v>
      </c>
      <c r="H136" s="184" t="s">
        <v>405</v>
      </c>
      <c r="I136" s="185" t="s">
        <v>406</v>
      </c>
      <c r="J136" s="11">
        <v>3</v>
      </c>
      <c r="K136" s="22">
        <v>2</v>
      </c>
      <c r="L136" s="22">
        <v>5</v>
      </c>
      <c r="M136" s="22">
        <v>4</v>
      </c>
      <c r="N136" s="22">
        <v>1</v>
      </c>
      <c r="O136" s="239"/>
      <c r="P136" s="235" t="s">
        <v>51</v>
      </c>
      <c r="Q136" s="94" t="s">
        <v>62</v>
      </c>
      <c r="R13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6" s="94">
        <v>1</v>
      </c>
      <c r="T136" s="94" t="b">
        <f>Data[[#This Row],[Day Rank]]=Data[[#This Row],[W Rank]]</f>
        <v>0</v>
      </c>
      <c r="U136" s="324"/>
    </row>
    <row r="137" spans="1:21" ht="15.75" thickBot="1">
      <c r="A137" s="332">
        <v>45503</v>
      </c>
      <c r="B137" s="325"/>
      <c r="C137" s="328" t="str" cm="1">
        <f t="array" ref="C137">_xlfn.LET(_xlpm.matches, _xlfn._xlws.FILTER(Data[Poster], (Data[Date]=A137)*(Data[Winner]=TRUE)), IF(ROWS(_xlpm.matches)&gt;1, "TIE", _xlpm.matches))</f>
        <v>loganworsdell</v>
      </c>
      <c r="D137" s="80">
        <f>A137</f>
        <v>45503</v>
      </c>
      <c r="E137" s="214" t="str">
        <f>$J$1</f>
        <v>alappatjoe</v>
      </c>
      <c r="F137" s="84">
        <f>IFERROR(AVERAGE(Data[[#This Row],[alappatjoe]:[currydestroyer27]]), "TBD")</f>
        <v>3.6</v>
      </c>
      <c r="G137" s="261">
        <f>IFERROR(_xlfn.STDEV.P(Data[[#This Row],[alappatjoe]:[currydestroyer27]]), "TBD")</f>
        <v>1.4966629547095767</v>
      </c>
      <c r="H137" s="263" t="s">
        <v>407</v>
      </c>
      <c r="I137" s="265" t="s">
        <v>408</v>
      </c>
      <c r="J137" s="10">
        <v>1</v>
      </c>
      <c r="K137" s="23">
        <v>5</v>
      </c>
      <c r="L137" s="23">
        <v>5</v>
      </c>
      <c r="M137" s="23">
        <v>3</v>
      </c>
      <c r="N137" s="23">
        <v>4</v>
      </c>
      <c r="O137" s="240"/>
      <c r="P137" s="233" t="s">
        <v>69</v>
      </c>
      <c r="Q137" s="92" t="s">
        <v>317</v>
      </c>
      <c r="R13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7" s="92">
        <v>1</v>
      </c>
      <c r="T137" s="92" t="b">
        <f>Data[[#This Row],[Day Rank]]=Data[[#This Row],[W Rank]]</f>
        <v>0</v>
      </c>
      <c r="U137" s="331"/>
    </row>
    <row r="138" spans="1:21">
      <c r="A138" s="333"/>
      <c r="B138" s="326"/>
      <c r="C138" s="329"/>
      <c r="D138" s="81">
        <f>D137</f>
        <v>45503</v>
      </c>
      <c r="E138" s="140" t="str">
        <f>$K$1</f>
        <v>danram</v>
      </c>
      <c r="F138" s="8">
        <f>IFERROR(AVERAGE(Data[[#This Row],[alappatjoe]:[currydestroyer27]]), "TBD")</f>
        <v>3.6</v>
      </c>
      <c r="G138" s="177">
        <f>IFERROR(_xlfn.STDEV.P(Data[[#This Row],[alappatjoe]:[currydestroyer27]]), "TBD")</f>
        <v>1.3564659966250536</v>
      </c>
      <c r="H138" s="135" t="s">
        <v>409</v>
      </c>
      <c r="I138" s="229" t="s">
        <v>410</v>
      </c>
      <c r="J138" s="12">
        <v>2</v>
      </c>
      <c r="K138" s="7">
        <v>2</v>
      </c>
      <c r="L138" s="7">
        <v>4</v>
      </c>
      <c r="M138" s="7">
        <v>5</v>
      </c>
      <c r="N138" s="7">
        <v>5</v>
      </c>
      <c r="O138" s="238"/>
      <c r="P138" s="234" t="s">
        <v>76</v>
      </c>
      <c r="Q138" s="93" t="s">
        <v>96</v>
      </c>
      <c r="R1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8" s="93">
        <v>1</v>
      </c>
      <c r="T138" s="93" t="b">
        <f>Data[[#This Row],[Day Rank]]=Data[[#This Row],[W Rank]]</f>
        <v>0</v>
      </c>
      <c r="U138" s="323"/>
    </row>
    <row r="139" spans="1:21">
      <c r="A139" s="333"/>
      <c r="B139" s="326"/>
      <c r="C139" s="329"/>
      <c r="D139" s="81">
        <f>D137</f>
        <v>45503</v>
      </c>
      <c r="E139" s="140" t="str">
        <f>$L$1</f>
        <v>loganworsdell</v>
      </c>
      <c r="F139" s="8">
        <f>IFERROR(AVERAGE(Data[[#This Row],[alappatjoe]:[currydestroyer27]]), "TBD")</f>
        <v>1.8</v>
      </c>
      <c r="G139" s="177">
        <f>IFERROR(_xlfn.STDEV.P(Data[[#This Row],[alappatjoe]:[currydestroyer27]]), "TBD")</f>
        <v>0.74833147735478833</v>
      </c>
      <c r="H139" s="135" t="s">
        <v>411</v>
      </c>
      <c r="I139" s="229" t="s">
        <v>412</v>
      </c>
      <c r="J139" s="13">
        <v>3</v>
      </c>
      <c r="K139" s="8">
        <v>1</v>
      </c>
      <c r="L139" s="8">
        <v>2</v>
      </c>
      <c r="M139" s="8">
        <v>2</v>
      </c>
      <c r="N139" s="8">
        <v>1</v>
      </c>
      <c r="O139" s="238"/>
      <c r="P139" s="234" t="s">
        <v>51</v>
      </c>
      <c r="Q139" s="93" t="s">
        <v>413</v>
      </c>
      <c r="R1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9" s="93">
        <v>1</v>
      </c>
      <c r="T139" s="93" t="b">
        <f>Data[[#This Row],[Day Rank]]=Data[[#This Row],[W Rank]]</f>
        <v>1</v>
      </c>
      <c r="U139" s="323"/>
    </row>
    <row r="140" spans="1:21">
      <c r="A140" s="333"/>
      <c r="B140" s="326"/>
      <c r="C140" s="329"/>
      <c r="D140" s="81">
        <f>D137</f>
        <v>45503</v>
      </c>
      <c r="E140" s="140" t="str">
        <f>$M$1</f>
        <v>samuelbattista</v>
      </c>
      <c r="F140" s="8">
        <f>IFERROR(AVERAGE(Data[[#This Row],[alappatjoe]:[currydestroyer27]]), "TBD")</f>
        <v>2.2000000000000002</v>
      </c>
      <c r="G140" s="177">
        <f>IFERROR(_xlfn.STDEV.P(Data[[#This Row],[alappatjoe]:[currydestroyer27]]), "TBD")</f>
        <v>1.1661903789690602</v>
      </c>
      <c r="H140" s="135" t="s">
        <v>414</v>
      </c>
      <c r="I140" s="229" t="s">
        <v>415</v>
      </c>
      <c r="J140" s="14">
        <v>4</v>
      </c>
      <c r="K140" s="9">
        <v>3</v>
      </c>
      <c r="L140" s="9">
        <v>1</v>
      </c>
      <c r="M140" s="9">
        <v>1</v>
      </c>
      <c r="N140" s="9">
        <v>2</v>
      </c>
      <c r="O140" s="238"/>
      <c r="P140" s="234" t="s">
        <v>51</v>
      </c>
      <c r="Q140" s="93" t="s">
        <v>87</v>
      </c>
      <c r="R1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0" s="93">
        <v>1</v>
      </c>
      <c r="T140" s="93" t="b">
        <f>Data[[#This Row],[Day Rank]]=Data[[#This Row],[W Rank]]</f>
        <v>0</v>
      </c>
      <c r="U140" s="323"/>
    </row>
    <row r="141" spans="1:21" ht="15.75" thickBot="1">
      <c r="A141" s="334"/>
      <c r="B141" s="327"/>
      <c r="C141" s="330"/>
      <c r="D141" s="82">
        <f>D137</f>
        <v>45503</v>
      </c>
      <c r="E141" s="182" t="str">
        <f>$N$1</f>
        <v>currydestroyer27</v>
      </c>
      <c r="F141" s="83">
        <f>IFERROR(AVERAGE(Data[[#This Row],[alappatjoe]:[currydestroyer27]]), "TBD")</f>
        <v>3.8</v>
      </c>
      <c r="G141" s="183">
        <f>IFERROR(_xlfn.STDEV.P(Data[[#This Row],[alappatjoe]:[currydestroyer27]]), "TBD")</f>
        <v>0.74833147735478833</v>
      </c>
      <c r="H141" s="184" t="s">
        <v>416</v>
      </c>
      <c r="I141" s="185" t="s">
        <v>410</v>
      </c>
      <c r="J141" s="11">
        <v>5</v>
      </c>
      <c r="K141" s="22">
        <v>4</v>
      </c>
      <c r="L141" s="22">
        <v>3</v>
      </c>
      <c r="M141" s="22">
        <v>4</v>
      </c>
      <c r="N141" s="22">
        <v>3</v>
      </c>
      <c r="O141" s="239"/>
      <c r="P141" s="235" t="s">
        <v>76</v>
      </c>
      <c r="Q141" s="94" t="s">
        <v>96</v>
      </c>
      <c r="R14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1" s="94">
        <v>1</v>
      </c>
      <c r="T141" s="94" t="b">
        <f>Data[[#This Row],[Day Rank]]=Data[[#This Row],[W Rank]]</f>
        <v>0</v>
      </c>
      <c r="U141" s="324"/>
    </row>
    <row r="142" spans="1:21">
      <c r="A142" s="332">
        <v>45504</v>
      </c>
      <c r="B142" s="325"/>
      <c r="C142" s="338" t="str" cm="1">
        <f t="array" ref="C142">_xlfn.LET(_xlpm.matches, _xlfn._xlws.FILTER(Data[Poster], (Data[Date]=A142)*(Data[Winner]=TRUE)), IF(ROWS(_xlpm.matches)&gt;1, "TIE", _xlpm.matches))</f>
        <v>alappatjoe</v>
      </c>
      <c r="D142" s="80">
        <f>A142</f>
        <v>45504</v>
      </c>
      <c r="E142" s="214" t="str">
        <f>$J$1</f>
        <v>alappatjoe</v>
      </c>
      <c r="F142" s="84">
        <f>IFERROR(AVERAGE(Data[[#This Row],[alappatjoe]:[currydestroyer27]]), "TBD")</f>
        <v>2.4</v>
      </c>
      <c r="G142" s="261">
        <f>IFERROR(_xlfn.STDEV.P(Data[[#This Row],[alappatjoe]:[currydestroyer27]]), "TBD")</f>
        <v>1.3564659966250536</v>
      </c>
      <c r="H142" s="263" t="s">
        <v>417</v>
      </c>
      <c r="I142" s="265" t="s">
        <v>418</v>
      </c>
      <c r="J142" s="10">
        <v>1</v>
      </c>
      <c r="K142" s="23">
        <v>5</v>
      </c>
      <c r="L142" s="23">
        <v>2</v>
      </c>
      <c r="M142" s="23">
        <v>2</v>
      </c>
      <c r="N142" s="23">
        <v>2</v>
      </c>
      <c r="O142" s="240"/>
      <c r="P142" s="233"/>
      <c r="Q142" s="92"/>
      <c r="R14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2" s="92">
        <v>1</v>
      </c>
      <c r="T142" s="92" t="b">
        <f>Data[[#This Row],[Day Rank]]=Data[[#This Row],[W Rank]]</f>
        <v>1</v>
      </c>
      <c r="U142" s="331"/>
    </row>
    <row r="143" spans="1:21">
      <c r="A143" s="333"/>
      <c r="B143" s="326"/>
      <c r="C143" s="339"/>
      <c r="D143" s="81">
        <f>D142</f>
        <v>45504</v>
      </c>
      <c r="E143" s="140" t="str">
        <f>$K$1</f>
        <v>danram</v>
      </c>
      <c r="F143" s="8">
        <f>IFERROR(AVERAGE(Data[[#This Row],[alappatjoe]:[currydestroyer27]]), "TBD")</f>
        <v>2.8</v>
      </c>
      <c r="G143" s="177">
        <f>IFERROR(_xlfn.STDEV.P(Data[[#This Row],[alappatjoe]:[currydestroyer27]]), "TBD")</f>
        <v>0.9797958971132712</v>
      </c>
      <c r="H143" s="135" t="s">
        <v>419</v>
      </c>
      <c r="I143" s="229" t="s">
        <v>420</v>
      </c>
      <c r="J143" s="12">
        <v>4</v>
      </c>
      <c r="K143" s="7">
        <v>1</v>
      </c>
      <c r="L143" s="7">
        <v>3</v>
      </c>
      <c r="M143" s="7">
        <v>3</v>
      </c>
      <c r="N143" s="7">
        <v>3</v>
      </c>
      <c r="O143" s="238"/>
      <c r="P143" s="234" t="s">
        <v>87</v>
      </c>
      <c r="Q143" s="93" t="s">
        <v>87</v>
      </c>
      <c r="R1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3" s="93">
        <v>1</v>
      </c>
      <c r="T143" s="93" t="b">
        <f>Data[[#This Row],[Day Rank]]=Data[[#This Row],[W Rank]]</f>
        <v>0</v>
      </c>
      <c r="U143" s="323"/>
    </row>
    <row r="144" spans="1:21" ht="15.75" thickBot="1">
      <c r="A144" s="333"/>
      <c r="B144" s="326"/>
      <c r="C144" s="339"/>
      <c r="D144" s="81">
        <f>D142</f>
        <v>45504</v>
      </c>
      <c r="E144" s="140" t="str">
        <f>$L$1</f>
        <v>loganworsdell</v>
      </c>
      <c r="F144" s="8">
        <f>IFERROR(AVERAGE(Data[[#This Row],[alappatjoe]:[currydestroyer27]]), "TBD")</f>
        <v>2.6</v>
      </c>
      <c r="G144" s="177">
        <f>IFERROR(_xlfn.STDEV.P(Data[[#This Row],[alappatjoe]:[currydestroyer27]]), "TBD")</f>
        <v>1.6248076809271921</v>
      </c>
      <c r="H144" s="135" t="s">
        <v>421</v>
      </c>
      <c r="I144" s="229" t="s">
        <v>422</v>
      </c>
      <c r="J144" s="13">
        <v>5</v>
      </c>
      <c r="K144" s="8">
        <v>2</v>
      </c>
      <c r="L144" s="8">
        <v>1</v>
      </c>
      <c r="M144" s="8">
        <v>4</v>
      </c>
      <c r="N144" s="8">
        <v>1</v>
      </c>
      <c r="O144" s="238"/>
      <c r="P144" s="234" t="s">
        <v>293</v>
      </c>
      <c r="Q144" s="93" t="s">
        <v>423</v>
      </c>
      <c r="R1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4" s="93">
        <v>1</v>
      </c>
      <c r="T144" s="93" t="b">
        <f>Data[[#This Row],[Day Rank]]=Data[[#This Row],[W Rank]]</f>
        <v>0</v>
      </c>
      <c r="U144" s="323"/>
    </row>
    <row r="145" spans="1:21" ht="15.75" thickBot="1">
      <c r="A145" s="333"/>
      <c r="B145" s="326"/>
      <c r="C145" s="339"/>
      <c r="D145" s="81">
        <f>D142</f>
        <v>45504</v>
      </c>
      <c r="E145" s="140" t="str">
        <f>$M$1</f>
        <v>samuelbattista</v>
      </c>
      <c r="F145" s="8">
        <f>IFERROR(AVERAGE(Data[[#This Row],[alappatjoe]:[currydestroyer27]]), "TBD")</f>
        <v>3.2</v>
      </c>
      <c r="G145" s="177">
        <f>IFERROR(_xlfn.STDEV.P(Data[[#This Row],[alappatjoe]:[currydestroyer27]]), "TBD")</f>
        <v>1.3266499161421599</v>
      </c>
      <c r="H145" s="135" t="s">
        <v>424</v>
      </c>
      <c r="I145" s="229" t="s">
        <v>425</v>
      </c>
      <c r="J145" s="14">
        <v>3</v>
      </c>
      <c r="K145" s="9">
        <v>3</v>
      </c>
      <c r="L145" s="9">
        <v>4</v>
      </c>
      <c r="M145" s="9">
        <v>1</v>
      </c>
      <c r="N145" s="9">
        <v>5</v>
      </c>
      <c r="O145" s="238"/>
      <c r="P145" s="234" t="s">
        <v>87</v>
      </c>
      <c r="Q145" s="93" t="s">
        <v>87</v>
      </c>
      <c r="R1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5" s="93">
        <v>1</v>
      </c>
      <c r="T145" s="93" t="b">
        <f>Data[[#This Row],[Day Rank]]=Data[[#This Row],[W Rank]]</f>
        <v>0</v>
      </c>
      <c r="U145" s="323"/>
    </row>
    <row r="146" spans="1:21" ht="15.75" thickBot="1">
      <c r="A146" s="334"/>
      <c r="B146" s="327"/>
      <c r="C146" s="340"/>
      <c r="D146" s="82">
        <f>D142</f>
        <v>45504</v>
      </c>
      <c r="E146" s="182" t="str">
        <f>$N$1</f>
        <v>currydestroyer27</v>
      </c>
      <c r="F146" s="83">
        <f>IFERROR(AVERAGE(Data[[#This Row],[alappatjoe]:[currydestroyer27]]), "TBD")</f>
        <v>4</v>
      </c>
      <c r="G146" s="183">
        <f>IFERROR(_xlfn.STDEV.P(Data[[#This Row],[alappatjoe]:[currydestroyer27]]), "TBD")</f>
        <v>1.0954451150103321</v>
      </c>
      <c r="H146" s="184" t="s">
        <v>426</v>
      </c>
      <c r="I146" s="185" t="s">
        <v>427</v>
      </c>
      <c r="J146" s="11">
        <v>2</v>
      </c>
      <c r="K146" s="22">
        <v>4</v>
      </c>
      <c r="L146" s="22">
        <v>5</v>
      </c>
      <c r="M146" s="22">
        <v>5</v>
      </c>
      <c r="N146" s="22">
        <v>4</v>
      </c>
      <c r="O146" s="239"/>
      <c r="P146" s="235" t="s">
        <v>87</v>
      </c>
      <c r="Q146" s="94" t="s">
        <v>69</v>
      </c>
      <c r="R14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6" s="94">
        <v>1</v>
      </c>
      <c r="T146" s="94" t="b">
        <f>Data[[#This Row],[Day Rank]]=Data[[#This Row],[W Rank]]</f>
        <v>0</v>
      </c>
      <c r="U146" s="324"/>
    </row>
    <row r="147" spans="1:21" ht="15.75" thickBot="1">
      <c r="A147" s="332">
        <v>45505</v>
      </c>
      <c r="B147" s="325"/>
      <c r="C147" s="328" t="str" cm="1">
        <f t="array" ref="C147">_xlfn.LET(_xlpm.matches, _xlfn._xlws.FILTER(Data[Poster], (Data[Date]=A147)*(Data[Winner]=TRUE)), IF(ROWS(_xlpm.matches)&gt;1, "TIE", _xlpm.matches))</f>
        <v>currydestroyer27</v>
      </c>
      <c r="D147" s="80">
        <f>A147</f>
        <v>45505</v>
      </c>
      <c r="E147" s="214" t="str">
        <f>$J$1</f>
        <v>alappatjoe</v>
      </c>
      <c r="F147" s="84">
        <f>IFERROR(AVERAGE(Data[[#This Row],[alappatjoe]:[currydestroyer27]]), "TBD")</f>
        <v>3.4</v>
      </c>
      <c r="G147" s="261">
        <f>IFERROR(_xlfn.STDEV.P(Data[[#This Row],[alappatjoe]:[currydestroyer27]]), "TBD")</f>
        <v>1.3564659966250536</v>
      </c>
      <c r="H147" s="263" t="s">
        <v>428</v>
      </c>
      <c r="I147" s="265" t="s">
        <v>429</v>
      </c>
      <c r="J147" s="10">
        <v>1</v>
      </c>
      <c r="K147" s="23">
        <v>4</v>
      </c>
      <c r="L147" s="23">
        <v>5</v>
      </c>
      <c r="M147" s="23">
        <v>4</v>
      </c>
      <c r="N147" s="23">
        <v>3</v>
      </c>
      <c r="O147" s="240"/>
      <c r="P147" s="233"/>
      <c r="Q147" s="92"/>
      <c r="R14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7" s="92">
        <v>1</v>
      </c>
      <c r="T147" s="92" t="b">
        <f>Data[[#This Row],[Day Rank]]=Data[[#This Row],[W Rank]]</f>
        <v>0</v>
      </c>
      <c r="U147" s="331" t="s">
        <v>430</v>
      </c>
    </row>
    <row r="148" spans="1:21" ht="15.75" thickBot="1">
      <c r="A148" s="333"/>
      <c r="B148" s="326"/>
      <c r="C148" s="329"/>
      <c r="D148" s="81">
        <f>D147</f>
        <v>45505</v>
      </c>
      <c r="E148" s="140" t="str">
        <f>$K$1</f>
        <v>danram</v>
      </c>
      <c r="F148" s="8">
        <f>IFERROR(AVERAGE(Data[[#This Row],[alappatjoe]:[currydestroyer27]]), "TBD")</f>
        <v>2.6</v>
      </c>
      <c r="G148" s="177">
        <f>IFERROR(_xlfn.STDEV.P(Data[[#This Row],[alappatjoe]:[currydestroyer27]]), "TBD")</f>
        <v>1.019803902718557</v>
      </c>
      <c r="H148" s="135" t="s">
        <v>431</v>
      </c>
      <c r="I148" s="229" t="s">
        <v>432</v>
      </c>
      <c r="J148" s="12">
        <v>3</v>
      </c>
      <c r="K148" s="7">
        <v>1</v>
      </c>
      <c r="L148" s="7">
        <v>2</v>
      </c>
      <c r="M148" s="7">
        <v>3</v>
      </c>
      <c r="N148" s="7">
        <v>4</v>
      </c>
      <c r="O148" s="238"/>
      <c r="P148" s="234"/>
      <c r="Q148" s="93"/>
      <c r="R1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8" s="93">
        <v>1</v>
      </c>
      <c r="T148" s="93" t="b">
        <f>Data[[#This Row],[Day Rank]]=Data[[#This Row],[W Rank]]</f>
        <v>0</v>
      </c>
      <c r="U148" s="323"/>
    </row>
    <row r="149" spans="1:21" ht="15.75" thickBot="1">
      <c r="A149" s="333"/>
      <c r="B149" s="326"/>
      <c r="C149" s="329"/>
      <c r="D149" s="81">
        <f>D147</f>
        <v>45505</v>
      </c>
      <c r="E149" s="140" t="str">
        <f>$L$1</f>
        <v>loganworsdell</v>
      </c>
      <c r="F149" s="8">
        <f>IFERROR(AVERAGE(Data[[#This Row],[alappatjoe]:[currydestroyer27]]), "TBD")</f>
        <v>4.2</v>
      </c>
      <c r="G149" s="177">
        <f>IFERROR(_xlfn.STDEV.P(Data[[#This Row],[alappatjoe]:[currydestroyer27]]), "TBD")</f>
        <v>0.74833147735478833</v>
      </c>
      <c r="H149" s="135" t="s">
        <v>433</v>
      </c>
      <c r="I149" s="229" t="s">
        <v>434</v>
      </c>
      <c r="J149" s="13">
        <v>4</v>
      </c>
      <c r="K149" s="8">
        <v>3</v>
      </c>
      <c r="L149" s="8">
        <v>4</v>
      </c>
      <c r="M149" s="8">
        <v>5</v>
      </c>
      <c r="N149" s="8">
        <v>5</v>
      </c>
      <c r="O149" s="238"/>
      <c r="P149" s="234" t="s">
        <v>51</v>
      </c>
      <c r="Q149" s="93" t="s">
        <v>435</v>
      </c>
      <c r="R1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9" s="93">
        <v>1</v>
      </c>
      <c r="T149" s="93" t="b">
        <f>Data[[#This Row],[Day Rank]]=Data[[#This Row],[W Rank]]</f>
        <v>0</v>
      </c>
      <c r="U149" s="323"/>
    </row>
    <row r="150" spans="1:21">
      <c r="A150" s="333"/>
      <c r="B150" s="326"/>
      <c r="C150" s="329"/>
      <c r="D150" s="81">
        <f>D147</f>
        <v>45505</v>
      </c>
      <c r="E150" s="140" t="str">
        <f>$M$1</f>
        <v>samuelbattista</v>
      </c>
      <c r="F150" s="8">
        <f>IFERROR(AVERAGE(Data[[#This Row],[alappatjoe]:[currydestroyer27]]), "TBD")</f>
        <v>3.4</v>
      </c>
      <c r="G150" s="177">
        <f>IFERROR(_xlfn.STDEV.P(Data[[#This Row],[alappatjoe]:[currydestroyer27]]), "TBD")</f>
        <v>1.3564659966250536</v>
      </c>
      <c r="H150" s="135" t="s">
        <v>436</v>
      </c>
      <c r="I150" s="229" t="s">
        <v>437</v>
      </c>
      <c r="J150" s="14">
        <v>5</v>
      </c>
      <c r="K150" s="9">
        <v>5</v>
      </c>
      <c r="L150" s="9">
        <v>3</v>
      </c>
      <c r="M150" s="9">
        <v>2</v>
      </c>
      <c r="N150" s="9">
        <v>2</v>
      </c>
      <c r="O150" s="238"/>
      <c r="P150" s="234" t="s">
        <v>76</v>
      </c>
      <c r="Q150" s="93" t="s">
        <v>438</v>
      </c>
      <c r="R1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0" s="93">
        <v>1</v>
      </c>
      <c r="T150" s="93" t="b">
        <f>Data[[#This Row],[Day Rank]]=Data[[#This Row],[W Rank]]</f>
        <v>0</v>
      </c>
      <c r="U150" s="323"/>
    </row>
    <row r="151" spans="1:21" ht="15.75" thickBot="1">
      <c r="A151" s="334"/>
      <c r="B151" s="327"/>
      <c r="C151" s="330"/>
      <c r="D151" s="82">
        <f>D147</f>
        <v>45505</v>
      </c>
      <c r="E151" s="182" t="str">
        <f>$N$1</f>
        <v>currydestroyer27</v>
      </c>
      <c r="F151" s="83">
        <f>IFERROR(AVERAGE(Data[[#This Row],[alappatjoe]:[currydestroyer27]]), "TBD")</f>
        <v>1.4</v>
      </c>
      <c r="G151" s="183">
        <f>IFERROR(_xlfn.STDEV.P(Data[[#This Row],[alappatjoe]:[currydestroyer27]]), "TBD")</f>
        <v>0.4898979485566356</v>
      </c>
      <c r="H151" s="184" t="s">
        <v>439</v>
      </c>
      <c r="I151" s="185" t="s">
        <v>440</v>
      </c>
      <c r="J151" s="11">
        <v>2</v>
      </c>
      <c r="K151" s="22">
        <v>2</v>
      </c>
      <c r="L151" s="22">
        <v>1</v>
      </c>
      <c r="M151" s="22">
        <v>1</v>
      </c>
      <c r="N151" s="22">
        <v>1</v>
      </c>
      <c r="O151" s="239"/>
      <c r="P151" s="235" t="s">
        <v>51</v>
      </c>
      <c r="Q151" s="94" t="s">
        <v>51</v>
      </c>
      <c r="R15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1" s="94">
        <v>1</v>
      </c>
      <c r="T151" s="94" t="b">
        <f>Data[[#This Row],[Day Rank]]=Data[[#This Row],[W Rank]]</f>
        <v>1</v>
      </c>
      <c r="U151" s="324"/>
    </row>
    <row r="152" spans="1:21">
      <c r="A152" s="332">
        <v>45509</v>
      </c>
      <c r="B152" s="325"/>
      <c r="C152" s="338" t="str" cm="1">
        <f t="array" ref="C152">_xlfn.LET(_xlpm.matches, _xlfn._xlws.FILTER(Data[Poster], (Data[Date]=A152)*(Data[Winner]=TRUE)), IF(ROWS(_xlpm.matches)&gt;1, "TIE", _xlpm.matches))</f>
        <v>loganworsdell</v>
      </c>
      <c r="D152" s="80">
        <f>A152</f>
        <v>45509</v>
      </c>
      <c r="E152" s="214" t="str">
        <f>$J$1</f>
        <v>alappatjoe</v>
      </c>
      <c r="F152" s="84">
        <f>IFERROR(AVERAGE(Data[[#This Row],[alappatjoe]:[currydestroyer27]]), "TBD")</f>
        <v>3.2</v>
      </c>
      <c r="G152" s="261">
        <f>IFERROR(_xlfn.STDEV.P(Data[[#This Row],[alappatjoe]:[currydestroyer27]]), "TBD")</f>
        <v>1.833030277982336</v>
      </c>
      <c r="H152" s="263" t="s">
        <v>441</v>
      </c>
      <c r="I152" s="265" t="s">
        <v>442</v>
      </c>
      <c r="J152" s="10">
        <v>1</v>
      </c>
      <c r="K152" s="23">
        <v>5</v>
      </c>
      <c r="L152" s="23">
        <v>4</v>
      </c>
      <c r="M152" s="23">
        <v>5</v>
      </c>
      <c r="N152" s="23">
        <v>1</v>
      </c>
      <c r="O152" s="240"/>
      <c r="P152" s="233" t="s">
        <v>120</v>
      </c>
      <c r="Q152" s="92" t="s">
        <v>443</v>
      </c>
      <c r="R15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2" s="92">
        <v>1</v>
      </c>
      <c r="T152" s="92" t="b">
        <f>Data[[#This Row],[Day Rank]]=Data[[#This Row],[W Rank]]</f>
        <v>0</v>
      </c>
      <c r="U152" s="331"/>
    </row>
    <row r="153" spans="1:21">
      <c r="A153" s="333"/>
      <c r="B153" s="326"/>
      <c r="C153" s="339"/>
      <c r="D153" s="81">
        <f>D152</f>
        <v>45509</v>
      </c>
      <c r="E153" s="140" t="str">
        <f>$K$1</f>
        <v>danram</v>
      </c>
      <c r="F153" s="8">
        <f>IFERROR(AVERAGE(Data[[#This Row],[alappatjoe]:[currydestroyer27]]), "TBD")</f>
        <v>3</v>
      </c>
      <c r="G153" s="177">
        <f>IFERROR(_xlfn.STDEV.P(Data[[#This Row],[alappatjoe]:[currydestroyer27]]), "TBD")</f>
        <v>0.63245553203367588</v>
      </c>
      <c r="H153" s="135" t="s">
        <v>444</v>
      </c>
      <c r="I153" s="229" t="s">
        <v>445</v>
      </c>
      <c r="J153" s="12">
        <v>4</v>
      </c>
      <c r="K153" s="7">
        <v>2</v>
      </c>
      <c r="L153" s="7">
        <v>3</v>
      </c>
      <c r="M153" s="7">
        <v>3</v>
      </c>
      <c r="N153" s="7">
        <v>3</v>
      </c>
      <c r="O153" s="238"/>
      <c r="P153" s="234" t="s">
        <v>69</v>
      </c>
      <c r="Q153" s="93" t="s">
        <v>446</v>
      </c>
      <c r="R1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3" s="93">
        <v>1</v>
      </c>
      <c r="T153" s="93" t="b">
        <f>Data[[#This Row],[Day Rank]]=Data[[#This Row],[W Rank]]</f>
        <v>0</v>
      </c>
      <c r="U153" s="323"/>
    </row>
    <row r="154" spans="1:21">
      <c r="A154" s="333"/>
      <c r="B154" s="326"/>
      <c r="C154" s="339"/>
      <c r="D154" s="81">
        <f>D152</f>
        <v>45509</v>
      </c>
      <c r="E154" s="140" t="str">
        <f>$L$1</f>
        <v>loganworsdell</v>
      </c>
      <c r="F154" s="8">
        <f>IFERROR(AVERAGE(Data[[#This Row],[alappatjoe]:[currydestroyer27]]), "TBD")</f>
        <v>2</v>
      </c>
      <c r="G154" s="177">
        <f>IFERROR(_xlfn.STDEV.P(Data[[#This Row],[alappatjoe]:[currydestroyer27]]), "TBD")</f>
        <v>1.0954451150103321</v>
      </c>
      <c r="H154" s="135" t="s">
        <v>447</v>
      </c>
      <c r="I154" s="229" t="s">
        <v>448</v>
      </c>
      <c r="J154" s="13">
        <v>2</v>
      </c>
      <c r="K154" s="8">
        <v>1</v>
      </c>
      <c r="L154" s="8">
        <v>1</v>
      </c>
      <c r="M154" s="8">
        <v>2</v>
      </c>
      <c r="N154" s="8">
        <v>4</v>
      </c>
      <c r="O154" s="238"/>
      <c r="P154" s="234" t="s">
        <v>87</v>
      </c>
      <c r="Q154" s="93" t="s">
        <v>392</v>
      </c>
      <c r="R1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4" s="93">
        <v>1</v>
      </c>
      <c r="T154" s="93" t="b">
        <f>Data[[#This Row],[Day Rank]]=Data[[#This Row],[W Rank]]</f>
        <v>1</v>
      </c>
      <c r="U154" s="323"/>
    </row>
    <row r="155" spans="1:21">
      <c r="A155" s="333"/>
      <c r="B155" s="326"/>
      <c r="C155" s="339"/>
      <c r="D155" s="81">
        <f>D152</f>
        <v>45509</v>
      </c>
      <c r="E155" s="140" t="str">
        <f>$M$1</f>
        <v>samuelbattista</v>
      </c>
      <c r="F155" s="8">
        <f>IFERROR(AVERAGE(Data[[#This Row],[alappatjoe]:[currydestroyer27]]), "TBD")</f>
        <v>4</v>
      </c>
      <c r="G155" s="177">
        <f>IFERROR(_xlfn.STDEV.P(Data[[#This Row],[alappatjoe]:[currydestroyer27]]), "TBD")</f>
        <v>1.5491933384829668</v>
      </c>
      <c r="H155" s="135" t="s">
        <v>449</v>
      </c>
      <c r="I155" s="229" t="s">
        <v>450</v>
      </c>
      <c r="J155" s="14">
        <v>5</v>
      </c>
      <c r="K155" s="9">
        <v>4</v>
      </c>
      <c r="L155" s="9">
        <v>5</v>
      </c>
      <c r="M155" s="9">
        <v>1</v>
      </c>
      <c r="N155" s="9">
        <v>5</v>
      </c>
      <c r="O155" s="238"/>
      <c r="P155" s="234" t="s">
        <v>170</v>
      </c>
      <c r="Q155" s="93" t="s">
        <v>451</v>
      </c>
      <c r="R1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5" s="93">
        <v>1</v>
      </c>
      <c r="T155" s="93" t="b">
        <f>Data[[#This Row],[Day Rank]]=Data[[#This Row],[W Rank]]</f>
        <v>0</v>
      </c>
      <c r="U155" s="323"/>
    </row>
    <row r="156" spans="1:21" ht="15" customHeight="1" thickBot="1">
      <c r="A156" s="334"/>
      <c r="B156" s="327"/>
      <c r="C156" s="340"/>
      <c r="D156" s="82">
        <f>D152</f>
        <v>45509</v>
      </c>
      <c r="E156" s="182" t="str">
        <f>$N$1</f>
        <v>currydestroyer27</v>
      </c>
      <c r="F156" s="83">
        <f>IFERROR(AVERAGE(Data[[#This Row],[alappatjoe]:[currydestroyer27]]), "TBD")</f>
        <v>2.8</v>
      </c>
      <c r="G156" s="183">
        <f>IFERROR(_xlfn.STDEV.P(Data[[#This Row],[alappatjoe]:[currydestroyer27]]), "TBD")</f>
        <v>0.74833147735478833</v>
      </c>
      <c r="H156" s="184" t="s">
        <v>452</v>
      </c>
      <c r="I156" s="185" t="s">
        <v>453</v>
      </c>
      <c r="J156" s="11">
        <v>3</v>
      </c>
      <c r="K156" s="22">
        <v>3</v>
      </c>
      <c r="L156" s="22">
        <v>2</v>
      </c>
      <c r="M156" s="22">
        <v>4</v>
      </c>
      <c r="N156" s="22">
        <v>2</v>
      </c>
      <c r="O156" s="239"/>
      <c r="P156" s="235" t="s">
        <v>69</v>
      </c>
      <c r="Q156" s="94" t="s">
        <v>446</v>
      </c>
      <c r="R15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6" s="94">
        <v>1</v>
      </c>
      <c r="T156" s="94" t="b">
        <f>Data[[#This Row],[Day Rank]]=Data[[#This Row],[W Rank]]</f>
        <v>0</v>
      </c>
      <c r="U156" s="324"/>
    </row>
    <row r="157" spans="1:21">
      <c r="A157" s="332">
        <v>45510</v>
      </c>
      <c r="B157" s="325"/>
      <c r="C157" s="328" t="str" cm="1">
        <f t="array" ref="C157">_xlfn.LET(_xlpm.matches, _xlfn._xlws.FILTER(Data[Poster], (Data[Date]=A157)*(Data[Winner]=TRUE)), IF(ROWS(_xlpm.matches)&gt;1, "TIE", _xlpm.matches))</f>
        <v>danram</v>
      </c>
      <c r="D157" s="80">
        <f>A157</f>
        <v>45510</v>
      </c>
      <c r="E157" s="214" t="str">
        <f>$J$1</f>
        <v>alappatjoe</v>
      </c>
      <c r="F157" s="84">
        <f>IFERROR(AVERAGE(Data[[#This Row],[alappatjoe]:[currydestroyer27]]), "TBD")</f>
        <v>3.8</v>
      </c>
      <c r="G157" s="261">
        <f>IFERROR(_xlfn.STDEV.P(Data[[#This Row],[alappatjoe]:[currydestroyer27]]), "TBD")</f>
        <v>1.4696938456699069</v>
      </c>
      <c r="H157" s="263" t="s">
        <v>454</v>
      </c>
      <c r="I157" s="265" t="s">
        <v>455</v>
      </c>
      <c r="J157" s="10">
        <v>1</v>
      </c>
      <c r="K157" s="23">
        <v>5</v>
      </c>
      <c r="L157" s="23">
        <v>5</v>
      </c>
      <c r="M157" s="23">
        <v>4</v>
      </c>
      <c r="N157" s="23">
        <v>4</v>
      </c>
      <c r="O157" s="240"/>
      <c r="P157" s="233" t="s">
        <v>120</v>
      </c>
      <c r="Q157" s="92" t="s">
        <v>443</v>
      </c>
      <c r="R157" s="10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7" s="10">
        <v>1</v>
      </c>
      <c r="T157" s="92" t="b">
        <f>Data[[#This Row],[Day Rank]]=Data[[#This Row],[W Rank]]</f>
        <v>0</v>
      </c>
      <c r="U157" s="331"/>
    </row>
    <row r="158" spans="1:21">
      <c r="A158" s="333"/>
      <c r="B158" s="326"/>
      <c r="C158" s="329"/>
      <c r="D158" s="81">
        <f>D157</f>
        <v>45510</v>
      </c>
      <c r="E158" s="140" t="str">
        <f>$K$1</f>
        <v>danram</v>
      </c>
      <c r="F158" s="8">
        <f>IFERROR(AVERAGE(Data[[#This Row],[alappatjoe]:[currydestroyer27]]), "TBD")</f>
        <v>2</v>
      </c>
      <c r="G158" s="177">
        <f>IFERROR(_xlfn.STDEV.P(Data[[#This Row],[alappatjoe]:[currydestroyer27]]), "TBD")</f>
        <v>0.89442719099991586</v>
      </c>
      <c r="H158" s="135" t="s">
        <v>456</v>
      </c>
      <c r="I158" s="229" t="s">
        <v>457</v>
      </c>
      <c r="J158" s="12">
        <v>3</v>
      </c>
      <c r="K158" s="7">
        <v>1</v>
      </c>
      <c r="L158" s="7">
        <v>1</v>
      </c>
      <c r="M158" s="7">
        <v>2</v>
      </c>
      <c r="N158" s="7">
        <v>3</v>
      </c>
      <c r="O158" s="238"/>
      <c r="P158" s="234" t="s">
        <v>120</v>
      </c>
      <c r="Q158" s="93" t="s">
        <v>120</v>
      </c>
      <c r="R158" s="18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8" s="18">
        <v>1</v>
      </c>
      <c r="T158" s="93" t="b">
        <f>Data[[#This Row],[Day Rank]]=Data[[#This Row],[W Rank]]</f>
        <v>1</v>
      </c>
      <c r="U158" s="323"/>
    </row>
    <row r="159" spans="1:21">
      <c r="A159" s="333"/>
      <c r="B159" s="326"/>
      <c r="C159" s="329"/>
      <c r="D159" s="81">
        <f>D157</f>
        <v>45510</v>
      </c>
      <c r="E159" s="140" t="str">
        <f>$L$1</f>
        <v>loganworsdell</v>
      </c>
      <c r="F159" s="8">
        <f>IFERROR(AVERAGE(Data[[#This Row],[alappatjoe]:[currydestroyer27]]), "TBD")</f>
        <v>4.2</v>
      </c>
      <c r="G159" s="177">
        <f>IFERROR(_xlfn.STDEV.P(Data[[#This Row],[alappatjoe]:[currydestroyer27]]), "TBD")</f>
        <v>0.74833147735478833</v>
      </c>
      <c r="H159" s="135" t="s">
        <v>458</v>
      </c>
      <c r="I159" s="229" t="s">
        <v>459</v>
      </c>
      <c r="J159" s="13">
        <v>5</v>
      </c>
      <c r="K159" s="8">
        <v>4</v>
      </c>
      <c r="L159" s="8">
        <v>4</v>
      </c>
      <c r="M159" s="8">
        <v>3</v>
      </c>
      <c r="N159" s="8">
        <v>5</v>
      </c>
      <c r="O159" s="238"/>
      <c r="P159" s="234" t="s">
        <v>72</v>
      </c>
      <c r="Q159" s="93" t="s">
        <v>460</v>
      </c>
      <c r="R159" s="18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9" s="18">
        <v>1</v>
      </c>
      <c r="T159" s="93" t="b">
        <f>Data[[#This Row],[Day Rank]]=Data[[#This Row],[W Rank]]</f>
        <v>0</v>
      </c>
      <c r="U159" s="323"/>
    </row>
    <row r="160" spans="1:21" ht="15.75" thickBot="1">
      <c r="A160" s="333"/>
      <c r="B160" s="326"/>
      <c r="C160" s="329"/>
      <c r="D160" s="81">
        <f>D157</f>
        <v>45510</v>
      </c>
      <c r="E160" s="140" t="str">
        <f>$M$1</f>
        <v>samuelbattista</v>
      </c>
      <c r="F160" s="8">
        <f>IFERROR(AVERAGE(Data[[#This Row],[alappatjoe]:[currydestroyer27]]), "TBD")</f>
        <v>2.2000000000000002</v>
      </c>
      <c r="G160" s="177">
        <f>IFERROR(_xlfn.STDEV.P(Data[[#This Row],[alappatjoe]:[currydestroyer27]]), "TBD")</f>
        <v>0.9797958971132712</v>
      </c>
      <c r="H160" s="135" t="s">
        <v>452</v>
      </c>
      <c r="I160" s="229" t="s">
        <v>379</v>
      </c>
      <c r="J160" s="14">
        <v>4</v>
      </c>
      <c r="K160" s="9">
        <v>2</v>
      </c>
      <c r="L160" s="9">
        <v>2</v>
      </c>
      <c r="M160" s="9">
        <v>1</v>
      </c>
      <c r="N160" s="9">
        <v>2</v>
      </c>
      <c r="O160" s="238"/>
      <c r="P160" s="234" t="s">
        <v>72</v>
      </c>
      <c r="Q160" s="93" t="s">
        <v>461</v>
      </c>
      <c r="R160" s="18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0" s="18">
        <v>1</v>
      </c>
      <c r="T160" s="93" t="b">
        <f>Data[[#This Row],[Day Rank]]=Data[[#This Row],[W Rank]]</f>
        <v>0</v>
      </c>
      <c r="U160" s="323"/>
    </row>
    <row r="161" spans="1:21" ht="15" customHeight="1" thickBot="1">
      <c r="A161" s="334"/>
      <c r="B161" s="327"/>
      <c r="C161" s="330"/>
      <c r="D161" s="82">
        <f>D157</f>
        <v>45510</v>
      </c>
      <c r="E161" s="182" t="str">
        <f>$N$1</f>
        <v>currydestroyer27</v>
      </c>
      <c r="F161" s="83">
        <f>IFERROR(AVERAGE(Data[[#This Row],[alappatjoe]:[currydestroyer27]]), "TBD")</f>
        <v>2.8</v>
      </c>
      <c r="G161" s="183">
        <f>IFERROR(_xlfn.STDEV.P(Data[[#This Row],[alappatjoe]:[currydestroyer27]]), "TBD")</f>
        <v>1.3266499161421599</v>
      </c>
      <c r="H161" s="184" t="s">
        <v>462</v>
      </c>
      <c r="I161" s="185" t="s">
        <v>463</v>
      </c>
      <c r="J161" s="11">
        <v>2</v>
      </c>
      <c r="K161" s="22">
        <v>3</v>
      </c>
      <c r="L161" s="22">
        <v>3</v>
      </c>
      <c r="M161" s="22">
        <v>5</v>
      </c>
      <c r="N161" s="22">
        <v>1</v>
      </c>
      <c r="O161" s="239"/>
      <c r="P161" s="235" t="s">
        <v>120</v>
      </c>
      <c r="Q161" s="94" t="s">
        <v>443</v>
      </c>
      <c r="R161" s="11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1" s="11">
        <v>1</v>
      </c>
      <c r="T161" s="94" t="b">
        <f>Data[[#This Row],[Day Rank]]=Data[[#This Row],[W Rank]]</f>
        <v>0</v>
      </c>
      <c r="U161" s="324"/>
    </row>
    <row r="162" spans="1:21" ht="15.75" thickBot="1">
      <c r="A162" s="332">
        <v>45511</v>
      </c>
      <c r="B162" s="325"/>
      <c r="C162" s="338" t="str" cm="1">
        <f t="array" ref="C162">_xlfn.LET(_xlpm.matches, _xlfn._xlws.FILTER(Data[Poster], (Data[Date]=A162)*(Data[Winner]=TRUE)), IF(ROWS(_xlpm.matches)&gt;1, "TIE", _xlpm.matches))</f>
        <v>loganworsdell</v>
      </c>
      <c r="D162" s="80">
        <f>A162</f>
        <v>45511</v>
      </c>
      <c r="E162" s="214" t="str">
        <f>$J$1</f>
        <v>alappatjoe</v>
      </c>
      <c r="F162" s="84">
        <f>IFERROR(AVERAGE(Data[[#This Row],[alappatjoe]:[currydestroyer27]]), "TBD")</f>
        <v>3.4</v>
      </c>
      <c r="G162" s="261">
        <f>IFERROR(_xlfn.STDEV.P(Data[[#This Row],[alappatjoe]:[currydestroyer27]]), "TBD")</f>
        <v>1.6248076809271921</v>
      </c>
      <c r="H162" s="263" t="s">
        <v>464</v>
      </c>
      <c r="I162" s="265" t="s">
        <v>465</v>
      </c>
      <c r="J162" s="10">
        <v>1</v>
      </c>
      <c r="K162" s="23">
        <v>5</v>
      </c>
      <c r="L162" s="23">
        <v>2</v>
      </c>
      <c r="M162" s="23">
        <v>4</v>
      </c>
      <c r="N162" s="23">
        <v>5</v>
      </c>
      <c r="O162" s="240"/>
      <c r="P162" s="233" t="s">
        <v>170</v>
      </c>
      <c r="Q162" s="92" t="s">
        <v>226</v>
      </c>
      <c r="R16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2" s="92">
        <v>1</v>
      </c>
      <c r="T162" s="92" t="b">
        <f>Data[[#This Row],[Day Rank]]=Data[[#This Row],[W Rank]]</f>
        <v>0</v>
      </c>
      <c r="U162" s="331"/>
    </row>
    <row r="163" spans="1:21">
      <c r="A163" s="333"/>
      <c r="B163" s="326"/>
      <c r="C163" s="339"/>
      <c r="D163" s="81">
        <f>D162</f>
        <v>45511</v>
      </c>
      <c r="E163" s="140" t="str">
        <f>$K$1</f>
        <v>danram</v>
      </c>
      <c r="F163" s="8">
        <f>IFERROR(AVERAGE(Data[[#This Row],[alappatjoe]:[currydestroyer27]]), "TBD")</f>
        <v>3</v>
      </c>
      <c r="G163" s="177">
        <f>IFERROR(_xlfn.STDEV.P(Data[[#This Row],[alappatjoe]:[currydestroyer27]]), "TBD")</f>
        <v>0.89442719099991586</v>
      </c>
      <c r="H163" s="135" t="s">
        <v>466</v>
      </c>
      <c r="I163" s="229" t="s">
        <v>467</v>
      </c>
      <c r="J163" s="12">
        <v>2</v>
      </c>
      <c r="K163" s="7">
        <v>3</v>
      </c>
      <c r="L163" s="7">
        <v>4</v>
      </c>
      <c r="M163" s="7">
        <v>2</v>
      </c>
      <c r="N163" s="7">
        <v>4</v>
      </c>
      <c r="O163" s="238"/>
      <c r="P163" s="234" t="s">
        <v>120</v>
      </c>
      <c r="Q163" s="93" t="s">
        <v>268</v>
      </c>
      <c r="R1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3" s="93">
        <v>1</v>
      </c>
      <c r="T163" s="93" t="b">
        <f>Data[[#This Row],[Day Rank]]=Data[[#This Row],[W Rank]]</f>
        <v>0</v>
      </c>
      <c r="U163" s="323"/>
    </row>
    <row r="164" spans="1:21">
      <c r="A164" s="333"/>
      <c r="B164" s="326"/>
      <c r="C164" s="339"/>
      <c r="D164" s="81">
        <f>D162</f>
        <v>45511</v>
      </c>
      <c r="E164" s="140" t="str">
        <f>$L$1</f>
        <v>loganworsdell</v>
      </c>
      <c r="F164" s="8">
        <f>IFERROR(AVERAGE(Data[[#This Row],[alappatjoe]:[currydestroyer27]]), "TBD")</f>
        <v>2</v>
      </c>
      <c r="G164" s="177">
        <f>IFERROR(_xlfn.STDEV.P(Data[[#This Row],[alappatjoe]:[currydestroyer27]]), "TBD")</f>
        <v>0.89442719099991586</v>
      </c>
      <c r="H164" s="135" t="s">
        <v>468</v>
      </c>
      <c r="I164" s="229" t="s">
        <v>469</v>
      </c>
      <c r="J164" s="13">
        <v>3</v>
      </c>
      <c r="K164" s="8">
        <v>1</v>
      </c>
      <c r="L164" s="8">
        <v>1</v>
      </c>
      <c r="M164" s="8">
        <v>3</v>
      </c>
      <c r="N164" s="8">
        <v>2</v>
      </c>
      <c r="O164" s="238"/>
      <c r="P164" s="234" t="s">
        <v>58</v>
      </c>
      <c r="Q164" s="93" t="s">
        <v>470</v>
      </c>
      <c r="R1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4" s="93">
        <v>1</v>
      </c>
      <c r="T164" s="93" t="b">
        <f>Data[[#This Row],[Day Rank]]=Data[[#This Row],[W Rank]]</f>
        <v>1</v>
      </c>
      <c r="U164" s="323"/>
    </row>
    <row r="165" spans="1:21">
      <c r="A165" s="333"/>
      <c r="B165" s="326"/>
      <c r="C165" s="339"/>
      <c r="D165" s="81">
        <f>D162</f>
        <v>45511</v>
      </c>
      <c r="E165" s="140" t="str">
        <f>$M$1</f>
        <v>samuelbattista</v>
      </c>
      <c r="F165" s="8">
        <f>IFERROR(AVERAGE(Data[[#This Row],[alappatjoe]:[currydestroyer27]]), "TBD")</f>
        <v>3.6</v>
      </c>
      <c r="G165" s="177">
        <f>IFERROR(_xlfn.STDEV.P(Data[[#This Row],[alappatjoe]:[currydestroyer27]]), "TBD")</f>
        <v>1.4966629547095767</v>
      </c>
      <c r="H165" s="135" t="s">
        <v>471</v>
      </c>
      <c r="I165" s="229" t="s">
        <v>472</v>
      </c>
      <c r="J165" s="14">
        <v>5</v>
      </c>
      <c r="K165" s="9">
        <v>4</v>
      </c>
      <c r="L165" s="3">
        <v>5</v>
      </c>
      <c r="M165" s="9">
        <v>1</v>
      </c>
      <c r="N165" s="9">
        <v>3</v>
      </c>
      <c r="O165" s="238"/>
      <c r="P165" s="234" t="s">
        <v>144</v>
      </c>
      <c r="Q165" s="93" t="s">
        <v>473</v>
      </c>
      <c r="R1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5" s="93">
        <v>1</v>
      </c>
      <c r="T165" s="93" t="b">
        <f>Data[[#This Row],[Day Rank]]=Data[[#This Row],[W Rank]]</f>
        <v>0</v>
      </c>
      <c r="U165" s="323"/>
    </row>
    <row r="166" spans="1:21" ht="15" customHeight="1" thickBot="1">
      <c r="A166" s="334"/>
      <c r="B166" s="327"/>
      <c r="C166" s="340"/>
      <c r="D166" s="82">
        <f>D162</f>
        <v>45511</v>
      </c>
      <c r="E166" s="182" t="str">
        <f>$N$1</f>
        <v>currydestroyer27</v>
      </c>
      <c r="F166" s="83">
        <f>IFERROR(AVERAGE(Data[[#This Row],[alappatjoe]:[currydestroyer27]]), "TBD")</f>
        <v>3</v>
      </c>
      <c r="G166" s="183">
        <f>IFERROR(_xlfn.STDEV.P(Data[[#This Row],[alappatjoe]:[currydestroyer27]]), "TBD")</f>
        <v>1.4142135623730951</v>
      </c>
      <c r="H166" s="184" t="s">
        <v>474</v>
      </c>
      <c r="I166" s="185" t="s">
        <v>475</v>
      </c>
      <c r="J166" s="11">
        <v>4</v>
      </c>
      <c r="K166" s="22">
        <v>2</v>
      </c>
      <c r="L166" s="9">
        <v>3</v>
      </c>
      <c r="M166" s="22">
        <v>5</v>
      </c>
      <c r="N166" s="22">
        <v>1</v>
      </c>
      <c r="O166" s="239"/>
      <c r="P166" s="235" t="s">
        <v>76</v>
      </c>
      <c r="Q166" s="94" t="s">
        <v>476</v>
      </c>
      <c r="R16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6" s="94">
        <v>1</v>
      </c>
      <c r="T166" s="94" t="b">
        <f>Data[[#This Row],[Day Rank]]=Data[[#This Row],[W Rank]]</f>
        <v>0</v>
      </c>
      <c r="U166" s="324"/>
    </row>
    <row r="167" spans="1:21">
      <c r="A167" s="332">
        <v>45512</v>
      </c>
      <c r="B167" s="325"/>
      <c r="C167" s="328" t="str" cm="1">
        <f t="array" ref="C167">_xlfn.LET(_xlpm.matches, _xlfn._xlws.FILTER(Data[Poster], (Data[Date]=A167)*(Data[Winner]=TRUE)), IF(ROWS(_xlpm.matches)&gt;1, "TIE", _xlpm.matches))</f>
        <v>danram</v>
      </c>
      <c r="D167" s="80">
        <f>A167</f>
        <v>45512</v>
      </c>
      <c r="E167" s="214" t="str">
        <f>$J$1</f>
        <v>alappatjoe</v>
      </c>
      <c r="F167" s="84">
        <f>IFERROR(AVERAGE(Data[[#This Row],[alappatjoe]:[currydestroyer27]]), "TBD")</f>
        <v>2.8</v>
      </c>
      <c r="G167" s="261">
        <f>IFERROR(_xlfn.STDEV.P(Data[[#This Row],[alappatjoe]:[currydestroyer27]]), "TBD")</f>
        <v>1.3266499161421599</v>
      </c>
      <c r="H167" s="263" t="s">
        <v>477</v>
      </c>
      <c r="I167" s="265" t="s">
        <v>478</v>
      </c>
      <c r="J167" s="10">
        <v>1</v>
      </c>
      <c r="K167" s="23">
        <v>3</v>
      </c>
      <c r="L167" s="23">
        <v>5</v>
      </c>
      <c r="M167" s="23">
        <v>3</v>
      </c>
      <c r="N167" s="23">
        <v>2</v>
      </c>
      <c r="O167" s="240"/>
      <c r="P167" s="233"/>
      <c r="Q167" s="92"/>
      <c r="R16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7" s="92">
        <v>2</v>
      </c>
      <c r="T167" s="92" t="b">
        <f>Data[[#This Row],[Day Rank]]=Data[[#This Row],[W Rank]]</f>
        <v>0</v>
      </c>
      <c r="U167" s="331" t="s">
        <v>479</v>
      </c>
    </row>
    <row r="168" spans="1:21">
      <c r="A168" s="333"/>
      <c r="B168" s="326"/>
      <c r="C168" s="329"/>
      <c r="D168" s="81">
        <f>D167</f>
        <v>45512</v>
      </c>
      <c r="E168" s="140" t="str">
        <f>$K$1</f>
        <v>danram</v>
      </c>
      <c r="F168" s="8">
        <f>IFERROR(AVERAGE(Data[[#This Row],[alappatjoe]:[currydestroyer27]]), "TBD")</f>
        <v>2.8</v>
      </c>
      <c r="G168" s="177">
        <f>IFERROR(_xlfn.STDEV.P(Data[[#This Row],[alappatjoe]:[currydestroyer27]]), "TBD")</f>
        <v>1.3266499161421599</v>
      </c>
      <c r="H168" s="135" t="s">
        <v>480</v>
      </c>
      <c r="I168" s="229" t="s">
        <v>481</v>
      </c>
      <c r="J168" s="12">
        <v>5</v>
      </c>
      <c r="K168" s="7">
        <v>1</v>
      </c>
      <c r="L168" s="7">
        <v>3</v>
      </c>
      <c r="M168" s="7">
        <v>2</v>
      </c>
      <c r="N168" s="7">
        <v>3</v>
      </c>
      <c r="O168" s="238"/>
      <c r="P168" s="234" t="s">
        <v>72</v>
      </c>
      <c r="Q168" s="93" t="s">
        <v>152</v>
      </c>
      <c r="R1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8" s="93">
        <v>1</v>
      </c>
      <c r="T168" s="93" t="b">
        <f>Data[[#This Row],[Day Rank]]=Data[[#This Row],[W Rank]]</f>
        <v>1</v>
      </c>
      <c r="U168" s="323"/>
    </row>
    <row r="169" spans="1:21">
      <c r="A169" s="333"/>
      <c r="B169" s="326"/>
      <c r="C169" s="329"/>
      <c r="D169" s="81">
        <f>D167</f>
        <v>45512</v>
      </c>
      <c r="E169" s="140" t="str">
        <f>$L$1</f>
        <v>loganworsdell</v>
      </c>
      <c r="F169" s="8">
        <f>IFERROR(AVERAGE(Data[[#This Row],[alappatjoe]:[currydestroyer27]]), "TBD")</f>
        <v>3.4</v>
      </c>
      <c r="G169" s="177">
        <f>IFERROR(_xlfn.STDEV.P(Data[[#This Row],[alappatjoe]:[currydestroyer27]]), "TBD")</f>
        <v>1.3564659966250536</v>
      </c>
      <c r="H169" s="135" t="s">
        <v>482</v>
      </c>
      <c r="I169" s="229" t="s">
        <v>483</v>
      </c>
      <c r="J169" s="13">
        <v>3</v>
      </c>
      <c r="K169" s="8">
        <v>4</v>
      </c>
      <c r="L169" s="8">
        <v>1</v>
      </c>
      <c r="M169" s="8">
        <v>4</v>
      </c>
      <c r="N169" s="8">
        <v>5</v>
      </c>
      <c r="O169" s="238"/>
      <c r="P169" s="234" t="s">
        <v>176</v>
      </c>
      <c r="Q169" s="93" t="s">
        <v>484</v>
      </c>
      <c r="R1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9" s="93">
        <v>1</v>
      </c>
      <c r="T169" s="93" t="b">
        <f>Data[[#This Row],[Day Rank]]=Data[[#This Row],[W Rank]]</f>
        <v>0</v>
      </c>
      <c r="U169" s="323"/>
    </row>
    <row r="170" spans="1:21">
      <c r="A170" s="333"/>
      <c r="B170" s="326"/>
      <c r="C170" s="329"/>
      <c r="D170" s="81">
        <f>D167</f>
        <v>45512</v>
      </c>
      <c r="E170" s="140" t="str">
        <f>$M$1</f>
        <v>samuelbattista</v>
      </c>
      <c r="F170" s="8">
        <f>IFERROR(AVERAGE(Data[[#This Row],[alappatjoe]:[currydestroyer27]]), "TBD")</f>
        <v>3</v>
      </c>
      <c r="G170" s="177">
        <f>IFERROR(_xlfn.STDEV.P(Data[[#This Row],[alappatjoe]:[currydestroyer27]]), "TBD")</f>
        <v>1.2649110640673518</v>
      </c>
      <c r="H170" s="135" t="s">
        <v>485</v>
      </c>
      <c r="I170" s="229" t="s">
        <v>486</v>
      </c>
      <c r="J170" s="14">
        <v>4</v>
      </c>
      <c r="K170" s="9">
        <v>2</v>
      </c>
      <c r="L170" s="3">
        <v>4</v>
      </c>
      <c r="M170" s="9">
        <v>1</v>
      </c>
      <c r="N170" s="9">
        <v>4</v>
      </c>
      <c r="O170" s="238"/>
      <c r="P170" s="234" t="s">
        <v>176</v>
      </c>
      <c r="Q170" s="93" t="s">
        <v>487</v>
      </c>
      <c r="R1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0" s="93">
        <v>1</v>
      </c>
      <c r="T170" s="93" t="b">
        <f>Data[[#This Row],[Day Rank]]=Data[[#This Row],[W Rank]]</f>
        <v>0</v>
      </c>
      <c r="U170" s="323"/>
    </row>
    <row r="171" spans="1:21" ht="15" customHeight="1" thickBot="1">
      <c r="A171" s="334"/>
      <c r="B171" s="327"/>
      <c r="C171" s="330"/>
      <c r="D171" s="82">
        <f>D167</f>
        <v>45512</v>
      </c>
      <c r="E171" s="182" t="str">
        <f>$N$1</f>
        <v>currydestroyer27</v>
      </c>
      <c r="F171" s="83">
        <f>IFERROR(AVERAGE(Data[[#This Row],[alappatjoe]:[currydestroyer27]]), "TBD")</f>
        <v>3</v>
      </c>
      <c r="G171" s="183">
        <f>IFERROR(_xlfn.STDEV.P(Data[[#This Row],[alappatjoe]:[currydestroyer27]]), "TBD")</f>
        <v>1.6733200530681511</v>
      </c>
      <c r="H171" s="184" t="s">
        <v>488</v>
      </c>
      <c r="I171" s="185" t="s">
        <v>489</v>
      </c>
      <c r="J171" s="11">
        <v>2</v>
      </c>
      <c r="K171" s="22">
        <v>5</v>
      </c>
      <c r="L171" s="9">
        <v>2</v>
      </c>
      <c r="M171" s="22">
        <v>5</v>
      </c>
      <c r="N171" s="22">
        <v>1</v>
      </c>
      <c r="O171" s="239"/>
      <c r="P171" s="235" t="s">
        <v>51</v>
      </c>
      <c r="Q171" s="94" t="s">
        <v>490</v>
      </c>
      <c r="R17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1" s="94">
        <v>1</v>
      </c>
      <c r="T171" s="94" t="b">
        <f>Data[[#This Row],[Day Rank]]=Data[[#This Row],[W Rank]]</f>
        <v>0</v>
      </c>
      <c r="U171" s="324"/>
    </row>
    <row r="172" spans="1:21" ht="15" customHeight="1">
      <c r="A172" s="332">
        <v>45516</v>
      </c>
      <c r="B172" s="325"/>
      <c r="C172" s="338" t="str" cm="1">
        <f t="array" ref="C172">_xlfn.LET(_xlpm.matches, _xlfn._xlws.FILTER(Data[Poster], (Data[Date]=A172)*(Data[Winner]=TRUE)), IF(ROWS(_xlpm.matches)&gt;1, "TIE", _xlpm.matches))</f>
        <v>danram</v>
      </c>
      <c r="D172" s="80">
        <f>A172</f>
        <v>45516</v>
      </c>
      <c r="E172" s="214" t="str">
        <f>$J$1</f>
        <v>alappatjoe</v>
      </c>
      <c r="F172" s="84">
        <f>IFERROR(AVERAGE(Data[[#This Row],[alappatjoe]:[currydestroyer27]]), "TBD")</f>
        <v>4.4000000000000004</v>
      </c>
      <c r="G172" s="261">
        <f>IFERROR(_xlfn.STDEV.P(Data[[#This Row],[alappatjoe]:[currydestroyer27]]), "TBD")</f>
        <v>0.8</v>
      </c>
      <c r="H172" s="263" t="s">
        <v>491</v>
      </c>
      <c r="I172" s="265" t="s">
        <v>492</v>
      </c>
      <c r="J172" s="10">
        <v>3</v>
      </c>
      <c r="K172" s="23">
        <v>5</v>
      </c>
      <c r="L172" s="23">
        <v>4</v>
      </c>
      <c r="M172" s="23">
        <v>5</v>
      </c>
      <c r="N172" s="23">
        <v>5</v>
      </c>
      <c r="O172" s="240"/>
      <c r="P172" s="233" t="s">
        <v>51</v>
      </c>
      <c r="Q172" s="92"/>
      <c r="R17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2" s="92">
        <v>1</v>
      </c>
      <c r="T172" s="92" t="b">
        <f>Data[[#This Row],[Day Rank]]=Data[[#This Row],[W Rank]]</f>
        <v>0</v>
      </c>
      <c r="U172" s="331"/>
    </row>
    <row r="173" spans="1:21" ht="15" customHeight="1">
      <c r="A173" s="333"/>
      <c r="B173" s="326"/>
      <c r="C173" s="339"/>
      <c r="D173" s="81">
        <f>D172</f>
        <v>45516</v>
      </c>
      <c r="E173" s="140" t="str">
        <f>$K$1</f>
        <v>danram</v>
      </c>
      <c r="F173" s="8">
        <f>IFERROR(AVERAGE(Data[[#This Row],[alappatjoe]:[currydestroyer27]]), "TBD")</f>
        <v>2</v>
      </c>
      <c r="G173" s="177">
        <f>IFERROR(_xlfn.STDEV.P(Data[[#This Row],[alappatjoe]:[currydestroyer27]]), "TBD")</f>
        <v>0.89442719099991586</v>
      </c>
      <c r="H173" s="268">
        <v>360</v>
      </c>
      <c r="I173" s="229" t="s">
        <v>493</v>
      </c>
      <c r="J173" s="12">
        <v>1</v>
      </c>
      <c r="K173" s="7">
        <v>1</v>
      </c>
      <c r="L173" s="7">
        <v>3</v>
      </c>
      <c r="M173" s="7">
        <v>2</v>
      </c>
      <c r="N173" s="7">
        <v>3</v>
      </c>
      <c r="O173" s="238"/>
      <c r="P173" s="234" t="s">
        <v>51</v>
      </c>
      <c r="Q173" s="93" t="s">
        <v>494</v>
      </c>
      <c r="R1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3" s="93">
        <v>1</v>
      </c>
      <c r="T173" s="93" t="b">
        <f>Data[[#This Row],[Day Rank]]=Data[[#This Row],[W Rank]]</f>
        <v>1</v>
      </c>
      <c r="U173" s="323"/>
    </row>
    <row r="174" spans="1:21" ht="15" customHeight="1">
      <c r="A174" s="333"/>
      <c r="B174" s="326"/>
      <c r="C174" s="339"/>
      <c r="D174" s="81">
        <f>D172</f>
        <v>45516</v>
      </c>
      <c r="E174" s="140" t="str">
        <f>$L$1</f>
        <v>loganworsdell</v>
      </c>
      <c r="F174" s="8">
        <f>IFERROR(AVERAGE(Data[[#This Row],[alappatjoe]:[currydestroyer27]]), "TBD")</f>
        <v>3.4</v>
      </c>
      <c r="G174" s="177">
        <f>IFERROR(_xlfn.STDEV.P(Data[[#This Row],[alappatjoe]:[currydestroyer27]]), "TBD")</f>
        <v>0.8</v>
      </c>
      <c r="H174" s="135" t="s">
        <v>495</v>
      </c>
      <c r="I174" s="229" t="s">
        <v>496</v>
      </c>
      <c r="J174" s="13">
        <v>4</v>
      </c>
      <c r="K174" s="8">
        <v>3</v>
      </c>
      <c r="L174" s="8">
        <v>2</v>
      </c>
      <c r="M174" s="8">
        <v>4</v>
      </c>
      <c r="N174" s="8">
        <v>4</v>
      </c>
      <c r="O174" s="238"/>
      <c r="P174" s="234" t="s">
        <v>293</v>
      </c>
      <c r="Q174" s="93" t="s">
        <v>497</v>
      </c>
      <c r="R1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4" s="93">
        <v>1</v>
      </c>
      <c r="T174" s="93" t="b">
        <f>Data[[#This Row],[Day Rank]]=Data[[#This Row],[W Rank]]</f>
        <v>0</v>
      </c>
      <c r="U174" s="323"/>
    </row>
    <row r="175" spans="1:21" ht="15" customHeight="1">
      <c r="A175" s="333"/>
      <c r="B175" s="326"/>
      <c r="C175" s="339"/>
      <c r="D175" s="81">
        <f>D172</f>
        <v>45516</v>
      </c>
      <c r="E175" s="140" t="str">
        <f>$M$1</f>
        <v>samuelbattista</v>
      </c>
      <c r="F175" s="8">
        <f>IFERROR(AVERAGE(Data[[#This Row],[alappatjoe]:[currydestroyer27]]), "TBD")</f>
        <v>2.2000000000000002</v>
      </c>
      <c r="G175" s="177">
        <f>IFERROR(_xlfn.STDEV.P(Data[[#This Row],[alappatjoe]:[currydestroyer27]]), "TBD")</f>
        <v>1.4696938456699069</v>
      </c>
      <c r="H175" s="135" t="s">
        <v>498</v>
      </c>
      <c r="I175" s="229" t="s">
        <v>499</v>
      </c>
      <c r="J175" s="14">
        <v>5</v>
      </c>
      <c r="K175" s="9">
        <v>2</v>
      </c>
      <c r="L175" s="3">
        <v>1</v>
      </c>
      <c r="M175" s="9">
        <v>1</v>
      </c>
      <c r="N175" s="9">
        <v>2</v>
      </c>
      <c r="O175" s="238"/>
      <c r="P175" s="234" t="s">
        <v>120</v>
      </c>
      <c r="Q175" s="93" t="s">
        <v>500</v>
      </c>
      <c r="R1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5" s="93">
        <v>1</v>
      </c>
      <c r="T175" s="93" t="b">
        <f>Data[[#This Row],[Day Rank]]=Data[[#This Row],[W Rank]]</f>
        <v>0</v>
      </c>
      <c r="U175" s="323"/>
    </row>
    <row r="176" spans="1:21" ht="15" customHeight="1" thickBot="1">
      <c r="A176" s="334"/>
      <c r="B176" s="327"/>
      <c r="C176" s="340"/>
      <c r="D176" s="82">
        <f>D172</f>
        <v>45516</v>
      </c>
      <c r="E176" s="182" t="str">
        <f>$N$1</f>
        <v>currydestroyer27</v>
      </c>
      <c r="F176" s="83">
        <f>IFERROR(AVERAGE(Data[[#This Row],[alappatjoe]:[currydestroyer27]]), "TBD")</f>
        <v>3</v>
      </c>
      <c r="G176" s="183">
        <f>IFERROR(_xlfn.STDEV.P(Data[[#This Row],[alappatjoe]:[currydestroyer27]]), "TBD")</f>
        <v>1.4142135623730951</v>
      </c>
      <c r="H176" s="184" t="s">
        <v>501</v>
      </c>
      <c r="I176" s="185" t="s">
        <v>502</v>
      </c>
      <c r="J176" s="11">
        <v>2</v>
      </c>
      <c r="K176" s="22">
        <v>4</v>
      </c>
      <c r="L176" s="9">
        <v>5</v>
      </c>
      <c r="M176" s="22">
        <v>3</v>
      </c>
      <c r="N176" s="22">
        <v>1</v>
      </c>
      <c r="O176" s="239"/>
      <c r="P176" s="235" t="s">
        <v>120</v>
      </c>
      <c r="Q176" s="94" t="s">
        <v>120</v>
      </c>
      <c r="R17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6" s="94">
        <v>1</v>
      </c>
      <c r="T176" s="94" t="b">
        <f>Data[[#This Row],[Day Rank]]=Data[[#This Row],[W Rank]]</f>
        <v>0</v>
      </c>
      <c r="U176" s="324"/>
    </row>
    <row r="177" spans="1:21" ht="15" customHeight="1">
      <c r="A177" s="332">
        <v>45517</v>
      </c>
      <c r="B177" s="325"/>
      <c r="C177" s="328" t="str" cm="1">
        <f t="array" ref="C177">_xlfn.LET(_xlpm.matches, _xlfn._xlws.FILTER(Data[Poster], (Data[Date]=A177)*(Data[Winner]=TRUE)), IF(ROWS(_xlpm.matches)&gt;1, "TIE", _xlpm.matches))</f>
        <v>alappatjoe</v>
      </c>
      <c r="D177" s="80">
        <f>A177</f>
        <v>45517</v>
      </c>
      <c r="E177" s="214" t="str">
        <f>$J$1</f>
        <v>alappatjoe</v>
      </c>
      <c r="F177" s="84">
        <f>IFERROR(AVERAGE(Data[[#This Row],[alappatjoe]:[currydestroyer27]]), "TBD")</f>
        <v>1.8</v>
      </c>
      <c r="G177" s="261">
        <f>IFERROR(_xlfn.STDEV.P(Data[[#This Row],[alappatjoe]:[currydestroyer27]]), "TBD")</f>
        <v>0.4</v>
      </c>
      <c r="H177" s="263" t="s">
        <v>503</v>
      </c>
      <c r="I177" s="265" t="s">
        <v>504</v>
      </c>
      <c r="J177" s="10">
        <v>1</v>
      </c>
      <c r="K177" s="23">
        <v>2</v>
      </c>
      <c r="L177" s="23">
        <v>2</v>
      </c>
      <c r="M177" s="23">
        <v>2</v>
      </c>
      <c r="N177" s="23">
        <v>2</v>
      </c>
      <c r="O177" s="240"/>
      <c r="P177" s="233" t="s">
        <v>51</v>
      </c>
      <c r="Q177" s="92"/>
      <c r="R17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7" s="92">
        <v>1</v>
      </c>
      <c r="T177" s="92" t="b">
        <f>Data[[#This Row],[Day Rank]]=Data[[#This Row],[W Rank]]</f>
        <v>1</v>
      </c>
      <c r="U177" s="331"/>
    </row>
    <row r="178" spans="1:21" ht="15" customHeight="1">
      <c r="A178" s="333"/>
      <c r="B178" s="326"/>
      <c r="C178" s="329"/>
      <c r="D178" s="81">
        <f>D177</f>
        <v>45517</v>
      </c>
      <c r="E178" s="140" t="str">
        <f>$K$1</f>
        <v>danram</v>
      </c>
      <c r="F178" s="8">
        <f>IFERROR(AVERAGE(Data[[#This Row],[alappatjoe]:[currydestroyer27]]), "TBD")</f>
        <v>4</v>
      </c>
      <c r="G178" s="177">
        <f>IFERROR(_xlfn.STDEV.P(Data[[#This Row],[alappatjoe]:[currydestroyer27]]), "TBD")</f>
        <v>0.89442719099991586</v>
      </c>
      <c r="H178" s="135" t="s">
        <v>505</v>
      </c>
      <c r="I178" s="229" t="s">
        <v>506</v>
      </c>
      <c r="J178" s="12">
        <v>5</v>
      </c>
      <c r="K178" s="7">
        <v>4</v>
      </c>
      <c r="L178" s="7">
        <v>5</v>
      </c>
      <c r="M178" s="7">
        <v>3</v>
      </c>
      <c r="N178" s="7">
        <v>3</v>
      </c>
      <c r="O178" s="238"/>
      <c r="P178" s="234" t="s">
        <v>76</v>
      </c>
      <c r="Q178" s="93" t="s">
        <v>371</v>
      </c>
      <c r="R1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8" s="93">
        <v>1</v>
      </c>
      <c r="T178" s="93" t="b">
        <f>Data[[#This Row],[Day Rank]]=Data[[#This Row],[W Rank]]</f>
        <v>0</v>
      </c>
      <c r="U178" s="323"/>
    </row>
    <row r="179" spans="1:21" ht="15" customHeight="1">
      <c r="A179" s="333"/>
      <c r="B179" s="326"/>
      <c r="C179" s="329"/>
      <c r="D179" s="81">
        <f>D177</f>
        <v>45517</v>
      </c>
      <c r="E179" s="140" t="str">
        <f>$L$1</f>
        <v>loganworsdell</v>
      </c>
      <c r="F179" s="8">
        <f>IFERROR(AVERAGE(Data[[#This Row],[alappatjoe]:[currydestroyer27]]), "TBD")</f>
        <v>4</v>
      </c>
      <c r="G179" s="177">
        <f>IFERROR(_xlfn.STDEV.P(Data[[#This Row],[alappatjoe]:[currydestroyer27]]), "TBD")</f>
        <v>1.5491933384829668</v>
      </c>
      <c r="H179" s="135" t="s">
        <v>507</v>
      </c>
      <c r="I179" s="229" t="s">
        <v>508</v>
      </c>
      <c r="J179" s="13">
        <v>4</v>
      </c>
      <c r="K179" s="8">
        <v>5</v>
      </c>
      <c r="L179" s="8">
        <v>1</v>
      </c>
      <c r="M179" s="8">
        <v>5</v>
      </c>
      <c r="N179" s="8">
        <v>5</v>
      </c>
      <c r="O179" s="238"/>
      <c r="P179" s="234" t="s">
        <v>293</v>
      </c>
      <c r="Q179" s="93" t="s">
        <v>509</v>
      </c>
      <c r="R1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9" s="93">
        <v>1</v>
      </c>
      <c r="T179" s="93" t="b">
        <f>Data[[#This Row],[Day Rank]]=Data[[#This Row],[W Rank]]</f>
        <v>0</v>
      </c>
      <c r="U179" s="323"/>
    </row>
    <row r="180" spans="1:21" ht="15" customHeight="1">
      <c r="A180" s="333"/>
      <c r="B180" s="326"/>
      <c r="C180" s="329"/>
      <c r="D180" s="81">
        <f>D177</f>
        <v>45517</v>
      </c>
      <c r="E180" s="140" t="str">
        <f>$M$1</f>
        <v>samuelbattista</v>
      </c>
      <c r="F180" s="8">
        <f>IFERROR(AVERAGE(Data[[#This Row],[alappatjoe]:[currydestroyer27]]), "TBD")</f>
        <v>3</v>
      </c>
      <c r="G180" s="177">
        <f>IFERROR(_xlfn.STDEV.P(Data[[#This Row],[alappatjoe]:[currydestroyer27]]), "TBD")</f>
        <v>1.0954451150103321</v>
      </c>
      <c r="H180" s="135" t="s">
        <v>510</v>
      </c>
      <c r="I180" s="229" t="s">
        <v>511</v>
      </c>
      <c r="J180" s="14">
        <v>3</v>
      </c>
      <c r="K180" s="9">
        <v>3</v>
      </c>
      <c r="L180" s="3">
        <v>4</v>
      </c>
      <c r="M180" s="9">
        <v>1</v>
      </c>
      <c r="N180" s="9">
        <v>4</v>
      </c>
      <c r="O180" s="238"/>
      <c r="P180" s="234" t="s">
        <v>120</v>
      </c>
      <c r="Q180" s="93" t="s">
        <v>512</v>
      </c>
      <c r="R1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0" s="93">
        <v>1</v>
      </c>
      <c r="T180" s="93" t="b">
        <f>Data[[#This Row],[Day Rank]]=Data[[#This Row],[W Rank]]</f>
        <v>0</v>
      </c>
      <c r="U180" s="323"/>
    </row>
    <row r="181" spans="1:21" ht="15" customHeight="1" thickBot="1">
      <c r="A181" s="334"/>
      <c r="B181" s="327"/>
      <c r="C181" s="330"/>
      <c r="D181" s="82">
        <f>D177</f>
        <v>45517</v>
      </c>
      <c r="E181" s="182" t="str">
        <f>$N$1</f>
        <v>currydestroyer27</v>
      </c>
      <c r="F181" s="83">
        <f>IFERROR(AVERAGE(Data[[#This Row],[alappatjoe]:[currydestroyer27]]), "TBD")</f>
        <v>2.2000000000000002</v>
      </c>
      <c r="G181" s="183">
        <f>IFERROR(_xlfn.STDEV.P(Data[[#This Row],[alappatjoe]:[currydestroyer27]]), "TBD")</f>
        <v>1.1661903789690602</v>
      </c>
      <c r="H181" s="184" t="s">
        <v>513</v>
      </c>
      <c r="I181" s="185" t="s">
        <v>514</v>
      </c>
      <c r="J181" s="11">
        <v>2</v>
      </c>
      <c r="K181" s="22">
        <v>1</v>
      </c>
      <c r="L181" s="9">
        <v>3</v>
      </c>
      <c r="M181" s="22">
        <v>4</v>
      </c>
      <c r="N181" s="22">
        <v>1</v>
      </c>
      <c r="O181" s="239"/>
      <c r="P181" s="235" t="s">
        <v>120</v>
      </c>
      <c r="Q181" s="94" t="s">
        <v>120</v>
      </c>
      <c r="R18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1" s="94">
        <v>1</v>
      </c>
      <c r="T181" s="94" t="b">
        <f>Data[[#This Row],[Day Rank]]=Data[[#This Row],[W Rank]]</f>
        <v>0</v>
      </c>
      <c r="U181" s="324"/>
    </row>
    <row r="182" spans="1:21" ht="15" customHeight="1">
      <c r="A182" s="332">
        <v>45518</v>
      </c>
      <c r="B182" s="325"/>
      <c r="C182" s="338" t="str" cm="1">
        <f t="array" ref="C182">_xlfn.LET(_xlpm.matches, _xlfn._xlws.FILTER(Data[Poster], (Data[Date]=A182)*(Data[Winner]=TRUE)), IF(ROWS(_xlpm.matches)&gt;1, "TIE", _xlpm.matches))</f>
        <v>alappatjoe</v>
      </c>
      <c r="D182" s="80">
        <f>A182</f>
        <v>45518</v>
      </c>
      <c r="E182" s="214" t="str">
        <f>$J$1</f>
        <v>alappatjoe</v>
      </c>
      <c r="F182" s="84">
        <f>IFERROR(AVERAGE(Data[[#This Row],[alappatjoe]:[currydestroyer27]]), "TBD")</f>
        <v>2</v>
      </c>
      <c r="G182" s="261">
        <f>IFERROR(_xlfn.STDEV.P(Data[[#This Row],[alappatjoe]:[currydestroyer27]]), "TBD")</f>
        <v>0.63245553203367588</v>
      </c>
      <c r="H182" s="263" t="s">
        <v>515</v>
      </c>
      <c r="I182" s="265" t="s">
        <v>516</v>
      </c>
      <c r="J182" s="10">
        <v>1</v>
      </c>
      <c r="K182" s="23">
        <v>2</v>
      </c>
      <c r="L182" s="23">
        <v>2</v>
      </c>
      <c r="M182" s="23">
        <v>3</v>
      </c>
      <c r="N182" s="23">
        <v>2</v>
      </c>
      <c r="O182" s="240"/>
      <c r="P182" s="233"/>
      <c r="Q182" s="92"/>
      <c r="R182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2" s="92">
        <v>1</v>
      </c>
      <c r="T182" s="92" t="b">
        <f>Data[[#This Row],[Day Rank]]=Data[[#This Row],[W Rank]]</f>
        <v>1</v>
      </c>
      <c r="U182" s="331"/>
    </row>
    <row r="183" spans="1:21" ht="15" customHeight="1">
      <c r="A183" s="333"/>
      <c r="B183" s="326"/>
      <c r="C183" s="339"/>
      <c r="D183" s="81">
        <f>D182</f>
        <v>45518</v>
      </c>
      <c r="E183" s="140" t="str">
        <f>$K$1</f>
        <v>danram</v>
      </c>
      <c r="F183" s="8">
        <f>IFERROR(AVERAGE(Data[[#This Row],[alappatjoe]:[currydestroyer27]]), "TBD")</f>
        <v>2.8</v>
      </c>
      <c r="G183" s="177">
        <f>IFERROR(_xlfn.STDEV.P(Data[[#This Row],[alappatjoe]:[currydestroyer27]]), "TBD")</f>
        <v>1.6</v>
      </c>
      <c r="H183" s="135" t="s">
        <v>517</v>
      </c>
      <c r="I183" s="229" t="s">
        <v>425</v>
      </c>
      <c r="J183" s="12">
        <v>4</v>
      </c>
      <c r="K183" s="7">
        <v>1</v>
      </c>
      <c r="L183" s="7">
        <v>3</v>
      </c>
      <c r="M183" s="7">
        <v>1</v>
      </c>
      <c r="N183" s="7">
        <v>5</v>
      </c>
      <c r="O183" s="238"/>
      <c r="P183" s="234" t="s">
        <v>120</v>
      </c>
      <c r="Q183" s="93" t="s">
        <v>120</v>
      </c>
      <c r="R1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3" s="93">
        <v>1</v>
      </c>
      <c r="T183" s="93" t="b">
        <f>Data[[#This Row],[Day Rank]]=Data[[#This Row],[W Rank]]</f>
        <v>0</v>
      </c>
      <c r="U183" s="323"/>
    </row>
    <row r="184" spans="1:21" ht="15" customHeight="1">
      <c r="A184" s="333"/>
      <c r="B184" s="326"/>
      <c r="C184" s="339"/>
      <c r="D184" s="81">
        <f>D182</f>
        <v>45518</v>
      </c>
      <c r="E184" s="140" t="str">
        <f>$L$1</f>
        <v>loganworsdell</v>
      </c>
      <c r="F184" s="8">
        <f>IFERROR(AVERAGE(Data[[#This Row],[alappatjoe]:[currydestroyer27]]), "TBD")</f>
        <v>3.6</v>
      </c>
      <c r="G184" s="177">
        <f>IFERROR(_xlfn.STDEV.P(Data[[#This Row],[alappatjoe]:[currydestroyer27]]), "TBD")</f>
        <v>0.8</v>
      </c>
      <c r="H184" s="135" t="s">
        <v>518</v>
      </c>
      <c r="I184" s="229" t="s">
        <v>519</v>
      </c>
      <c r="J184" s="13">
        <v>2</v>
      </c>
      <c r="K184" s="8">
        <v>4</v>
      </c>
      <c r="L184" s="8">
        <v>4</v>
      </c>
      <c r="M184" s="8">
        <v>4</v>
      </c>
      <c r="N184" s="8">
        <v>4</v>
      </c>
      <c r="O184" s="238"/>
      <c r="P184" s="234" t="s">
        <v>293</v>
      </c>
      <c r="Q184" s="93" t="s">
        <v>520</v>
      </c>
      <c r="R1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4" s="93">
        <v>1</v>
      </c>
      <c r="T184" s="93" t="b">
        <f>Data[[#This Row],[Day Rank]]=Data[[#This Row],[W Rank]]</f>
        <v>0</v>
      </c>
      <c r="U184" s="323"/>
    </row>
    <row r="185" spans="1:21" ht="15" customHeight="1">
      <c r="A185" s="333"/>
      <c r="B185" s="326"/>
      <c r="C185" s="339"/>
      <c r="D185" s="81">
        <f>D182</f>
        <v>45518</v>
      </c>
      <c r="E185" s="140" t="str">
        <f>$M$1</f>
        <v>samuelbattista</v>
      </c>
      <c r="F185" s="8">
        <f>IFERROR(AVERAGE(Data[[#This Row],[alappatjoe]:[currydestroyer27]]), "TBD")</f>
        <v>3.6</v>
      </c>
      <c r="G185" s="177">
        <f>IFERROR(_xlfn.STDEV.P(Data[[#This Row],[alappatjoe]:[currydestroyer27]]), "TBD")</f>
        <v>1.2</v>
      </c>
      <c r="H185" s="135" t="s">
        <v>521</v>
      </c>
      <c r="I185" s="229" t="s">
        <v>522</v>
      </c>
      <c r="J185" s="14">
        <v>5</v>
      </c>
      <c r="K185" s="9">
        <v>3</v>
      </c>
      <c r="L185" s="3">
        <v>5</v>
      </c>
      <c r="M185" s="9">
        <v>2</v>
      </c>
      <c r="N185" s="9">
        <v>3</v>
      </c>
      <c r="O185" s="238"/>
      <c r="P185" s="234" t="s">
        <v>144</v>
      </c>
      <c r="Q185" s="93" t="s">
        <v>473</v>
      </c>
      <c r="R1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5" s="93">
        <v>1</v>
      </c>
      <c r="T185" s="93" t="b">
        <f>Data[[#This Row],[Day Rank]]=Data[[#This Row],[W Rank]]</f>
        <v>0</v>
      </c>
      <c r="U185" s="323"/>
    </row>
    <row r="186" spans="1:21" ht="15" customHeight="1" thickBot="1">
      <c r="A186" s="334"/>
      <c r="B186" s="327"/>
      <c r="C186" s="340"/>
      <c r="D186" s="142">
        <f>D182</f>
        <v>45518</v>
      </c>
      <c r="E186" s="125" t="str">
        <f>$N$1</f>
        <v>currydestroyer27</v>
      </c>
      <c r="F186" s="7">
        <f>IFERROR(AVERAGE(Data[[#This Row],[alappatjoe]:[currydestroyer27]]), "TBD")</f>
        <v>3</v>
      </c>
      <c r="G186" s="262">
        <f>IFERROR(_xlfn.STDEV.P(Data[[#This Row],[alappatjoe]:[currydestroyer27]]), "TBD")</f>
        <v>1.7888543819998317</v>
      </c>
      <c r="H186" s="264" t="s">
        <v>523</v>
      </c>
      <c r="I186" s="266" t="s">
        <v>524</v>
      </c>
      <c r="J186" s="18">
        <v>3</v>
      </c>
      <c r="K186" s="3">
        <v>5</v>
      </c>
      <c r="L186" s="3">
        <v>1</v>
      </c>
      <c r="M186" s="3">
        <v>5</v>
      </c>
      <c r="N186" s="3">
        <v>1</v>
      </c>
      <c r="O186" s="238"/>
      <c r="P186" s="234" t="s">
        <v>87</v>
      </c>
      <c r="Q186" s="93" t="s">
        <v>525</v>
      </c>
      <c r="R186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6" s="93">
        <v>1</v>
      </c>
      <c r="T186" s="93" t="b">
        <f>Data[[#This Row],[Day Rank]]=Data[[#This Row],[W Rank]]</f>
        <v>0</v>
      </c>
      <c r="U186" s="324"/>
    </row>
    <row r="187" spans="1:21" ht="15" customHeight="1">
      <c r="A187" s="332">
        <v>45519</v>
      </c>
      <c r="B187" s="325"/>
      <c r="C187" s="328" t="str" cm="1">
        <f t="array" ref="C187">_xlfn.LET(_xlpm.matches, _xlfn._xlws.FILTER(Data[Poster], (Data[Date]=A187)*(Data[Winner]=TRUE)), IF(ROWS(_xlpm.matches)&gt;1, "TIE", _xlpm.matches))</f>
        <v>danram</v>
      </c>
      <c r="D187" s="143">
        <f>A187</f>
        <v>45519</v>
      </c>
      <c r="E187" s="214" t="str">
        <f>$J$1</f>
        <v>alappatjoe</v>
      </c>
      <c r="F187" s="84">
        <f>IFERROR(AVERAGE(Data[[#This Row],[alappatjoe]:[currydestroyer27]]), "TBD")</f>
        <v>2.8</v>
      </c>
      <c r="G187" s="261">
        <f>IFERROR(_xlfn.STDEV.P(Data[[#This Row],[alappatjoe]:[currydestroyer27]]), "TBD")</f>
        <v>1.1661903789690602</v>
      </c>
      <c r="H187" s="263" t="s">
        <v>526</v>
      </c>
      <c r="I187" s="265" t="s">
        <v>527</v>
      </c>
      <c r="J187" s="10">
        <v>2</v>
      </c>
      <c r="K187" s="23">
        <v>4</v>
      </c>
      <c r="L187" s="23">
        <v>4</v>
      </c>
      <c r="M187" s="23">
        <v>1</v>
      </c>
      <c r="N187" s="23">
        <v>3</v>
      </c>
      <c r="O187" s="240"/>
      <c r="P187" s="233"/>
      <c r="Q187" s="92"/>
      <c r="R18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7" s="92">
        <v>5</v>
      </c>
      <c r="T187" s="92" t="b">
        <f>Data[[#This Row],[Day Rank]]=Data[[#This Row],[W Rank]]</f>
        <v>0</v>
      </c>
      <c r="U187" s="335" t="s">
        <v>528</v>
      </c>
    </row>
    <row r="188" spans="1:21" ht="15" customHeight="1">
      <c r="A188" s="333"/>
      <c r="B188" s="326"/>
      <c r="C188" s="329"/>
      <c r="D188" s="144">
        <f>D187</f>
        <v>45519</v>
      </c>
      <c r="E188" s="140" t="str">
        <f>$K$1</f>
        <v>danram</v>
      </c>
      <c r="F188" s="8">
        <f>IFERROR(AVERAGE(Data[[#This Row],[alappatjoe]:[currydestroyer27]]), "TBD")</f>
        <v>4.4000000000000004</v>
      </c>
      <c r="G188" s="177">
        <f>IFERROR(_xlfn.STDEV.P(Data[[#This Row],[alappatjoe]:[currydestroyer27]]), "TBD")</f>
        <v>0.8</v>
      </c>
      <c r="H188" s="135" t="s">
        <v>529</v>
      </c>
      <c r="I188" s="229" t="s">
        <v>530</v>
      </c>
      <c r="J188" s="12">
        <v>3</v>
      </c>
      <c r="K188" s="7">
        <v>5</v>
      </c>
      <c r="L188" s="7">
        <v>5</v>
      </c>
      <c r="M188" s="7">
        <v>4</v>
      </c>
      <c r="N188" s="7">
        <v>5</v>
      </c>
      <c r="O188" s="238"/>
      <c r="P188" s="234" t="s">
        <v>69</v>
      </c>
      <c r="Q188" s="93" t="s">
        <v>531</v>
      </c>
      <c r="R1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8" s="93">
        <v>5</v>
      </c>
      <c r="T188" s="93" t="b">
        <f>Data[[#This Row],[Day Rank]]=Data[[#This Row],[W Rank]]</f>
        <v>1</v>
      </c>
      <c r="U188" s="336"/>
    </row>
    <row r="189" spans="1:21" ht="15" customHeight="1">
      <c r="A189" s="333"/>
      <c r="B189" s="326"/>
      <c r="C189" s="329"/>
      <c r="D189" s="144">
        <f>D187</f>
        <v>45519</v>
      </c>
      <c r="E189" s="140" t="str">
        <f>$L$1</f>
        <v>loganworsdell</v>
      </c>
      <c r="F189" s="8">
        <f>IFERROR(AVERAGE(Data[[#This Row],[alappatjoe]:[currydestroyer27]]), "TBD")</f>
        <v>2</v>
      </c>
      <c r="G189" s="177">
        <f>IFERROR(_xlfn.STDEV.P(Data[[#This Row],[alappatjoe]:[currydestroyer27]]), "TBD")</f>
        <v>0.89442719099991586</v>
      </c>
      <c r="H189" s="135" t="s">
        <v>532</v>
      </c>
      <c r="I189" s="229" t="s">
        <v>533</v>
      </c>
      <c r="J189" s="13">
        <v>1</v>
      </c>
      <c r="K189" s="8">
        <v>2</v>
      </c>
      <c r="L189" s="8">
        <v>3</v>
      </c>
      <c r="M189" s="8">
        <v>3</v>
      </c>
      <c r="N189" s="8">
        <v>1</v>
      </c>
      <c r="O189" s="238"/>
      <c r="P189" s="234" t="s">
        <v>69</v>
      </c>
      <c r="Q189" s="93" t="s">
        <v>534</v>
      </c>
      <c r="R1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9" s="93">
        <v>5</v>
      </c>
      <c r="T189" s="93" t="b">
        <f>Data[[#This Row],[Day Rank]]=Data[[#This Row],[W Rank]]</f>
        <v>0</v>
      </c>
      <c r="U189" s="336"/>
    </row>
    <row r="190" spans="1:21" ht="15" customHeight="1">
      <c r="A190" s="333"/>
      <c r="B190" s="326"/>
      <c r="C190" s="329"/>
      <c r="D190" s="144">
        <f>D187</f>
        <v>45519</v>
      </c>
      <c r="E190" s="140" t="str">
        <f>$M$1</f>
        <v>samuelbattista</v>
      </c>
      <c r="F190" s="8">
        <f>IFERROR(AVERAGE(Data[[#This Row],[alappatjoe]:[currydestroyer27]]), "TBD")</f>
        <v>2.4</v>
      </c>
      <c r="G190" s="177">
        <f>IFERROR(_xlfn.STDEV.P(Data[[#This Row],[alappatjoe]:[currydestroyer27]]), "TBD")</f>
        <v>1.3564659966250536</v>
      </c>
      <c r="H190" s="135" t="s">
        <v>535</v>
      </c>
      <c r="I190" s="229" t="s">
        <v>536</v>
      </c>
      <c r="J190" s="14">
        <v>5</v>
      </c>
      <c r="K190" s="9">
        <v>1</v>
      </c>
      <c r="L190" s="3">
        <v>2</v>
      </c>
      <c r="M190" s="9">
        <v>2</v>
      </c>
      <c r="N190" s="9">
        <v>2</v>
      </c>
      <c r="O190" s="238"/>
      <c r="P190" s="234" t="s">
        <v>58</v>
      </c>
      <c r="Q190" s="93" t="s">
        <v>348</v>
      </c>
      <c r="R1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0" s="93">
        <v>5</v>
      </c>
      <c r="T190" s="93" t="b">
        <f>Data[[#This Row],[Day Rank]]=Data[[#This Row],[W Rank]]</f>
        <v>0</v>
      </c>
      <c r="U190" s="336"/>
    </row>
    <row r="191" spans="1:21" ht="15" customHeight="1" thickBot="1">
      <c r="A191" s="334"/>
      <c r="B191" s="327"/>
      <c r="C191" s="330"/>
      <c r="D191" s="145">
        <f>D187</f>
        <v>45519</v>
      </c>
      <c r="E191" s="182" t="str">
        <f>$N$1</f>
        <v>currydestroyer27</v>
      </c>
      <c r="F191" s="83">
        <f>IFERROR(AVERAGE(Data[[#This Row],[alappatjoe]:[currydestroyer27]]), "TBD")</f>
        <v>3.4</v>
      </c>
      <c r="G191" s="183">
        <f>IFERROR(_xlfn.STDEV.P(Data[[#This Row],[alappatjoe]:[currydestroyer27]]), "TBD")</f>
        <v>1.3564659966250536</v>
      </c>
      <c r="H191" s="269" t="s">
        <v>537</v>
      </c>
      <c r="I191" s="185" t="s">
        <v>538</v>
      </c>
      <c r="J191" s="11">
        <v>4</v>
      </c>
      <c r="K191" s="22">
        <v>3</v>
      </c>
      <c r="L191" s="22">
        <v>1</v>
      </c>
      <c r="M191" s="22">
        <v>5</v>
      </c>
      <c r="N191" s="22">
        <v>4</v>
      </c>
      <c r="O191" s="239"/>
      <c r="P191" s="235" t="s">
        <v>76</v>
      </c>
      <c r="Q191" s="94" t="s">
        <v>181</v>
      </c>
      <c r="R19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1" s="94">
        <v>5</v>
      </c>
      <c r="T191" s="94" t="b">
        <f>Data[[#This Row],[Day Rank]]=Data[[#This Row],[W Rank]]</f>
        <v>0</v>
      </c>
      <c r="U191" s="337"/>
    </row>
    <row r="192" spans="1:21" ht="15" customHeight="1">
      <c r="A192" s="332">
        <v>45523</v>
      </c>
      <c r="B192" s="325"/>
      <c r="C192" s="338" t="str" cm="1">
        <f t="array" ref="C192">_xlfn.LET(_xlpm.matches, _xlfn._xlws.FILTER(Data[Poster], (Data[Date]=A192)*(Data[Winner]=TRUE)), IF(ROWS(_xlpm.matches)&gt;1, "TIE", _xlpm.matches))</f>
        <v>currydestroyer27</v>
      </c>
      <c r="D192" s="146">
        <f>A192</f>
        <v>45523</v>
      </c>
      <c r="E192" s="181" t="str">
        <f>$J$1</f>
        <v>alappatjoe</v>
      </c>
      <c r="F192" s="9">
        <f>IFERROR(AVERAGE(Data[[#This Row],[alappatjoe]:[currydestroyer27]]), "TBD")</f>
        <v>2.8</v>
      </c>
      <c r="G192" s="178">
        <f>IFERROR(_xlfn.STDEV.P(Data[[#This Row],[alappatjoe]:[currydestroyer27]]), "TBD")</f>
        <v>1.4696938456699069</v>
      </c>
      <c r="H192" s="160" t="s">
        <v>539</v>
      </c>
      <c r="I192" s="186" t="s">
        <v>540</v>
      </c>
      <c r="J192" s="18">
        <v>1</v>
      </c>
      <c r="K192" s="3">
        <v>4</v>
      </c>
      <c r="L192" s="3">
        <v>1</v>
      </c>
      <c r="M192" s="3">
        <v>4</v>
      </c>
      <c r="N192" s="3">
        <v>4</v>
      </c>
      <c r="O192" s="238"/>
      <c r="P192" s="234"/>
      <c r="Q192" s="18"/>
      <c r="R1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2" s="18">
        <v>1</v>
      </c>
      <c r="T192" s="93" t="b">
        <f>Data[[#This Row],[Day Rank]]=Data[[#This Row],[W Rank]]</f>
        <v>0</v>
      </c>
      <c r="U192" s="335"/>
    </row>
    <row r="193" spans="1:21" ht="15" customHeight="1">
      <c r="A193" s="333"/>
      <c r="B193" s="326"/>
      <c r="C193" s="339"/>
      <c r="D193" s="144">
        <f>D192</f>
        <v>45523</v>
      </c>
      <c r="E193" s="140" t="str">
        <f>$K$1</f>
        <v>danram</v>
      </c>
      <c r="F193" s="8">
        <f>IFERROR(AVERAGE(Data[[#This Row],[alappatjoe]:[currydestroyer27]]), "TBD")</f>
        <v>4.4000000000000004</v>
      </c>
      <c r="G193" s="177">
        <f>IFERROR(_xlfn.STDEV.P(Data[[#This Row],[alappatjoe]:[currydestroyer27]]), "TBD")</f>
        <v>1.2</v>
      </c>
      <c r="H193" s="135" t="s">
        <v>541</v>
      </c>
      <c r="I193" s="229" t="s">
        <v>542</v>
      </c>
      <c r="J193" s="12">
        <v>5</v>
      </c>
      <c r="K193" s="7">
        <v>2</v>
      </c>
      <c r="L193" s="7">
        <v>5</v>
      </c>
      <c r="M193" s="7">
        <v>5</v>
      </c>
      <c r="N193" s="7">
        <v>5</v>
      </c>
      <c r="O193" s="238"/>
      <c r="P193" s="234" t="s">
        <v>76</v>
      </c>
      <c r="Q193" s="18" t="s">
        <v>543</v>
      </c>
      <c r="R1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3" s="18">
        <v>1</v>
      </c>
      <c r="T193" s="93" t="b">
        <f>Data[[#This Row],[Day Rank]]=Data[[#This Row],[W Rank]]</f>
        <v>0</v>
      </c>
      <c r="U193" s="336"/>
    </row>
    <row r="194" spans="1:21" ht="15" customHeight="1">
      <c r="A194" s="333"/>
      <c r="B194" s="326"/>
      <c r="C194" s="339"/>
      <c r="D194" s="144">
        <f>D192</f>
        <v>45523</v>
      </c>
      <c r="E194" s="140" t="str">
        <f>$L$1</f>
        <v>loganworsdell</v>
      </c>
      <c r="F194" s="8">
        <f>IFERROR(AVERAGE(Data[[#This Row],[alappatjoe]:[currydestroyer27]]), "TBD")</f>
        <v>3</v>
      </c>
      <c r="G194" s="177">
        <f>IFERROR(_xlfn.STDEV.P(Data[[#This Row],[alappatjoe]:[currydestroyer27]]), "TBD")</f>
        <v>1.0954451150103321</v>
      </c>
      <c r="H194" s="135" t="s">
        <v>544</v>
      </c>
      <c r="I194" s="229" t="s">
        <v>545</v>
      </c>
      <c r="J194" s="13">
        <v>2</v>
      </c>
      <c r="K194" s="8">
        <v>5</v>
      </c>
      <c r="L194" s="8">
        <v>3</v>
      </c>
      <c r="M194" s="8">
        <v>3</v>
      </c>
      <c r="N194" s="8">
        <v>2</v>
      </c>
      <c r="O194" s="238"/>
      <c r="P194" s="234" t="s">
        <v>87</v>
      </c>
      <c r="Q194" s="18" t="s">
        <v>546</v>
      </c>
      <c r="R1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4" s="18">
        <v>1</v>
      </c>
      <c r="T194" s="93" t="b">
        <f>Data[[#This Row],[Day Rank]]=Data[[#This Row],[W Rank]]</f>
        <v>0</v>
      </c>
      <c r="U194" s="336"/>
    </row>
    <row r="195" spans="1:21" ht="15" customHeight="1">
      <c r="A195" s="333"/>
      <c r="B195" s="326"/>
      <c r="C195" s="339"/>
      <c r="D195" s="144">
        <f>D192</f>
        <v>45523</v>
      </c>
      <c r="E195" s="140" t="str">
        <f>$M$1</f>
        <v>samuelbattista</v>
      </c>
      <c r="F195" s="8">
        <f>IFERROR(AVERAGE(Data[[#This Row],[alappatjoe]:[currydestroyer27]]), "TBD")</f>
        <v>2.6</v>
      </c>
      <c r="G195" s="177">
        <f>IFERROR(_xlfn.STDEV.P(Data[[#This Row],[alappatjoe]:[currydestroyer27]]), "TBD")</f>
        <v>1.3564659966250536</v>
      </c>
      <c r="H195" s="135" t="s">
        <v>547</v>
      </c>
      <c r="I195" s="229" t="s">
        <v>548</v>
      </c>
      <c r="J195" s="14">
        <v>4</v>
      </c>
      <c r="K195" s="9">
        <v>1</v>
      </c>
      <c r="L195" s="9">
        <v>4</v>
      </c>
      <c r="M195" s="9">
        <v>1</v>
      </c>
      <c r="N195" s="9">
        <v>3</v>
      </c>
      <c r="O195" s="238"/>
      <c r="P195" s="234" t="s">
        <v>144</v>
      </c>
      <c r="Q195" s="18" t="s">
        <v>549</v>
      </c>
      <c r="R1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5" s="18">
        <v>1</v>
      </c>
      <c r="T195" s="93" t="b">
        <f>Data[[#This Row],[Day Rank]]=Data[[#This Row],[W Rank]]</f>
        <v>0</v>
      </c>
      <c r="U195" s="336"/>
    </row>
    <row r="196" spans="1:21" ht="15" customHeight="1" thickBot="1">
      <c r="A196" s="334"/>
      <c r="B196" s="326"/>
      <c r="C196" s="340"/>
      <c r="D196" s="145">
        <f>D192</f>
        <v>45523</v>
      </c>
      <c r="E196" s="182" t="str">
        <f>$N$1</f>
        <v>currydestroyer27</v>
      </c>
      <c r="F196" s="83">
        <f>IFERROR(AVERAGE(Data[[#This Row],[alappatjoe]:[currydestroyer27]]), "TBD")</f>
        <v>2.2000000000000002</v>
      </c>
      <c r="G196" s="183">
        <f>IFERROR(_xlfn.STDEV.P(Data[[#This Row],[alappatjoe]:[currydestroyer27]]), "TBD")</f>
        <v>0.74833147735478833</v>
      </c>
      <c r="H196" s="184" t="s">
        <v>550</v>
      </c>
      <c r="I196" s="185" t="s">
        <v>551</v>
      </c>
      <c r="J196" s="11">
        <v>3</v>
      </c>
      <c r="K196" s="22">
        <v>3</v>
      </c>
      <c r="L196" s="22">
        <v>2</v>
      </c>
      <c r="M196" s="22">
        <v>2</v>
      </c>
      <c r="N196" s="22">
        <v>1</v>
      </c>
      <c r="O196" s="239"/>
      <c r="P196" s="235" t="s">
        <v>69</v>
      </c>
      <c r="Q196" s="11" t="s">
        <v>87</v>
      </c>
      <c r="R19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6" s="11">
        <v>1</v>
      </c>
      <c r="T196" s="94" t="b">
        <f>Data[[#This Row],[Day Rank]]=Data[[#This Row],[W Rank]]</f>
        <v>1</v>
      </c>
      <c r="U196" s="336"/>
    </row>
    <row r="197" spans="1:21" ht="15" customHeight="1">
      <c r="A197" s="332">
        <v>45524</v>
      </c>
      <c r="B197" s="325"/>
      <c r="C197" s="328" t="str" cm="1">
        <f t="array" ref="C197">_xlfn.LET(_xlpm.matches, _xlfn._xlws.FILTER(Data[Poster], (Data[Date]=A197)*(Data[Winner]=TRUE)), IF(ROWS(_xlpm.matches)&gt;1, "TIE", _xlpm.matches))</f>
        <v>loganworsdell</v>
      </c>
      <c r="D197" s="146">
        <f>A197</f>
        <v>45524</v>
      </c>
      <c r="E197" s="181" t="str">
        <f>$J$1</f>
        <v>alappatjoe</v>
      </c>
      <c r="F197" s="9">
        <f>IFERROR(AVERAGE(Data[[#This Row],[alappatjoe]:[currydestroyer27]]), "TBD")</f>
        <v>2.8</v>
      </c>
      <c r="G197" s="178">
        <f>IFERROR(_xlfn.STDEV.P(Data[[#This Row],[alappatjoe]:[currydestroyer27]]), "TBD")</f>
        <v>1.1661903789690602</v>
      </c>
      <c r="H197" s="160" t="s">
        <v>552</v>
      </c>
      <c r="I197" s="186" t="s">
        <v>553</v>
      </c>
      <c r="J197" s="18">
        <v>1</v>
      </c>
      <c r="K197" s="3">
        <v>3</v>
      </c>
      <c r="L197" s="3">
        <v>4</v>
      </c>
      <c r="M197" s="3">
        <v>4</v>
      </c>
      <c r="N197" s="3">
        <v>2</v>
      </c>
      <c r="O197" s="238"/>
      <c r="P197" s="234"/>
      <c r="Q197" s="18"/>
      <c r="R1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7" s="18">
        <v>1</v>
      </c>
      <c r="T197" s="93" t="b">
        <f>Data[[#This Row],[Day Rank]]=Data[[#This Row],[W Rank]]</f>
        <v>0</v>
      </c>
      <c r="U197" s="335"/>
    </row>
    <row r="198" spans="1:21" ht="15" customHeight="1">
      <c r="A198" s="333"/>
      <c r="B198" s="326"/>
      <c r="C198" s="329"/>
      <c r="D198" s="144">
        <f>D197</f>
        <v>45524</v>
      </c>
      <c r="E198" s="140" t="str">
        <f>$K$1</f>
        <v>danram</v>
      </c>
      <c r="F198" s="8">
        <f>IFERROR(AVERAGE(Data[[#This Row],[alappatjoe]:[currydestroyer27]]), "TBD")</f>
        <v>2.8</v>
      </c>
      <c r="G198" s="177">
        <f>IFERROR(_xlfn.STDEV.P(Data[[#This Row],[alappatjoe]:[currydestroyer27]]), "TBD")</f>
        <v>1.4696938456699069</v>
      </c>
      <c r="H198" s="135" t="s">
        <v>554</v>
      </c>
      <c r="I198" s="229" t="s">
        <v>555</v>
      </c>
      <c r="J198" s="12">
        <v>4</v>
      </c>
      <c r="K198" s="7">
        <v>1</v>
      </c>
      <c r="L198" s="7">
        <v>2</v>
      </c>
      <c r="M198" s="7">
        <v>2</v>
      </c>
      <c r="N198" s="7">
        <v>5</v>
      </c>
      <c r="O198" s="238"/>
      <c r="P198" s="234" t="s">
        <v>58</v>
      </c>
      <c r="Q198" s="18" t="s">
        <v>556</v>
      </c>
      <c r="R1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8" s="18">
        <v>1</v>
      </c>
      <c r="T198" s="93" t="b">
        <f>Data[[#This Row],[Day Rank]]=Data[[#This Row],[W Rank]]</f>
        <v>0</v>
      </c>
      <c r="U198" s="336"/>
    </row>
    <row r="199" spans="1:21" ht="15" customHeight="1">
      <c r="A199" s="333"/>
      <c r="B199" s="326"/>
      <c r="C199" s="329"/>
      <c r="D199" s="144">
        <f>D197</f>
        <v>45524</v>
      </c>
      <c r="E199" s="140" t="str">
        <f>$L$1</f>
        <v>loganworsdell</v>
      </c>
      <c r="F199" s="8">
        <f>IFERROR(AVERAGE(Data[[#This Row],[alappatjoe]:[currydestroyer27]]), "TBD")</f>
        <v>2.6</v>
      </c>
      <c r="G199" s="177">
        <f>IFERROR(_xlfn.STDEV.P(Data[[#This Row],[alappatjoe]:[currydestroyer27]]), "TBD")</f>
        <v>1.019803902718557</v>
      </c>
      <c r="H199" s="135" t="s">
        <v>557</v>
      </c>
      <c r="I199" s="229" t="s">
        <v>558</v>
      </c>
      <c r="J199" s="13">
        <v>3</v>
      </c>
      <c r="K199" s="8">
        <v>2</v>
      </c>
      <c r="L199" s="8">
        <v>1</v>
      </c>
      <c r="M199" s="8">
        <v>3</v>
      </c>
      <c r="N199" s="8">
        <v>4</v>
      </c>
      <c r="O199" s="238"/>
      <c r="P199" s="234" t="s">
        <v>87</v>
      </c>
      <c r="Q199" s="18" t="s">
        <v>559</v>
      </c>
      <c r="R1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9" s="18">
        <v>1</v>
      </c>
      <c r="T199" s="93" t="b">
        <f>Data[[#This Row],[Day Rank]]=Data[[#This Row],[W Rank]]</f>
        <v>1</v>
      </c>
      <c r="U199" s="336"/>
    </row>
    <row r="200" spans="1:21" ht="15" customHeight="1">
      <c r="A200" s="333"/>
      <c r="B200" s="326"/>
      <c r="C200" s="329"/>
      <c r="D200" s="144">
        <f>D197</f>
        <v>45524</v>
      </c>
      <c r="E200" s="140" t="str">
        <f>$M$1</f>
        <v>samuelbattista</v>
      </c>
      <c r="F200" s="8">
        <f>IFERROR(AVERAGE(Data[[#This Row],[alappatjoe]:[currydestroyer27]]), "TBD")</f>
        <v>3.6</v>
      </c>
      <c r="G200" s="177">
        <f>IFERROR(_xlfn.STDEV.P(Data[[#This Row],[alappatjoe]:[currydestroyer27]]), "TBD")</f>
        <v>1.4966629547095767</v>
      </c>
      <c r="H200" s="135" t="s">
        <v>560</v>
      </c>
      <c r="I200" s="229" t="s">
        <v>561</v>
      </c>
      <c r="J200" s="14">
        <v>5</v>
      </c>
      <c r="K200" s="9">
        <v>4</v>
      </c>
      <c r="L200" s="9">
        <v>5</v>
      </c>
      <c r="M200" s="9">
        <v>1</v>
      </c>
      <c r="N200" s="9">
        <v>3</v>
      </c>
      <c r="O200" s="238"/>
      <c r="P200" s="234" t="s">
        <v>144</v>
      </c>
      <c r="Q200" s="18" t="s">
        <v>562</v>
      </c>
      <c r="R2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0" s="18">
        <v>1</v>
      </c>
      <c r="T200" s="93" t="b">
        <f>Data[[#This Row],[Day Rank]]=Data[[#This Row],[W Rank]]</f>
        <v>0</v>
      </c>
      <c r="U200" s="336"/>
    </row>
    <row r="201" spans="1:21" ht="15" customHeight="1" thickBot="1">
      <c r="A201" s="334"/>
      <c r="B201" s="327"/>
      <c r="C201" s="330"/>
      <c r="D201" s="145">
        <f>D197</f>
        <v>45524</v>
      </c>
      <c r="E201" s="182" t="str">
        <f>$N$1</f>
        <v>currydestroyer27</v>
      </c>
      <c r="F201" s="83">
        <f>IFERROR(AVERAGE(Data[[#This Row],[alappatjoe]:[currydestroyer27]]), "TBD")</f>
        <v>3.2</v>
      </c>
      <c r="G201" s="183">
        <f>IFERROR(_xlfn.STDEV.P(Data[[#This Row],[alappatjoe]:[currydestroyer27]]), "TBD")</f>
        <v>1.6</v>
      </c>
      <c r="H201" s="184" t="s">
        <v>563</v>
      </c>
      <c r="I201" s="185" t="s">
        <v>564</v>
      </c>
      <c r="J201" s="11">
        <v>2</v>
      </c>
      <c r="K201" s="22">
        <v>5</v>
      </c>
      <c r="L201" s="22">
        <v>3</v>
      </c>
      <c r="M201" s="22">
        <v>5</v>
      </c>
      <c r="N201" s="22">
        <v>1</v>
      </c>
      <c r="O201" s="239"/>
      <c r="P201" s="235" t="s">
        <v>120</v>
      </c>
      <c r="Q201" s="11" t="s">
        <v>285</v>
      </c>
      <c r="R20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1" s="11">
        <v>1</v>
      </c>
      <c r="T201" s="94" t="b">
        <f>Data[[#This Row],[Day Rank]]=Data[[#This Row],[W Rank]]</f>
        <v>0</v>
      </c>
      <c r="U201" s="337"/>
    </row>
    <row r="202" spans="1:21" ht="15" customHeight="1">
      <c r="A202" s="332">
        <v>45525</v>
      </c>
      <c r="B202" s="326"/>
      <c r="C202" s="338" t="str" cm="1">
        <f t="array" ref="C202">_xlfn.LET(_xlpm.matches, _xlfn._xlws.FILTER(Data[Poster], (Data[Date]=A202)*(Data[Winner]=TRUE)), IF(ROWS(_xlpm.matches)&gt;1, "TIE", _xlpm.matches))</f>
        <v>danram</v>
      </c>
      <c r="D202" s="146">
        <f>A202</f>
        <v>45525</v>
      </c>
      <c r="E202" s="181" t="str">
        <f>$J$1</f>
        <v>alappatjoe</v>
      </c>
      <c r="F202" s="9">
        <f>IFERROR(AVERAGE(Data[[#This Row],[alappatjoe]:[currydestroyer27]]), "TBD")</f>
        <v>2.8</v>
      </c>
      <c r="G202" s="178">
        <f>IFERROR(_xlfn.STDEV.P(Data[[#This Row],[alappatjoe]:[currydestroyer27]]), "TBD")</f>
        <v>1.4696938456699069</v>
      </c>
      <c r="H202" s="160" t="s">
        <v>565</v>
      </c>
      <c r="I202" s="186" t="s">
        <v>566</v>
      </c>
      <c r="J202" s="18">
        <v>1</v>
      </c>
      <c r="K202" s="3">
        <v>2</v>
      </c>
      <c r="L202" s="3">
        <v>5</v>
      </c>
      <c r="M202" s="3">
        <v>4</v>
      </c>
      <c r="N202" s="3">
        <v>2</v>
      </c>
      <c r="O202" s="238"/>
      <c r="P202" s="234"/>
      <c r="Q202" s="18"/>
      <c r="R2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2" s="18">
        <v>1</v>
      </c>
      <c r="T202" s="93" t="b">
        <f>Data[[#This Row],[Day Rank]]=Data[[#This Row],[W Rank]]</f>
        <v>0</v>
      </c>
      <c r="U202" s="336"/>
    </row>
    <row r="203" spans="1:21" ht="15" customHeight="1">
      <c r="A203" s="333"/>
      <c r="B203" s="326"/>
      <c r="C203" s="339"/>
      <c r="D203" s="144">
        <f>D202</f>
        <v>45525</v>
      </c>
      <c r="E203" s="140" t="str">
        <f>$K$1</f>
        <v>danram</v>
      </c>
      <c r="F203" s="8">
        <f>IFERROR(AVERAGE(Data[[#This Row],[alappatjoe]:[currydestroyer27]]), "TBD")</f>
        <v>1.8</v>
      </c>
      <c r="G203" s="177">
        <f>IFERROR(_xlfn.STDEV.P(Data[[#This Row],[alappatjoe]:[currydestroyer27]]), "TBD")</f>
        <v>1.1661903789690602</v>
      </c>
      <c r="H203" s="135" t="s">
        <v>567</v>
      </c>
      <c r="I203" s="229" t="s">
        <v>568</v>
      </c>
      <c r="J203" s="12">
        <v>4</v>
      </c>
      <c r="K203" s="7">
        <v>1</v>
      </c>
      <c r="L203" s="7">
        <v>1</v>
      </c>
      <c r="M203" s="7">
        <v>2</v>
      </c>
      <c r="N203" s="3">
        <v>1</v>
      </c>
      <c r="O203" s="238"/>
      <c r="P203" s="234" t="s">
        <v>87</v>
      </c>
      <c r="Q203" s="18" t="s">
        <v>569</v>
      </c>
      <c r="R2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3" s="18">
        <v>1</v>
      </c>
      <c r="T203" s="93" t="b">
        <f>Data[[#This Row],[Day Rank]]=Data[[#This Row],[W Rank]]</f>
        <v>1</v>
      </c>
      <c r="U203" s="336"/>
    </row>
    <row r="204" spans="1:21" ht="15" customHeight="1">
      <c r="A204" s="333"/>
      <c r="B204" s="326"/>
      <c r="C204" s="339"/>
      <c r="D204" s="144">
        <f>D202</f>
        <v>45525</v>
      </c>
      <c r="E204" s="140" t="str">
        <f>$L$1</f>
        <v>loganworsdell</v>
      </c>
      <c r="F204" s="8">
        <f>IFERROR(AVERAGE(Data[[#This Row],[alappatjoe]:[currydestroyer27]]), "TBD")</f>
        <v>2.8</v>
      </c>
      <c r="G204" s="177">
        <f>IFERROR(_xlfn.STDEV.P(Data[[#This Row],[alappatjoe]:[currydestroyer27]]), "TBD")</f>
        <v>0.4</v>
      </c>
      <c r="H204" s="135" t="s">
        <v>570</v>
      </c>
      <c r="I204" s="229" t="s">
        <v>571</v>
      </c>
      <c r="J204" s="13">
        <v>3</v>
      </c>
      <c r="K204" s="8">
        <v>3</v>
      </c>
      <c r="L204" s="8">
        <v>2</v>
      </c>
      <c r="M204" s="8">
        <v>3</v>
      </c>
      <c r="N204" s="8">
        <v>3</v>
      </c>
      <c r="O204" s="238"/>
      <c r="P204" s="234" t="s">
        <v>58</v>
      </c>
      <c r="Q204" s="18" t="s">
        <v>572</v>
      </c>
      <c r="R2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4" s="18">
        <v>1</v>
      </c>
      <c r="T204" s="93" t="b">
        <f>Data[[#This Row],[Day Rank]]=Data[[#This Row],[W Rank]]</f>
        <v>0</v>
      </c>
      <c r="U204" s="336"/>
    </row>
    <row r="205" spans="1:21" ht="15" customHeight="1">
      <c r="A205" s="333"/>
      <c r="B205" s="326"/>
      <c r="C205" s="339"/>
      <c r="D205" s="144">
        <f>D202</f>
        <v>45525</v>
      </c>
      <c r="E205" s="140" t="str">
        <f>$M$1</f>
        <v>samuelbattista</v>
      </c>
      <c r="F205" s="8">
        <f>IFERROR(AVERAGE(Data[[#This Row],[alappatjoe]:[currydestroyer27]]), "TBD")</f>
        <v>3.2</v>
      </c>
      <c r="G205" s="177">
        <f>IFERROR(_xlfn.STDEV.P(Data[[#This Row],[alappatjoe]:[currydestroyer27]]), "TBD")</f>
        <v>1.4696938456699069</v>
      </c>
      <c r="H205" s="135" t="s">
        <v>573</v>
      </c>
      <c r="I205" s="229" t="s">
        <v>574</v>
      </c>
      <c r="J205" s="14">
        <v>2</v>
      </c>
      <c r="K205" s="9">
        <v>4</v>
      </c>
      <c r="L205" s="9">
        <v>4</v>
      </c>
      <c r="M205" s="9">
        <v>1</v>
      </c>
      <c r="N205" s="9">
        <v>5</v>
      </c>
      <c r="O205" s="238"/>
      <c r="P205" s="234" t="s">
        <v>144</v>
      </c>
      <c r="Q205" s="18" t="s">
        <v>575</v>
      </c>
      <c r="R2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5" s="18">
        <v>1</v>
      </c>
      <c r="T205" s="93" t="b">
        <f>Data[[#This Row],[Day Rank]]=Data[[#This Row],[W Rank]]</f>
        <v>0</v>
      </c>
      <c r="U205" s="336"/>
    </row>
    <row r="206" spans="1:21" ht="15" customHeight="1" thickBot="1">
      <c r="A206" s="334"/>
      <c r="B206" s="327"/>
      <c r="C206" s="340"/>
      <c r="D206" s="145">
        <f>D202</f>
        <v>45525</v>
      </c>
      <c r="E206" s="182" t="str">
        <f>$N$1</f>
        <v>currydestroyer27</v>
      </c>
      <c r="F206" s="83">
        <f>IFERROR(AVERAGE(Data[[#This Row],[alappatjoe]:[currydestroyer27]]), "TBD")</f>
        <v>4.4000000000000004</v>
      </c>
      <c r="G206" s="183">
        <f>IFERROR(_xlfn.STDEV.P(Data[[#This Row],[alappatjoe]:[currydestroyer27]]), "TBD")</f>
        <v>0.8</v>
      </c>
      <c r="H206" s="184" t="s">
        <v>576</v>
      </c>
      <c r="I206" s="185" t="s">
        <v>577</v>
      </c>
      <c r="J206" s="11">
        <v>5</v>
      </c>
      <c r="K206" s="22">
        <v>5</v>
      </c>
      <c r="L206" s="22">
        <v>3</v>
      </c>
      <c r="M206" s="22">
        <v>5</v>
      </c>
      <c r="N206" s="22">
        <v>4</v>
      </c>
      <c r="O206" s="239"/>
      <c r="P206" s="235" t="s">
        <v>69</v>
      </c>
      <c r="Q206" s="11" t="s">
        <v>69</v>
      </c>
      <c r="R20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6" s="11">
        <v>1</v>
      </c>
      <c r="T206" s="94" t="b">
        <f>Data[[#This Row],[Day Rank]]=Data[[#This Row],[W Rank]]</f>
        <v>0</v>
      </c>
      <c r="U206" s="337"/>
    </row>
    <row r="207" spans="1:21" ht="15" customHeight="1">
      <c r="A207" s="332">
        <v>45526</v>
      </c>
      <c r="B207" s="325"/>
      <c r="C207" s="328" t="str" cm="1">
        <f t="array" ref="C207">_xlfn.LET(_xlpm.matches, _xlfn._xlws.FILTER(Data[Poster], (Data[Date]=A207)*(Data[Winner]=TRUE)), IF(ROWS(_xlpm.matches)&gt;1, "TIE", _xlpm.matches))</f>
        <v>currydestroyer27</v>
      </c>
      <c r="D207" s="146">
        <f>A207</f>
        <v>45526</v>
      </c>
      <c r="E207" s="181" t="str">
        <f>$J$1</f>
        <v>alappatjoe</v>
      </c>
      <c r="F207" s="9">
        <f>IFERROR(AVERAGE(Data[[#This Row],[alappatjoe]:[currydestroyer27]]), "TBD")</f>
        <v>3.4</v>
      </c>
      <c r="G207" s="178">
        <f>IFERROR(_xlfn.STDEV.P(Data[[#This Row],[alappatjoe]:[currydestroyer27]]), "TBD")</f>
        <v>1.3564659966250536</v>
      </c>
      <c r="H207" s="160" t="s">
        <v>578</v>
      </c>
      <c r="I207" s="186" t="s">
        <v>579</v>
      </c>
      <c r="J207" s="18">
        <v>1</v>
      </c>
      <c r="K207" s="3">
        <v>4</v>
      </c>
      <c r="L207" s="3">
        <v>4</v>
      </c>
      <c r="M207" s="3">
        <v>3</v>
      </c>
      <c r="N207" s="3">
        <v>5</v>
      </c>
      <c r="O207" s="238"/>
      <c r="P207" s="234"/>
      <c r="Q207" s="18"/>
      <c r="R2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7" s="18">
        <v>3</v>
      </c>
      <c r="T207" s="93" t="b">
        <f>Data[[#This Row],[Day Rank]]=Data[[#This Row],[W Rank]]</f>
        <v>0</v>
      </c>
      <c r="U207" s="335" t="s">
        <v>580</v>
      </c>
    </row>
    <row r="208" spans="1:21" ht="15" customHeight="1">
      <c r="A208" s="333"/>
      <c r="B208" s="326"/>
      <c r="C208" s="329"/>
      <c r="D208" s="144">
        <f>D207</f>
        <v>45526</v>
      </c>
      <c r="E208" s="140" t="str">
        <f>$K$1</f>
        <v>danram</v>
      </c>
      <c r="F208" s="8">
        <f>IFERROR(AVERAGE(Data[[#This Row],[alappatjoe]:[currydestroyer27]]), "TBD")</f>
        <v>3.6</v>
      </c>
      <c r="G208" s="177">
        <f>IFERROR(_xlfn.STDEV.P(Data[[#This Row],[alappatjoe]:[currydestroyer27]]), "TBD")</f>
        <v>1.3564659966250536</v>
      </c>
      <c r="H208" s="135" t="s">
        <v>581</v>
      </c>
      <c r="I208" s="229" t="s">
        <v>582</v>
      </c>
      <c r="J208" s="12">
        <v>5</v>
      </c>
      <c r="K208" s="7">
        <v>2</v>
      </c>
      <c r="L208" s="7">
        <v>5</v>
      </c>
      <c r="M208" s="7">
        <v>2</v>
      </c>
      <c r="N208" s="7">
        <v>4</v>
      </c>
      <c r="O208" s="238"/>
      <c r="P208" s="234" t="s">
        <v>120</v>
      </c>
      <c r="Q208" s="18" t="s">
        <v>152</v>
      </c>
      <c r="R2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8" s="18">
        <v>3</v>
      </c>
      <c r="T208" s="93" t="b">
        <f>Data[[#This Row],[Day Rank]]=Data[[#This Row],[W Rank]]</f>
        <v>0</v>
      </c>
      <c r="U208" s="336"/>
    </row>
    <row r="209" spans="1:21" ht="15" customHeight="1">
      <c r="A209" s="333"/>
      <c r="B209" s="326"/>
      <c r="C209" s="329"/>
      <c r="D209" s="144">
        <f>D207</f>
        <v>45526</v>
      </c>
      <c r="E209" s="140" t="str">
        <f>$L$1</f>
        <v>loganworsdell</v>
      </c>
      <c r="F209" s="8">
        <f>IFERROR(AVERAGE(Data[[#This Row],[alappatjoe]:[currydestroyer27]]), "TBD")</f>
        <v>3</v>
      </c>
      <c r="G209" s="177">
        <f>IFERROR(_xlfn.STDEV.P(Data[[#This Row],[alappatjoe]:[currydestroyer27]]), "TBD")</f>
        <v>0.63245553203367588</v>
      </c>
      <c r="H209" s="135" t="s">
        <v>583</v>
      </c>
      <c r="I209" s="229" t="s">
        <v>584</v>
      </c>
      <c r="J209" s="13">
        <v>2</v>
      </c>
      <c r="K209" s="8">
        <v>3</v>
      </c>
      <c r="L209" s="8">
        <v>3</v>
      </c>
      <c r="M209" s="8">
        <v>4</v>
      </c>
      <c r="N209" s="8">
        <v>3</v>
      </c>
      <c r="O209" s="238"/>
      <c r="P209" s="234" t="s">
        <v>69</v>
      </c>
      <c r="Q209" s="18" t="s">
        <v>585</v>
      </c>
      <c r="R2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9" s="18">
        <v>3</v>
      </c>
      <c r="T209" s="93" t="b">
        <f>Data[[#This Row],[Day Rank]]=Data[[#This Row],[W Rank]]</f>
        <v>0</v>
      </c>
      <c r="U209" s="336"/>
    </row>
    <row r="210" spans="1:21" ht="15" customHeight="1">
      <c r="A210" s="333"/>
      <c r="B210" s="326"/>
      <c r="C210" s="329"/>
      <c r="D210" s="144">
        <f>D207</f>
        <v>45526</v>
      </c>
      <c r="E210" s="140" t="str">
        <f>$M$1</f>
        <v>samuelbattista</v>
      </c>
      <c r="F210" s="8">
        <f>IFERROR(AVERAGE(Data[[#This Row],[alappatjoe]:[currydestroyer27]]), "TBD")</f>
        <v>1.8</v>
      </c>
      <c r="G210" s="177">
        <f>IFERROR(_xlfn.STDEV.P(Data[[#This Row],[alappatjoe]:[currydestroyer27]]), "TBD")</f>
        <v>0.74833147735478833</v>
      </c>
      <c r="H210" s="135" t="s">
        <v>586</v>
      </c>
      <c r="I210" s="229" t="s">
        <v>587</v>
      </c>
      <c r="J210" s="14">
        <v>3</v>
      </c>
      <c r="K210" s="9">
        <v>1</v>
      </c>
      <c r="L210" s="9">
        <v>2</v>
      </c>
      <c r="M210" s="9">
        <v>1</v>
      </c>
      <c r="N210" s="9">
        <v>2</v>
      </c>
      <c r="O210" s="238"/>
      <c r="P210" s="234" t="s">
        <v>120</v>
      </c>
      <c r="Q210" s="18" t="s">
        <v>368</v>
      </c>
      <c r="R2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0" s="18">
        <v>3</v>
      </c>
      <c r="T210" s="93" t="b">
        <f>Data[[#This Row],[Day Rank]]=Data[[#This Row],[W Rank]]</f>
        <v>0</v>
      </c>
      <c r="U210" s="336"/>
    </row>
    <row r="211" spans="1:21" ht="15" customHeight="1" thickBot="1">
      <c r="A211" s="334"/>
      <c r="B211" s="327"/>
      <c r="C211" s="330"/>
      <c r="D211" s="145">
        <f>D207</f>
        <v>45526</v>
      </c>
      <c r="E211" s="182" t="str">
        <f>$N$1</f>
        <v>currydestroyer27</v>
      </c>
      <c r="F211" s="83">
        <f>IFERROR(AVERAGE(Data[[#This Row],[alappatjoe]:[currydestroyer27]]), "TBD")</f>
        <v>3.2</v>
      </c>
      <c r="G211" s="183">
        <f>IFERROR(_xlfn.STDEV.P(Data[[#This Row],[alappatjoe]:[currydestroyer27]]), "TBD")</f>
        <v>1.833030277982336</v>
      </c>
      <c r="H211" s="184" t="s">
        <v>588</v>
      </c>
      <c r="I211" s="185" t="s">
        <v>589</v>
      </c>
      <c r="J211" s="11">
        <v>4</v>
      </c>
      <c r="K211" s="22">
        <v>5</v>
      </c>
      <c r="L211" s="22">
        <v>1</v>
      </c>
      <c r="M211" s="22">
        <v>5</v>
      </c>
      <c r="N211" s="22">
        <v>1</v>
      </c>
      <c r="O211" s="239"/>
      <c r="P211" s="235" t="s">
        <v>76</v>
      </c>
      <c r="Q211" s="11" t="s">
        <v>590</v>
      </c>
      <c r="R21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1" s="11">
        <v>3</v>
      </c>
      <c r="T211" s="94" t="b">
        <f>Data[[#This Row],[Day Rank]]=Data[[#This Row],[W Rank]]</f>
        <v>1</v>
      </c>
      <c r="U211" s="337"/>
    </row>
    <row r="212" spans="1:21" ht="15" customHeight="1">
      <c r="A212" s="332">
        <v>45530</v>
      </c>
      <c r="B212" s="325"/>
      <c r="C212" s="338" t="str" cm="1">
        <f t="array" ref="C212">_xlfn.LET(_xlpm.matches, _xlfn._xlws.FILTER(Data[Poster], (Data[Date]=A212)*(Data[Winner]=TRUE)), IF(ROWS(_xlpm.matches)&gt;1, "TIE", _xlpm.matches))</f>
        <v>currydestroyer27</v>
      </c>
      <c r="D212" s="81">
        <f>A212</f>
        <v>45530</v>
      </c>
      <c r="E212" s="140" t="str">
        <f>$J$1</f>
        <v>alappatjoe</v>
      </c>
      <c r="F212" s="8">
        <f>IFERROR(AVERAGE(Data[[#This Row],[alappatjoe]:[currydestroyer27]]), "TBD")</f>
        <v>3</v>
      </c>
      <c r="G212" s="177">
        <f>IFERROR(_xlfn.STDEV.P(Data[[#This Row],[alappatjoe]:[currydestroyer27]]), "TBD")</f>
        <v>1.6733200530681511</v>
      </c>
      <c r="H212" s="135" t="s">
        <v>591</v>
      </c>
      <c r="I212" s="229" t="s">
        <v>592</v>
      </c>
      <c r="J212" s="18">
        <v>1</v>
      </c>
      <c r="K212" s="3">
        <v>5</v>
      </c>
      <c r="L212" s="3">
        <v>5</v>
      </c>
      <c r="M212" s="3">
        <v>2</v>
      </c>
      <c r="N212" s="3">
        <v>2</v>
      </c>
      <c r="O212" s="238"/>
      <c r="P212" s="234"/>
      <c r="Q212" s="93"/>
      <c r="R2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2" s="93">
        <v>1</v>
      </c>
      <c r="T212" s="93" t="b">
        <f>Data[[#This Row],[Day Rank]]=Data[[#This Row],[W Rank]]</f>
        <v>0</v>
      </c>
      <c r="U212" s="335"/>
    </row>
    <row r="213" spans="1:21" ht="15" customHeight="1">
      <c r="A213" s="333"/>
      <c r="B213" s="326"/>
      <c r="C213" s="339"/>
      <c r="D213" s="81">
        <f>D212</f>
        <v>45530</v>
      </c>
      <c r="E213" s="140" t="str">
        <f>$K$1</f>
        <v>danram</v>
      </c>
      <c r="F213" s="8">
        <f>IFERROR(AVERAGE(Data[[#This Row],[alappatjoe]:[currydestroyer27]]), "TBD")</f>
        <v>3.4</v>
      </c>
      <c r="G213" s="177">
        <f>IFERROR(_xlfn.STDEV.P(Data[[#This Row],[alappatjoe]:[currydestroyer27]]), "TBD")</f>
        <v>1.019803902718557</v>
      </c>
      <c r="H213" s="135" t="s">
        <v>593</v>
      </c>
      <c r="I213" s="229" t="s">
        <v>594</v>
      </c>
      <c r="J213" s="12">
        <v>3</v>
      </c>
      <c r="K213" s="7">
        <v>2</v>
      </c>
      <c r="L213" s="7">
        <v>4</v>
      </c>
      <c r="M213" s="7">
        <v>3</v>
      </c>
      <c r="N213" s="7">
        <v>5</v>
      </c>
      <c r="O213" s="238"/>
      <c r="P213" s="234" t="s">
        <v>120</v>
      </c>
      <c r="Q213" s="93" t="s">
        <v>595</v>
      </c>
      <c r="R2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3" s="93">
        <v>1</v>
      </c>
      <c r="T213" s="93" t="b">
        <f>Data[[#This Row],[Day Rank]]=Data[[#This Row],[W Rank]]</f>
        <v>0</v>
      </c>
      <c r="U213" s="336"/>
    </row>
    <row r="214" spans="1:21" ht="15" customHeight="1">
      <c r="A214" s="333"/>
      <c r="B214" s="326"/>
      <c r="C214" s="339"/>
      <c r="D214" s="81">
        <f>D212</f>
        <v>45530</v>
      </c>
      <c r="E214" s="140" t="str">
        <f>$L$1</f>
        <v>loganworsdell</v>
      </c>
      <c r="F214" s="8">
        <f>IFERROR(AVERAGE(Data[[#This Row],[alappatjoe]:[currydestroyer27]]), "TBD")</f>
        <v>4</v>
      </c>
      <c r="G214" s="177">
        <f>IFERROR(_xlfn.STDEV.P(Data[[#This Row],[alappatjoe]:[currydestroyer27]]), "TBD")</f>
        <v>1.0954451150103321</v>
      </c>
      <c r="H214" s="135" t="s">
        <v>596</v>
      </c>
      <c r="I214" s="229" t="s">
        <v>597</v>
      </c>
      <c r="J214" s="13">
        <v>5</v>
      </c>
      <c r="K214" s="8">
        <v>4</v>
      </c>
      <c r="L214" s="8">
        <v>2</v>
      </c>
      <c r="M214" s="8">
        <v>5</v>
      </c>
      <c r="N214" s="8">
        <v>4</v>
      </c>
      <c r="O214" s="238"/>
      <c r="P214" s="234"/>
      <c r="Q214" s="93"/>
      <c r="R2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4" s="93">
        <v>1</v>
      </c>
      <c r="T214" s="93" t="b">
        <f>Data[[#This Row],[Day Rank]]=Data[[#This Row],[W Rank]]</f>
        <v>0</v>
      </c>
      <c r="U214" s="336"/>
    </row>
    <row r="215" spans="1:21" ht="15" customHeight="1">
      <c r="A215" s="333"/>
      <c r="B215" s="326"/>
      <c r="C215" s="339"/>
      <c r="D215" s="81">
        <f>D212</f>
        <v>45530</v>
      </c>
      <c r="E215" s="140" t="str">
        <f>$M$1</f>
        <v>samuelbattista</v>
      </c>
      <c r="F215" s="8">
        <f>IFERROR(AVERAGE(Data[[#This Row],[alappatjoe]:[currydestroyer27]]), "TBD")</f>
        <v>2.4</v>
      </c>
      <c r="G215" s="177">
        <f>IFERROR(_xlfn.STDEV.P(Data[[#This Row],[alappatjoe]:[currydestroyer27]]), "TBD")</f>
        <v>1.2</v>
      </c>
      <c r="H215" s="135" t="s">
        <v>598</v>
      </c>
      <c r="I215" s="229" t="s">
        <v>599</v>
      </c>
      <c r="J215" s="14">
        <v>4</v>
      </c>
      <c r="K215" s="9">
        <v>3</v>
      </c>
      <c r="L215" s="9">
        <v>3</v>
      </c>
      <c r="M215" s="9">
        <v>1</v>
      </c>
      <c r="N215" s="9">
        <v>1</v>
      </c>
      <c r="O215" s="238"/>
      <c r="P215" s="234" t="s">
        <v>69</v>
      </c>
      <c r="Q215" s="93" t="s">
        <v>306</v>
      </c>
      <c r="R2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5" s="93">
        <v>1</v>
      </c>
      <c r="T215" s="93" t="b">
        <f>Data[[#This Row],[Day Rank]]=Data[[#This Row],[W Rank]]</f>
        <v>0</v>
      </c>
      <c r="U215" s="336"/>
    </row>
    <row r="216" spans="1:21" ht="15" customHeight="1" thickBot="1">
      <c r="A216" s="334"/>
      <c r="B216" s="327"/>
      <c r="C216" s="340"/>
      <c r="D216" s="82">
        <f>D212</f>
        <v>45530</v>
      </c>
      <c r="E216" s="182" t="str">
        <f>$N$1</f>
        <v>currydestroyer27</v>
      </c>
      <c r="F216" s="83">
        <f>IFERROR(AVERAGE(Data[[#This Row],[alappatjoe]:[currydestroyer27]]), "TBD")</f>
        <v>2.2000000000000002</v>
      </c>
      <c r="G216" s="183">
        <f>IFERROR(_xlfn.STDEV.P(Data[[#This Row],[alappatjoe]:[currydestroyer27]]), "TBD")</f>
        <v>1.1661903789690602</v>
      </c>
      <c r="H216" s="184" t="s">
        <v>600</v>
      </c>
      <c r="I216" s="185" t="s">
        <v>601</v>
      </c>
      <c r="J216" s="11">
        <v>2</v>
      </c>
      <c r="K216" s="22">
        <v>1</v>
      </c>
      <c r="L216" s="22">
        <v>1</v>
      </c>
      <c r="M216" s="22">
        <v>4</v>
      </c>
      <c r="N216" s="22">
        <v>3</v>
      </c>
      <c r="O216" s="239"/>
      <c r="P216" s="235" t="s">
        <v>51</v>
      </c>
      <c r="Q216" s="94" t="s">
        <v>602</v>
      </c>
      <c r="R21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6" s="94">
        <v>1</v>
      </c>
      <c r="T216" s="94" t="b">
        <f>Data[[#This Row],[Day Rank]]=Data[[#This Row],[W Rank]]</f>
        <v>1</v>
      </c>
      <c r="U216" s="337"/>
    </row>
    <row r="217" spans="1:21" ht="15" customHeight="1">
      <c r="A217" s="332">
        <v>45531</v>
      </c>
      <c r="B217" s="325"/>
      <c r="C217" s="328" t="str" cm="1">
        <f t="array" ref="C217">_xlfn.LET(_xlpm.matches, _xlfn._xlws.FILTER(Data[Poster], (Data[Date]=A217)*(Data[Winner]=TRUE)), IF(ROWS(_xlpm.matches)&gt;1, "TIE", _xlpm.matches))</f>
        <v>currydestroyer27</v>
      </c>
      <c r="D217" s="147">
        <f>A217</f>
        <v>45531</v>
      </c>
      <c r="E217" s="181" t="str">
        <f>$J$1</f>
        <v>alappatjoe</v>
      </c>
      <c r="F217" s="9">
        <f>IFERROR(AVERAGE(Data[[#This Row],[alappatjoe]:[currydestroyer27]]), "TBD")</f>
        <v>3.4</v>
      </c>
      <c r="G217" s="178">
        <f>IFERROR(_xlfn.STDEV.P(Data[[#This Row],[alappatjoe]:[currydestroyer27]]), "TBD")</f>
        <v>1.3564659966250536</v>
      </c>
      <c r="H217" s="160" t="s">
        <v>603</v>
      </c>
      <c r="I217" s="186" t="s">
        <v>604</v>
      </c>
      <c r="J217" s="18">
        <v>1</v>
      </c>
      <c r="K217" s="3">
        <v>5</v>
      </c>
      <c r="L217" s="3">
        <v>4</v>
      </c>
      <c r="M217" s="3">
        <v>4</v>
      </c>
      <c r="N217" s="3">
        <v>3</v>
      </c>
      <c r="O217" s="238"/>
      <c r="P217" s="234" t="s">
        <v>69</v>
      </c>
      <c r="Q217" s="93" t="s">
        <v>69</v>
      </c>
      <c r="R2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7" s="93">
        <v>1</v>
      </c>
      <c r="T217" s="93" t="b">
        <f>Data[[#This Row],[Day Rank]]=Data[[#This Row],[W Rank]]</f>
        <v>0</v>
      </c>
      <c r="U217" s="335"/>
    </row>
    <row r="218" spans="1:21" ht="15" customHeight="1">
      <c r="A218" s="333"/>
      <c r="B218" s="326"/>
      <c r="C218" s="329"/>
      <c r="D218" s="81">
        <f>D217</f>
        <v>45531</v>
      </c>
      <c r="E218" s="140" t="str">
        <f>$K$1</f>
        <v>danram</v>
      </c>
      <c r="F218" s="8">
        <f>IFERROR(AVERAGE(Data[[#This Row],[alappatjoe]:[currydestroyer27]]), "TBD")</f>
        <v>3</v>
      </c>
      <c r="G218" s="177">
        <f>IFERROR(_xlfn.STDEV.P(Data[[#This Row],[alappatjoe]:[currydestroyer27]]), "TBD")</f>
        <v>1.4142135623730951</v>
      </c>
      <c r="H218" s="135" t="s">
        <v>605</v>
      </c>
      <c r="I218" s="229" t="s">
        <v>606</v>
      </c>
      <c r="J218" s="12">
        <v>2</v>
      </c>
      <c r="K218" s="7">
        <v>1</v>
      </c>
      <c r="L218" s="7">
        <v>5</v>
      </c>
      <c r="M218" s="7">
        <v>3</v>
      </c>
      <c r="N218" s="7">
        <v>4</v>
      </c>
      <c r="O218" s="238"/>
      <c r="P218" s="234" t="s">
        <v>51</v>
      </c>
      <c r="Q218" s="93" t="s">
        <v>607</v>
      </c>
      <c r="R2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8" s="93">
        <v>1</v>
      </c>
      <c r="T218" s="93" t="b">
        <f>Data[[#This Row],[Day Rank]]=Data[[#This Row],[W Rank]]</f>
        <v>0</v>
      </c>
      <c r="U218" s="336"/>
    </row>
    <row r="219" spans="1:21" ht="15" customHeight="1">
      <c r="A219" s="333"/>
      <c r="B219" s="326"/>
      <c r="C219" s="329"/>
      <c r="D219" s="81">
        <f>D217</f>
        <v>45531</v>
      </c>
      <c r="E219" s="140" t="str">
        <f>$L$1</f>
        <v>loganworsdell</v>
      </c>
      <c r="F219" s="8">
        <f>IFERROR(AVERAGE(Data[[#This Row],[alappatjoe]:[currydestroyer27]]), "TBD")</f>
        <v>3.4</v>
      </c>
      <c r="G219" s="177">
        <f>IFERROR(_xlfn.STDEV.P(Data[[#This Row],[alappatjoe]:[currydestroyer27]]), "TBD")</f>
        <v>1.3564659966250536</v>
      </c>
      <c r="H219" s="135" t="s">
        <v>608</v>
      </c>
      <c r="I219" s="229" t="s">
        <v>609</v>
      </c>
      <c r="J219" s="13">
        <v>5</v>
      </c>
      <c r="K219" s="8">
        <v>2</v>
      </c>
      <c r="L219" s="8">
        <v>3</v>
      </c>
      <c r="M219" s="8">
        <v>5</v>
      </c>
      <c r="N219" s="8">
        <v>2</v>
      </c>
      <c r="O219" s="238"/>
      <c r="P219" s="234"/>
      <c r="Q219" s="93"/>
      <c r="R2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9" s="93">
        <v>1</v>
      </c>
      <c r="T219" s="93" t="b">
        <f>Data[[#This Row],[Day Rank]]=Data[[#This Row],[W Rank]]</f>
        <v>0</v>
      </c>
      <c r="U219" s="336"/>
    </row>
    <row r="220" spans="1:21" ht="15" customHeight="1">
      <c r="A220" s="333"/>
      <c r="B220" s="326"/>
      <c r="C220" s="329"/>
      <c r="D220" s="81">
        <f>D217</f>
        <v>45531</v>
      </c>
      <c r="E220" s="140" t="str">
        <f>$M$1</f>
        <v>samuelbattista</v>
      </c>
      <c r="F220" s="8">
        <f>IFERROR(AVERAGE(Data[[#This Row],[alappatjoe]:[currydestroyer27]]), "TBD")</f>
        <v>3</v>
      </c>
      <c r="G220" s="177">
        <f>IFERROR(_xlfn.STDEV.P(Data[[#This Row],[alappatjoe]:[currydestroyer27]]), "TBD")</f>
        <v>1.0954451150103321</v>
      </c>
      <c r="H220" s="135" t="s">
        <v>610</v>
      </c>
      <c r="I220" s="229" t="s">
        <v>611</v>
      </c>
      <c r="J220" s="14">
        <v>3</v>
      </c>
      <c r="K220" s="9">
        <v>3</v>
      </c>
      <c r="L220" s="9">
        <v>2</v>
      </c>
      <c r="M220" s="9">
        <v>2</v>
      </c>
      <c r="N220" s="9">
        <v>5</v>
      </c>
      <c r="O220" s="238"/>
      <c r="P220" s="234" t="s">
        <v>69</v>
      </c>
      <c r="Q220" s="93" t="s">
        <v>69</v>
      </c>
      <c r="R2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20" s="93">
        <v>1</v>
      </c>
      <c r="T220" s="93" t="b">
        <f>Data[[#This Row],[Day Rank]]=Data[[#This Row],[W Rank]]</f>
        <v>0</v>
      </c>
      <c r="U220" s="336"/>
    </row>
    <row r="221" spans="1:21" ht="15" customHeight="1" thickBot="1">
      <c r="A221" s="334"/>
      <c r="B221" s="327"/>
      <c r="C221" s="330"/>
      <c r="D221" s="82">
        <f>D217</f>
        <v>45531</v>
      </c>
      <c r="E221" s="182" t="str">
        <f>$N$1</f>
        <v>currydestroyer27</v>
      </c>
      <c r="F221" s="83">
        <f>IFERROR(AVERAGE(Data[[#This Row],[alappatjoe]:[currydestroyer27]]), "TBD")</f>
        <v>2.2000000000000002</v>
      </c>
      <c r="G221" s="183">
        <f>IFERROR(_xlfn.STDEV.P(Data[[#This Row],[alappatjoe]:[currydestroyer27]]), "TBD")</f>
        <v>1.4696938456699069</v>
      </c>
      <c r="H221" s="270" t="s">
        <v>612</v>
      </c>
      <c r="I221" s="185" t="s">
        <v>425</v>
      </c>
      <c r="J221" s="11">
        <v>4</v>
      </c>
      <c r="K221" s="22">
        <v>4</v>
      </c>
      <c r="L221" s="22">
        <v>1</v>
      </c>
      <c r="M221" s="22">
        <v>1</v>
      </c>
      <c r="N221" s="22">
        <v>1</v>
      </c>
      <c r="O221" s="239"/>
      <c r="P221" s="235" t="s">
        <v>87</v>
      </c>
      <c r="Q221" s="94" t="s">
        <v>613</v>
      </c>
      <c r="R22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21" s="94">
        <v>1</v>
      </c>
      <c r="T221" s="94" t="b">
        <f>Data[[#This Row],[Day Rank]]=Data[[#This Row],[W Rank]]</f>
        <v>1</v>
      </c>
      <c r="U221" s="337"/>
    </row>
    <row r="222" spans="1:21" ht="15" customHeight="1">
      <c r="A222" s="332">
        <v>45532</v>
      </c>
      <c r="B222" s="325"/>
      <c r="C222" s="338" t="str" cm="1">
        <f t="array" ref="C222">_xlfn.LET(_xlpm.matches, _xlfn._xlws.FILTER(Data[Poster], (Data[Date]=A222)*(Data[Winner]=TRUE)), IF(ROWS(_xlpm.matches)&gt;1, "TIE", _xlpm.matches))</f>
        <v>samuelbattista</v>
      </c>
      <c r="D222" s="147">
        <f>A222</f>
        <v>45532</v>
      </c>
      <c r="E222" s="181" t="str">
        <f>$J$1</f>
        <v>alappatjoe</v>
      </c>
      <c r="F222" s="9">
        <f>IFERROR(AVERAGE(Data[[#This Row],[alappatjoe]:[currydestroyer27]]), "TBD")</f>
        <v>2.6</v>
      </c>
      <c r="G222" s="178">
        <f>IFERROR(_xlfn.STDEV.P(Data[[#This Row],[alappatjoe]:[currydestroyer27]]), "TBD")</f>
        <v>1.9595917942265424</v>
      </c>
      <c r="H222" s="160" t="s">
        <v>614</v>
      </c>
      <c r="I222" s="186" t="s">
        <v>425</v>
      </c>
      <c r="J222" s="18">
        <v>1</v>
      </c>
      <c r="K222" s="3">
        <v>5</v>
      </c>
      <c r="L222" s="3">
        <v>1</v>
      </c>
      <c r="M222" s="3">
        <v>1</v>
      </c>
      <c r="N222" s="3">
        <v>5</v>
      </c>
      <c r="O222" s="238"/>
      <c r="P222" s="234"/>
      <c r="Q222" s="93"/>
      <c r="R2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22" s="93">
        <v>1</v>
      </c>
      <c r="T222" s="93" t="b">
        <f>Data[[#This Row],[Day Rank]]=Data[[#This Row],[W Rank]]</f>
        <v>0</v>
      </c>
      <c r="U222" s="335"/>
    </row>
    <row r="223" spans="1:21" ht="15" customHeight="1">
      <c r="A223" s="333"/>
      <c r="B223" s="326"/>
      <c r="C223" s="339"/>
      <c r="D223" s="81">
        <f>D222</f>
        <v>45532</v>
      </c>
      <c r="E223" s="140" t="str">
        <f>$K$1</f>
        <v>danram</v>
      </c>
      <c r="F223" s="8">
        <f>IFERROR(AVERAGE(Data[[#This Row],[alappatjoe]:[currydestroyer27]]), "TBD")</f>
        <v>4.4000000000000004</v>
      </c>
      <c r="G223" s="177">
        <f>IFERROR(_xlfn.STDEV.P(Data[[#This Row],[alappatjoe]:[currydestroyer27]]), "TBD")</f>
        <v>0.4898979485566356</v>
      </c>
      <c r="H223" s="135" t="s">
        <v>615</v>
      </c>
      <c r="I223" s="229" t="s">
        <v>616</v>
      </c>
      <c r="J223" s="12">
        <v>4</v>
      </c>
      <c r="K223" s="7">
        <v>4</v>
      </c>
      <c r="L223" s="7">
        <v>5</v>
      </c>
      <c r="M223" s="7">
        <v>5</v>
      </c>
      <c r="N223" s="7">
        <v>4</v>
      </c>
      <c r="O223" s="238"/>
      <c r="P223" s="234" t="s">
        <v>69</v>
      </c>
      <c r="Q223" s="93" t="s">
        <v>69</v>
      </c>
      <c r="R2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23" s="93">
        <v>1</v>
      </c>
      <c r="T223" s="93" t="b">
        <f>Data[[#This Row],[Day Rank]]=Data[[#This Row],[W Rank]]</f>
        <v>0</v>
      </c>
      <c r="U223" s="336"/>
    </row>
    <row r="224" spans="1:21" ht="15" customHeight="1">
      <c r="A224" s="333"/>
      <c r="B224" s="326"/>
      <c r="C224" s="339"/>
      <c r="D224" s="81">
        <f>D222</f>
        <v>45532</v>
      </c>
      <c r="E224" s="140" t="str">
        <f>$L$1</f>
        <v>loganworsdell</v>
      </c>
      <c r="F224" s="8">
        <f>IFERROR(AVERAGE(Data[[#This Row],[alappatjoe]:[currydestroyer27]]), "TBD")</f>
        <v>3.6</v>
      </c>
      <c r="G224" s="177">
        <f>IFERROR(_xlfn.STDEV.P(Data[[#This Row],[alappatjoe]:[currydestroyer27]]), "TBD")</f>
        <v>1.019803902718557</v>
      </c>
      <c r="H224" s="135" t="s">
        <v>617</v>
      </c>
      <c r="I224" s="229" t="s">
        <v>618</v>
      </c>
      <c r="J224" s="13">
        <v>5</v>
      </c>
      <c r="K224" s="8">
        <v>2</v>
      </c>
      <c r="L224" s="8">
        <v>4</v>
      </c>
      <c r="M224" s="8">
        <v>4</v>
      </c>
      <c r="N224" s="8">
        <v>3</v>
      </c>
      <c r="O224" s="238"/>
      <c r="P224" s="234"/>
      <c r="Q224" s="93"/>
      <c r="R2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24" s="93">
        <v>1</v>
      </c>
      <c r="T224" s="93" t="b">
        <f>Data[[#This Row],[Day Rank]]=Data[[#This Row],[W Rank]]</f>
        <v>0</v>
      </c>
      <c r="U224" s="336"/>
    </row>
    <row r="225" spans="1:21" ht="15" customHeight="1">
      <c r="A225" s="333"/>
      <c r="B225" s="326"/>
      <c r="C225" s="339"/>
      <c r="D225" s="81">
        <f>D222</f>
        <v>45532</v>
      </c>
      <c r="E225" s="140" t="str">
        <f>$M$1</f>
        <v>samuelbattista</v>
      </c>
      <c r="F225" s="8">
        <f>IFERROR(AVERAGE(Data[[#This Row],[alappatjoe]:[currydestroyer27]]), "TBD")</f>
        <v>2.2000000000000002</v>
      </c>
      <c r="G225" s="177">
        <f>IFERROR(_xlfn.STDEV.P(Data[[#This Row],[alappatjoe]:[currydestroyer27]]), "TBD")</f>
        <v>0.4</v>
      </c>
      <c r="H225" s="135" t="s">
        <v>619</v>
      </c>
      <c r="I225" s="229" t="s">
        <v>620</v>
      </c>
      <c r="J225" s="14">
        <v>2</v>
      </c>
      <c r="K225" s="9">
        <v>3</v>
      </c>
      <c r="L225" s="9">
        <v>2</v>
      </c>
      <c r="M225" s="9">
        <v>2</v>
      </c>
      <c r="N225" s="9">
        <v>2</v>
      </c>
      <c r="O225" s="238">
        <v>5351958417</v>
      </c>
      <c r="P225" s="234" t="s">
        <v>51</v>
      </c>
      <c r="Q225" s="93"/>
      <c r="R2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25" s="93">
        <v>1</v>
      </c>
      <c r="T225" s="93" t="b">
        <f>Data[[#This Row],[Day Rank]]=Data[[#This Row],[W Rank]]</f>
        <v>1</v>
      </c>
      <c r="U225" s="336"/>
    </row>
    <row r="226" spans="1:21" ht="15" customHeight="1" thickBot="1">
      <c r="A226" s="334"/>
      <c r="B226" s="327"/>
      <c r="C226" s="340"/>
      <c r="D226" s="82">
        <f>D222</f>
        <v>45532</v>
      </c>
      <c r="E226" s="182" t="str">
        <f>$N$1</f>
        <v>currydestroyer27</v>
      </c>
      <c r="F226" s="83">
        <f>IFERROR(AVERAGE(Data[[#This Row],[alappatjoe]:[currydestroyer27]]), "TBD")</f>
        <v>2.2000000000000002</v>
      </c>
      <c r="G226" s="183">
        <f>IFERROR(_xlfn.STDEV.P(Data[[#This Row],[alappatjoe]:[currydestroyer27]]), "TBD")</f>
        <v>0.9797958971132712</v>
      </c>
      <c r="H226" s="184" t="s">
        <v>621</v>
      </c>
      <c r="I226" s="185" t="s">
        <v>616</v>
      </c>
      <c r="J226" s="11">
        <v>3</v>
      </c>
      <c r="K226" s="22">
        <v>1</v>
      </c>
      <c r="L226" s="22">
        <v>3</v>
      </c>
      <c r="M226" s="22">
        <v>3</v>
      </c>
      <c r="N226" s="22">
        <v>1</v>
      </c>
      <c r="O226" s="239"/>
      <c r="P226" s="235" t="s">
        <v>69</v>
      </c>
      <c r="Q226" s="94" t="s">
        <v>622</v>
      </c>
      <c r="R22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26" s="94">
        <v>1</v>
      </c>
      <c r="T226" s="94" t="b">
        <f>Data[[#This Row],[Day Rank]]=Data[[#This Row],[W Rank]]</f>
        <v>0</v>
      </c>
      <c r="U226" s="337"/>
    </row>
    <row r="227" spans="1:21" ht="15" customHeight="1">
      <c r="A227" s="332">
        <v>45533</v>
      </c>
      <c r="B227" s="325"/>
      <c r="C227" s="328" t="str" cm="1">
        <f t="array" ref="C227">_xlfn.LET(_xlpm.matches, _xlfn._xlws.FILTER(Data[Poster], (Data[Date]=A227)*(Data[Winner]=TRUE)), IF(ROWS(_xlpm.matches)&gt;1, "TIE", _xlpm.matches))</f>
        <v>alappatjoe</v>
      </c>
      <c r="D227" s="147">
        <f>A227</f>
        <v>45533</v>
      </c>
      <c r="E227" s="181" t="str">
        <f>$J$1</f>
        <v>alappatjoe</v>
      </c>
      <c r="F227" s="9">
        <f>IFERROR(AVERAGE(Data[[#This Row],[alappatjoe]:[currydestroyer27]]), "TBD")</f>
        <v>2.2000000000000002</v>
      </c>
      <c r="G227" s="178">
        <f>IFERROR(_xlfn.STDEV.P(Data[[#This Row],[alappatjoe]:[currydestroyer27]]), "TBD")</f>
        <v>1.1661903789690602</v>
      </c>
      <c r="H227" s="160" t="s">
        <v>623</v>
      </c>
      <c r="I227" s="186" t="s">
        <v>624</v>
      </c>
      <c r="J227" s="18">
        <v>1</v>
      </c>
      <c r="K227" s="3">
        <v>1</v>
      </c>
      <c r="L227" s="3">
        <v>3</v>
      </c>
      <c r="M227" s="3">
        <v>4</v>
      </c>
      <c r="N227" s="3">
        <v>2</v>
      </c>
      <c r="O227" s="238"/>
      <c r="P227" s="234"/>
      <c r="Q227" s="93"/>
      <c r="R2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27" s="93">
        <v>1</v>
      </c>
      <c r="T227" s="93" t="b">
        <f>Data[[#This Row],[Day Rank]]=Data[[#This Row],[W Rank]]</f>
        <v>1</v>
      </c>
      <c r="U227" s="335" t="s">
        <v>625</v>
      </c>
    </row>
    <row r="228" spans="1:21" ht="15" customHeight="1">
      <c r="A228" s="333"/>
      <c r="B228" s="326"/>
      <c r="C228" s="329"/>
      <c r="D228" s="81">
        <f>D227</f>
        <v>45533</v>
      </c>
      <c r="E228" s="140" t="str">
        <f>$K$1</f>
        <v>danram</v>
      </c>
      <c r="F228" s="8">
        <f>IFERROR(AVERAGE(Data[[#This Row],[alappatjoe]:[currydestroyer27]]), "TBD")</f>
        <v>3.4</v>
      </c>
      <c r="G228" s="177">
        <f>IFERROR(_xlfn.STDEV.P(Data[[#This Row],[alappatjoe]:[currydestroyer27]]), "TBD")</f>
        <v>0.8</v>
      </c>
      <c r="H228" s="135" t="s">
        <v>626</v>
      </c>
      <c r="I228" s="229" t="s">
        <v>627</v>
      </c>
      <c r="J228" s="12">
        <v>3</v>
      </c>
      <c r="K228" s="7">
        <v>3</v>
      </c>
      <c r="L228" s="7">
        <v>5</v>
      </c>
      <c r="M228" s="7">
        <v>3</v>
      </c>
      <c r="N228" s="7">
        <v>3</v>
      </c>
      <c r="O228" s="238"/>
      <c r="P228" s="234" t="s">
        <v>120</v>
      </c>
      <c r="Q228" s="93" t="s">
        <v>268</v>
      </c>
      <c r="R2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28" s="93">
        <v>1</v>
      </c>
      <c r="T228" s="93" t="b">
        <f>Data[[#This Row],[Day Rank]]=Data[[#This Row],[W Rank]]</f>
        <v>0</v>
      </c>
      <c r="U228" s="336"/>
    </row>
    <row r="229" spans="1:21" ht="15" customHeight="1">
      <c r="A229" s="333"/>
      <c r="B229" s="326"/>
      <c r="C229" s="329"/>
      <c r="D229" s="81">
        <f>D227</f>
        <v>45533</v>
      </c>
      <c r="E229" s="140" t="str">
        <f>$L$1</f>
        <v>loganworsdell</v>
      </c>
      <c r="F229" s="8">
        <f>IFERROR(AVERAGE(Data[[#This Row],[alappatjoe]:[currydestroyer27]]), "TBD")</f>
        <v>3.4</v>
      </c>
      <c r="G229" s="177">
        <f>IFERROR(_xlfn.STDEV.P(Data[[#This Row],[alappatjoe]:[currydestroyer27]]), "TBD")</f>
        <v>1.6248076809271921</v>
      </c>
      <c r="H229" s="135" t="s">
        <v>628</v>
      </c>
      <c r="I229" s="229" t="s">
        <v>629</v>
      </c>
      <c r="J229" s="13">
        <v>5</v>
      </c>
      <c r="K229" s="8">
        <v>5</v>
      </c>
      <c r="L229" s="8">
        <v>1</v>
      </c>
      <c r="M229" s="8">
        <v>2</v>
      </c>
      <c r="N229" s="8">
        <v>4</v>
      </c>
      <c r="O229" s="238"/>
      <c r="P229" s="234"/>
      <c r="Q229" s="93"/>
      <c r="R2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29" s="93">
        <v>1</v>
      </c>
      <c r="T229" s="93" t="b">
        <f>Data[[#This Row],[Day Rank]]=Data[[#This Row],[W Rank]]</f>
        <v>0</v>
      </c>
      <c r="U229" s="336"/>
    </row>
    <row r="230" spans="1:21" ht="15" customHeight="1">
      <c r="A230" s="333"/>
      <c r="B230" s="326"/>
      <c r="C230" s="329"/>
      <c r="D230" s="81">
        <f>D227</f>
        <v>45533</v>
      </c>
      <c r="E230" s="140" t="str">
        <f>$M$1</f>
        <v>samuelbattista</v>
      </c>
      <c r="F230" s="8">
        <f>IFERROR(AVERAGE(Data[[#This Row],[alappatjoe]:[currydestroyer27]]), "TBD")</f>
        <v>2.4</v>
      </c>
      <c r="G230" s="177">
        <f>IFERROR(_xlfn.STDEV.P(Data[[#This Row],[alappatjoe]:[currydestroyer27]]), "TBD")</f>
        <v>1.3564659966250536</v>
      </c>
      <c r="H230" s="135" t="s">
        <v>630</v>
      </c>
      <c r="I230" s="229" t="s">
        <v>631</v>
      </c>
      <c r="J230" s="14">
        <v>2</v>
      </c>
      <c r="K230" s="9">
        <v>2</v>
      </c>
      <c r="L230" s="9">
        <v>2</v>
      </c>
      <c r="M230" s="9">
        <v>1</v>
      </c>
      <c r="N230" s="9">
        <v>5</v>
      </c>
      <c r="O230" s="238"/>
      <c r="P230" s="234" t="s">
        <v>170</v>
      </c>
      <c r="Q230" s="93" t="s">
        <v>632</v>
      </c>
      <c r="R2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30" s="93">
        <v>1</v>
      </c>
      <c r="T230" s="93" t="b">
        <f>Data[[#This Row],[Day Rank]]=Data[[#This Row],[W Rank]]</f>
        <v>0</v>
      </c>
      <c r="U230" s="336"/>
    </row>
    <row r="231" spans="1:21" ht="15" customHeight="1" thickBot="1">
      <c r="A231" s="334"/>
      <c r="B231" s="327"/>
      <c r="C231" s="330"/>
      <c r="D231" s="82">
        <f>D227</f>
        <v>45533</v>
      </c>
      <c r="E231" s="182" t="str">
        <f>$N$1</f>
        <v>currydestroyer27</v>
      </c>
      <c r="F231" s="83">
        <f>IFERROR(AVERAGE(Data[[#This Row],[alappatjoe]:[currydestroyer27]]), "TBD")</f>
        <v>3.6</v>
      </c>
      <c r="G231" s="183">
        <f>IFERROR(_xlfn.STDEV.P(Data[[#This Row],[alappatjoe]:[currydestroyer27]]), "TBD")</f>
        <v>1.3564659966250536</v>
      </c>
      <c r="H231" s="184" t="s">
        <v>633</v>
      </c>
      <c r="I231" s="185" t="s">
        <v>634</v>
      </c>
      <c r="J231" s="11">
        <v>4</v>
      </c>
      <c r="K231" s="22">
        <v>4</v>
      </c>
      <c r="L231" s="22">
        <v>4</v>
      </c>
      <c r="M231" s="22">
        <v>5</v>
      </c>
      <c r="N231" s="22">
        <v>1</v>
      </c>
      <c r="O231" s="239"/>
      <c r="P231" s="235" t="s">
        <v>76</v>
      </c>
      <c r="Q231" s="94" t="s">
        <v>590</v>
      </c>
      <c r="R23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31" s="94">
        <v>1</v>
      </c>
      <c r="T231" s="94" t="b">
        <f>Data[[#This Row],[Day Rank]]=Data[[#This Row],[W Rank]]</f>
        <v>0</v>
      </c>
      <c r="U231" s="337"/>
    </row>
    <row r="232" spans="1:21" ht="15" customHeight="1">
      <c r="A232" s="332">
        <v>45537</v>
      </c>
      <c r="B232" s="325"/>
      <c r="C232" s="338" t="str" cm="1">
        <f t="array" ref="C232">_xlfn.LET(_xlpm.matches, _xlfn._xlws.FILTER(Data[Poster], (Data[Date]=A232)*(Data[Winner]=TRUE)), IF(ROWS(_xlpm.matches)&gt;1, "TIE", _xlpm.matches))</f>
        <v>loganworsdell</v>
      </c>
      <c r="D232" s="81">
        <f>A232</f>
        <v>45537</v>
      </c>
      <c r="E232" s="140" t="str">
        <f>$J$1</f>
        <v>alappatjoe</v>
      </c>
      <c r="F232" s="8">
        <f>IFERROR(AVERAGE(Data[[#This Row],[alappatjoe]:[currydestroyer27]]), "TBD")</f>
        <v>3.4</v>
      </c>
      <c r="G232" s="177">
        <f>IFERROR(_xlfn.STDEV.P(Data[[#This Row],[alappatjoe]:[currydestroyer27]]), "TBD")</f>
        <v>1.3564659966250536</v>
      </c>
      <c r="H232" s="135" t="s">
        <v>635</v>
      </c>
      <c r="I232" s="229" t="s">
        <v>636</v>
      </c>
      <c r="J232" s="18">
        <v>1</v>
      </c>
      <c r="K232" s="3">
        <v>3</v>
      </c>
      <c r="L232" s="3">
        <v>4</v>
      </c>
      <c r="M232" s="3">
        <v>5</v>
      </c>
      <c r="N232" s="3">
        <v>4</v>
      </c>
      <c r="O232" s="238"/>
      <c r="P232" s="234"/>
      <c r="Q232" s="93"/>
      <c r="R2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32" s="93">
        <v>1</v>
      </c>
      <c r="T232" s="93" t="b">
        <f>Data[[#This Row],[Day Rank]]=Data[[#This Row],[W Rank]]</f>
        <v>0</v>
      </c>
      <c r="U232" s="335" t="s">
        <v>637</v>
      </c>
    </row>
    <row r="233" spans="1:21" ht="15" customHeight="1">
      <c r="A233" s="333"/>
      <c r="B233" s="326"/>
      <c r="C233" s="339"/>
      <c r="D233" s="81">
        <f>D232</f>
        <v>45537</v>
      </c>
      <c r="E233" s="140" t="str">
        <f>$K$1</f>
        <v>danram</v>
      </c>
      <c r="F233" s="8">
        <f>IFERROR(AVERAGE(Data[[#This Row],[alappatjoe]:[currydestroyer27]]), "TBD")</f>
        <v>3.4</v>
      </c>
      <c r="G233" s="177">
        <f>IFERROR(_xlfn.STDEV.P(Data[[#This Row],[alappatjoe]:[currydestroyer27]]), "TBD")</f>
        <v>1.6248076809271921</v>
      </c>
      <c r="H233" s="135" t="s">
        <v>638</v>
      </c>
      <c r="I233" s="229" t="s">
        <v>373</v>
      </c>
      <c r="J233" s="12">
        <v>2</v>
      </c>
      <c r="K233" s="7">
        <v>1</v>
      </c>
      <c r="L233" s="7">
        <v>5</v>
      </c>
      <c r="M233" s="7">
        <v>4</v>
      </c>
      <c r="N233" s="7">
        <v>5</v>
      </c>
      <c r="O233" s="238"/>
      <c r="P233" s="234" t="s">
        <v>76</v>
      </c>
      <c r="Q233" s="93" t="s">
        <v>639</v>
      </c>
      <c r="R2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33" s="93">
        <v>1</v>
      </c>
      <c r="T233" s="93" t="b">
        <f>Data[[#This Row],[Day Rank]]=Data[[#This Row],[W Rank]]</f>
        <v>0</v>
      </c>
      <c r="U233" s="336"/>
    </row>
    <row r="234" spans="1:21" ht="15" customHeight="1">
      <c r="A234" s="333"/>
      <c r="B234" s="326"/>
      <c r="C234" s="339"/>
      <c r="D234" s="81">
        <f>D232</f>
        <v>45537</v>
      </c>
      <c r="E234" s="140" t="str">
        <f>$L$1</f>
        <v>loganworsdell</v>
      </c>
      <c r="F234" s="8">
        <f>IFERROR(AVERAGE(Data[[#This Row],[alappatjoe]:[currydestroyer27]]), "TBD")</f>
        <v>2.4</v>
      </c>
      <c r="G234" s="177">
        <f>IFERROR(_xlfn.STDEV.P(Data[[#This Row],[alappatjoe]:[currydestroyer27]]), "TBD")</f>
        <v>0.4898979485566356</v>
      </c>
      <c r="H234" s="135" t="s">
        <v>640</v>
      </c>
      <c r="I234" s="229" t="s">
        <v>641</v>
      </c>
      <c r="J234" s="13">
        <v>3</v>
      </c>
      <c r="K234" s="8">
        <v>2</v>
      </c>
      <c r="L234" s="8">
        <v>2</v>
      </c>
      <c r="M234" s="8">
        <v>2</v>
      </c>
      <c r="N234" s="8">
        <v>3</v>
      </c>
      <c r="O234" s="238"/>
      <c r="P234" s="234"/>
      <c r="Q234" s="93"/>
      <c r="R2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34" s="93">
        <v>1</v>
      </c>
      <c r="T234" s="93" t="b">
        <f>Data[[#This Row],[Day Rank]]=Data[[#This Row],[W Rank]]</f>
        <v>1</v>
      </c>
      <c r="U234" s="336"/>
    </row>
    <row r="235" spans="1:21" ht="15" customHeight="1">
      <c r="A235" s="333"/>
      <c r="B235" s="326"/>
      <c r="C235" s="339"/>
      <c r="D235" s="81">
        <f>D232</f>
        <v>45537</v>
      </c>
      <c r="E235" s="140" t="str">
        <f>$M$1</f>
        <v>samuelbattista</v>
      </c>
      <c r="F235" s="8">
        <f>IFERROR(AVERAGE(Data[[#This Row],[alappatjoe]:[currydestroyer27]]), "TBD")</f>
        <v>3.2</v>
      </c>
      <c r="G235" s="177">
        <f>IFERROR(_xlfn.STDEV.P(Data[[#This Row],[alappatjoe]:[currydestroyer27]]), "TBD")</f>
        <v>1.6</v>
      </c>
      <c r="H235" s="135" t="s">
        <v>642</v>
      </c>
      <c r="I235" s="229" t="s">
        <v>643</v>
      </c>
      <c r="J235" s="14">
        <v>5</v>
      </c>
      <c r="K235" s="9">
        <v>5</v>
      </c>
      <c r="L235" s="9">
        <v>3</v>
      </c>
      <c r="M235" s="9">
        <v>1</v>
      </c>
      <c r="N235" s="9">
        <v>2</v>
      </c>
      <c r="O235" s="238"/>
      <c r="P235" s="234"/>
      <c r="Q235" s="93"/>
      <c r="R2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35" s="93">
        <v>1</v>
      </c>
      <c r="T235" s="93" t="b">
        <f>Data[[#This Row],[Day Rank]]=Data[[#This Row],[W Rank]]</f>
        <v>0</v>
      </c>
      <c r="U235" s="336"/>
    </row>
    <row r="236" spans="1:21" ht="15" customHeight="1" thickBot="1">
      <c r="A236" s="334"/>
      <c r="B236" s="327"/>
      <c r="C236" s="340"/>
      <c r="D236" s="82">
        <f>D232</f>
        <v>45537</v>
      </c>
      <c r="E236" s="182" t="str">
        <f>$N$1</f>
        <v>currydestroyer27</v>
      </c>
      <c r="F236" s="83">
        <f>IFERROR(AVERAGE(Data[[#This Row],[alappatjoe]:[currydestroyer27]]), "TBD")</f>
        <v>2.6</v>
      </c>
      <c r="G236" s="183">
        <f>IFERROR(_xlfn.STDEV.P(Data[[#This Row],[alappatjoe]:[currydestroyer27]]), "TBD")</f>
        <v>1.3564659966250536</v>
      </c>
      <c r="H236" s="184" t="s">
        <v>644</v>
      </c>
      <c r="I236" s="185" t="s">
        <v>645</v>
      </c>
      <c r="J236" s="11">
        <v>4</v>
      </c>
      <c r="K236" s="22">
        <v>4</v>
      </c>
      <c r="L236" s="22">
        <v>1</v>
      </c>
      <c r="M236" s="22">
        <v>3</v>
      </c>
      <c r="N236" s="22">
        <v>1</v>
      </c>
      <c r="O236" s="239"/>
      <c r="P236" s="235" t="s">
        <v>76</v>
      </c>
      <c r="Q236" s="94" t="s">
        <v>590</v>
      </c>
      <c r="R23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36" s="94">
        <v>1</v>
      </c>
      <c r="T236" s="94" t="b">
        <f>Data[[#This Row],[Day Rank]]=Data[[#This Row],[W Rank]]</f>
        <v>0</v>
      </c>
      <c r="U236" s="337"/>
    </row>
    <row r="237" spans="1:21" ht="15" customHeight="1">
      <c r="A237" s="332">
        <v>45538</v>
      </c>
      <c r="B237" s="325"/>
      <c r="C237" s="328" t="str" cm="1">
        <f t="array" ref="C237">_xlfn.LET(_xlpm.matches, _xlfn._xlws.FILTER(Data[Poster], (Data[Date]=A237)*(Data[Winner]=TRUE)), IF(ROWS(_xlpm.matches)&gt;1, "TIE", _xlpm.matches))</f>
        <v>alappatjoe</v>
      </c>
      <c r="D237" s="147">
        <f>A237</f>
        <v>45538</v>
      </c>
      <c r="E237" s="181" t="str">
        <f>$J$1</f>
        <v>alappatjoe</v>
      </c>
      <c r="F237" s="9">
        <f>IFERROR(AVERAGE(Data[[#This Row],[alappatjoe]:[currydestroyer27]]), "TBD")</f>
        <v>2.4</v>
      </c>
      <c r="G237" s="178">
        <f>IFERROR(_xlfn.STDEV.P(Data[[#This Row],[alappatjoe]:[currydestroyer27]]), "TBD")</f>
        <v>1.4966629547095767</v>
      </c>
      <c r="H237" s="160" t="s">
        <v>646</v>
      </c>
      <c r="I237" s="186" t="s">
        <v>647</v>
      </c>
      <c r="J237" s="18">
        <v>1</v>
      </c>
      <c r="K237" s="3">
        <v>2</v>
      </c>
      <c r="L237" s="3">
        <v>5</v>
      </c>
      <c r="M237" s="3">
        <v>3</v>
      </c>
      <c r="N237" s="3">
        <v>1</v>
      </c>
      <c r="O237" s="238"/>
      <c r="P237" s="234"/>
      <c r="Q237" s="93"/>
      <c r="R2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37" s="93">
        <v>1</v>
      </c>
      <c r="T237" s="93" t="b">
        <f>Data[[#This Row],[Day Rank]]=Data[[#This Row],[W Rank]]</f>
        <v>1</v>
      </c>
      <c r="U237" s="335"/>
    </row>
    <row r="238" spans="1:21" ht="15" customHeight="1">
      <c r="A238" s="333"/>
      <c r="B238" s="326"/>
      <c r="C238" s="329"/>
      <c r="D238" s="81">
        <f>D237</f>
        <v>45538</v>
      </c>
      <c r="E238" s="140" t="str">
        <f>$K$1</f>
        <v>danram</v>
      </c>
      <c r="F238" s="8">
        <f>IFERROR(AVERAGE(Data[[#This Row],[alappatjoe]:[currydestroyer27]]), "TBD")</f>
        <v>3.2</v>
      </c>
      <c r="G238" s="177">
        <f>IFERROR(_xlfn.STDEV.P(Data[[#This Row],[alappatjoe]:[currydestroyer27]]), "TBD")</f>
        <v>1.4696938456699069</v>
      </c>
      <c r="H238" s="135" t="s">
        <v>648</v>
      </c>
      <c r="I238" s="229" t="s">
        <v>361</v>
      </c>
      <c r="J238" s="12">
        <v>4</v>
      </c>
      <c r="K238" s="7">
        <v>1</v>
      </c>
      <c r="L238" s="7">
        <v>4</v>
      </c>
      <c r="M238" s="7">
        <v>2</v>
      </c>
      <c r="N238" s="7">
        <v>5</v>
      </c>
      <c r="O238" s="238"/>
      <c r="P238" s="234" t="s">
        <v>120</v>
      </c>
      <c r="Q238" s="93" t="s">
        <v>120</v>
      </c>
      <c r="R2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38" s="93">
        <v>1</v>
      </c>
      <c r="T238" s="93" t="b">
        <f>Data[[#This Row],[Day Rank]]=Data[[#This Row],[W Rank]]</f>
        <v>0</v>
      </c>
      <c r="U238" s="336"/>
    </row>
    <row r="239" spans="1:21" ht="15" customHeight="1">
      <c r="A239" s="333"/>
      <c r="B239" s="326"/>
      <c r="C239" s="329"/>
      <c r="D239" s="81">
        <f>D237</f>
        <v>45538</v>
      </c>
      <c r="E239" s="140" t="str">
        <f>$L$1</f>
        <v>loganworsdell</v>
      </c>
      <c r="F239" s="8">
        <f>IFERROR(AVERAGE(Data[[#This Row],[alappatjoe]:[currydestroyer27]]), "TBD")</f>
        <v>3</v>
      </c>
      <c r="G239" s="177">
        <f>IFERROR(_xlfn.STDEV.P(Data[[#This Row],[alappatjoe]:[currydestroyer27]]), "TBD")</f>
        <v>1.2649110640673518</v>
      </c>
      <c r="H239" s="135" t="s">
        <v>649</v>
      </c>
      <c r="I239" s="229" t="s">
        <v>434</v>
      </c>
      <c r="J239" s="13">
        <v>2</v>
      </c>
      <c r="K239" s="8">
        <v>4</v>
      </c>
      <c r="L239" s="8">
        <v>2</v>
      </c>
      <c r="M239" s="8">
        <v>5</v>
      </c>
      <c r="N239" s="8">
        <v>2</v>
      </c>
      <c r="O239" s="238"/>
      <c r="P239" s="234"/>
      <c r="Q239" s="93"/>
      <c r="R2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39" s="93">
        <v>1</v>
      </c>
      <c r="T239" s="93" t="b">
        <f>Data[[#This Row],[Day Rank]]=Data[[#This Row],[W Rank]]</f>
        <v>0</v>
      </c>
      <c r="U239" s="336"/>
    </row>
    <row r="240" spans="1:21" ht="15" customHeight="1">
      <c r="A240" s="333"/>
      <c r="B240" s="326"/>
      <c r="C240" s="329"/>
      <c r="D240" s="81">
        <f>D237</f>
        <v>45538</v>
      </c>
      <c r="E240" s="140" t="str">
        <f>$M$1</f>
        <v>samuelbattista</v>
      </c>
      <c r="F240" s="8">
        <f>IFERROR(AVERAGE(Data[[#This Row],[alappatjoe]:[currydestroyer27]]), "TBD")</f>
        <v>3</v>
      </c>
      <c r="G240" s="177">
        <f>IFERROR(_xlfn.STDEV.P(Data[[#This Row],[alappatjoe]:[currydestroyer27]]), "TBD")</f>
        <v>1.2649110640673518</v>
      </c>
      <c r="H240" s="135" t="s">
        <v>650</v>
      </c>
      <c r="I240" s="229" t="s">
        <v>651</v>
      </c>
      <c r="J240" s="14">
        <v>3</v>
      </c>
      <c r="K240" s="9">
        <v>5</v>
      </c>
      <c r="L240" s="9">
        <v>3</v>
      </c>
      <c r="M240" s="9">
        <v>1</v>
      </c>
      <c r="N240" s="9">
        <v>3</v>
      </c>
      <c r="O240" s="238"/>
      <c r="P240" s="234" t="s">
        <v>72</v>
      </c>
      <c r="Q240" s="93"/>
      <c r="R2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40" s="93">
        <v>1</v>
      </c>
      <c r="T240" s="93" t="b">
        <f>Data[[#This Row],[Day Rank]]=Data[[#This Row],[W Rank]]</f>
        <v>0</v>
      </c>
      <c r="U240" s="336"/>
    </row>
    <row r="241" spans="1:21" ht="15" customHeight="1" thickBot="1">
      <c r="A241" s="334"/>
      <c r="B241" s="327"/>
      <c r="C241" s="330"/>
      <c r="D241" s="82">
        <f>D237</f>
        <v>45538</v>
      </c>
      <c r="E241" s="182" t="str">
        <f>$N$1</f>
        <v>currydestroyer27</v>
      </c>
      <c r="F241" s="83">
        <f>IFERROR(AVERAGE(Data[[#This Row],[alappatjoe]:[currydestroyer27]]), "TBD")</f>
        <v>3.4</v>
      </c>
      <c r="G241" s="183">
        <f>IFERROR(_xlfn.STDEV.P(Data[[#This Row],[alappatjoe]:[currydestroyer27]]), "TBD")</f>
        <v>1.3564659966250536</v>
      </c>
      <c r="H241" s="184" t="s">
        <v>652</v>
      </c>
      <c r="I241" s="185" t="s">
        <v>653</v>
      </c>
      <c r="J241" s="11">
        <v>5</v>
      </c>
      <c r="K241" s="22">
        <v>3</v>
      </c>
      <c r="L241" s="22">
        <v>1</v>
      </c>
      <c r="M241" s="22">
        <v>4</v>
      </c>
      <c r="N241" s="22">
        <v>4</v>
      </c>
      <c r="O241" s="239"/>
      <c r="P241" s="235" t="s">
        <v>120</v>
      </c>
      <c r="Q241" s="94" t="s">
        <v>224</v>
      </c>
      <c r="R24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41" s="94">
        <v>1</v>
      </c>
      <c r="T241" s="94" t="b">
        <f>Data[[#This Row],[Day Rank]]=Data[[#This Row],[W Rank]]</f>
        <v>0</v>
      </c>
      <c r="U241" s="337"/>
    </row>
    <row r="242" spans="1:21" ht="15" customHeight="1">
      <c r="A242" s="332">
        <v>45539</v>
      </c>
      <c r="B242" s="325"/>
      <c r="C242" s="338" t="str" cm="1">
        <f t="array" ref="C242">_xlfn.LET(_xlpm.matches, _xlfn._xlws.FILTER(Data[Poster], (Data[Date]=A242)*(Data[Winner]=TRUE)), IF(ROWS(_xlpm.matches)&gt;1, "TIE", _xlpm.matches))</f>
        <v>samuelbattista</v>
      </c>
      <c r="D242" s="147">
        <f>A242</f>
        <v>45539</v>
      </c>
      <c r="E242" s="181" t="str">
        <f>$J$1</f>
        <v>alappatjoe</v>
      </c>
      <c r="F242" s="9">
        <f>IFERROR(AVERAGE(Data[[#This Row],[alappatjoe]:[currydestroyer27]]), "TBD")</f>
        <v>2.8</v>
      </c>
      <c r="G242" s="178">
        <f>IFERROR(_xlfn.STDEV.P(Data[[#This Row],[alappatjoe]:[currydestroyer27]]), "TBD")</f>
        <v>1.3266499161421599</v>
      </c>
      <c r="H242" s="160" t="s">
        <v>654</v>
      </c>
      <c r="I242" s="186" t="s">
        <v>655</v>
      </c>
      <c r="J242" s="18">
        <v>1</v>
      </c>
      <c r="K242" s="3">
        <v>5</v>
      </c>
      <c r="L242" s="3">
        <v>3</v>
      </c>
      <c r="M242" s="3">
        <v>3</v>
      </c>
      <c r="N242" s="3">
        <v>2</v>
      </c>
      <c r="O242" s="238"/>
      <c r="P242" s="234"/>
      <c r="Q242" s="93"/>
      <c r="R2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42" s="93">
        <v>1</v>
      </c>
      <c r="T242" s="93" t="b">
        <f>Data[[#This Row],[Day Rank]]=Data[[#This Row],[W Rank]]</f>
        <v>0</v>
      </c>
      <c r="U242" s="335"/>
    </row>
    <row r="243" spans="1:21" ht="15" customHeight="1">
      <c r="A243" s="333"/>
      <c r="B243" s="326"/>
      <c r="C243" s="339"/>
      <c r="D243" s="81">
        <f>D242</f>
        <v>45539</v>
      </c>
      <c r="E243" s="140" t="str">
        <f>$K$1</f>
        <v>danram</v>
      </c>
      <c r="F243" s="8">
        <f>IFERROR(AVERAGE(Data[[#This Row],[alappatjoe]:[currydestroyer27]]), "TBD")</f>
        <v>2.6</v>
      </c>
      <c r="G243" s="177">
        <f>IFERROR(_xlfn.STDEV.P(Data[[#This Row],[alappatjoe]:[currydestroyer27]]), "TBD")</f>
        <v>1.3564659966250536</v>
      </c>
      <c r="H243" s="135" t="s">
        <v>656</v>
      </c>
      <c r="I243" s="229" t="s">
        <v>657</v>
      </c>
      <c r="J243" s="12">
        <v>2</v>
      </c>
      <c r="K243" s="7">
        <v>1</v>
      </c>
      <c r="L243" s="7">
        <v>5</v>
      </c>
      <c r="M243" s="7">
        <v>2</v>
      </c>
      <c r="N243" s="7">
        <v>3</v>
      </c>
      <c r="O243" s="238"/>
      <c r="P243" s="234" t="s">
        <v>76</v>
      </c>
      <c r="Q243" s="93" t="s">
        <v>371</v>
      </c>
      <c r="R2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43" s="93">
        <v>1</v>
      </c>
      <c r="T243" s="93" t="b">
        <f>Data[[#This Row],[Day Rank]]=Data[[#This Row],[W Rank]]</f>
        <v>0</v>
      </c>
      <c r="U243" s="336"/>
    </row>
    <row r="244" spans="1:21" ht="15" customHeight="1">
      <c r="A244" s="333"/>
      <c r="B244" s="326"/>
      <c r="C244" s="339"/>
      <c r="D244" s="81">
        <f>D242</f>
        <v>45539</v>
      </c>
      <c r="E244" s="140" t="str">
        <f>$L$1</f>
        <v>loganworsdell</v>
      </c>
      <c r="F244" s="8">
        <f>IFERROR(AVERAGE(Data[[#This Row],[alappatjoe]:[currydestroyer27]]), "TBD")</f>
        <v>3.4</v>
      </c>
      <c r="G244" s="177">
        <f>IFERROR(_xlfn.STDEV.P(Data[[#This Row],[alappatjoe]:[currydestroyer27]]), "TBD")</f>
        <v>1.6248076809271921</v>
      </c>
      <c r="H244" s="135" t="s">
        <v>658</v>
      </c>
      <c r="I244" s="229" t="s">
        <v>659</v>
      </c>
      <c r="J244" s="13">
        <v>5</v>
      </c>
      <c r="K244" s="8">
        <v>2</v>
      </c>
      <c r="L244" s="8">
        <v>1</v>
      </c>
      <c r="M244" s="8">
        <v>4</v>
      </c>
      <c r="N244" s="8">
        <v>5</v>
      </c>
      <c r="O244" s="238"/>
      <c r="P244" s="234"/>
      <c r="Q244" s="93"/>
      <c r="R2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44" s="93">
        <v>1</v>
      </c>
      <c r="T244" s="93" t="b">
        <f>Data[[#This Row],[Day Rank]]=Data[[#This Row],[W Rank]]</f>
        <v>0</v>
      </c>
      <c r="U244" s="336"/>
    </row>
    <row r="245" spans="1:21" ht="15" customHeight="1">
      <c r="A245" s="333"/>
      <c r="B245" s="326"/>
      <c r="C245" s="339"/>
      <c r="D245" s="81">
        <f>D242</f>
        <v>45539</v>
      </c>
      <c r="E245" s="140" t="str">
        <f>$M$1</f>
        <v>samuelbattista</v>
      </c>
      <c r="F245" s="8">
        <f>IFERROR(AVERAGE(Data[[#This Row],[alappatjoe]:[currydestroyer27]]), "TBD")</f>
        <v>2.6</v>
      </c>
      <c r="G245" s="177">
        <f>IFERROR(_xlfn.STDEV.P(Data[[#This Row],[alappatjoe]:[currydestroyer27]]), "TBD")</f>
        <v>1.019803902718557</v>
      </c>
      <c r="H245" s="135" t="s">
        <v>660</v>
      </c>
      <c r="I245" s="229" t="s">
        <v>661</v>
      </c>
      <c r="J245" s="14">
        <v>3</v>
      </c>
      <c r="K245" s="9">
        <v>3</v>
      </c>
      <c r="L245" s="9">
        <v>2</v>
      </c>
      <c r="M245" s="9">
        <v>1</v>
      </c>
      <c r="N245" s="9">
        <v>4</v>
      </c>
      <c r="O245" s="238"/>
      <c r="P245" s="234" t="s">
        <v>144</v>
      </c>
      <c r="Q245" s="93" t="s">
        <v>662</v>
      </c>
      <c r="R2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45" s="93">
        <v>1</v>
      </c>
      <c r="T245" s="93" t="b">
        <f>Data[[#This Row],[Day Rank]]=Data[[#This Row],[W Rank]]</f>
        <v>1</v>
      </c>
      <c r="U245" s="336"/>
    </row>
    <row r="246" spans="1:21" ht="15" customHeight="1" thickBot="1">
      <c r="A246" s="334"/>
      <c r="B246" s="327"/>
      <c r="C246" s="340"/>
      <c r="D246" s="82">
        <f>D242</f>
        <v>45539</v>
      </c>
      <c r="E246" s="182" t="str">
        <f>$N$1</f>
        <v>currydestroyer27</v>
      </c>
      <c r="F246" s="83">
        <f>IFERROR(AVERAGE(Data[[#This Row],[alappatjoe]:[currydestroyer27]]), "TBD")</f>
        <v>3.6</v>
      </c>
      <c r="G246" s="183">
        <f>IFERROR(_xlfn.STDEV.P(Data[[#This Row],[alappatjoe]:[currydestroyer27]]), "TBD")</f>
        <v>1.3564659966250536</v>
      </c>
      <c r="H246" s="184" t="s">
        <v>663</v>
      </c>
      <c r="I246" s="185" t="s">
        <v>664</v>
      </c>
      <c r="J246" s="11">
        <v>4</v>
      </c>
      <c r="K246" s="22">
        <v>4</v>
      </c>
      <c r="L246" s="22">
        <v>4</v>
      </c>
      <c r="M246" s="22">
        <v>5</v>
      </c>
      <c r="N246" s="22">
        <v>1</v>
      </c>
      <c r="O246" s="239"/>
      <c r="P246" s="235" t="s">
        <v>87</v>
      </c>
      <c r="Q246" s="94" t="s">
        <v>665</v>
      </c>
      <c r="R24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46" s="94">
        <v>1</v>
      </c>
      <c r="T246" s="94" t="b">
        <f>Data[[#This Row],[Day Rank]]=Data[[#This Row],[W Rank]]</f>
        <v>0</v>
      </c>
      <c r="U246" s="337"/>
    </row>
    <row r="247" spans="1:21" ht="15" customHeight="1">
      <c r="A247" s="332">
        <v>45540</v>
      </c>
      <c r="B247" s="325"/>
      <c r="C247" s="328" t="str" cm="1">
        <f t="array" ref="C247">_xlfn.LET(_xlpm.matches, _xlfn._xlws.FILTER(Data[Poster], (Data[Date]=A247)*(Data[Winner]=TRUE)), IF(ROWS(_xlpm.matches)&gt;1, "TIE", _xlpm.matches))</f>
        <v>currydestroyer27</v>
      </c>
      <c r="D247" s="147">
        <f>A247</f>
        <v>45540</v>
      </c>
      <c r="E247" s="181" t="str">
        <f>$J$1</f>
        <v>alappatjoe</v>
      </c>
      <c r="F247" s="9">
        <f>IFERROR(AVERAGE(Data[[#This Row],[alappatjoe]:[currydestroyer27]]), "TBD")</f>
        <v>3.4</v>
      </c>
      <c r="G247" s="178">
        <f>IFERROR(_xlfn.STDEV.P(Data[[#This Row],[alappatjoe]:[currydestroyer27]]), "TBD")</f>
        <v>1.3564659966250536</v>
      </c>
      <c r="H247" s="160" t="s">
        <v>666</v>
      </c>
      <c r="I247" s="186" t="s">
        <v>440</v>
      </c>
      <c r="J247" s="18">
        <v>1</v>
      </c>
      <c r="K247" s="3">
        <v>3</v>
      </c>
      <c r="L247" s="3">
        <v>4</v>
      </c>
      <c r="M247" s="3">
        <v>5</v>
      </c>
      <c r="N247" s="3">
        <v>4</v>
      </c>
      <c r="O247" s="238"/>
      <c r="P247" s="234"/>
      <c r="Q247" s="93"/>
      <c r="R2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47" s="93">
        <v>1</v>
      </c>
      <c r="T247" s="93" t="b">
        <f>Data[[#This Row],[Day Rank]]=Data[[#This Row],[W Rank]]</f>
        <v>0</v>
      </c>
      <c r="U247" s="335" t="s">
        <v>667</v>
      </c>
    </row>
    <row r="248" spans="1:21" ht="15" customHeight="1">
      <c r="A248" s="333"/>
      <c r="B248" s="326"/>
      <c r="C248" s="329"/>
      <c r="D248" s="81">
        <f>D247</f>
        <v>45540</v>
      </c>
      <c r="E248" s="140" t="str">
        <f>$K$1</f>
        <v>danram</v>
      </c>
      <c r="F248" s="8">
        <f>IFERROR(AVERAGE(Data[[#This Row],[alappatjoe]:[currydestroyer27]]), "TBD")</f>
        <v>2.4</v>
      </c>
      <c r="G248" s="177">
        <f>IFERROR(_xlfn.STDEV.P(Data[[#This Row],[alappatjoe]:[currydestroyer27]]), "TBD")</f>
        <v>1.4966629547095767</v>
      </c>
      <c r="H248" s="135" t="s">
        <v>668</v>
      </c>
      <c r="I248" s="229" t="s">
        <v>440</v>
      </c>
      <c r="J248" s="12">
        <v>3</v>
      </c>
      <c r="K248" s="7">
        <v>1</v>
      </c>
      <c r="L248" s="7">
        <v>5</v>
      </c>
      <c r="M248" s="7">
        <v>2</v>
      </c>
      <c r="N248" s="7">
        <v>1</v>
      </c>
      <c r="O248" s="238"/>
      <c r="P248" s="234" t="s">
        <v>51</v>
      </c>
      <c r="Q248" s="93" t="s">
        <v>51</v>
      </c>
      <c r="R2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48" s="93">
        <v>1</v>
      </c>
      <c r="T248" s="93" t="b">
        <f>Data[[#This Row],[Day Rank]]=Data[[#This Row],[W Rank]]</f>
        <v>0</v>
      </c>
      <c r="U248" s="336"/>
    </row>
    <row r="249" spans="1:21" ht="15" customHeight="1">
      <c r="A249" s="333"/>
      <c r="B249" s="326"/>
      <c r="C249" s="329"/>
      <c r="D249" s="81">
        <f>D247</f>
        <v>45540</v>
      </c>
      <c r="E249" s="140" t="str">
        <f>$L$1</f>
        <v>loganworsdell</v>
      </c>
      <c r="F249" s="8">
        <f>IFERROR(AVERAGE(Data[[#This Row],[alappatjoe]:[currydestroyer27]]), "TBD")</f>
        <v>3.6</v>
      </c>
      <c r="G249" s="177">
        <f>IFERROR(_xlfn.STDEV.P(Data[[#This Row],[alappatjoe]:[currydestroyer27]]), "TBD")</f>
        <v>1.4966629547095767</v>
      </c>
      <c r="H249" s="135" t="s">
        <v>669</v>
      </c>
      <c r="I249" s="229" t="s">
        <v>440</v>
      </c>
      <c r="J249" s="13">
        <v>5</v>
      </c>
      <c r="K249" s="8">
        <v>4</v>
      </c>
      <c r="L249" s="8">
        <v>1</v>
      </c>
      <c r="M249" s="8">
        <v>3</v>
      </c>
      <c r="N249" s="8">
        <v>5</v>
      </c>
      <c r="O249" s="238"/>
      <c r="P249" s="234"/>
      <c r="Q249" s="93"/>
      <c r="R2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49" s="93">
        <v>1</v>
      </c>
      <c r="T249" s="93" t="b">
        <f>Data[[#This Row],[Day Rank]]=Data[[#This Row],[W Rank]]</f>
        <v>0</v>
      </c>
      <c r="U249" s="336"/>
    </row>
    <row r="250" spans="1:21" ht="15" customHeight="1">
      <c r="A250" s="333"/>
      <c r="B250" s="326"/>
      <c r="C250" s="329"/>
      <c r="D250" s="81">
        <f>D247</f>
        <v>45540</v>
      </c>
      <c r="E250" s="140" t="str">
        <f>$M$1</f>
        <v>samuelbattista</v>
      </c>
      <c r="F250" s="8">
        <f>IFERROR(AVERAGE(Data[[#This Row],[alappatjoe]:[currydestroyer27]]), "TBD")</f>
        <v>3.2</v>
      </c>
      <c r="G250" s="177">
        <f>IFERROR(_xlfn.STDEV.P(Data[[#This Row],[alappatjoe]:[currydestroyer27]]), "TBD")</f>
        <v>1.3266499161421599</v>
      </c>
      <c r="H250" s="135" t="s">
        <v>670</v>
      </c>
      <c r="I250" s="229" t="s">
        <v>440</v>
      </c>
      <c r="J250" s="14">
        <v>4</v>
      </c>
      <c r="K250" s="9">
        <v>5</v>
      </c>
      <c r="L250" s="9">
        <v>3</v>
      </c>
      <c r="M250" s="9">
        <v>1</v>
      </c>
      <c r="N250" s="9">
        <v>3</v>
      </c>
      <c r="O250" s="238"/>
      <c r="P250" s="234" t="s">
        <v>87</v>
      </c>
      <c r="Q250" s="93"/>
      <c r="R2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50" s="93">
        <v>1</v>
      </c>
      <c r="T250" s="93" t="b">
        <f>Data[[#This Row],[Day Rank]]=Data[[#This Row],[W Rank]]</f>
        <v>0</v>
      </c>
      <c r="U250" s="336"/>
    </row>
    <row r="251" spans="1:21" ht="15" customHeight="1" thickBot="1">
      <c r="A251" s="334"/>
      <c r="B251" s="327"/>
      <c r="C251" s="330"/>
      <c r="D251" s="82">
        <f>D247</f>
        <v>45540</v>
      </c>
      <c r="E251" s="182" t="str">
        <f>$N$1</f>
        <v>currydestroyer27</v>
      </c>
      <c r="F251" s="83">
        <f>IFERROR(AVERAGE(Data[[#This Row],[alappatjoe]:[currydestroyer27]]), "TBD")</f>
        <v>2.4</v>
      </c>
      <c r="G251" s="183">
        <f>IFERROR(_xlfn.STDEV.P(Data[[#This Row],[alappatjoe]:[currydestroyer27]]), "TBD")</f>
        <v>0.8</v>
      </c>
      <c r="H251" s="184" t="s">
        <v>671</v>
      </c>
      <c r="I251" s="185" t="s">
        <v>440</v>
      </c>
      <c r="J251" s="11">
        <v>2</v>
      </c>
      <c r="K251" s="22">
        <v>2</v>
      </c>
      <c r="L251" s="22">
        <v>2</v>
      </c>
      <c r="M251" s="22">
        <v>4</v>
      </c>
      <c r="N251" s="22">
        <v>2</v>
      </c>
      <c r="O251" s="239"/>
      <c r="P251" s="235" t="s">
        <v>87</v>
      </c>
      <c r="Q251" s="94" t="s">
        <v>672</v>
      </c>
      <c r="R25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51" s="94">
        <v>1</v>
      </c>
      <c r="T251" s="94" t="b">
        <f>Data[[#This Row],[Day Rank]]=Data[[#This Row],[W Rank]]</f>
        <v>1</v>
      </c>
      <c r="U251" s="337"/>
    </row>
    <row r="252" spans="1:21" ht="15" customHeight="1">
      <c r="A252" s="332">
        <v>45544</v>
      </c>
      <c r="B252" s="325"/>
      <c r="C252" s="338" t="str" cm="1">
        <f t="array" ref="C252">_xlfn.LET(_xlpm.matches, _xlfn._xlws.FILTER(Data[Poster], (Data[Date]=A252)*(Data[Winner]=TRUE)), IF(ROWS(_xlpm.matches)&gt;1, "TIE", _xlpm.matches))</f>
        <v>samuelbattista</v>
      </c>
      <c r="D252" s="81">
        <f>A252</f>
        <v>45544</v>
      </c>
      <c r="E252" s="140" t="str">
        <f>$J$1</f>
        <v>alappatjoe</v>
      </c>
      <c r="F252" s="8">
        <f>IFERROR(AVERAGE(Data[[#This Row],[alappatjoe]:[currydestroyer27]]), "TBD")</f>
        <v>3.4</v>
      </c>
      <c r="G252" s="177">
        <f>IFERROR(_xlfn.STDEV.P(Data[[#This Row],[alappatjoe]:[currydestroyer27]]), "TBD")</f>
        <v>1.3564659966250536</v>
      </c>
      <c r="H252" s="135" t="s">
        <v>673</v>
      </c>
      <c r="I252" s="229" t="s">
        <v>674</v>
      </c>
      <c r="J252" s="18">
        <v>1</v>
      </c>
      <c r="K252" s="3">
        <v>5</v>
      </c>
      <c r="L252" s="3">
        <v>4</v>
      </c>
      <c r="M252" s="3">
        <v>4</v>
      </c>
      <c r="N252" s="3">
        <v>3</v>
      </c>
      <c r="O252" s="238"/>
      <c r="P252" s="234"/>
      <c r="Q252" s="93"/>
      <c r="R2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52" s="93">
        <v>1</v>
      </c>
      <c r="T252" s="93" t="b">
        <f>Data[[#This Row],[Day Rank]]=Data[[#This Row],[W Rank]]</f>
        <v>0</v>
      </c>
      <c r="U252" s="335"/>
    </row>
    <row r="253" spans="1:21" ht="15" customHeight="1">
      <c r="A253" s="333"/>
      <c r="B253" s="326"/>
      <c r="C253" s="339"/>
      <c r="D253" s="81">
        <f>D252</f>
        <v>45544</v>
      </c>
      <c r="E253" s="140" t="str">
        <f>$K$1</f>
        <v>danram</v>
      </c>
      <c r="F253" s="8">
        <f>IFERROR(AVERAGE(Data[[#This Row],[alappatjoe]:[currydestroyer27]]), "TBD")</f>
        <v>2.8</v>
      </c>
      <c r="G253" s="177">
        <f>IFERROR(_xlfn.STDEV.P(Data[[#This Row],[alappatjoe]:[currydestroyer27]]), "TBD")</f>
        <v>1.6</v>
      </c>
      <c r="H253" s="135" t="s">
        <v>675</v>
      </c>
      <c r="I253" s="229" t="s">
        <v>676</v>
      </c>
      <c r="J253" s="12">
        <v>3</v>
      </c>
      <c r="K253" s="7">
        <v>1</v>
      </c>
      <c r="L253" s="7">
        <v>5</v>
      </c>
      <c r="M253" s="7">
        <v>1</v>
      </c>
      <c r="N253" s="7">
        <v>4</v>
      </c>
      <c r="O253" s="238"/>
      <c r="P253" s="234" t="s">
        <v>76</v>
      </c>
      <c r="Q253" s="93" t="s">
        <v>677</v>
      </c>
      <c r="R2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53" s="93">
        <v>1</v>
      </c>
      <c r="T253" s="93" t="b">
        <f>Data[[#This Row],[Day Rank]]=Data[[#This Row],[W Rank]]</f>
        <v>0</v>
      </c>
      <c r="U253" s="336"/>
    </row>
    <row r="254" spans="1:21" ht="15" customHeight="1">
      <c r="A254" s="333"/>
      <c r="B254" s="326"/>
      <c r="C254" s="339"/>
      <c r="D254" s="81">
        <f>D252</f>
        <v>45544</v>
      </c>
      <c r="E254" s="140" t="str">
        <f>$L$1</f>
        <v>loganworsdell</v>
      </c>
      <c r="F254" s="8">
        <f>IFERROR(AVERAGE(Data[[#This Row],[alappatjoe]:[currydestroyer27]]), "TBD")</f>
        <v>2.8</v>
      </c>
      <c r="G254" s="177">
        <f>IFERROR(_xlfn.STDEV.P(Data[[#This Row],[alappatjoe]:[currydestroyer27]]), "TBD")</f>
        <v>1.3266499161421599</v>
      </c>
      <c r="H254" s="135" t="s">
        <v>678</v>
      </c>
      <c r="I254" s="229" t="s">
        <v>679</v>
      </c>
      <c r="J254" s="13">
        <v>2</v>
      </c>
      <c r="K254" s="8">
        <v>3</v>
      </c>
      <c r="L254" s="8">
        <v>1</v>
      </c>
      <c r="M254" s="8">
        <v>3</v>
      </c>
      <c r="N254" s="8">
        <v>5</v>
      </c>
      <c r="O254" s="238"/>
      <c r="P254" s="234"/>
      <c r="Q254" s="93"/>
      <c r="R2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54" s="93">
        <v>1</v>
      </c>
      <c r="T254" s="93" t="b">
        <f>Data[[#This Row],[Day Rank]]=Data[[#This Row],[W Rank]]</f>
        <v>0</v>
      </c>
      <c r="U254" s="336"/>
    </row>
    <row r="255" spans="1:21" ht="15" customHeight="1">
      <c r="A255" s="333"/>
      <c r="B255" s="326"/>
      <c r="C255" s="339"/>
      <c r="D255" s="81">
        <f>D252</f>
        <v>45544</v>
      </c>
      <c r="E255" s="140" t="str">
        <f>$M$1</f>
        <v>samuelbattista</v>
      </c>
      <c r="F255" s="8">
        <f>IFERROR(AVERAGE(Data[[#This Row],[alappatjoe]:[currydestroyer27]]), "TBD")</f>
        <v>2.6</v>
      </c>
      <c r="G255" s="177">
        <f>IFERROR(_xlfn.STDEV.P(Data[[#This Row],[alappatjoe]:[currydestroyer27]]), "TBD")</f>
        <v>0.8</v>
      </c>
      <c r="H255" s="135" t="s">
        <v>680</v>
      </c>
      <c r="I255" s="229" t="s">
        <v>681</v>
      </c>
      <c r="J255" s="14">
        <v>4</v>
      </c>
      <c r="K255" s="9">
        <v>2</v>
      </c>
      <c r="L255" s="9">
        <v>3</v>
      </c>
      <c r="M255" s="9">
        <v>2</v>
      </c>
      <c r="N255" s="9">
        <v>2</v>
      </c>
      <c r="O255" s="238"/>
      <c r="P255" s="234" t="s">
        <v>120</v>
      </c>
      <c r="Q255" s="93" t="s">
        <v>662</v>
      </c>
      <c r="R2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55" s="93">
        <v>1</v>
      </c>
      <c r="T255" s="93" t="b">
        <f>Data[[#This Row],[Day Rank]]=Data[[#This Row],[W Rank]]</f>
        <v>1</v>
      </c>
      <c r="U255" s="336"/>
    </row>
    <row r="256" spans="1:21" ht="15" customHeight="1" thickBot="1">
      <c r="A256" s="334"/>
      <c r="B256" s="327"/>
      <c r="C256" s="340"/>
      <c r="D256" s="82">
        <f>D252</f>
        <v>45544</v>
      </c>
      <c r="E256" s="182" t="str">
        <f>$N$1</f>
        <v>currydestroyer27</v>
      </c>
      <c r="F256" s="83">
        <f>IFERROR(AVERAGE(Data[[#This Row],[alappatjoe]:[currydestroyer27]]), "TBD")</f>
        <v>3.4</v>
      </c>
      <c r="G256" s="183">
        <f>IFERROR(_xlfn.STDEV.P(Data[[#This Row],[alappatjoe]:[currydestroyer27]]), "TBD")</f>
        <v>1.6248076809271921</v>
      </c>
      <c r="H256" s="184" t="s">
        <v>682</v>
      </c>
      <c r="I256" s="185" t="s">
        <v>683</v>
      </c>
      <c r="J256" s="11">
        <v>5</v>
      </c>
      <c r="K256" s="22">
        <v>4</v>
      </c>
      <c r="L256" s="22">
        <v>2</v>
      </c>
      <c r="M256" s="22">
        <v>5</v>
      </c>
      <c r="N256" s="22">
        <v>1</v>
      </c>
      <c r="O256" s="239"/>
      <c r="P256" s="235" t="s">
        <v>76</v>
      </c>
      <c r="Q256" s="94" t="s">
        <v>684</v>
      </c>
      <c r="R25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56" s="94">
        <v>1</v>
      </c>
      <c r="T256" s="94" t="b">
        <f>Data[[#This Row],[Day Rank]]=Data[[#This Row],[W Rank]]</f>
        <v>0</v>
      </c>
      <c r="U256" s="337"/>
    </row>
    <row r="257" spans="1:21" ht="15" customHeight="1">
      <c r="A257" s="332">
        <v>45545</v>
      </c>
      <c r="B257" s="326"/>
      <c r="C257" s="328" t="str" cm="1">
        <f t="array" ref="C257">_xlfn.LET(_xlpm.matches, _xlfn._xlws.FILTER(Data[Poster], (Data[Date]=A257)*(Data[Winner]=TRUE)), IF(ROWS(_xlpm.matches)&gt;1, "TIE", _xlpm.matches))</f>
        <v>danram</v>
      </c>
      <c r="D257" s="147">
        <f>A257</f>
        <v>45545</v>
      </c>
      <c r="E257" s="181" t="str">
        <f>$J$1</f>
        <v>alappatjoe</v>
      </c>
      <c r="F257" s="9">
        <f>IFERROR(AVERAGE(Data[[#This Row],[alappatjoe]:[currydestroyer27]]), "TBD")</f>
        <v>3</v>
      </c>
      <c r="G257" s="178">
        <f>IFERROR(_xlfn.STDEV.P(Data[[#This Row],[alappatjoe]:[currydestroyer27]]), "TBD")</f>
        <v>1.4142135623730951</v>
      </c>
      <c r="H257" s="160" t="s">
        <v>685</v>
      </c>
      <c r="I257" s="186" t="s">
        <v>686</v>
      </c>
      <c r="J257" s="18">
        <v>1</v>
      </c>
      <c r="K257" s="3">
        <v>3</v>
      </c>
      <c r="L257" s="3">
        <v>4</v>
      </c>
      <c r="M257" s="3">
        <v>2</v>
      </c>
      <c r="N257" s="3">
        <v>5</v>
      </c>
      <c r="O257" s="238"/>
      <c r="P257" s="234"/>
      <c r="Q257" s="93"/>
      <c r="R2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57" s="93">
        <v>1</v>
      </c>
      <c r="T257" s="93" t="b">
        <f>Data[[#This Row],[Day Rank]]=Data[[#This Row],[W Rank]]</f>
        <v>0</v>
      </c>
      <c r="U257" s="335"/>
    </row>
    <row r="258" spans="1:21" ht="15" customHeight="1">
      <c r="A258" s="333"/>
      <c r="B258" s="326"/>
      <c r="C258" s="329"/>
      <c r="D258" s="81">
        <f>D257</f>
        <v>45545</v>
      </c>
      <c r="E258" s="140" t="str">
        <f>$K$1</f>
        <v>danram</v>
      </c>
      <c r="F258" s="8">
        <f>IFERROR(AVERAGE(Data[[#This Row],[alappatjoe]:[currydestroyer27]]), "TBD")</f>
        <v>1.8</v>
      </c>
      <c r="G258" s="177">
        <f>IFERROR(_xlfn.STDEV.P(Data[[#This Row],[alappatjoe]:[currydestroyer27]]), "TBD")</f>
        <v>0.9797958971132712</v>
      </c>
      <c r="H258" s="135" t="s">
        <v>687</v>
      </c>
      <c r="I258" s="229" t="s">
        <v>688</v>
      </c>
      <c r="J258" s="12">
        <v>3</v>
      </c>
      <c r="K258" s="7">
        <v>1</v>
      </c>
      <c r="L258" s="7">
        <v>1</v>
      </c>
      <c r="M258" s="7">
        <v>3</v>
      </c>
      <c r="N258" s="7">
        <v>1</v>
      </c>
      <c r="O258" s="238"/>
      <c r="P258" s="234" t="s">
        <v>69</v>
      </c>
      <c r="Q258" s="93" t="s">
        <v>69</v>
      </c>
      <c r="R2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58" s="93">
        <v>1</v>
      </c>
      <c r="T258" s="93" t="b">
        <f>Data[[#This Row],[Day Rank]]=Data[[#This Row],[W Rank]]</f>
        <v>1</v>
      </c>
      <c r="U258" s="336"/>
    </row>
    <row r="259" spans="1:21" ht="15" customHeight="1">
      <c r="A259" s="333"/>
      <c r="B259" s="326"/>
      <c r="C259" s="329"/>
      <c r="D259" s="81">
        <f>D257</f>
        <v>45545</v>
      </c>
      <c r="E259" s="140" t="str">
        <f>$L$1</f>
        <v>loganworsdell</v>
      </c>
      <c r="F259" s="8">
        <f>IFERROR(AVERAGE(Data[[#This Row],[alappatjoe]:[currydestroyer27]]), "TBD")</f>
        <v>3.6</v>
      </c>
      <c r="G259" s="177">
        <f>IFERROR(_xlfn.STDEV.P(Data[[#This Row],[alappatjoe]:[currydestroyer27]]), "TBD")</f>
        <v>1.019803902718557</v>
      </c>
      <c r="H259" s="135" t="s">
        <v>689</v>
      </c>
      <c r="I259" s="229" t="s">
        <v>690</v>
      </c>
      <c r="J259" s="13">
        <v>4</v>
      </c>
      <c r="K259" s="8">
        <v>4</v>
      </c>
      <c r="L259" s="8">
        <v>2</v>
      </c>
      <c r="M259" s="8">
        <v>5</v>
      </c>
      <c r="N259" s="8">
        <v>3</v>
      </c>
      <c r="O259" s="238"/>
      <c r="P259" s="234"/>
      <c r="Q259" s="93"/>
      <c r="R2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59" s="93">
        <v>1</v>
      </c>
      <c r="T259" s="93" t="b">
        <f>Data[[#This Row],[Day Rank]]=Data[[#This Row],[W Rank]]</f>
        <v>0</v>
      </c>
      <c r="U259" s="336"/>
    </row>
    <row r="260" spans="1:21" ht="15" customHeight="1">
      <c r="A260" s="333"/>
      <c r="B260" s="326"/>
      <c r="C260" s="329"/>
      <c r="D260" s="81">
        <f>D257</f>
        <v>45545</v>
      </c>
      <c r="E260" s="140" t="str">
        <f>$M$1</f>
        <v>samuelbattista</v>
      </c>
      <c r="F260" s="8">
        <f>IFERROR(AVERAGE(Data[[#This Row],[alappatjoe]:[currydestroyer27]]), "TBD")</f>
        <v>2.4</v>
      </c>
      <c r="G260" s="177">
        <f>IFERROR(_xlfn.STDEV.P(Data[[#This Row],[alappatjoe]:[currydestroyer27]]), "TBD")</f>
        <v>1.019803902718557</v>
      </c>
      <c r="H260" s="135" t="s">
        <v>691</v>
      </c>
      <c r="I260" s="229" t="s">
        <v>692</v>
      </c>
      <c r="J260" s="14">
        <v>2</v>
      </c>
      <c r="K260" s="9">
        <v>2</v>
      </c>
      <c r="L260" s="9">
        <v>3</v>
      </c>
      <c r="M260" s="9">
        <v>1</v>
      </c>
      <c r="N260" s="9">
        <v>4</v>
      </c>
      <c r="O260" s="238"/>
      <c r="P260" s="234" t="s">
        <v>87</v>
      </c>
      <c r="Q260" s="93"/>
      <c r="R2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60" s="93">
        <v>1</v>
      </c>
      <c r="T260" s="93" t="b">
        <f>Data[[#This Row],[Day Rank]]=Data[[#This Row],[W Rank]]</f>
        <v>0</v>
      </c>
      <c r="U260" s="336"/>
    </row>
    <row r="261" spans="1:21" ht="15" customHeight="1" thickBot="1">
      <c r="A261" s="334"/>
      <c r="B261" s="327"/>
      <c r="C261" s="330"/>
      <c r="D261" s="82">
        <f>D257</f>
        <v>45545</v>
      </c>
      <c r="E261" s="182" t="str">
        <f>$N$1</f>
        <v>currydestroyer27</v>
      </c>
      <c r="F261" s="83">
        <f>IFERROR(AVERAGE(Data[[#This Row],[alappatjoe]:[currydestroyer27]]), "TBD")</f>
        <v>4.2</v>
      </c>
      <c r="G261" s="183">
        <f>IFERROR(_xlfn.STDEV.P(Data[[#This Row],[alappatjoe]:[currydestroyer27]]), "TBD")</f>
        <v>1.1661903789690602</v>
      </c>
      <c r="H261" s="184" t="s">
        <v>693</v>
      </c>
      <c r="I261" s="185" t="s">
        <v>694</v>
      </c>
      <c r="J261" s="11">
        <v>5</v>
      </c>
      <c r="K261" s="22">
        <v>5</v>
      </c>
      <c r="L261" s="22">
        <v>5</v>
      </c>
      <c r="M261" s="22">
        <v>4</v>
      </c>
      <c r="N261" s="22">
        <v>2</v>
      </c>
      <c r="O261" s="239"/>
      <c r="P261" s="235" t="s">
        <v>76</v>
      </c>
      <c r="Q261" s="94" t="s">
        <v>695</v>
      </c>
      <c r="R26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61" s="94">
        <v>1</v>
      </c>
      <c r="T261" s="94" t="b">
        <f>Data[[#This Row],[Day Rank]]=Data[[#This Row],[W Rank]]</f>
        <v>0</v>
      </c>
      <c r="U261" s="337"/>
    </row>
    <row r="262" spans="1:21" ht="15" customHeight="1">
      <c r="A262" s="332">
        <v>45546</v>
      </c>
      <c r="B262" s="325"/>
      <c r="C262" s="338" t="str" cm="1">
        <f t="array" ref="C262">_xlfn.LET(_xlpm.matches, _xlfn._xlws.FILTER(Data[Poster], (Data[Date]=A262)*(Data[Winner]=TRUE)), IF(ROWS(_xlpm.matches)&gt;1, "TIE", _xlpm.matches))</f>
        <v>danram</v>
      </c>
      <c r="D262" s="147">
        <f>A262</f>
        <v>45546</v>
      </c>
      <c r="E262" s="181" t="str">
        <f>$J$1</f>
        <v>alappatjoe</v>
      </c>
      <c r="F262" s="9">
        <f>IFERROR(AVERAGE(Data[[#This Row],[alappatjoe]:[currydestroyer27]]), "TBD")</f>
        <v>3.4</v>
      </c>
      <c r="G262" s="178">
        <f>IFERROR(_xlfn.STDEV.P(Data[[#This Row],[alappatjoe]:[currydestroyer27]]), "TBD")</f>
        <v>1.2</v>
      </c>
      <c r="H262" s="160" t="s">
        <v>696</v>
      </c>
      <c r="I262" s="229" t="s">
        <v>697</v>
      </c>
      <c r="J262" s="18">
        <v>2</v>
      </c>
      <c r="K262" s="3">
        <v>4</v>
      </c>
      <c r="L262" s="3">
        <v>4</v>
      </c>
      <c r="M262" s="3">
        <v>5</v>
      </c>
      <c r="N262" s="3">
        <v>2</v>
      </c>
      <c r="O262" s="238"/>
      <c r="P262" s="234"/>
      <c r="Q262" s="93"/>
      <c r="R2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62" s="93">
        <v>1</v>
      </c>
      <c r="T262" s="93" t="b">
        <f>Data[[#This Row],[Day Rank]]=Data[[#This Row],[W Rank]]</f>
        <v>0</v>
      </c>
      <c r="U262" s="335"/>
    </row>
    <row r="263" spans="1:21" ht="15" customHeight="1">
      <c r="A263" s="333"/>
      <c r="B263" s="326"/>
      <c r="C263" s="339"/>
      <c r="D263" s="81">
        <f>D262</f>
        <v>45546</v>
      </c>
      <c r="E263" s="140" t="str">
        <f>$K$1</f>
        <v>danram</v>
      </c>
      <c r="F263" s="8">
        <f>IFERROR(AVERAGE(Data[[#This Row],[alappatjoe]:[currydestroyer27]]), "TBD")</f>
        <v>1.8</v>
      </c>
      <c r="G263" s="177">
        <f>IFERROR(_xlfn.STDEV.P(Data[[#This Row],[alappatjoe]:[currydestroyer27]]), "TBD")</f>
        <v>0.9797958971132712</v>
      </c>
      <c r="H263" s="135" t="s">
        <v>698</v>
      </c>
      <c r="I263" s="229" t="s">
        <v>697</v>
      </c>
      <c r="J263" s="12">
        <v>1</v>
      </c>
      <c r="K263" s="7">
        <v>1</v>
      </c>
      <c r="L263" s="7">
        <v>3</v>
      </c>
      <c r="M263" s="7">
        <v>3</v>
      </c>
      <c r="N263" s="7">
        <v>1</v>
      </c>
      <c r="O263" s="238"/>
      <c r="P263" s="234" t="s">
        <v>76</v>
      </c>
      <c r="Q263" s="93" t="s">
        <v>99</v>
      </c>
      <c r="R2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63" s="93">
        <v>1</v>
      </c>
      <c r="T263" s="93" t="b">
        <f>Data[[#This Row],[Day Rank]]=Data[[#This Row],[W Rank]]</f>
        <v>1</v>
      </c>
      <c r="U263" s="336"/>
    </row>
    <row r="264" spans="1:21" ht="15" customHeight="1">
      <c r="A264" s="333"/>
      <c r="B264" s="326"/>
      <c r="C264" s="339"/>
      <c r="D264" s="81">
        <f>D262</f>
        <v>45546</v>
      </c>
      <c r="E264" s="140" t="str">
        <f>$L$1</f>
        <v>loganworsdell</v>
      </c>
      <c r="F264" s="8">
        <f>IFERROR(AVERAGE(Data[[#This Row],[alappatjoe]:[currydestroyer27]]), "TBD")</f>
        <v>3.2</v>
      </c>
      <c r="G264" s="177">
        <f>IFERROR(_xlfn.STDEV.P(Data[[#This Row],[alappatjoe]:[currydestroyer27]]), "TBD")</f>
        <v>1.6</v>
      </c>
      <c r="H264" s="135" t="s">
        <v>699</v>
      </c>
      <c r="I264" s="229" t="s">
        <v>697</v>
      </c>
      <c r="J264" s="13">
        <v>3</v>
      </c>
      <c r="K264" s="8">
        <v>5</v>
      </c>
      <c r="L264" s="8">
        <v>2</v>
      </c>
      <c r="M264" s="8">
        <v>1</v>
      </c>
      <c r="N264" s="8">
        <v>5</v>
      </c>
      <c r="O264" s="238"/>
      <c r="P264" s="234"/>
      <c r="Q264" s="93"/>
      <c r="R2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64" s="93">
        <v>1</v>
      </c>
      <c r="T264" s="93" t="b">
        <f>Data[[#This Row],[Day Rank]]=Data[[#This Row],[W Rank]]</f>
        <v>0</v>
      </c>
      <c r="U264" s="336"/>
    </row>
    <row r="265" spans="1:21" ht="15" customHeight="1">
      <c r="A265" s="333"/>
      <c r="B265" s="326"/>
      <c r="C265" s="339"/>
      <c r="D265" s="81">
        <f>D262</f>
        <v>45546</v>
      </c>
      <c r="E265" s="140" t="str">
        <f>$M$1</f>
        <v>samuelbattista</v>
      </c>
      <c r="F265" s="8">
        <f>IFERROR(AVERAGE(Data[[#This Row],[alappatjoe]:[currydestroyer27]]), "TBD")</f>
        <v>3.2</v>
      </c>
      <c r="G265" s="177">
        <f>IFERROR(_xlfn.STDEV.P(Data[[#This Row],[alappatjoe]:[currydestroyer27]]), "TBD")</f>
        <v>1.3266499161421599</v>
      </c>
      <c r="H265" s="135" t="s">
        <v>700</v>
      </c>
      <c r="I265" s="229" t="s">
        <v>697</v>
      </c>
      <c r="J265" s="14">
        <v>5</v>
      </c>
      <c r="K265" s="9">
        <v>3</v>
      </c>
      <c r="L265" s="9">
        <v>1</v>
      </c>
      <c r="M265" s="9">
        <v>4</v>
      </c>
      <c r="N265" s="9">
        <v>3</v>
      </c>
      <c r="O265" s="238"/>
      <c r="P265" s="234" t="s">
        <v>76</v>
      </c>
      <c r="Q265" s="93" t="s">
        <v>99</v>
      </c>
      <c r="R2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65" s="93">
        <v>1</v>
      </c>
      <c r="T265" s="93" t="b">
        <f>Data[[#This Row],[Day Rank]]=Data[[#This Row],[W Rank]]</f>
        <v>0</v>
      </c>
      <c r="U265" s="336"/>
    </row>
    <row r="266" spans="1:21" ht="15" customHeight="1" thickBot="1">
      <c r="A266" s="334"/>
      <c r="B266" s="327"/>
      <c r="C266" s="340"/>
      <c r="D266" s="82">
        <f>D262</f>
        <v>45546</v>
      </c>
      <c r="E266" s="182" t="str">
        <f>$N$1</f>
        <v>currydestroyer27</v>
      </c>
      <c r="F266" s="83">
        <f>IFERROR(AVERAGE(Data[[#This Row],[alappatjoe]:[currydestroyer27]]), "TBD")</f>
        <v>3.4</v>
      </c>
      <c r="G266" s="183">
        <f>IFERROR(_xlfn.STDEV.P(Data[[#This Row],[alappatjoe]:[currydestroyer27]]), "TBD")</f>
        <v>1.2</v>
      </c>
      <c r="H266" s="184" t="s">
        <v>701</v>
      </c>
      <c r="I266" s="185" t="s">
        <v>697</v>
      </c>
      <c r="J266" s="11">
        <v>4</v>
      </c>
      <c r="K266" s="22">
        <v>2</v>
      </c>
      <c r="L266" s="22">
        <v>5</v>
      </c>
      <c r="M266" s="22">
        <v>2</v>
      </c>
      <c r="N266" s="22">
        <v>4</v>
      </c>
      <c r="O266" s="239"/>
      <c r="P266" s="235" t="s">
        <v>76</v>
      </c>
      <c r="Q266" s="94" t="s">
        <v>99</v>
      </c>
      <c r="R26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66" s="94">
        <v>1</v>
      </c>
      <c r="T266" s="94" t="b">
        <f>Data[[#This Row],[Day Rank]]=Data[[#This Row],[W Rank]]</f>
        <v>0</v>
      </c>
      <c r="U266" s="337"/>
    </row>
    <row r="267" spans="1:21" ht="15" customHeight="1" thickBot="1">
      <c r="A267" s="332">
        <v>45547</v>
      </c>
      <c r="B267" s="325"/>
      <c r="C267" s="328" t="str" cm="1">
        <f t="array" ref="C267">_xlfn.LET(_xlpm.matches, _xlfn._xlws.FILTER(Data[Poster], (Data[Date]=A267)*(Data[Winner]=TRUE)), IF(ROWS(_xlpm.matches)&gt;1, "TIE", _xlpm.matches))</f>
        <v>samuelbattista</v>
      </c>
      <c r="D267" s="147">
        <f>A267</f>
        <v>45547</v>
      </c>
      <c r="E267" s="181" t="str">
        <f>$J$1</f>
        <v>alappatjoe</v>
      </c>
      <c r="F267" s="9">
        <f>IFERROR(AVERAGE(Data[[#This Row],[alappatjoe]:[currydestroyer27]]), "TBD")</f>
        <v>3.2</v>
      </c>
      <c r="G267" s="178">
        <f>IFERROR(_xlfn.STDEV.P(Data[[#This Row],[alappatjoe]:[currydestroyer27]]), "TBD")</f>
        <v>0.74833147735478833</v>
      </c>
      <c r="H267" s="160" t="s">
        <v>702</v>
      </c>
      <c r="I267" s="186" t="s">
        <v>703</v>
      </c>
      <c r="J267" s="18">
        <v>3</v>
      </c>
      <c r="K267" s="22">
        <v>4</v>
      </c>
      <c r="L267" s="22">
        <v>4</v>
      </c>
      <c r="M267" s="3">
        <v>3</v>
      </c>
      <c r="N267" s="3">
        <v>2</v>
      </c>
      <c r="O267" s="238"/>
      <c r="P267" s="234"/>
      <c r="Q267" s="93"/>
      <c r="R2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67" s="93">
        <v>1</v>
      </c>
      <c r="T267" s="93" t="b">
        <f>Data[[#This Row],[Day Rank]]=Data[[#This Row],[W Rank]]</f>
        <v>0</v>
      </c>
      <c r="U267" s="335" t="s">
        <v>704</v>
      </c>
    </row>
    <row r="268" spans="1:21" ht="15" customHeight="1">
      <c r="A268" s="333"/>
      <c r="B268" s="326"/>
      <c r="C268" s="329"/>
      <c r="D268" s="81">
        <f>D267</f>
        <v>45547</v>
      </c>
      <c r="E268" s="140" t="str">
        <f>$K$1</f>
        <v>danram</v>
      </c>
      <c r="F268" s="8">
        <f>IFERROR(AVERAGE(Data[[#This Row],[alappatjoe]:[currydestroyer27]]), "TBD")</f>
        <v>4.2</v>
      </c>
      <c r="G268" s="177">
        <f>IFERROR(_xlfn.STDEV.P(Data[[#This Row],[alappatjoe]:[currydestroyer27]]), "TBD")</f>
        <v>0.74833147735478833</v>
      </c>
      <c r="H268" s="135" t="s">
        <v>705</v>
      </c>
      <c r="I268" s="229" t="s">
        <v>706</v>
      </c>
      <c r="J268" s="12">
        <v>4</v>
      </c>
      <c r="K268" s="7">
        <v>3</v>
      </c>
      <c r="L268" s="7">
        <v>5</v>
      </c>
      <c r="M268" s="7">
        <v>4</v>
      </c>
      <c r="N268" s="7">
        <v>5</v>
      </c>
      <c r="O268" s="238"/>
      <c r="P268" s="234" t="s">
        <v>120</v>
      </c>
      <c r="Q268" s="93" t="s">
        <v>268</v>
      </c>
      <c r="R2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68" s="93">
        <v>1</v>
      </c>
      <c r="T268" s="93" t="b">
        <f>Data[[#This Row],[Day Rank]]=Data[[#This Row],[W Rank]]</f>
        <v>0</v>
      </c>
      <c r="U268" s="336"/>
    </row>
    <row r="269" spans="1:21" ht="15" customHeight="1">
      <c r="A269" s="333"/>
      <c r="B269" s="326"/>
      <c r="C269" s="329"/>
      <c r="D269" s="81">
        <f>D267</f>
        <v>45547</v>
      </c>
      <c r="E269" s="140" t="str">
        <f>$L$1</f>
        <v>loganworsdell</v>
      </c>
      <c r="F269" s="8">
        <f>IFERROR(AVERAGE(Data[[#This Row],[alappatjoe]:[currydestroyer27]]), "TBD")</f>
        <v>2</v>
      </c>
      <c r="G269" s="177">
        <f>IFERROR(_xlfn.STDEV.P(Data[[#This Row],[alappatjoe]:[currydestroyer27]]), "TBD")</f>
        <v>1.0954451150103321</v>
      </c>
      <c r="H269" s="135" t="s">
        <v>707</v>
      </c>
      <c r="I269" s="229" t="s">
        <v>708</v>
      </c>
      <c r="J269" s="13">
        <v>1</v>
      </c>
      <c r="K269" s="8">
        <v>2</v>
      </c>
      <c r="L269" s="8">
        <v>1</v>
      </c>
      <c r="M269" s="8">
        <v>2</v>
      </c>
      <c r="N269" s="8">
        <v>4</v>
      </c>
      <c r="O269" s="238"/>
      <c r="P269" s="234"/>
      <c r="Q269" s="93"/>
      <c r="R2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69" s="93">
        <v>1</v>
      </c>
      <c r="T269" s="93" t="b">
        <f>Data[[#This Row],[Day Rank]]=Data[[#This Row],[W Rank]]</f>
        <v>0</v>
      </c>
      <c r="U269" s="336"/>
    </row>
    <row r="270" spans="1:21" ht="15" customHeight="1">
      <c r="A270" s="333"/>
      <c r="B270" s="326"/>
      <c r="C270" s="329"/>
      <c r="D270" s="81">
        <f>D267</f>
        <v>45547</v>
      </c>
      <c r="E270" s="140" t="str">
        <f>$M$1</f>
        <v>samuelbattista</v>
      </c>
      <c r="F270" s="8">
        <f>IFERROR(AVERAGE(Data[[#This Row],[alappatjoe]:[currydestroyer27]]), "TBD")</f>
        <v>1.4</v>
      </c>
      <c r="G270" s="177">
        <f>IFERROR(_xlfn.STDEV.P(Data[[#This Row],[alappatjoe]:[currydestroyer27]]), "TBD")</f>
        <v>0.4898979485566356</v>
      </c>
      <c r="H270" s="135" t="s">
        <v>709</v>
      </c>
      <c r="I270" s="229" t="s">
        <v>710</v>
      </c>
      <c r="J270" s="14">
        <v>2</v>
      </c>
      <c r="K270" s="9">
        <v>1</v>
      </c>
      <c r="L270" s="9">
        <v>2</v>
      </c>
      <c r="M270" s="9">
        <v>1</v>
      </c>
      <c r="N270" s="9">
        <v>1</v>
      </c>
      <c r="O270" s="238"/>
      <c r="P270" s="234" t="s">
        <v>69</v>
      </c>
      <c r="Q270" s="93" t="s">
        <v>711</v>
      </c>
      <c r="R2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70" s="93">
        <v>1</v>
      </c>
      <c r="T270" s="93" t="b">
        <f>Data[[#This Row],[Day Rank]]=Data[[#This Row],[W Rank]]</f>
        <v>1</v>
      </c>
      <c r="U270" s="336"/>
    </row>
    <row r="271" spans="1:21" ht="15" customHeight="1" thickBot="1">
      <c r="A271" s="334"/>
      <c r="B271" s="327"/>
      <c r="C271" s="330"/>
      <c r="D271" s="82">
        <f>D267</f>
        <v>45547</v>
      </c>
      <c r="E271" s="182" t="str">
        <f>$N$1</f>
        <v>currydestroyer27</v>
      </c>
      <c r="F271" s="83">
        <f>IFERROR(AVERAGE(Data[[#This Row],[alappatjoe]:[currydestroyer27]]), "TBD")</f>
        <v>4.2</v>
      </c>
      <c r="G271" s="183">
        <f>IFERROR(_xlfn.STDEV.P(Data[[#This Row],[alappatjoe]:[currydestroyer27]]), "TBD")</f>
        <v>0.9797958971132712</v>
      </c>
      <c r="H271" s="184" t="s">
        <v>712</v>
      </c>
      <c r="I271" s="185" t="s">
        <v>713</v>
      </c>
      <c r="J271" s="11">
        <v>5</v>
      </c>
      <c r="K271" s="3">
        <v>5</v>
      </c>
      <c r="L271" s="3">
        <v>3</v>
      </c>
      <c r="M271" s="22">
        <v>5</v>
      </c>
      <c r="N271" s="22">
        <v>3</v>
      </c>
      <c r="O271" s="239"/>
      <c r="P271" s="235" t="s">
        <v>76</v>
      </c>
      <c r="Q271" s="94" t="s">
        <v>714</v>
      </c>
      <c r="R27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71" s="94">
        <v>1</v>
      </c>
      <c r="T271" s="94" t="b">
        <f>Data[[#This Row],[Day Rank]]=Data[[#This Row],[W Rank]]</f>
        <v>0</v>
      </c>
      <c r="U271" s="337"/>
    </row>
    <row r="272" spans="1:21" ht="15" customHeight="1">
      <c r="A272" s="332">
        <v>45551</v>
      </c>
      <c r="B272" s="325"/>
      <c r="C272" s="338" t="str" cm="1">
        <f t="array" ref="C272">_xlfn.LET(_xlpm.matches, _xlfn._xlws.FILTER(Data[Poster], (Data[Date]=A272)*(Data[Winner]=TRUE)), IF(ROWS(_xlpm.matches)&gt;1, "TIE", _xlpm.matches))</f>
        <v>currydestroyer27</v>
      </c>
      <c r="D272" s="81">
        <f>A272</f>
        <v>45551</v>
      </c>
      <c r="E272" s="140" t="str">
        <f>$J$1</f>
        <v>alappatjoe</v>
      </c>
      <c r="F272" s="8">
        <f>IFERROR(AVERAGE(Data[[#This Row],[alappatjoe]:[currydestroyer27]]), "TBD")</f>
        <v>2.8</v>
      </c>
      <c r="G272" s="177">
        <f>IFERROR(_xlfn.STDEV.P(Data[[#This Row],[alappatjoe]:[currydestroyer27]]), "TBD")</f>
        <v>1.1661903789690602</v>
      </c>
      <c r="H272" s="135" t="s">
        <v>715</v>
      </c>
      <c r="I272" s="229" t="s">
        <v>716</v>
      </c>
      <c r="J272" s="18">
        <v>1</v>
      </c>
      <c r="K272" s="9">
        <v>4</v>
      </c>
      <c r="L272" s="9">
        <v>2</v>
      </c>
      <c r="M272" s="3">
        <v>4</v>
      </c>
      <c r="N272" s="3">
        <v>3</v>
      </c>
      <c r="O272" s="238"/>
      <c r="P272" s="234"/>
      <c r="Q272" s="93"/>
      <c r="R2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72" s="93">
        <v>1</v>
      </c>
      <c r="T272" s="93" t="b">
        <f>Data[[#This Row],[Day Rank]]=Data[[#This Row],[W Rank]]</f>
        <v>0</v>
      </c>
      <c r="U272" s="335" t="s">
        <v>717</v>
      </c>
    </row>
    <row r="273" spans="1:21" ht="15" customHeight="1">
      <c r="A273" s="333"/>
      <c r="B273" s="326"/>
      <c r="C273" s="339"/>
      <c r="D273" s="81">
        <f>D272</f>
        <v>45551</v>
      </c>
      <c r="E273" s="140" t="str">
        <f>$K$1</f>
        <v>danram</v>
      </c>
      <c r="F273" s="8">
        <f>IFERROR(AVERAGE(Data[[#This Row],[alappatjoe]:[currydestroyer27]]), "TBD")</f>
        <v>3.6</v>
      </c>
      <c r="G273" s="177">
        <f>IFERROR(_xlfn.STDEV.P(Data[[#This Row],[alappatjoe]:[currydestroyer27]]), "TBD")</f>
        <v>1.3564659966250536</v>
      </c>
      <c r="H273" s="135" t="s">
        <v>718</v>
      </c>
      <c r="I273" s="229" t="s">
        <v>719</v>
      </c>
      <c r="J273" s="12">
        <v>4</v>
      </c>
      <c r="K273" s="3">
        <v>1</v>
      </c>
      <c r="L273" s="3">
        <v>4</v>
      </c>
      <c r="M273" s="7">
        <v>5</v>
      </c>
      <c r="N273" s="7">
        <v>4</v>
      </c>
      <c r="O273" s="238"/>
      <c r="P273" s="234" t="s">
        <v>76</v>
      </c>
      <c r="Q273" s="93" t="s">
        <v>720</v>
      </c>
      <c r="R2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73" s="93">
        <v>1</v>
      </c>
      <c r="T273" s="93" t="b">
        <f>Data[[#This Row],[Day Rank]]=Data[[#This Row],[W Rank]]</f>
        <v>0</v>
      </c>
      <c r="U273" s="336"/>
    </row>
    <row r="274" spans="1:21" ht="15" customHeight="1">
      <c r="A274" s="333"/>
      <c r="B274" s="326"/>
      <c r="C274" s="339"/>
      <c r="D274" s="81">
        <f>D272</f>
        <v>45551</v>
      </c>
      <c r="E274" s="140" t="str">
        <f>$L$1</f>
        <v>loganworsdell</v>
      </c>
      <c r="F274" s="8">
        <f>IFERROR(AVERAGE(Data[[#This Row],[alappatjoe]:[currydestroyer27]]), "TBD")</f>
        <v>2.2000000000000002</v>
      </c>
      <c r="G274" s="177">
        <f>IFERROR(_xlfn.STDEV.P(Data[[#This Row],[alappatjoe]:[currydestroyer27]]), "TBD")</f>
        <v>0.74833147735478833</v>
      </c>
      <c r="H274" s="135" t="s">
        <v>721</v>
      </c>
      <c r="I274" s="229" t="s">
        <v>722</v>
      </c>
      <c r="J274" s="13">
        <v>3</v>
      </c>
      <c r="K274" s="8">
        <v>3</v>
      </c>
      <c r="L274" s="8">
        <v>1</v>
      </c>
      <c r="M274" s="8">
        <v>2</v>
      </c>
      <c r="N274" s="8">
        <v>2</v>
      </c>
      <c r="O274" s="238"/>
      <c r="P274" s="234"/>
      <c r="Q274" s="93"/>
      <c r="R2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74" s="93">
        <v>2</v>
      </c>
      <c r="T274" s="93" t="b">
        <f>Data[[#This Row],[Day Rank]]=Data[[#This Row],[W Rank]]</f>
        <v>0</v>
      </c>
      <c r="U274" s="336"/>
    </row>
    <row r="275" spans="1:21" ht="15" customHeight="1">
      <c r="A275" s="333"/>
      <c r="B275" s="326"/>
      <c r="C275" s="339"/>
      <c r="D275" s="81">
        <f>D272</f>
        <v>45551</v>
      </c>
      <c r="E275" s="140" t="str">
        <f>$M$1</f>
        <v>samuelbattista</v>
      </c>
      <c r="F275" s="8">
        <f>IFERROR(AVERAGE(Data[[#This Row],[alappatjoe]:[currydestroyer27]]), "TBD")</f>
        <v>4.2</v>
      </c>
      <c r="G275" s="177">
        <f>IFERROR(_xlfn.STDEV.P(Data[[#This Row],[alappatjoe]:[currydestroyer27]]), "TBD")</f>
        <v>1.6</v>
      </c>
      <c r="H275" s="135" t="s">
        <v>723</v>
      </c>
      <c r="I275" s="229" t="s">
        <v>724</v>
      </c>
      <c r="J275" s="14">
        <v>5</v>
      </c>
      <c r="K275" s="9">
        <v>5</v>
      </c>
      <c r="L275" s="9">
        <v>5</v>
      </c>
      <c r="M275" s="9">
        <v>1</v>
      </c>
      <c r="N275" s="9">
        <v>5</v>
      </c>
      <c r="O275" s="238"/>
      <c r="P275" s="234"/>
      <c r="Q275" s="93"/>
      <c r="R2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75" s="93">
        <v>1</v>
      </c>
      <c r="T275" s="93" t="b">
        <f>Data[[#This Row],[Day Rank]]=Data[[#This Row],[W Rank]]</f>
        <v>0</v>
      </c>
      <c r="U275" s="336"/>
    </row>
    <row r="276" spans="1:21" ht="15" customHeight="1" thickBot="1">
      <c r="A276" s="334"/>
      <c r="B276" s="327"/>
      <c r="C276" s="340"/>
      <c r="D276" s="82">
        <f>D272</f>
        <v>45551</v>
      </c>
      <c r="E276" s="182" t="str">
        <f>$N$1</f>
        <v>currydestroyer27</v>
      </c>
      <c r="F276" s="83">
        <f>IFERROR(AVERAGE(Data[[#This Row],[alappatjoe]:[currydestroyer27]]), "TBD")</f>
        <v>2.2000000000000002</v>
      </c>
      <c r="G276" s="183">
        <f>IFERROR(_xlfn.STDEV.P(Data[[#This Row],[alappatjoe]:[currydestroyer27]]), "TBD")</f>
        <v>0.74833147735478833</v>
      </c>
      <c r="H276" s="184" t="s">
        <v>725</v>
      </c>
      <c r="I276" s="185" t="s">
        <v>726</v>
      </c>
      <c r="J276" s="11">
        <v>2</v>
      </c>
      <c r="K276" s="22">
        <v>2</v>
      </c>
      <c r="L276" s="22">
        <v>3</v>
      </c>
      <c r="M276" s="22">
        <v>3</v>
      </c>
      <c r="N276" s="22">
        <v>1</v>
      </c>
      <c r="O276" s="239"/>
      <c r="P276" s="235" t="s">
        <v>69</v>
      </c>
      <c r="Q276" s="94" t="s">
        <v>317</v>
      </c>
      <c r="R27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76" s="94">
        <v>1</v>
      </c>
      <c r="T276" s="93" t="b">
        <f>Data[[#This Row],[Day Rank]]=Data[[#This Row],[W Rank]]</f>
        <v>1</v>
      </c>
      <c r="U276" s="337"/>
    </row>
    <row r="277" spans="1:21" ht="15" customHeight="1">
      <c r="A277" s="332">
        <v>45552</v>
      </c>
      <c r="B277" s="325"/>
      <c r="C277" s="328" t="str" cm="1">
        <f t="array" ref="C277">_xlfn.LET(_xlpm.matches, _xlfn._xlws.FILTER(Data[Poster], (Data[Date]=A277)*(Data[Winner]=TRUE)), IF(ROWS(_xlpm.matches)&gt;1, "TIE", _xlpm.matches))</f>
        <v>samuelbattista</v>
      </c>
      <c r="D277" s="147">
        <f>A277</f>
        <v>45552</v>
      </c>
      <c r="E277" s="181" t="str">
        <f>$J$1</f>
        <v>alappatjoe</v>
      </c>
      <c r="F277" s="9">
        <f>IFERROR(AVERAGE(Data[[#This Row],[alappatjoe]:[currydestroyer27]]), "TBD")</f>
        <v>3</v>
      </c>
      <c r="G277" s="178">
        <f>IFERROR(_xlfn.STDEV.P(Data[[#This Row],[alappatjoe]:[currydestroyer27]]), "TBD")</f>
        <v>1.7888543819998317</v>
      </c>
      <c r="H277" s="160" t="s">
        <v>727</v>
      </c>
      <c r="I277" s="186" t="s">
        <v>728</v>
      </c>
      <c r="J277" s="18">
        <v>1</v>
      </c>
      <c r="K277" s="9">
        <v>5</v>
      </c>
      <c r="L277" s="9">
        <v>5</v>
      </c>
      <c r="M277" s="3">
        <v>3</v>
      </c>
      <c r="N277" s="3">
        <v>1</v>
      </c>
      <c r="O277" s="238"/>
      <c r="P277" s="234"/>
      <c r="Q277" s="93"/>
      <c r="R2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77" s="93">
        <v>1</v>
      </c>
      <c r="T277" s="93" t="b">
        <f>Data[[#This Row],[Day Rank]]=Data[[#This Row],[W Rank]]</f>
        <v>0</v>
      </c>
      <c r="U277" s="335"/>
    </row>
    <row r="278" spans="1:21" ht="15" customHeight="1">
      <c r="A278" s="333"/>
      <c r="B278" s="326"/>
      <c r="C278" s="329"/>
      <c r="D278" s="81">
        <f>D277</f>
        <v>45552</v>
      </c>
      <c r="E278" s="140" t="str">
        <f>$K$1</f>
        <v>danram</v>
      </c>
      <c r="F278" s="8">
        <f>IFERROR(AVERAGE(Data[[#This Row],[alappatjoe]:[currydestroyer27]]), "TBD")</f>
        <v>3.8</v>
      </c>
      <c r="G278" s="177">
        <f>IFERROR(_xlfn.STDEV.P(Data[[#This Row],[alappatjoe]:[currydestroyer27]]), "TBD")</f>
        <v>0.4</v>
      </c>
      <c r="H278" s="135" t="s">
        <v>729</v>
      </c>
      <c r="I278" s="229" t="s">
        <v>730</v>
      </c>
      <c r="J278" s="12">
        <v>4</v>
      </c>
      <c r="K278" s="3">
        <v>3</v>
      </c>
      <c r="L278" s="3">
        <v>4</v>
      </c>
      <c r="M278" s="7">
        <v>4</v>
      </c>
      <c r="N278" s="7">
        <v>4</v>
      </c>
      <c r="O278" s="238"/>
      <c r="P278" s="234" t="s">
        <v>51</v>
      </c>
      <c r="Q278" s="93" t="s">
        <v>51</v>
      </c>
      <c r="R2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78" s="93">
        <v>1</v>
      </c>
      <c r="T278" s="93" t="b">
        <f>Data[[#This Row],[Day Rank]]=Data[[#This Row],[W Rank]]</f>
        <v>0</v>
      </c>
      <c r="U278" s="336"/>
    </row>
    <row r="279" spans="1:21" ht="15" customHeight="1">
      <c r="A279" s="333"/>
      <c r="B279" s="326"/>
      <c r="C279" s="329"/>
      <c r="D279" s="81">
        <f>D277</f>
        <v>45552</v>
      </c>
      <c r="E279" s="140" t="str">
        <f>$L$1</f>
        <v>loganworsdell</v>
      </c>
      <c r="F279" s="8">
        <f>IFERROR(AVERAGE(Data[[#This Row],[alappatjoe]:[currydestroyer27]]), "TBD")</f>
        <v>4.2</v>
      </c>
      <c r="G279" s="177">
        <f>IFERROR(_xlfn.STDEV.P(Data[[#This Row],[alappatjoe]:[currydestroyer27]]), "TBD")</f>
        <v>1.1661903789690602</v>
      </c>
      <c r="H279" s="135" t="s">
        <v>731</v>
      </c>
      <c r="I279" s="229" t="s">
        <v>732</v>
      </c>
      <c r="J279" s="13">
        <v>5</v>
      </c>
      <c r="K279" s="8">
        <v>4</v>
      </c>
      <c r="L279" s="8">
        <v>2</v>
      </c>
      <c r="M279" s="8">
        <v>5</v>
      </c>
      <c r="N279" s="8">
        <v>5</v>
      </c>
      <c r="O279" s="238"/>
      <c r="P279" s="234"/>
      <c r="Q279" s="93"/>
      <c r="R2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79" s="93">
        <v>1</v>
      </c>
      <c r="T279" s="93" t="b">
        <f>Data[[#This Row],[Day Rank]]=Data[[#This Row],[W Rank]]</f>
        <v>0</v>
      </c>
      <c r="U279" s="336"/>
    </row>
    <row r="280" spans="1:21" ht="15" customHeight="1">
      <c r="A280" s="333"/>
      <c r="B280" s="326"/>
      <c r="C280" s="329"/>
      <c r="D280" s="81">
        <f>D277</f>
        <v>45552</v>
      </c>
      <c r="E280" s="140" t="str">
        <f>$M$1</f>
        <v>samuelbattista</v>
      </c>
      <c r="F280" s="8">
        <f>IFERROR(AVERAGE(Data[[#This Row],[alappatjoe]:[currydestroyer27]]), "TBD")</f>
        <v>1.8</v>
      </c>
      <c r="G280" s="177">
        <f>IFERROR(_xlfn.STDEV.P(Data[[#This Row],[alappatjoe]:[currydestroyer27]]), "TBD")</f>
        <v>0.74833147735478833</v>
      </c>
      <c r="H280" s="135" t="s">
        <v>733</v>
      </c>
      <c r="I280" s="229" t="s">
        <v>734</v>
      </c>
      <c r="J280" s="14">
        <v>2</v>
      </c>
      <c r="K280" s="9">
        <v>2</v>
      </c>
      <c r="L280" s="9">
        <v>1</v>
      </c>
      <c r="M280" s="9">
        <v>1</v>
      </c>
      <c r="N280" s="9">
        <v>3</v>
      </c>
      <c r="O280" s="238"/>
      <c r="P280" s="234"/>
      <c r="Q280" s="93"/>
      <c r="R2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80" s="93">
        <v>1</v>
      </c>
      <c r="T280" s="93" t="b">
        <f>Data[[#This Row],[Day Rank]]=Data[[#This Row],[W Rank]]</f>
        <v>1</v>
      </c>
      <c r="U280" s="336"/>
    </row>
    <row r="281" spans="1:21" ht="15" customHeight="1" thickBot="1">
      <c r="A281" s="334"/>
      <c r="B281" s="327"/>
      <c r="C281" s="330"/>
      <c r="D281" s="82">
        <f>D277</f>
        <v>45552</v>
      </c>
      <c r="E281" s="182" t="str">
        <f>$N$1</f>
        <v>currydestroyer27</v>
      </c>
      <c r="F281" s="83">
        <f>IFERROR(AVERAGE(Data[[#This Row],[alappatjoe]:[currydestroyer27]]), "TBD")</f>
        <v>2.2000000000000002</v>
      </c>
      <c r="G281" s="183">
        <f>IFERROR(_xlfn.STDEV.P(Data[[#This Row],[alappatjoe]:[currydestroyer27]]), "TBD")</f>
        <v>0.74833147735478833</v>
      </c>
      <c r="H281" s="184" t="s">
        <v>735</v>
      </c>
      <c r="I281" s="185" t="s">
        <v>736</v>
      </c>
      <c r="J281" s="11">
        <v>3</v>
      </c>
      <c r="K281" s="22">
        <v>1</v>
      </c>
      <c r="L281" s="22">
        <v>3</v>
      </c>
      <c r="M281" s="22">
        <v>2</v>
      </c>
      <c r="N281" s="22">
        <v>2</v>
      </c>
      <c r="O281" s="239"/>
      <c r="P281" s="235" t="s">
        <v>76</v>
      </c>
      <c r="Q281" s="94" t="s">
        <v>737</v>
      </c>
      <c r="R28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81" s="94">
        <v>1</v>
      </c>
      <c r="T281" s="93" t="b">
        <f>Data[[#This Row],[Day Rank]]=Data[[#This Row],[W Rank]]</f>
        <v>0</v>
      </c>
      <c r="U281" s="337"/>
    </row>
    <row r="282" spans="1:21" ht="15" customHeight="1">
      <c r="A282" s="332">
        <v>45553</v>
      </c>
      <c r="B282" s="325"/>
      <c r="C282" s="338" t="str" cm="1">
        <f t="array" ref="C282">_xlfn.LET(_xlpm.matches, _xlfn._xlws.FILTER(Data[Poster], (Data[Date]=A282)*(Data[Winner]=TRUE)), IF(ROWS(_xlpm.matches)&gt;1, "TIE", _xlpm.matches))</f>
        <v>currydestroyer27</v>
      </c>
      <c r="D282" s="147">
        <f>A282</f>
        <v>45553</v>
      </c>
      <c r="E282" s="181" t="str">
        <f>$J$1</f>
        <v>alappatjoe</v>
      </c>
      <c r="F282" s="9">
        <f>IFERROR(AVERAGE(Data[[#This Row],[alappatjoe]:[currydestroyer27]]), "TBD")</f>
        <v>3.2</v>
      </c>
      <c r="G282" s="178">
        <f>IFERROR(_xlfn.STDEV.P(Data[[#This Row],[alappatjoe]:[currydestroyer27]]), "TBD")</f>
        <v>1.1661903789690602</v>
      </c>
      <c r="H282" s="160" t="s">
        <v>738</v>
      </c>
      <c r="I282" s="186" t="s">
        <v>739</v>
      </c>
      <c r="J282" s="18">
        <v>1</v>
      </c>
      <c r="K282" s="9">
        <v>4</v>
      </c>
      <c r="L282" s="9">
        <v>4</v>
      </c>
      <c r="M282" s="3">
        <v>3</v>
      </c>
      <c r="N282" s="3">
        <v>4</v>
      </c>
      <c r="O282" s="238"/>
      <c r="P282" s="234"/>
      <c r="Q282" s="93"/>
      <c r="R2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82" s="93">
        <v>1</v>
      </c>
      <c r="T282" s="93" t="b">
        <f>Data[[#This Row],[Day Rank]]=Data[[#This Row],[W Rank]]</f>
        <v>0</v>
      </c>
      <c r="U282" s="335"/>
    </row>
    <row r="283" spans="1:21" ht="15" customHeight="1">
      <c r="A283" s="333"/>
      <c r="B283" s="326"/>
      <c r="C283" s="339"/>
      <c r="D283" s="81">
        <f>D282</f>
        <v>45553</v>
      </c>
      <c r="E283" s="140" t="str">
        <f>$K$1</f>
        <v>danram</v>
      </c>
      <c r="F283" s="8">
        <f>IFERROR(AVERAGE(Data[[#This Row],[alappatjoe]:[currydestroyer27]]), "TBD")</f>
        <v>2.8</v>
      </c>
      <c r="G283" s="177">
        <f>IFERROR(_xlfn.STDEV.P(Data[[#This Row],[alappatjoe]:[currydestroyer27]]), "TBD")</f>
        <v>1.3266499161421599</v>
      </c>
      <c r="H283" s="135" t="s">
        <v>740</v>
      </c>
      <c r="I283" s="229" t="s">
        <v>741</v>
      </c>
      <c r="J283" s="12">
        <v>3</v>
      </c>
      <c r="K283" s="3">
        <v>1</v>
      </c>
      <c r="L283" s="3">
        <v>5</v>
      </c>
      <c r="M283" s="7">
        <v>2</v>
      </c>
      <c r="N283" s="7">
        <v>3</v>
      </c>
      <c r="O283" s="238"/>
      <c r="P283" s="234" t="s">
        <v>87</v>
      </c>
      <c r="Q283" s="93" t="s">
        <v>87</v>
      </c>
      <c r="R2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83" s="93">
        <v>1</v>
      </c>
      <c r="T283" s="93" t="b">
        <f>Data[[#This Row],[Day Rank]]=Data[[#This Row],[W Rank]]</f>
        <v>0</v>
      </c>
      <c r="U283" s="336"/>
    </row>
    <row r="284" spans="1:21" ht="15" customHeight="1">
      <c r="A284" s="333"/>
      <c r="B284" s="326"/>
      <c r="C284" s="339"/>
      <c r="D284" s="81">
        <f>D282</f>
        <v>45553</v>
      </c>
      <c r="E284" s="140" t="str">
        <f>$L$1</f>
        <v>loganworsdell</v>
      </c>
      <c r="F284" s="8">
        <f>IFERROR(AVERAGE(Data[[#This Row],[alappatjoe]:[currydestroyer27]]), "TBD")</f>
        <v>4</v>
      </c>
      <c r="G284" s="177">
        <f>IFERROR(_xlfn.STDEV.P(Data[[#This Row],[alappatjoe]:[currydestroyer27]]), "TBD")</f>
        <v>1.5491933384829668</v>
      </c>
      <c r="H284" s="135" t="s">
        <v>742</v>
      </c>
      <c r="I284" s="229" t="s">
        <v>743</v>
      </c>
      <c r="J284" s="13">
        <v>4</v>
      </c>
      <c r="K284" s="8">
        <v>5</v>
      </c>
      <c r="L284" s="8">
        <v>1</v>
      </c>
      <c r="M284" s="8">
        <v>5</v>
      </c>
      <c r="N284" s="8">
        <v>5</v>
      </c>
      <c r="O284" s="238"/>
      <c r="P284" s="234"/>
      <c r="Q284" s="93"/>
      <c r="R2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84" s="93">
        <v>1</v>
      </c>
      <c r="T284" s="93" t="b">
        <f>Data[[#This Row],[Day Rank]]=Data[[#This Row],[W Rank]]</f>
        <v>0</v>
      </c>
      <c r="U284" s="336"/>
    </row>
    <row r="285" spans="1:21" ht="15" customHeight="1">
      <c r="A285" s="333"/>
      <c r="B285" s="326"/>
      <c r="C285" s="339"/>
      <c r="D285" s="81">
        <f>D282</f>
        <v>45553</v>
      </c>
      <c r="E285" s="140" t="str">
        <f>$M$1</f>
        <v>samuelbattista</v>
      </c>
      <c r="F285" s="8">
        <f>IFERROR(AVERAGE(Data[[#This Row],[alappatjoe]:[currydestroyer27]]), "TBD")</f>
        <v>2.6</v>
      </c>
      <c r="G285" s="177">
        <f>IFERROR(_xlfn.STDEV.P(Data[[#This Row],[alappatjoe]:[currydestroyer27]]), "TBD")</f>
        <v>1.3564659966250536</v>
      </c>
      <c r="H285" s="135" t="s">
        <v>744</v>
      </c>
      <c r="I285" s="229" t="s">
        <v>745</v>
      </c>
      <c r="J285" s="14">
        <v>5</v>
      </c>
      <c r="K285" s="9">
        <v>3</v>
      </c>
      <c r="L285" s="9">
        <v>2</v>
      </c>
      <c r="M285" s="9">
        <v>1</v>
      </c>
      <c r="N285" s="9">
        <v>2</v>
      </c>
      <c r="O285" s="238"/>
      <c r="P285" s="234"/>
      <c r="Q285" s="93"/>
      <c r="R2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85" s="93">
        <v>1</v>
      </c>
      <c r="T285" s="93" t="b">
        <f>Data[[#This Row],[Day Rank]]=Data[[#This Row],[W Rank]]</f>
        <v>0</v>
      </c>
      <c r="U285" s="336"/>
    </row>
    <row r="286" spans="1:21" ht="15" customHeight="1" thickBot="1">
      <c r="A286" s="334"/>
      <c r="B286" s="327"/>
      <c r="C286" s="340"/>
      <c r="D286" s="82">
        <f>D282</f>
        <v>45553</v>
      </c>
      <c r="E286" s="182" t="str">
        <f>$N$1</f>
        <v>currydestroyer27</v>
      </c>
      <c r="F286" s="83">
        <f>IFERROR(AVERAGE(Data[[#This Row],[alappatjoe]:[currydestroyer27]]), "TBD")</f>
        <v>2.4</v>
      </c>
      <c r="G286" s="183">
        <f>IFERROR(_xlfn.STDEV.P(Data[[#This Row],[alappatjoe]:[currydestroyer27]]), "TBD")</f>
        <v>1.019803902718557</v>
      </c>
      <c r="H286" s="184" t="s">
        <v>746</v>
      </c>
      <c r="I286" s="185" t="s">
        <v>747</v>
      </c>
      <c r="J286" s="11">
        <v>2</v>
      </c>
      <c r="K286" s="22">
        <v>2</v>
      </c>
      <c r="L286" s="22">
        <v>3</v>
      </c>
      <c r="M286" s="22">
        <v>4</v>
      </c>
      <c r="N286" s="22">
        <v>1</v>
      </c>
      <c r="O286" s="239"/>
      <c r="P286" s="235" t="s">
        <v>87</v>
      </c>
      <c r="Q286" s="94" t="s">
        <v>317</v>
      </c>
      <c r="R28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86" s="94">
        <v>1</v>
      </c>
      <c r="T286" s="93" t="b">
        <f>Data[[#This Row],[Day Rank]]=Data[[#This Row],[W Rank]]</f>
        <v>1</v>
      </c>
      <c r="U286" s="337"/>
    </row>
    <row r="287" spans="1:21" ht="15" customHeight="1">
      <c r="A287" s="332">
        <v>45554</v>
      </c>
      <c r="B287" s="325"/>
      <c r="C287" s="328" t="str" cm="1">
        <f t="array" ref="C287">_xlfn.LET(_xlpm.matches, _xlfn._xlws.FILTER(Data[Poster], (Data[Date]=A287)*(Data[Winner]=TRUE)), IF(ROWS(_xlpm.matches)&gt;1, "TIE", _xlpm.matches))</f>
        <v>alappatjoe</v>
      </c>
      <c r="D287" s="147">
        <f>A287</f>
        <v>45554</v>
      </c>
      <c r="E287" s="181" t="str">
        <f>$J$1</f>
        <v>alappatjoe</v>
      </c>
      <c r="F287" s="9">
        <f>IFERROR(AVERAGE(Data[[#This Row],[alappatjoe]:[currydestroyer27]]), "TBD")</f>
        <v>1.8</v>
      </c>
      <c r="G287" s="178">
        <f>IFERROR(_xlfn.STDEV.P(Data[[#This Row],[alappatjoe]:[currydestroyer27]]), "TBD")</f>
        <v>1.1661903789690602</v>
      </c>
      <c r="H287" s="160" t="s">
        <v>748</v>
      </c>
      <c r="I287" s="186" t="s">
        <v>749</v>
      </c>
      <c r="J287" s="18">
        <v>1</v>
      </c>
      <c r="K287" s="9">
        <v>1</v>
      </c>
      <c r="L287" s="9">
        <v>2</v>
      </c>
      <c r="M287" s="3">
        <v>4</v>
      </c>
      <c r="N287" s="3">
        <v>1</v>
      </c>
      <c r="O287" s="238"/>
      <c r="P287" s="234"/>
      <c r="Q287" s="93"/>
      <c r="R2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87" s="93">
        <v>1</v>
      </c>
      <c r="T287" s="93" t="b">
        <f>Data[[#This Row],[Day Rank]]=Data[[#This Row],[W Rank]]</f>
        <v>1</v>
      </c>
      <c r="U287" s="335" t="s">
        <v>750</v>
      </c>
    </row>
    <row r="288" spans="1:21" ht="15" customHeight="1">
      <c r="A288" s="333"/>
      <c r="B288" s="326"/>
      <c r="C288" s="329"/>
      <c r="D288" s="81">
        <f>D287</f>
        <v>45554</v>
      </c>
      <c r="E288" s="140" t="str">
        <f>$K$1</f>
        <v>danram</v>
      </c>
      <c r="F288" s="8">
        <f>IFERROR(AVERAGE(Data[[#This Row],[alappatjoe]:[currydestroyer27]]), "TBD")</f>
        <v>3</v>
      </c>
      <c r="G288" s="177">
        <f>IFERROR(_xlfn.STDEV.P(Data[[#This Row],[alappatjoe]:[currydestroyer27]]), "TBD")</f>
        <v>0.89442719099991586</v>
      </c>
      <c r="H288" s="135" t="s">
        <v>751</v>
      </c>
      <c r="I288" s="229" t="s">
        <v>752</v>
      </c>
      <c r="J288" s="12">
        <v>4</v>
      </c>
      <c r="K288" s="3">
        <v>3</v>
      </c>
      <c r="L288" s="3">
        <v>4</v>
      </c>
      <c r="M288" s="7">
        <v>2</v>
      </c>
      <c r="N288" s="7">
        <v>2</v>
      </c>
      <c r="O288" s="238"/>
      <c r="P288" s="234" t="s">
        <v>87</v>
      </c>
      <c r="Q288" s="93" t="s">
        <v>753</v>
      </c>
      <c r="R2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88" s="93">
        <v>1</v>
      </c>
      <c r="T288" s="93" t="b">
        <f>Data[[#This Row],[Day Rank]]=Data[[#This Row],[W Rank]]</f>
        <v>0</v>
      </c>
      <c r="U288" s="336"/>
    </row>
    <row r="289" spans="1:21" ht="15" customHeight="1">
      <c r="A289" s="333"/>
      <c r="B289" s="326"/>
      <c r="C289" s="329"/>
      <c r="D289" s="81">
        <f>D287</f>
        <v>45554</v>
      </c>
      <c r="E289" s="140" t="str">
        <f>$L$1</f>
        <v>loganworsdell</v>
      </c>
      <c r="F289" s="8">
        <f>IFERROR(AVERAGE(Data[[#This Row],[alappatjoe]:[currydestroyer27]]), "TBD")</f>
        <v>2.4</v>
      </c>
      <c r="G289" s="177">
        <f>IFERROR(_xlfn.STDEV.P(Data[[#This Row],[alappatjoe]:[currydestroyer27]]), "TBD")</f>
        <v>1.019803902718557</v>
      </c>
      <c r="H289" s="135" t="s">
        <v>754</v>
      </c>
      <c r="I289" s="229" t="s">
        <v>755</v>
      </c>
      <c r="J289" s="13">
        <v>2</v>
      </c>
      <c r="K289" s="8">
        <v>2</v>
      </c>
      <c r="L289" s="8">
        <v>1</v>
      </c>
      <c r="M289" s="8">
        <v>3</v>
      </c>
      <c r="N289" s="8">
        <v>4</v>
      </c>
      <c r="O289" s="238"/>
      <c r="P289" s="234"/>
      <c r="Q289" s="93"/>
      <c r="R2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89" s="93">
        <v>1</v>
      </c>
      <c r="T289" s="93" t="b">
        <f>Data[[#This Row],[Day Rank]]=Data[[#This Row],[W Rank]]</f>
        <v>0</v>
      </c>
      <c r="U289" s="336"/>
    </row>
    <row r="290" spans="1:21" ht="15" customHeight="1">
      <c r="A290" s="333"/>
      <c r="B290" s="326"/>
      <c r="C290" s="329"/>
      <c r="D290" s="81">
        <f>D287</f>
        <v>45554</v>
      </c>
      <c r="E290" s="140" t="str">
        <f>$M$1</f>
        <v>samuelbattista</v>
      </c>
      <c r="F290" s="8">
        <f>IFERROR(AVERAGE(Data[[#This Row],[alappatjoe]:[currydestroyer27]]), "TBD")</f>
        <v>3.6</v>
      </c>
      <c r="G290" s="177">
        <f>IFERROR(_xlfn.STDEV.P(Data[[#This Row],[alappatjoe]:[currydestroyer27]]), "TBD")</f>
        <v>1.4966629547095767</v>
      </c>
      <c r="H290" s="135" t="s">
        <v>756</v>
      </c>
      <c r="I290" s="229" t="s">
        <v>757</v>
      </c>
      <c r="J290" s="14">
        <v>5</v>
      </c>
      <c r="K290" s="9">
        <v>4</v>
      </c>
      <c r="L290" s="9">
        <v>3</v>
      </c>
      <c r="M290" s="9">
        <v>1</v>
      </c>
      <c r="N290" s="9">
        <v>5</v>
      </c>
      <c r="O290" s="238"/>
      <c r="P290" s="234"/>
      <c r="Q290" s="93"/>
      <c r="R2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90" s="93">
        <v>1</v>
      </c>
      <c r="T290" s="93" t="b">
        <f>Data[[#This Row],[Day Rank]]=Data[[#This Row],[W Rank]]</f>
        <v>0</v>
      </c>
      <c r="U290" s="336"/>
    </row>
    <row r="291" spans="1:21" ht="15" customHeight="1" thickBot="1">
      <c r="A291" s="334"/>
      <c r="B291" s="327"/>
      <c r="C291" s="330"/>
      <c r="D291" s="82">
        <f>D287</f>
        <v>45554</v>
      </c>
      <c r="E291" s="182" t="str">
        <f>$N$1</f>
        <v>currydestroyer27</v>
      </c>
      <c r="F291" s="83">
        <f>IFERROR(AVERAGE(Data[[#This Row],[alappatjoe]:[currydestroyer27]]), "TBD")</f>
        <v>4.2</v>
      </c>
      <c r="G291" s="183">
        <f>IFERROR(_xlfn.STDEV.P(Data[[#This Row],[alappatjoe]:[currydestroyer27]]), "TBD")</f>
        <v>0.9797958971132712</v>
      </c>
      <c r="H291" s="184" t="s">
        <v>758</v>
      </c>
      <c r="I291" s="185" t="s">
        <v>759</v>
      </c>
      <c r="J291" s="11">
        <v>3</v>
      </c>
      <c r="K291" s="22">
        <v>5</v>
      </c>
      <c r="L291" s="22">
        <v>5</v>
      </c>
      <c r="M291" s="22">
        <v>5</v>
      </c>
      <c r="N291" s="22">
        <v>3</v>
      </c>
      <c r="O291" s="239"/>
      <c r="P291" s="235" t="s">
        <v>170</v>
      </c>
      <c r="Q291" s="94" t="s">
        <v>760</v>
      </c>
      <c r="R29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91" s="94">
        <v>1</v>
      </c>
      <c r="T291" s="93" t="b">
        <f>Data[[#This Row],[Day Rank]]=Data[[#This Row],[W Rank]]</f>
        <v>0</v>
      </c>
      <c r="U291" s="337"/>
    </row>
    <row r="292" spans="1:21" ht="15" customHeight="1">
      <c r="A292" s="325">
        <v>45558</v>
      </c>
      <c r="B292" s="325"/>
      <c r="C292" s="338" t="str" cm="1">
        <f t="array" ref="C292">_xlfn.LET(_xlpm.matches, _xlfn._xlws.FILTER(Data[Poster], (Data[Date]=A292)*(Data[Winner]=TRUE)), IF(ROWS(_xlpm.matches)&gt;1, "TIE", _xlpm.matches))</f>
        <v>samuelbattista</v>
      </c>
      <c r="D292" s="147">
        <f>A292</f>
        <v>45558</v>
      </c>
      <c r="E292" s="181" t="str">
        <f>$J$1</f>
        <v>alappatjoe</v>
      </c>
      <c r="F292" s="9">
        <f>IFERROR(AVERAGE(Data[[#This Row],[alappatjoe]:[currydestroyer27]]), "TBD")</f>
        <v>3.6</v>
      </c>
      <c r="G292" s="178">
        <f>IFERROR(_xlfn.STDEV.P(Data[[#This Row],[alappatjoe]:[currydestroyer27]]), "TBD")</f>
        <v>1.3564659966250536</v>
      </c>
      <c r="H292" s="160" t="s">
        <v>761</v>
      </c>
      <c r="I292" s="186" t="s">
        <v>762</v>
      </c>
      <c r="J292" s="18">
        <v>1</v>
      </c>
      <c r="K292" s="9">
        <v>4</v>
      </c>
      <c r="L292" s="9">
        <v>4</v>
      </c>
      <c r="M292" s="3">
        <v>4</v>
      </c>
      <c r="N292" s="3">
        <v>5</v>
      </c>
      <c r="O292" s="238"/>
      <c r="P292" s="234"/>
      <c r="Q292" s="93"/>
      <c r="R2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92" s="93">
        <v>1</v>
      </c>
      <c r="T292" s="93" t="b">
        <f>Data[[#This Row],[Day Rank]]=Data[[#This Row],[W Rank]]</f>
        <v>0</v>
      </c>
      <c r="U292" s="335"/>
    </row>
    <row r="293" spans="1:21" ht="15" customHeight="1">
      <c r="A293" s="326"/>
      <c r="B293" s="326"/>
      <c r="C293" s="339"/>
      <c r="D293" s="81">
        <f>D292</f>
        <v>45558</v>
      </c>
      <c r="E293" s="140" t="str">
        <f>$K$1</f>
        <v>danram</v>
      </c>
      <c r="F293" s="8">
        <f>IFERROR(AVERAGE(Data[[#This Row],[alappatjoe]:[currydestroyer27]]), "TBD")</f>
        <v>3.2</v>
      </c>
      <c r="G293" s="177">
        <f>IFERROR(_xlfn.STDEV.P(Data[[#This Row],[alappatjoe]:[currydestroyer27]]), "TBD")</f>
        <v>1.1661903789690602</v>
      </c>
      <c r="H293" s="135" t="s">
        <v>763</v>
      </c>
      <c r="I293" s="229" t="s">
        <v>373</v>
      </c>
      <c r="J293" s="12">
        <v>3</v>
      </c>
      <c r="K293" s="3">
        <v>2</v>
      </c>
      <c r="L293" s="3">
        <v>5</v>
      </c>
      <c r="M293" s="7">
        <v>2</v>
      </c>
      <c r="N293" s="7">
        <v>4</v>
      </c>
      <c r="O293" s="238"/>
      <c r="P293" s="234" t="s">
        <v>76</v>
      </c>
      <c r="Q293" s="93" t="s">
        <v>335</v>
      </c>
      <c r="R2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93" s="93">
        <v>1</v>
      </c>
      <c r="T293" s="93" t="b">
        <f>Data[[#This Row],[Day Rank]]=Data[[#This Row],[W Rank]]</f>
        <v>0</v>
      </c>
      <c r="U293" s="336"/>
    </row>
    <row r="294" spans="1:21" ht="15" customHeight="1">
      <c r="A294" s="326"/>
      <c r="B294" s="326"/>
      <c r="C294" s="339"/>
      <c r="D294" s="81">
        <f>D292</f>
        <v>45558</v>
      </c>
      <c r="E294" s="140" t="str">
        <f>$L$1</f>
        <v>loganworsdell</v>
      </c>
      <c r="F294" s="8">
        <f>IFERROR(AVERAGE(Data[[#This Row],[alappatjoe]:[currydestroyer27]]), "TBD")</f>
        <v>2.6</v>
      </c>
      <c r="G294" s="177">
        <f>IFERROR(_xlfn.STDEV.P(Data[[#This Row],[alappatjoe]:[currydestroyer27]]), "TBD")</f>
        <v>1.019803902718557</v>
      </c>
      <c r="H294" s="135" t="s">
        <v>764</v>
      </c>
      <c r="I294" s="229" t="s">
        <v>765</v>
      </c>
      <c r="J294" s="13">
        <v>4</v>
      </c>
      <c r="K294" s="8">
        <v>3</v>
      </c>
      <c r="L294" s="8">
        <v>2</v>
      </c>
      <c r="M294" s="8">
        <v>3</v>
      </c>
      <c r="N294" s="8">
        <v>1</v>
      </c>
      <c r="O294" s="238"/>
      <c r="P294" s="234"/>
      <c r="Q294" s="93"/>
      <c r="R2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94" s="93">
        <v>1</v>
      </c>
      <c r="T294" s="93" t="b">
        <f>Data[[#This Row],[Day Rank]]=Data[[#This Row],[W Rank]]</f>
        <v>0</v>
      </c>
      <c r="U294" s="336"/>
    </row>
    <row r="295" spans="1:21" ht="15" customHeight="1">
      <c r="A295" s="326"/>
      <c r="B295" s="326"/>
      <c r="C295" s="339"/>
      <c r="D295" s="142">
        <f>D292</f>
        <v>45558</v>
      </c>
      <c r="E295" s="125" t="str">
        <f>$M$1</f>
        <v>samuelbattista</v>
      </c>
      <c r="F295" s="7">
        <f>IFERROR(AVERAGE(Data[[#This Row],[alappatjoe]:[currydestroyer27]]), "TBD")</f>
        <v>1.4</v>
      </c>
      <c r="G295" s="262">
        <f>IFERROR(_xlfn.STDEV.P(Data[[#This Row],[alappatjoe]:[currydestroyer27]]), "TBD")</f>
        <v>0.4898979485566356</v>
      </c>
      <c r="H295" s="264" t="s">
        <v>766</v>
      </c>
      <c r="I295" s="266" t="s">
        <v>767</v>
      </c>
      <c r="J295" s="18">
        <v>2</v>
      </c>
      <c r="K295" s="3">
        <v>1</v>
      </c>
      <c r="L295" s="3">
        <v>1</v>
      </c>
      <c r="M295" s="3">
        <v>1</v>
      </c>
      <c r="N295" s="3">
        <v>2</v>
      </c>
      <c r="O295" s="238"/>
      <c r="P295" s="234"/>
      <c r="Q295" s="93"/>
      <c r="R2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95" s="93">
        <v>1</v>
      </c>
      <c r="T295" s="93" t="b">
        <f>Data[[#This Row],[Day Rank]]=Data[[#This Row],[W Rank]]</f>
        <v>1</v>
      </c>
      <c r="U295" s="336"/>
    </row>
    <row r="296" spans="1:21" ht="15" customHeight="1" thickBot="1">
      <c r="A296" s="327"/>
      <c r="B296" s="327"/>
      <c r="C296" s="340"/>
      <c r="D296" s="82">
        <f>D292</f>
        <v>45558</v>
      </c>
      <c r="E296" s="182" t="str">
        <f>$N$1</f>
        <v>currydestroyer27</v>
      </c>
      <c r="F296" s="83">
        <f>IFERROR(AVERAGE(Data[[#This Row],[alappatjoe]:[currydestroyer27]]), "TBD")</f>
        <v>4.2</v>
      </c>
      <c r="G296" s="183">
        <f>IFERROR(_xlfn.STDEV.P(Data[[#This Row],[alappatjoe]:[currydestroyer27]]), "TBD")</f>
        <v>0.9797958971132712</v>
      </c>
      <c r="H296" s="184" t="s">
        <v>768</v>
      </c>
      <c r="I296" s="185" t="s">
        <v>769</v>
      </c>
      <c r="J296" s="161">
        <v>5</v>
      </c>
      <c r="K296" s="83">
        <v>5</v>
      </c>
      <c r="L296" s="83">
        <v>3</v>
      </c>
      <c r="M296" s="83">
        <v>5</v>
      </c>
      <c r="N296" s="83">
        <v>3</v>
      </c>
      <c r="O296" s="241"/>
      <c r="P296" s="236" t="s">
        <v>69</v>
      </c>
      <c r="Q296" s="162" t="s">
        <v>770</v>
      </c>
      <c r="R296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96" s="162">
        <v>1</v>
      </c>
      <c r="T296" s="162" t="b">
        <f>Data[[#This Row],[Day Rank]]=Data[[#This Row],[W Rank]]</f>
        <v>0</v>
      </c>
      <c r="U296" s="337"/>
    </row>
    <row r="297" spans="1:21" ht="15" customHeight="1">
      <c r="A297" s="332">
        <v>45559</v>
      </c>
      <c r="B297" s="325"/>
      <c r="C297" s="328" t="str" cm="1">
        <f t="array" ref="C297">_xlfn.LET(_xlpm.matches, _xlfn._xlws.FILTER(Data[Poster], (Data[Date]=A297)*(Data[Winner]=TRUE)), IF(ROWS(_xlpm.matches)&gt;1, "TIE", _xlpm.matches))</f>
        <v>samuelbattista</v>
      </c>
      <c r="D297" s="147">
        <f>A297</f>
        <v>45559</v>
      </c>
      <c r="E297" s="181" t="str">
        <f>$J$1</f>
        <v>alappatjoe</v>
      </c>
      <c r="F297" s="9">
        <f>IFERROR(AVERAGE(Data[[#This Row],[alappatjoe]:[currydestroyer27]]), "TBD")</f>
        <v>2.2000000000000002</v>
      </c>
      <c r="G297" s="178">
        <f>IFERROR(_xlfn.STDEV.P(Data[[#This Row],[alappatjoe]:[currydestroyer27]]), "TBD")</f>
        <v>1.4696938456699069</v>
      </c>
      <c r="H297" s="160" t="s">
        <v>771</v>
      </c>
      <c r="I297" s="186" t="s">
        <v>772</v>
      </c>
      <c r="J297" s="18">
        <v>1</v>
      </c>
      <c r="K297" s="9">
        <v>5</v>
      </c>
      <c r="L297" s="9">
        <v>2</v>
      </c>
      <c r="M297" s="3">
        <v>2</v>
      </c>
      <c r="N297" s="3">
        <v>1</v>
      </c>
      <c r="O297" s="238"/>
      <c r="P297" s="234"/>
      <c r="Q297" s="93"/>
      <c r="R2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97" s="93">
        <v>1</v>
      </c>
      <c r="T297" s="93" t="b">
        <f>Data[[#This Row],[Day Rank]]=Data[[#This Row],[W Rank]]</f>
        <v>0</v>
      </c>
      <c r="U297" s="335"/>
    </row>
    <row r="298" spans="1:21" ht="15" customHeight="1">
      <c r="A298" s="333"/>
      <c r="B298" s="326"/>
      <c r="C298" s="329"/>
      <c r="D298" s="81">
        <f>D297</f>
        <v>45559</v>
      </c>
      <c r="E298" s="140" t="str">
        <f>$K$1</f>
        <v>danram</v>
      </c>
      <c r="F298" s="8">
        <f>IFERROR(AVERAGE(Data[[#This Row],[alappatjoe]:[currydestroyer27]]), "TBD")</f>
        <v>4.2</v>
      </c>
      <c r="G298" s="177">
        <f>IFERROR(_xlfn.STDEV.P(Data[[#This Row],[alappatjoe]:[currydestroyer27]]), "TBD")</f>
        <v>1.6</v>
      </c>
      <c r="H298" s="135" t="s">
        <v>773</v>
      </c>
      <c r="I298" s="229" t="s">
        <v>774</v>
      </c>
      <c r="J298" s="12">
        <v>5</v>
      </c>
      <c r="K298" s="3">
        <v>1</v>
      </c>
      <c r="L298" s="3">
        <v>5</v>
      </c>
      <c r="M298" s="7">
        <v>5</v>
      </c>
      <c r="N298" s="7">
        <v>5</v>
      </c>
      <c r="O298" s="238"/>
      <c r="P298" s="234" t="s">
        <v>69</v>
      </c>
      <c r="Q298" s="93" t="s">
        <v>69</v>
      </c>
      <c r="R2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98" s="93">
        <v>1</v>
      </c>
      <c r="T298" s="93" t="b">
        <f>Data[[#This Row],[Day Rank]]=Data[[#This Row],[W Rank]]</f>
        <v>0</v>
      </c>
      <c r="U298" s="336"/>
    </row>
    <row r="299" spans="1:21" ht="15" customHeight="1">
      <c r="A299" s="333"/>
      <c r="B299" s="326"/>
      <c r="C299" s="329"/>
      <c r="D299" s="81">
        <f>D297</f>
        <v>45559</v>
      </c>
      <c r="E299" s="140" t="str">
        <f>$L$1</f>
        <v>loganworsdell</v>
      </c>
      <c r="F299" s="8">
        <f>IFERROR(AVERAGE(Data[[#This Row],[alappatjoe]:[currydestroyer27]]), "TBD")</f>
        <v>3.4</v>
      </c>
      <c r="G299" s="177">
        <f>IFERROR(_xlfn.STDEV.P(Data[[#This Row],[alappatjoe]:[currydestroyer27]]), "TBD")</f>
        <v>0.8</v>
      </c>
      <c r="H299" s="135" t="s">
        <v>775</v>
      </c>
      <c r="I299" s="229" t="s">
        <v>776</v>
      </c>
      <c r="J299" s="13">
        <v>4</v>
      </c>
      <c r="K299" s="8">
        <v>2</v>
      </c>
      <c r="L299" s="8">
        <v>3</v>
      </c>
      <c r="M299" s="8">
        <v>4</v>
      </c>
      <c r="N299" s="8">
        <v>4</v>
      </c>
      <c r="O299" s="238"/>
      <c r="P299" s="234"/>
      <c r="Q299" s="93"/>
      <c r="R2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99" s="93">
        <v>1</v>
      </c>
      <c r="T299" s="93" t="b">
        <f>Data[[#This Row],[Day Rank]]=Data[[#This Row],[W Rank]]</f>
        <v>0</v>
      </c>
      <c r="U299" s="336"/>
    </row>
    <row r="300" spans="1:21" ht="15" customHeight="1">
      <c r="A300" s="333"/>
      <c r="B300" s="326"/>
      <c r="C300" s="329"/>
      <c r="D300" s="142">
        <f>D297</f>
        <v>45559</v>
      </c>
      <c r="E300" s="125" t="str">
        <f>$M$1</f>
        <v>samuelbattista</v>
      </c>
      <c r="F300" s="7">
        <f>IFERROR(AVERAGE(Data[[#This Row],[alappatjoe]:[currydestroyer27]]), "TBD")</f>
        <v>2</v>
      </c>
      <c r="G300" s="262">
        <f>IFERROR(_xlfn.STDEV.P(Data[[#This Row],[alappatjoe]:[currydestroyer27]]), "TBD")</f>
        <v>0.89442719099991586</v>
      </c>
      <c r="H300" s="264" t="s">
        <v>777</v>
      </c>
      <c r="I300" s="266" t="s">
        <v>778</v>
      </c>
      <c r="J300" s="18">
        <v>2</v>
      </c>
      <c r="K300" s="3">
        <v>3</v>
      </c>
      <c r="L300" s="3">
        <v>1</v>
      </c>
      <c r="M300" s="3">
        <v>1</v>
      </c>
      <c r="N300" s="3">
        <v>3</v>
      </c>
      <c r="O300" s="238"/>
      <c r="P300" s="234"/>
      <c r="Q300" s="93"/>
      <c r="R3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00" s="93">
        <v>1</v>
      </c>
      <c r="T300" s="93" t="b">
        <f>Data[[#This Row],[Day Rank]]=Data[[#This Row],[W Rank]]</f>
        <v>1</v>
      </c>
      <c r="U300" s="336"/>
    </row>
    <row r="301" spans="1:21" ht="15" customHeight="1" thickBot="1">
      <c r="A301" s="334"/>
      <c r="B301" s="327"/>
      <c r="C301" s="330"/>
      <c r="D301" s="82">
        <f>D297</f>
        <v>45559</v>
      </c>
      <c r="E301" s="182" t="str">
        <f>$N$1</f>
        <v>currydestroyer27</v>
      </c>
      <c r="F301" s="83">
        <f>IFERROR(AVERAGE(Data[[#This Row],[alappatjoe]:[currydestroyer27]]), "TBD")</f>
        <v>3.2</v>
      </c>
      <c r="G301" s="183">
        <f>IFERROR(_xlfn.STDEV.P(Data[[#This Row],[alappatjoe]:[currydestroyer27]]), "TBD")</f>
        <v>0.74833147735478833</v>
      </c>
      <c r="H301" s="184" t="s">
        <v>779</v>
      </c>
      <c r="I301" s="185" t="s">
        <v>780</v>
      </c>
      <c r="J301" s="161">
        <v>3</v>
      </c>
      <c r="K301" s="83">
        <v>4</v>
      </c>
      <c r="L301" s="83">
        <v>4</v>
      </c>
      <c r="M301" s="83">
        <v>3</v>
      </c>
      <c r="N301" s="83">
        <v>2</v>
      </c>
      <c r="O301" s="241"/>
      <c r="P301" s="236" t="s">
        <v>76</v>
      </c>
      <c r="Q301" s="162" t="s">
        <v>51</v>
      </c>
      <c r="R301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01" s="162">
        <v>1</v>
      </c>
      <c r="T301" s="162" t="b">
        <f>Data[[#This Row],[Day Rank]]=Data[[#This Row],[W Rank]]</f>
        <v>0</v>
      </c>
      <c r="U301" s="337"/>
    </row>
    <row r="302" spans="1:21" ht="15" customHeight="1">
      <c r="A302" s="332">
        <v>45560</v>
      </c>
      <c r="B302" s="325"/>
      <c r="C302" s="338" t="str" cm="1">
        <f t="array" ref="C302">_xlfn.LET(_xlpm.matches, _xlfn._xlws.FILTER(Data[Poster], (Data[Date]=A302)*(Data[Winner]=TRUE)), IF(ROWS(_xlpm.matches)&gt;1, "TIE", _xlpm.matches))</f>
        <v>danram</v>
      </c>
      <c r="D302" s="147">
        <f>A302</f>
        <v>45560</v>
      </c>
      <c r="E302" s="181" t="str">
        <f>$J$1</f>
        <v>alappatjoe</v>
      </c>
      <c r="F302" s="9">
        <f>IFERROR(AVERAGE(Data[[#This Row],[alappatjoe]:[currydestroyer27]]), "TBD")</f>
        <v>3</v>
      </c>
      <c r="G302" s="178">
        <f>IFERROR(_xlfn.STDEV.P(Data[[#This Row],[alappatjoe]:[currydestroyer27]]), "TBD")</f>
        <v>1.6733200530681511</v>
      </c>
      <c r="H302" s="160" t="s">
        <v>781</v>
      </c>
      <c r="I302" s="186" t="s">
        <v>434</v>
      </c>
      <c r="J302" s="18">
        <v>1</v>
      </c>
      <c r="K302" s="9">
        <v>4</v>
      </c>
      <c r="L302" s="9">
        <v>4</v>
      </c>
      <c r="M302" s="3">
        <v>5</v>
      </c>
      <c r="N302" s="3">
        <v>1</v>
      </c>
      <c r="O302" s="238"/>
      <c r="P302" s="234"/>
      <c r="Q302" s="93"/>
      <c r="R3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02" s="93">
        <v>1</v>
      </c>
      <c r="T302" s="93" t="b">
        <f>Data[[#This Row],[Day Rank]]=Data[[#This Row],[W Rank]]</f>
        <v>0</v>
      </c>
      <c r="U302" s="335"/>
    </row>
    <row r="303" spans="1:21" ht="15" customHeight="1">
      <c r="A303" s="333"/>
      <c r="B303" s="326"/>
      <c r="C303" s="339"/>
      <c r="D303" s="81">
        <f>D302</f>
        <v>45560</v>
      </c>
      <c r="E303" s="140" t="str">
        <f>$K$1</f>
        <v>danram</v>
      </c>
      <c r="F303" s="8">
        <f>IFERROR(AVERAGE(Data[[#This Row],[alappatjoe]:[currydestroyer27]]), "TBD")</f>
        <v>2</v>
      </c>
      <c r="G303" s="177">
        <f>IFERROR(_xlfn.STDEV.P(Data[[#This Row],[alappatjoe]:[currydestroyer27]]), "TBD")</f>
        <v>0.63245553203367588</v>
      </c>
      <c r="H303" s="135" t="s">
        <v>782</v>
      </c>
      <c r="I303" s="229" t="s">
        <v>783</v>
      </c>
      <c r="J303" s="12">
        <v>2</v>
      </c>
      <c r="K303" s="3">
        <v>1</v>
      </c>
      <c r="L303" s="3">
        <v>3</v>
      </c>
      <c r="M303" s="7">
        <v>2</v>
      </c>
      <c r="N303" s="7">
        <v>2</v>
      </c>
      <c r="O303" s="238"/>
      <c r="P303" s="234" t="s">
        <v>51</v>
      </c>
      <c r="Q303" s="93" t="s">
        <v>51</v>
      </c>
      <c r="R3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03" s="93">
        <v>1</v>
      </c>
      <c r="T303" s="93" t="b">
        <f>Data[[#This Row],[Day Rank]]=Data[[#This Row],[W Rank]]</f>
        <v>1</v>
      </c>
      <c r="U303" s="336"/>
    </row>
    <row r="304" spans="1:21" ht="15" customHeight="1">
      <c r="A304" s="333"/>
      <c r="B304" s="326"/>
      <c r="C304" s="339"/>
      <c r="D304" s="81">
        <f>D302</f>
        <v>45560</v>
      </c>
      <c r="E304" s="140" t="str">
        <f>$L$1</f>
        <v>loganworsdell</v>
      </c>
      <c r="F304" s="8">
        <f>IFERROR(AVERAGE(Data[[#This Row],[alappatjoe]:[currydestroyer27]]), "TBD")</f>
        <v>3.2</v>
      </c>
      <c r="G304" s="177">
        <f>IFERROR(_xlfn.STDEV.P(Data[[#This Row],[alappatjoe]:[currydestroyer27]]), "TBD")</f>
        <v>1.6</v>
      </c>
      <c r="H304" s="135" t="s">
        <v>784</v>
      </c>
      <c r="I304" s="229" t="s">
        <v>785</v>
      </c>
      <c r="J304" s="13">
        <v>5</v>
      </c>
      <c r="K304" s="8">
        <v>2</v>
      </c>
      <c r="L304" s="8">
        <v>1</v>
      </c>
      <c r="M304" s="8">
        <v>3</v>
      </c>
      <c r="N304" s="8">
        <v>5</v>
      </c>
      <c r="O304" s="238"/>
      <c r="P304" s="234"/>
      <c r="Q304" s="93"/>
      <c r="R3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04" s="93">
        <v>1</v>
      </c>
      <c r="T304" s="93" t="b">
        <f>Data[[#This Row],[Day Rank]]=Data[[#This Row],[W Rank]]</f>
        <v>0</v>
      </c>
      <c r="U304" s="336"/>
    </row>
    <row r="305" spans="1:21" ht="15" customHeight="1">
      <c r="A305" s="333"/>
      <c r="B305" s="326"/>
      <c r="C305" s="339"/>
      <c r="D305" s="142">
        <f>D302</f>
        <v>45560</v>
      </c>
      <c r="E305" s="125" t="str">
        <f>$M$1</f>
        <v>samuelbattista</v>
      </c>
      <c r="F305" s="7">
        <f>IFERROR(AVERAGE(Data[[#This Row],[alappatjoe]:[currydestroyer27]]), "TBD")</f>
        <v>3</v>
      </c>
      <c r="G305" s="262">
        <f>IFERROR(_xlfn.STDEV.P(Data[[#This Row],[alappatjoe]:[currydestroyer27]]), "TBD")</f>
        <v>1.4142135623730951</v>
      </c>
      <c r="H305" s="264" t="s">
        <v>786</v>
      </c>
      <c r="I305" s="266" t="s">
        <v>787</v>
      </c>
      <c r="J305" s="18">
        <v>3</v>
      </c>
      <c r="K305" s="3">
        <v>5</v>
      </c>
      <c r="L305" s="3">
        <v>2</v>
      </c>
      <c r="M305" s="3">
        <v>1</v>
      </c>
      <c r="N305" s="3">
        <v>4</v>
      </c>
      <c r="O305" s="238"/>
      <c r="P305" s="234"/>
      <c r="Q305" s="93"/>
      <c r="R3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05" s="93">
        <v>1</v>
      </c>
      <c r="T305" s="93" t="b">
        <f>Data[[#This Row],[Day Rank]]=Data[[#This Row],[W Rank]]</f>
        <v>0</v>
      </c>
      <c r="U305" s="336"/>
    </row>
    <row r="306" spans="1:21" ht="15" customHeight="1" thickBot="1">
      <c r="A306" s="334"/>
      <c r="B306" s="327"/>
      <c r="C306" s="340"/>
      <c r="D306" s="82">
        <f>D302</f>
        <v>45560</v>
      </c>
      <c r="E306" s="182" t="str">
        <f>$N$1</f>
        <v>currydestroyer27</v>
      </c>
      <c r="F306" s="83">
        <f>IFERROR(AVERAGE(Data[[#This Row],[alappatjoe]:[currydestroyer27]]), "TBD")</f>
        <v>3.8</v>
      </c>
      <c r="G306" s="183">
        <f>IFERROR(_xlfn.STDEV.P(Data[[#This Row],[alappatjoe]:[currydestroyer27]]), "TBD")</f>
        <v>0.74833147735478833</v>
      </c>
      <c r="H306" s="185" t="s">
        <v>788</v>
      </c>
      <c r="I306" s="185" t="s">
        <v>789</v>
      </c>
      <c r="J306" s="161">
        <v>4</v>
      </c>
      <c r="K306" s="83">
        <v>3</v>
      </c>
      <c r="L306" s="83">
        <v>5</v>
      </c>
      <c r="M306" s="83">
        <v>4</v>
      </c>
      <c r="N306" s="83">
        <v>3</v>
      </c>
      <c r="O306" s="241"/>
      <c r="P306" s="236" t="s">
        <v>51</v>
      </c>
      <c r="Q306" s="162" t="s">
        <v>51</v>
      </c>
      <c r="R306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06" s="162">
        <v>1</v>
      </c>
      <c r="T306" s="162" t="b">
        <f>Data[[#This Row],[Day Rank]]=Data[[#This Row],[W Rank]]</f>
        <v>0</v>
      </c>
      <c r="U306" s="337"/>
    </row>
    <row r="307" spans="1:21" ht="15" customHeight="1">
      <c r="A307" s="332">
        <v>45561</v>
      </c>
      <c r="B307" s="325"/>
      <c r="C307" s="328" t="str" cm="1">
        <f t="array" ref="C307">_xlfn.LET(_xlpm.matches, _xlfn._xlws.FILTER(Data[Poster], (Data[Date]=A307)*(Data[Winner]=TRUE)), IF(ROWS(_xlpm.matches)&gt;1, "TIE", _xlpm.matches))</f>
        <v>alappatjoe</v>
      </c>
      <c r="D307" s="147">
        <f>A307</f>
        <v>45561</v>
      </c>
      <c r="E307" s="181" t="str">
        <f>$J$1</f>
        <v>alappatjoe</v>
      </c>
      <c r="F307" s="9">
        <f>IFERROR(AVERAGE(Data[[#This Row],[alappatjoe]:[currydestroyer27]]), "TBD")</f>
        <v>2.2000000000000002</v>
      </c>
      <c r="G307" s="178">
        <f>IFERROR(_xlfn.STDEV.P(Data[[#This Row],[alappatjoe]:[currydestroyer27]]), "TBD")</f>
        <v>0.9797958971132712</v>
      </c>
      <c r="H307" s="160" t="s">
        <v>790</v>
      </c>
      <c r="I307" s="186" t="s">
        <v>791</v>
      </c>
      <c r="J307" s="3">
        <v>1</v>
      </c>
      <c r="K307" s="3">
        <v>1</v>
      </c>
      <c r="L307" s="3">
        <v>3</v>
      </c>
      <c r="M307" s="3">
        <v>3</v>
      </c>
      <c r="N307" s="3">
        <v>3</v>
      </c>
      <c r="O307" s="238"/>
      <c r="P307" s="234"/>
      <c r="Q307" s="93"/>
      <c r="R3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07" s="93">
        <v>1</v>
      </c>
      <c r="T307" s="93" t="b">
        <f>Data[[#This Row],[Day Rank]]=Data[[#This Row],[W Rank]]</f>
        <v>1</v>
      </c>
      <c r="U307" s="335" t="s">
        <v>792</v>
      </c>
    </row>
    <row r="308" spans="1:21" ht="15" customHeight="1">
      <c r="A308" s="333"/>
      <c r="B308" s="326"/>
      <c r="C308" s="329"/>
      <c r="D308" s="81">
        <f>D307</f>
        <v>45561</v>
      </c>
      <c r="E308" s="140" t="str">
        <f>$K$1</f>
        <v>danram</v>
      </c>
      <c r="F308" s="8">
        <f>IFERROR(AVERAGE(Data[[#This Row],[alappatjoe]:[currydestroyer27]]), "TBD")</f>
        <v>3.6</v>
      </c>
      <c r="G308" s="177">
        <f>IFERROR(_xlfn.STDEV.P(Data[[#This Row],[alappatjoe]:[currydestroyer27]]), "TBD")</f>
        <v>1.3564659966250536</v>
      </c>
      <c r="H308" s="135" t="s">
        <v>793</v>
      </c>
      <c r="I308" s="229" t="s">
        <v>794</v>
      </c>
      <c r="J308" s="3">
        <v>5</v>
      </c>
      <c r="K308" s="3">
        <v>2</v>
      </c>
      <c r="L308" s="3">
        <v>4</v>
      </c>
      <c r="M308" s="3">
        <v>5</v>
      </c>
      <c r="N308" s="3">
        <v>2</v>
      </c>
      <c r="O308" s="238"/>
      <c r="P308" s="234" t="s">
        <v>69</v>
      </c>
      <c r="Q308" s="93" t="s">
        <v>69</v>
      </c>
      <c r="R3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08" s="93">
        <v>1</v>
      </c>
      <c r="T308" s="93" t="b">
        <f>Data[[#This Row],[Day Rank]]=Data[[#This Row],[W Rank]]</f>
        <v>0</v>
      </c>
      <c r="U308" s="336"/>
    </row>
    <row r="309" spans="1:21" ht="15" customHeight="1">
      <c r="A309" s="333"/>
      <c r="B309" s="326"/>
      <c r="C309" s="329"/>
      <c r="D309" s="81">
        <f>D307</f>
        <v>45561</v>
      </c>
      <c r="E309" s="140" t="str">
        <f>$L$1</f>
        <v>loganworsdell</v>
      </c>
      <c r="F309" s="8">
        <f>IFERROR(AVERAGE(Data[[#This Row],[alappatjoe]:[currydestroyer27]]), "TBD")</f>
        <v>2.8</v>
      </c>
      <c r="G309" s="177">
        <f>IFERROR(_xlfn.STDEV.P(Data[[#This Row],[alappatjoe]:[currydestroyer27]]), "TBD")</f>
        <v>1.1661903789690602</v>
      </c>
      <c r="H309" s="135" t="s">
        <v>795</v>
      </c>
      <c r="I309" s="229" t="s">
        <v>796</v>
      </c>
      <c r="J309" s="3">
        <v>3</v>
      </c>
      <c r="K309" s="3">
        <v>4</v>
      </c>
      <c r="L309" s="3">
        <v>1</v>
      </c>
      <c r="M309" s="3">
        <v>2</v>
      </c>
      <c r="N309" s="3">
        <v>4</v>
      </c>
      <c r="O309" s="238"/>
      <c r="P309" s="234"/>
      <c r="Q309" s="93"/>
      <c r="R3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09" s="93">
        <v>1</v>
      </c>
      <c r="T309" s="93" t="b">
        <f>Data[[#This Row],[Day Rank]]=Data[[#This Row],[W Rank]]</f>
        <v>0</v>
      </c>
      <c r="U309" s="336"/>
    </row>
    <row r="310" spans="1:21" ht="15" customHeight="1">
      <c r="A310" s="333"/>
      <c r="B310" s="326"/>
      <c r="C310" s="329"/>
      <c r="D310" s="142">
        <f>D307</f>
        <v>45561</v>
      </c>
      <c r="E310" s="125" t="str">
        <f>$M$1</f>
        <v>samuelbattista</v>
      </c>
      <c r="F310" s="7">
        <f>IFERROR(AVERAGE(Data[[#This Row],[alappatjoe]:[currydestroyer27]]), "TBD")</f>
        <v>2.6</v>
      </c>
      <c r="G310" s="262">
        <f>IFERROR(_xlfn.STDEV.P(Data[[#This Row],[alappatjoe]:[currydestroyer27]]), "TBD")</f>
        <v>1.3564659966250536</v>
      </c>
      <c r="H310" s="264" t="s">
        <v>797</v>
      </c>
      <c r="I310" s="266" t="s">
        <v>486</v>
      </c>
      <c r="J310" s="3">
        <v>2</v>
      </c>
      <c r="K310" s="3">
        <v>3</v>
      </c>
      <c r="L310" s="3">
        <v>2</v>
      </c>
      <c r="M310" s="3">
        <v>1</v>
      </c>
      <c r="N310" s="3">
        <v>5</v>
      </c>
      <c r="O310" s="238"/>
      <c r="P310" s="234" t="s">
        <v>176</v>
      </c>
      <c r="Q310" s="93" t="s">
        <v>487</v>
      </c>
      <c r="R3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10" s="93">
        <v>1</v>
      </c>
      <c r="T310" s="93" t="b">
        <f>Data[[#This Row],[Day Rank]]=Data[[#This Row],[W Rank]]</f>
        <v>0</v>
      </c>
      <c r="U310" s="336"/>
    </row>
    <row r="311" spans="1:21" ht="15" customHeight="1" thickBot="1">
      <c r="A311" s="334"/>
      <c r="B311" s="327"/>
      <c r="C311" s="330"/>
      <c r="D311" s="82">
        <f>D307</f>
        <v>45561</v>
      </c>
      <c r="E311" s="182" t="str">
        <f>$N$1</f>
        <v>currydestroyer27</v>
      </c>
      <c r="F311" s="83">
        <f>IFERROR(AVERAGE(Data[[#This Row],[alappatjoe]:[currydestroyer27]]), "TBD")</f>
        <v>3.8</v>
      </c>
      <c r="G311" s="183">
        <f>IFERROR(_xlfn.STDEV.P(Data[[#This Row],[alappatjoe]:[currydestroyer27]]), "TBD")</f>
        <v>1.4696938456699069</v>
      </c>
      <c r="H311" s="184" t="s">
        <v>798</v>
      </c>
      <c r="I311" s="185" t="s">
        <v>799</v>
      </c>
      <c r="J311" s="83">
        <v>4</v>
      </c>
      <c r="K311" s="83">
        <v>5</v>
      </c>
      <c r="L311" s="83">
        <v>5</v>
      </c>
      <c r="M311" s="83">
        <v>4</v>
      </c>
      <c r="N311" s="83">
        <v>1</v>
      </c>
      <c r="O311" s="241"/>
      <c r="P311" s="236" t="s">
        <v>76</v>
      </c>
      <c r="Q311" s="162" t="s">
        <v>99</v>
      </c>
      <c r="R311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11" s="162">
        <v>1</v>
      </c>
      <c r="T311" s="162" t="b">
        <f>Data[[#This Row],[Day Rank]]=Data[[#This Row],[W Rank]]</f>
        <v>0</v>
      </c>
      <c r="U311" s="337"/>
    </row>
    <row r="312" spans="1:21" ht="15" customHeight="1">
      <c r="A312" s="332">
        <v>45565</v>
      </c>
      <c r="B312" s="325"/>
      <c r="C312" s="338" t="str" cm="1">
        <f t="array" ref="C312">_xlfn.LET(_xlpm.matches, _xlfn._xlws.FILTER(Data[Poster], (Data[Date]=A312)*(Data[Winner]=TRUE)), IF(ROWS(_xlpm.matches)&gt;1, "TIE", _xlpm.matches))</f>
        <v>loganworsdell</v>
      </c>
      <c r="D312" s="147">
        <f>A312</f>
        <v>45565</v>
      </c>
      <c r="E312" s="181" t="str">
        <f>$J$1</f>
        <v>alappatjoe</v>
      </c>
      <c r="F312" s="9">
        <f>IFERROR(AVERAGE(Data[[#This Row],[alappatjoe]:[currydestroyer27]]), "TBD")</f>
        <v>2.8</v>
      </c>
      <c r="G312" s="178">
        <f>IFERROR(_xlfn.STDEV.P(Data[[#This Row],[alappatjoe]:[currydestroyer27]]), "TBD")</f>
        <v>1.3266499161421599</v>
      </c>
      <c r="H312" s="160" t="s">
        <v>666</v>
      </c>
      <c r="I312" s="186" t="s">
        <v>800</v>
      </c>
      <c r="J312" s="3">
        <v>1</v>
      </c>
      <c r="K312" s="3">
        <v>5</v>
      </c>
      <c r="L312" s="3">
        <v>2</v>
      </c>
      <c r="M312" s="3">
        <v>3</v>
      </c>
      <c r="N312" s="3">
        <v>3</v>
      </c>
      <c r="O312" s="238"/>
      <c r="P312" s="234"/>
      <c r="Q312" s="93"/>
      <c r="R3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12" s="93">
        <v>1</v>
      </c>
      <c r="T312" s="93" t="b">
        <f>Data[[#This Row],[Day Rank]]=Data[[#This Row],[W Rank]]</f>
        <v>0</v>
      </c>
      <c r="U312" s="331" t="s">
        <v>717</v>
      </c>
    </row>
    <row r="313" spans="1:21" ht="15" customHeight="1">
      <c r="A313" s="333"/>
      <c r="B313" s="326"/>
      <c r="C313" s="339"/>
      <c r="D313" s="81">
        <f>D312</f>
        <v>45565</v>
      </c>
      <c r="E313" s="140" t="str">
        <f>$K$1</f>
        <v>danram</v>
      </c>
      <c r="F313" s="8">
        <f>IFERROR(AVERAGE(Data[[#This Row],[alappatjoe]:[currydestroyer27]]), "TBD")</f>
        <v>3.8</v>
      </c>
      <c r="G313" s="177">
        <f>IFERROR(_xlfn.STDEV.P(Data[[#This Row],[alappatjoe]:[currydestroyer27]]), "TBD")</f>
        <v>1.1661903789690602</v>
      </c>
      <c r="H313" s="135" t="s">
        <v>801</v>
      </c>
      <c r="I313" s="229" t="s">
        <v>747</v>
      </c>
      <c r="J313" s="3">
        <v>3</v>
      </c>
      <c r="K313" s="3">
        <v>2</v>
      </c>
      <c r="L313" s="3">
        <v>4</v>
      </c>
      <c r="M313" s="3">
        <v>5</v>
      </c>
      <c r="N313" s="3">
        <v>5</v>
      </c>
      <c r="O313" s="238"/>
      <c r="P313" s="234"/>
      <c r="Q313" s="93"/>
      <c r="R3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13" s="93">
        <v>1</v>
      </c>
      <c r="T313" s="93" t="b">
        <f>Data[[#This Row],[Day Rank]]=Data[[#This Row],[W Rank]]</f>
        <v>0</v>
      </c>
      <c r="U313" s="323"/>
    </row>
    <row r="314" spans="1:21" ht="15" customHeight="1">
      <c r="A314" s="333"/>
      <c r="B314" s="326"/>
      <c r="C314" s="339"/>
      <c r="D314" s="81">
        <f>D312</f>
        <v>45565</v>
      </c>
      <c r="E314" s="140" t="str">
        <f>$L$1</f>
        <v>loganworsdell</v>
      </c>
      <c r="F314" s="8">
        <f>IFERROR(AVERAGE(Data[[#This Row],[alappatjoe]:[currydestroyer27]]), "TBD")</f>
        <v>2.8</v>
      </c>
      <c r="G314" s="177">
        <f>IFERROR(_xlfn.STDEV.P(Data[[#This Row],[alappatjoe]:[currydestroyer27]]), "TBD")</f>
        <v>1.1661903789690602</v>
      </c>
      <c r="H314" s="135" t="s">
        <v>802</v>
      </c>
      <c r="I314" s="229" t="s">
        <v>803</v>
      </c>
      <c r="J314" s="3">
        <v>2</v>
      </c>
      <c r="K314" s="3">
        <v>3</v>
      </c>
      <c r="L314" s="3">
        <v>1</v>
      </c>
      <c r="M314" s="3">
        <v>4</v>
      </c>
      <c r="N314" s="3">
        <v>4</v>
      </c>
      <c r="O314" s="238"/>
      <c r="P314" s="234"/>
      <c r="Q314" s="93"/>
      <c r="R3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14" s="93">
        <v>1</v>
      </c>
      <c r="T314" s="93" t="b">
        <f>Data[[#This Row],[Day Rank]]=Data[[#This Row],[W Rank]]</f>
        <v>1</v>
      </c>
      <c r="U314" s="323"/>
    </row>
    <row r="315" spans="1:21" ht="15" customHeight="1">
      <c r="A315" s="333"/>
      <c r="B315" s="326"/>
      <c r="C315" s="339"/>
      <c r="D315" s="142">
        <f>D312</f>
        <v>45565</v>
      </c>
      <c r="E315" s="125" t="str">
        <f>$M$1</f>
        <v>samuelbattista</v>
      </c>
      <c r="F315" s="7">
        <f>IFERROR(AVERAGE(Data[[#This Row],[alappatjoe]:[currydestroyer27]]), "TBD")</f>
        <v>2.8</v>
      </c>
      <c r="G315" s="262">
        <f>IFERROR(_xlfn.STDEV.P(Data[[#This Row],[alappatjoe]:[currydestroyer27]]), "TBD")</f>
        <v>1.1661903789690602</v>
      </c>
      <c r="H315" s="264" t="s">
        <v>804</v>
      </c>
      <c r="I315" s="266" t="s">
        <v>805</v>
      </c>
      <c r="J315" s="3">
        <v>4</v>
      </c>
      <c r="K315" s="3">
        <v>4</v>
      </c>
      <c r="L315" s="3">
        <v>3</v>
      </c>
      <c r="M315" s="3">
        <v>1</v>
      </c>
      <c r="N315" s="3">
        <v>2</v>
      </c>
      <c r="O315" s="238"/>
      <c r="P315" s="234"/>
      <c r="Q315" s="93"/>
      <c r="R3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15" s="93">
        <v>2</v>
      </c>
      <c r="T315" s="93" t="b">
        <f>Data[[#This Row],[Day Rank]]=Data[[#This Row],[W Rank]]</f>
        <v>0</v>
      </c>
      <c r="U315" s="323"/>
    </row>
    <row r="316" spans="1:21" ht="15" customHeight="1" thickBot="1">
      <c r="A316" s="334"/>
      <c r="B316" s="327"/>
      <c r="C316" s="340"/>
      <c r="D316" s="82">
        <f>D312</f>
        <v>45565</v>
      </c>
      <c r="E316" s="182" t="str">
        <f>$N$1</f>
        <v>currydestroyer27</v>
      </c>
      <c r="F316" s="83">
        <f>IFERROR(AVERAGE(Data[[#This Row],[alappatjoe]:[currydestroyer27]]), "TBD")</f>
        <v>2.8</v>
      </c>
      <c r="G316" s="183">
        <f>IFERROR(_xlfn.STDEV.P(Data[[#This Row],[alappatjoe]:[currydestroyer27]]), "TBD")</f>
        <v>1.833030277982336</v>
      </c>
      <c r="H316" s="184" t="s">
        <v>806</v>
      </c>
      <c r="I316" s="185" t="s">
        <v>807</v>
      </c>
      <c r="J316" s="83">
        <v>5</v>
      </c>
      <c r="K316" s="83">
        <v>1</v>
      </c>
      <c r="L316" s="83">
        <v>5</v>
      </c>
      <c r="M316" s="83">
        <v>2</v>
      </c>
      <c r="N316" s="83">
        <v>1</v>
      </c>
      <c r="O316" s="241"/>
      <c r="P316" s="236" t="s">
        <v>51</v>
      </c>
      <c r="Q316" s="162" t="s">
        <v>808</v>
      </c>
      <c r="R316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16" s="162">
        <v>1</v>
      </c>
      <c r="T316" s="162" t="b">
        <f>Data[[#This Row],[Day Rank]]=Data[[#This Row],[W Rank]]</f>
        <v>0</v>
      </c>
      <c r="U316" s="324"/>
    </row>
    <row r="317" spans="1:21" ht="15" customHeight="1">
      <c r="A317" s="332">
        <v>45566</v>
      </c>
      <c r="B317" s="325"/>
      <c r="C317" s="328" t="str" cm="1">
        <f t="array" ref="C317">_xlfn.LET(_xlpm.matches, _xlfn._xlws.FILTER(Data[Poster], (Data[Date]=A317)*(Data[Winner]=TRUE)), IF(ROWS(_xlpm.matches)&gt;1, "TIE", _xlpm.matches))</f>
        <v>samuelbattista</v>
      </c>
      <c r="D317" s="147">
        <f>A317</f>
        <v>45566</v>
      </c>
      <c r="E317" s="181" t="str">
        <f>$J$1</f>
        <v>alappatjoe</v>
      </c>
      <c r="F317" s="9">
        <f>IFERROR(AVERAGE(Data[[#This Row],[alappatjoe]:[currydestroyer27]]), "TBD")</f>
        <v>4</v>
      </c>
      <c r="G317" s="178">
        <f>IFERROR(_xlfn.STDEV.P(Data[[#This Row],[alappatjoe]:[currydestroyer27]]), "TBD")</f>
        <v>1.5491933384829668</v>
      </c>
      <c r="H317" s="160" t="s">
        <v>809</v>
      </c>
      <c r="I317" s="186" t="s">
        <v>810</v>
      </c>
      <c r="J317" s="3">
        <v>1</v>
      </c>
      <c r="K317" s="3">
        <v>5</v>
      </c>
      <c r="L317" s="3">
        <v>4</v>
      </c>
      <c r="M317" s="3">
        <v>5</v>
      </c>
      <c r="N317" s="3">
        <v>5</v>
      </c>
      <c r="O317" s="238"/>
      <c r="P317" s="234"/>
      <c r="Q317" s="93"/>
      <c r="R3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17" s="93">
        <v>1</v>
      </c>
      <c r="T317" s="93" t="b">
        <f>Data[[#This Row],[Day Rank]]=Data[[#This Row],[W Rank]]</f>
        <v>0</v>
      </c>
      <c r="U317" s="331"/>
    </row>
    <row r="318" spans="1:21" ht="15" customHeight="1">
      <c r="A318" s="333"/>
      <c r="B318" s="326"/>
      <c r="C318" s="329"/>
      <c r="D318" s="81">
        <f>D317</f>
        <v>45566</v>
      </c>
      <c r="E318" s="140" t="str">
        <f>$K$1</f>
        <v>danram</v>
      </c>
      <c r="F318" s="8">
        <f>IFERROR(AVERAGE(Data[[#This Row],[alappatjoe]:[currydestroyer27]]), "TBD")</f>
        <v>2.8</v>
      </c>
      <c r="G318" s="177">
        <f>IFERROR(_xlfn.STDEV.P(Data[[#This Row],[alappatjoe]:[currydestroyer27]]), "TBD")</f>
        <v>1.1661903789690602</v>
      </c>
      <c r="H318" s="135" t="s">
        <v>811</v>
      </c>
      <c r="I318" s="229" t="s">
        <v>812</v>
      </c>
      <c r="J318" s="3">
        <v>3</v>
      </c>
      <c r="K318" s="3">
        <v>2</v>
      </c>
      <c r="L318" s="3">
        <v>5</v>
      </c>
      <c r="M318" s="3">
        <v>2</v>
      </c>
      <c r="N318" s="3">
        <v>2</v>
      </c>
      <c r="O318" s="238"/>
      <c r="P318" s="234"/>
      <c r="Q318" s="93"/>
      <c r="R3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18" s="93">
        <v>1</v>
      </c>
      <c r="T318" s="93" t="b">
        <f>Data[[#This Row],[Day Rank]]=Data[[#This Row],[W Rank]]</f>
        <v>0</v>
      </c>
      <c r="U318" s="323"/>
    </row>
    <row r="319" spans="1:21" ht="15" customHeight="1">
      <c r="A319" s="333"/>
      <c r="B319" s="326"/>
      <c r="C319" s="329"/>
      <c r="D319" s="81">
        <f>D317</f>
        <v>45566</v>
      </c>
      <c r="E319" s="140" t="str">
        <f>$L$1</f>
        <v>loganworsdell</v>
      </c>
      <c r="F319" s="8">
        <f>IFERROR(AVERAGE(Data[[#This Row],[alappatjoe]:[currydestroyer27]]), "TBD")</f>
        <v>2.8</v>
      </c>
      <c r="G319" s="177">
        <f>IFERROR(_xlfn.STDEV.P(Data[[#This Row],[alappatjoe]:[currydestroyer27]]), "TBD")</f>
        <v>0.74833147735478833</v>
      </c>
      <c r="H319" s="135" t="s">
        <v>813</v>
      </c>
      <c r="I319" s="229" t="s">
        <v>814</v>
      </c>
      <c r="J319" s="3">
        <v>2</v>
      </c>
      <c r="K319" s="3">
        <v>3</v>
      </c>
      <c r="L319" s="3">
        <v>2</v>
      </c>
      <c r="M319" s="3">
        <v>3</v>
      </c>
      <c r="N319" s="3">
        <v>4</v>
      </c>
      <c r="O319" s="238"/>
      <c r="P319" s="234"/>
      <c r="Q319" s="93"/>
      <c r="R3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19" s="93">
        <v>1</v>
      </c>
      <c r="T319" s="93" t="b">
        <f>Data[[#This Row],[Day Rank]]=Data[[#This Row],[W Rank]]</f>
        <v>0</v>
      </c>
      <c r="U319" s="323"/>
    </row>
    <row r="320" spans="1:21" ht="15" customHeight="1">
      <c r="A320" s="333"/>
      <c r="B320" s="326"/>
      <c r="C320" s="329"/>
      <c r="D320" s="142">
        <f>D317</f>
        <v>45566</v>
      </c>
      <c r="E320" s="125" t="str">
        <f>$M$1</f>
        <v>samuelbattista</v>
      </c>
      <c r="F320" s="7">
        <f>IFERROR(AVERAGE(Data[[#This Row],[alappatjoe]:[currydestroyer27]]), "TBD")</f>
        <v>2.2000000000000002</v>
      </c>
      <c r="G320" s="262">
        <f>IFERROR(_xlfn.STDEV.P(Data[[#This Row],[alappatjoe]:[currydestroyer27]]), "TBD")</f>
        <v>1.6</v>
      </c>
      <c r="H320" s="264" t="s">
        <v>815</v>
      </c>
      <c r="I320" s="266" t="s">
        <v>816</v>
      </c>
      <c r="J320" s="3">
        <v>5</v>
      </c>
      <c r="K320" s="3">
        <v>1</v>
      </c>
      <c r="L320" s="3">
        <v>1</v>
      </c>
      <c r="M320" s="3">
        <v>1</v>
      </c>
      <c r="N320" s="3">
        <v>3</v>
      </c>
      <c r="O320" s="238"/>
      <c r="P320" s="234"/>
      <c r="Q320" s="93"/>
      <c r="R3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20" s="93">
        <v>1</v>
      </c>
      <c r="T320" s="93" t="b">
        <f>Data[[#This Row],[Day Rank]]=Data[[#This Row],[W Rank]]</f>
        <v>1</v>
      </c>
      <c r="U320" s="323"/>
    </row>
    <row r="321" spans="1:21" ht="15" customHeight="1" thickBot="1">
      <c r="A321" s="334"/>
      <c r="B321" s="327"/>
      <c r="C321" s="330"/>
      <c r="D321" s="82">
        <f>D317</f>
        <v>45566</v>
      </c>
      <c r="E321" s="182" t="str">
        <f>$N$1</f>
        <v>currydestroyer27</v>
      </c>
      <c r="F321" s="83">
        <f>IFERROR(AVERAGE(Data[[#This Row],[alappatjoe]:[currydestroyer27]]), "TBD")</f>
        <v>3.2</v>
      </c>
      <c r="G321" s="183">
        <f>IFERROR(_xlfn.STDEV.P(Data[[#This Row],[alappatjoe]:[currydestroyer27]]), "TBD")</f>
        <v>1.1661903789690602</v>
      </c>
      <c r="H321" s="184" t="s">
        <v>817</v>
      </c>
      <c r="I321" s="185" t="s">
        <v>818</v>
      </c>
      <c r="J321" s="83">
        <v>4</v>
      </c>
      <c r="K321" s="83">
        <v>4</v>
      </c>
      <c r="L321" s="83">
        <v>3</v>
      </c>
      <c r="M321" s="83">
        <v>4</v>
      </c>
      <c r="N321" s="83">
        <v>1</v>
      </c>
      <c r="O321" s="241"/>
      <c r="P321" s="236" t="s">
        <v>87</v>
      </c>
      <c r="Q321" s="162" t="s">
        <v>306</v>
      </c>
      <c r="R321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21" s="162">
        <v>1</v>
      </c>
      <c r="T321" s="162" t="b">
        <f>Data[[#This Row],[Day Rank]]=Data[[#This Row],[W Rank]]</f>
        <v>0</v>
      </c>
      <c r="U321" s="324"/>
    </row>
    <row r="322" spans="1:21" ht="15" customHeight="1">
      <c r="A322" s="332">
        <v>45567</v>
      </c>
      <c r="B322" s="325"/>
      <c r="C322" s="338" t="str" cm="1">
        <f t="array" ref="C322">_xlfn.LET(_xlpm.matches, _xlfn._xlws.FILTER(Data[Poster], (Data[Date]=A322)*(Data[Winner]=TRUE)), IF(ROWS(_xlpm.matches)&gt;1, "TIE", _xlpm.matches))</f>
        <v>samuelbattista</v>
      </c>
      <c r="D322" s="147">
        <f>A322</f>
        <v>45567</v>
      </c>
      <c r="E322" s="181" t="str">
        <f>$J$1</f>
        <v>alappatjoe</v>
      </c>
      <c r="F322" s="9">
        <f>IFERROR(AVERAGE(Data[[#This Row],[alappatjoe]:[currydestroyer27]]), "TBD")</f>
        <v>3</v>
      </c>
      <c r="G322" s="178">
        <f>IFERROR(_xlfn.STDEV.P(Data[[#This Row],[alappatjoe]:[currydestroyer27]]), "TBD")</f>
        <v>1.4142135623730951</v>
      </c>
      <c r="H322" s="160" t="s">
        <v>819</v>
      </c>
      <c r="I322" s="186" t="s">
        <v>820</v>
      </c>
      <c r="J322" s="3">
        <v>1</v>
      </c>
      <c r="K322" s="3">
        <v>5</v>
      </c>
      <c r="L322" s="3">
        <v>2</v>
      </c>
      <c r="M322" s="3">
        <v>3</v>
      </c>
      <c r="N322" s="3">
        <v>4</v>
      </c>
      <c r="O322" s="238"/>
      <c r="P322" s="234"/>
      <c r="Q322" s="93"/>
      <c r="R3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22" s="93">
        <v>1</v>
      </c>
      <c r="T322" s="93" t="b">
        <f>Data[[#This Row],[Day Rank]]=Data[[#This Row],[W Rank]]</f>
        <v>0</v>
      </c>
      <c r="U322" s="335"/>
    </row>
    <row r="323" spans="1:21" ht="15" customHeight="1">
      <c r="A323" s="333"/>
      <c r="B323" s="326"/>
      <c r="C323" s="339"/>
      <c r="D323" s="81">
        <f>D322</f>
        <v>45567</v>
      </c>
      <c r="E323" s="140" t="str">
        <f>$K$1</f>
        <v>danram</v>
      </c>
      <c r="F323" s="8">
        <f>IFERROR(AVERAGE(Data[[#This Row],[alappatjoe]:[currydestroyer27]]), "TBD")</f>
        <v>3.6</v>
      </c>
      <c r="G323" s="177">
        <f>IFERROR(_xlfn.STDEV.P(Data[[#This Row],[alappatjoe]:[currydestroyer27]]), "TBD")</f>
        <v>1.019803902718557</v>
      </c>
      <c r="H323" s="135" t="s">
        <v>821</v>
      </c>
      <c r="I323" s="229" t="s">
        <v>653</v>
      </c>
      <c r="J323" s="3">
        <v>4</v>
      </c>
      <c r="K323" s="3">
        <v>3</v>
      </c>
      <c r="L323" s="3">
        <v>4</v>
      </c>
      <c r="M323" s="3">
        <v>2</v>
      </c>
      <c r="N323" s="3">
        <v>5</v>
      </c>
      <c r="O323" s="238"/>
      <c r="P323" s="234"/>
      <c r="Q323" s="93"/>
      <c r="R3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23" s="93">
        <v>1</v>
      </c>
      <c r="T323" s="93" t="b">
        <f>Data[[#This Row],[Day Rank]]=Data[[#This Row],[W Rank]]</f>
        <v>0</v>
      </c>
      <c r="U323" s="336"/>
    </row>
    <row r="324" spans="1:21" ht="15" customHeight="1">
      <c r="A324" s="333"/>
      <c r="B324" s="326"/>
      <c r="C324" s="339"/>
      <c r="D324" s="81">
        <f>D322</f>
        <v>45567</v>
      </c>
      <c r="E324" s="140" t="str">
        <f>$L$1</f>
        <v>loganworsdell</v>
      </c>
      <c r="F324" s="8">
        <f>IFERROR(AVERAGE(Data[[#This Row],[alappatjoe]:[currydestroyer27]]), "TBD")</f>
        <v>2.8</v>
      </c>
      <c r="G324" s="177">
        <f>IFERROR(_xlfn.STDEV.P(Data[[#This Row],[alappatjoe]:[currydestroyer27]]), "TBD")</f>
        <v>1.3266499161421599</v>
      </c>
      <c r="H324" s="135" t="s">
        <v>822</v>
      </c>
      <c r="I324" s="229" t="s">
        <v>823</v>
      </c>
      <c r="J324" s="3">
        <v>3</v>
      </c>
      <c r="K324" s="3">
        <v>2</v>
      </c>
      <c r="L324" s="3">
        <v>1</v>
      </c>
      <c r="M324" s="3">
        <v>5</v>
      </c>
      <c r="N324" s="3">
        <v>3</v>
      </c>
      <c r="O324" s="238"/>
      <c r="P324" s="234"/>
      <c r="Q324" s="93"/>
      <c r="R3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24" s="93">
        <v>1</v>
      </c>
      <c r="T324" s="93" t="b">
        <f>Data[[#This Row],[Day Rank]]=Data[[#This Row],[W Rank]]</f>
        <v>0</v>
      </c>
      <c r="U324" s="336"/>
    </row>
    <row r="325" spans="1:21" ht="15" customHeight="1">
      <c r="A325" s="333"/>
      <c r="B325" s="326"/>
      <c r="C325" s="339"/>
      <c r="D325" s="142">
        <f>D322</f>
        <v>45567</v>
      </c>
      <c r="E325" s="125" t="str">
        <f>$M$1</f>
        <v>samuelbattista</v>
      </c>
      <c r="F325" s="7">
        <f>IFERROR(AVERAGE(Data[[#This Row],[alappatjoe]:[currydestroyer27]]), "TBD")</f>
        <v>2.2000000000000002</v>
      </c>
      <c r="G325" s="262">
        <f>IFERROR(_xlfn.STDEV.P(Data[[#This Row],[alappatjoe]:[currydestroyer27]]), "TBD")</f>
        <v>1.4696938456699069</v>
      </c>
      <c r="H325" s="264" t="s">
        <v>824</v>
      </c>
      <c r="I325" s="266" t="s">
        <v>825</v>
      </c>
      <c r="J325" s="3">
        <v>2</v>
      </c>
      <c r="K325" s="3">
        <v>1</v>
      </c>
      <c r="L325" s="3">
        <v>5</v>
      </c>
      <c r="M325" s="3">
        <v>1</v>
      </c>
      <c r="N325" s="3">
        <v>2</v>
      </c>
      <c r="O325" s="238"/>
      <c r="P325" s="234"/>
      <c r="Q325" s="93"/>
      <c r="R3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25" s="93">
        <v>1</v>
      </c>
      <c r="T325" s="93" t="b">
        <f>Data[[#This Row],[Day Rank]]=Data[[#This Row],[W Rank]]</f>
        <v>1</v>
      </c>
      <c r="U325" s="336"/>
    </row>
    <row r="326" spans="1:21" ht="15" customHeight="1" thickBot="1">
      <c r="A326" s="334"/>
      <c r="B326" s="327"/>
      <c r="C326" s="340"/>
      <c r="D326" s="82">
        <f>D322</f>
        <v>45567</v>
      </c>
      <c r="E326" s="182" t="str">
        <f>$N$1</f>
        <v>currydestroyer27</v>
      </c>
      <c r="F326" s="83">
        <f>IFERROR(AVERAGE(Data[[#This Row],[alappatjoe]:[currydestroyer27]]), "TBD")</f>
        <v>3.4</v>
      </c>
      <c r="G326" s="183">
        <f>IFERROR(_xlfn.STDEV.P(Data[[#This Row],[alappatjoe]:[currydestroyer27]]), "TBD")</f>
        <v>1.3564659966250536</v>
      </c>
      <c r="H326" s="184" t="s">
        <v>826</v>
      </c>
      <c r="I326" s="185" t="s">
        <v>827</v>
      </c>
      <c r="J326" s="83">
        <v>5</v>
      </c>
      <c r="K326" s="83">
        <v>4</v>
      </c>
      <c r="L326" s="83">
        <v>3</v>
      </c>
      <c r="M326" s="83">
        <v>4</v>
      </c>
      <c r="N326" s="83">
        <v>1</v>
      </c>
      <c r="O326" s="241"/>
      <c r="P326" s="236" t="s">
        <v>69</v>
      </c>
      <c r="Q326" s="162" t="s">
        <v>828</v>
      </c>
      <c r="R326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26" s="162">
        <v>1</v>
      </c>
      <c r="T326" s="162" t="b">
        <f>Data[[#This Row],[Day Rank]]=Data[[#This Row],[W Rank]]</f>
        <v>0</v>
      </c>
      <c r="U326" s="337"/>
    </row>
    <row r="327" spans="1:21" ht="15" customHeight="1">
      <c r="A327" s="332">
        <v>45568</v>
      </c>
      <c r="B327" s="325"/>
      <c r="C327" s="328" t="str" cm="1">
        <f t="array" ref="C327">_xlfn.LET(_xlpm.matches, _xlfn._xlws.FILTER(Data[Poster], (Data[Date]=A327)*(Data[Winner]=TRUE)), IF(ROWS(_xlpm.matches)&gt;1, "TIE", _xlpm.matches))</f>
        <v>currydestroyer27</v>
      </c>
      <c r="D327" s="147">
        <f>A327</f>
        <v>45568</v>
      </c>
      <c r="E327" s="181" t="str">
        <f>$J$1</f>
        <v>alappatjoe</v>
      </c>
      <c r="F327" s="9">
        <f>IFERROR(AVERAGE(Data[[#This Row],[alappatjoe]:[currydestroyer27]]), "TBD")</f>
        <v>3.8</v>
      </c>
      <c r="G327" s="178">
        <f>IFERROR(_xlfn.STDEV.P(Data[[#This Row],[alappatjoe]:[currydestroyer27]]), "TBD")</f>
        <v>1.6</v>
      </c>
      <c r="H327" s="160" t="s">
        <v>829</v>
      </c>
      <c r="I327" s="186" t="s">
        <v>830</v>
      </c>
      <c r="J327" s="3">
        <v>1</v>
      </c>
      <c r="K327" s="3">
        <v>5</v>
      </c>
      <c r="L327" s="3">
        <v>3</v>
      </c>
      <c r="M327" s="3">
        <v>5</v>
      </c>
      <c r="N327" s="3">
        <v>5</v>
      </c>
      <c r="O327" s="238"/>
      <c r="P327" s="234"/>
      <c r="Q327" s="93"/>
      <c r="R3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27" s="93">
        <v>1</v>
      </c>
      <c r="T327" s="93" t="b">
        <f>Data[[#This Row],[Day Rank]]=Data[[#This Row],[W Rank]]</f>
        <v>0</v>
      </c>
      <c r="U327" s="335" t="s">
        <v>831</v>
      </c>
    </row>
    <row r="328" spans="1:21" ht="15" customHeight="1">
      <c r="A328" s="333"/>
      <c r="B328" s="326"/>
      <c r="C328" s="329"/>
      <c r="D328" s="81">
        <f>D327</f>
        <v>45568</v>
      </c>
      <c r="E328" s="140" t="str">
        <f>$K$1</f>
        <v>danram</v>
      </c>
      <c r="F328" s="8">
        <f>IFERROR(AVERAGE(Data[[#This Row],[alappatjoe]:[currydestroyer27]]), "TBD")</f>
        <v>3.4</v>
      </c>
      <c r="G328" s="177">
        <f>IFERROR(_xlfn.STDEV.P(Data[[#This Row],[alappatjoe]:[currydestroyer27]]), "TBD")</f>
        <v>1.6248076809271921</v>
      </c>
      <c r="H328" s="135" t="s">
        <v>832</v>
      </c>
      <c r="I328" s="229" t="s">
        <v>833</v>
      </c>
      <c r="J328" s="3">
        <v>5</v>
      </c>
      <c r="K328" s="3">
        <v>1</v>
      </c>
      <c r="L328" s="3">
        <v>5</v>
      </c>
      <c r="M328" s="3">
        <v>4</v>
      </c>
      <c r="N328" s="3">
        <v>2</v>
      </c>
      <c r="O328" s="238"/>
      <c r="P328" s="234"/>
      <c r="Q328" s="93"/>
      <c r="R3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28" s="93">
        <v>1</v>
      </c>
      <c r="T328" s="93" t="b">
        <f>Data[[#This Row],[Day Rank]]=Data[[#This Row],[W Rank]]</f>
        <v>0</v>
      </c>
      <c r="U328" s="336"/>
    </row>
    <row r="329" spans="1:21" ht="15" customHeight="1">
      <c r="A329" s="333"/>
      <c r="B329" s="326"/>
      <c r="C329" s="329"/>
      <c r="D329" s="81">
        <f>D327</f>
        <v>45568</v>
      </c>
      <c r="E329" s="140" t="str">
        <f>$L$1</f>
        <v>loganworsdell</v>
      </c>
      <c r="F329" s="8">
        <f>IFERROR(AVERAGE(Data[[#This Row],[alappatjoe]:[currydestroyer27]]), "TBD")</f>
        <v>3</v>
      </c>
      <c r="G329" s="177">
        <f>IFERROR(_xlfn.STDEV.P(Data[[#This Row],[alappatjoe]:[currydestroyer27]]), "TBD")</f>
        <v>1.0954451150103321</v>
      </c>
      <c r="H329" s="135" t="s">
        <v>834</v>
      </c>
      <c r="I329" s="229" t="s">
        <v>835</v>
      </c>
      <c r="J329" s="3">
        <v>3</v>
      </c>
      <c r="K329" s="3">
        <v>4</v>
      </c>
      <c r="L329" s="3">
        <v>1</v>
      </c>
      <c r="M329" s="3">
        <v>3</v>
      </c>
      <c r="N329" s="3">
        <v>4</v>
      </c>
      <c r="O329" s="238"/>
      <c r="P329" s="234"/>
      <c r="Q329" s="93"/>
      <c r="R3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29" s="93">
        <v>1</v>
      </c>
      <c r="T329" s="93" t="b">
        <f>Data[[#This Row],[Day Rank]]=Data[[#This Row],[W Rank]]</f>
        <v>0</v>
      </c>
      <c r="U329" s="336"/>
    </row>
    <row r="330" spans="1:21" ht="15" customHeight="1">
      <c r="A330" s="333"/>
      <c r="B330" s="326"/>
      <c r="C330" s="329"/>
      <c r="D330" s="142">
        <f>D327</f>
        <v>45568</v>
      </c>
      <c r="E330" s="125" t="str">
        <f>$M$1</f>
        <v>samuelbattista</v>
      </c>
      <c r="F330" s="7">
        <f>IFERROR(AVERAGE(Data[[#This Row],[alappatjoe]:[currydestroyer27]]), "TBD")</f>
        <v>3</v>
      </c>
      <c r="G330" s="262">
        <f>IFERROR(_xlfn.STDEV.P(Data[[#This Row],[alappatjoe]:[currydestroyer27]]), "TBD")</f>
        <v>1.0954451150103321</v>
      </c>
      <c r="H330" s="264" t="s">
        <v>836</v>
      </c>
      <c r="I330" s="266" t="s">
        <v>837</v>
      </c>
      <c r="J330" s="3">
        <v>4</v>
      </c>
      <c r="K330" s="3">
        <v>3</v>
      </c>
      <c r="L330" s="3">
        <v>4</v>
      </c>
      <c r="M330" s="3">
        <v>1</v>
      </c>
      <c r="N330" s="3">
        <v>3</v>
      </c>
      <c r="O330" s="238"/>
      <c r="P330" s="234"/>
      <c r="Q330" s="93"/>
      <c r="R3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30" s="93">
        <v>1</v>
      </c>
      <c r="T330" s="93" t="b">
        <f>Data[[#This Row],[Day Rank]]=Data[[#This Row],[W Rank]]</f>
        <v>0</v>
      </c>
      <c r="U330" s="336"/>
    </row>
    <row r="331" spans="1:21" ht="15" customHeight="1" thickBot="1">
      <c r="A331" s="334"/>
      <c r="B331" s="327"/>
      <c r="C331" s="330"/>
      <c r="D331" s="82">
        <f>D327</f>
        <v>45568</v>
      </c>
      <c r="E331" s="182" t="str">
        <f>$N$1</f>
        <v>currydestroyer27</v>
      </c>
      <c r="F331" s="83">
        <f>IFERROR(AVERAGE(Data[[#This Row],[alappatjoe]:[currydestroyer27]]), "TBD")</f>
        <v>1.8</v>
      </c>
      <c r="G331" s="183">
        <f>IFERROR(_xlfn.STDEV.P(Data[[#This Row],[alappatjoe]:[currydestroyer27]]), "TBD")</f>
        <v>0.4</v>
      </c>
      <c r="H331" s="184" t="s">
        <v>838</v>
      </c>
      <c r="I331" s="185" t="s">
        <v>839</v>
      </c>
      <c r="J331" s="83">
        <v>2</v>
      </c>
      <c r="K331" s="83">
        <v>2</v>
      </c>
      <c r="L331" s="83">
        <v>2</v>
      </c>
      <c r="M331" s="83">
        <v>2</v>
      </c>
      <c r="N331" s="83">
        <v>1</v>
      </c>
      <c r="O331" s="241"/>
      <c r="P331" s="236" t="s">
        <v>87</v>
      </c>
      <c r="Q331" s="162" t="s">
        <v>840</v>
      </c>
      <c r="R331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31" s="162">
        <v>1</v>
      </c>
      <c r="T331" s="162" t="b">
        <f>Data[[#This Row],[Day Rank]]=Data[[#This Row],[W Rank]]</f>
        <v>1</v>
      </c>
      <c r="U331" s="337"/>
    </row>
    <row r="332" spans="1:21" ht="15" customHeight="1">
      <c r="A332" s="332">
        <v>45572</v>
      </c>
      <c r="B332" s="325"/>
      <c r="C332" s="338" t="str" cm="1">
        <f t="array" ref="C332">_xlfn.LET(_xlpm.matches, _xlfn._xlws.FILTER(Data[Poster], (Data[Date]=A332)*(Data[Winner]=TRUE)), IF(ROWS(_xlpm.matches)&gt;1, "TIE", _xlpm.matches))</f>
        <v>danram</v>
      </c>
      <c r="D332" s="147">
        <f>A332</f>
        <v>45572</v>
      </c>
      <c r="E332" s="181" t="str">
        <f>$J$1</f>
        <v>alappatjoe</v>
      </c>
      <c r="F332" s="9">
        <f>IFERROR(AVERAGE(Data[[#This Row],[alappatjoe]:[currydestroyer27]]), "TBD")</f>
        <v>3.8</v>
      </c>
      <c r="G332" s="178">
        <f>IFERROR(_xlfn.STDEV.P(Data[[#This Row],[alappatjoe]:[currydestroyer27]]), "TBD")</f>
        <v>1.4696938456699069</v>
      </c>
      <c r="H332" s="160" t="s">
        <v>841</v>
      </c>
      <c r="I332" s="186" t="s">
        <v>842</v>
      </c>
      <c r="J332" s="3">
        <v>1</v>
      </c>
      <c r="K332" s="3">
        <v>5</v>
      </c>
      <c r="L332" s="3">
        <v>5</v>
      </c>
      <c r="M332" s="3">
        <v>4</v>
      </c>
      <c r="N332" s="3">
        <v>4</v>
      </c>
      <c r="O332" s="238"/>
      <c r="P332" s="234"/>
      <c r="Q332" s="93"/>
      <c r="R3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32" s="93">
        <v>1</v>
      </c>
      <c r="T332" s="93" t="b">
        <f>Data[[#This Row],[Day Rank]]=Data[[#This Row],[W Rank]]</f>
        <v>0</v>
      </c>
      <c r="U332" s="335"/>
    </row>
    <row r="333" spans="1:21" ht="15" customHeight="1">
      <c r="A333" s="333"/>
      <c r="B333" s="326"/>
      <c r="C333" s="339"/>
      <c r="D333" s="81">
        <f>D332</f>
        <v>45572</v>
      </c>
      <c r="E333" s="140" t="str">
        <f>$K$1</f>
        <v>danram</v>
      </c>
      <c r="F333" s="8">
        <f>IFERROR(AVERAGE(Data[[#This Row],[alappatjoe]:[currydestroyer27]]), "TBD")</f>
        <v>2.2000000000000002</v>
      </c>
      <c r="G333" s="177">
        <f>IFERROR(_xlfn.STDEV.P(Data[[#This Row],[alappatjoe]:[currydestroyer27]]), "TBD")</f>
        <v>0.74833147735478833</v>
      </c>
      <c r="H333" s="135" t="s">
        <v>843</v>
      </c>
      <c r="I333" s="229" t="s">
        <v>361</v>
      </c>
      <c r="J333" s="3">
        <v>3</v>
      </c>
      <c r="K333" s="3">
        <v>1</v>
      </c>
      <c r="L333" s="3">
        <v>2</v>
      </c>
      <c r="M333" s="3">
        <v>2</v>
      </c>
      <c r="N333" s="3">
        <v>3</v>
      </c>
      <c r="O333" s="238"/>
      <c r="P333" s="234"/>
      <c r="Q333" s="93"/>
      <c r="R3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33" s="93">
        <v>1</v>
      </c>
      <c r="T333" s="93" t="b">
        <f>Data[[#This Row],[Day Rank]]=Data[[#This Row],[W Rank]]</f>
        <v>1</v>
      </c>
      <c r="U333" s="336"/>
    </row>
    <row r="334" spans="1:21" ht="15" customHeight="1">
      <c r="A334" s="333"/>
      <c r="B334" s="326"/>
      <c r="C334" s="339"/>
      <c r="D334" s="81">
        <f>D332</f>
        <v>45572</v>
      </c>
      <c r="E334" s="140" t="str">
        <f>$L$1</f>
        <v>loganworsdell</v>
      </c>
      <c r="F334" s="8">
        <f>IFERROR(AVERAGE(Data[[#This Row],[alappatjoe]:[currydestroyer27]]), "TBD")</f>
        <v>2.8</v>
      </c>
      <c r="G334" s="177">
        <f>IFERROR(_xlfn.STDEV.P(Data[[#This Row],[alappatjoe]:[currydestroyer27]]), "TBD")</f>
        <v>1.4696938456699069</v>
      </c>
      <c r="H334" s="135" t="s">
        <v>844</v>
      </c>
      <c r="I334" s="229" t="s">
        <v>845</v>
      </c>
      <c r="J334" s="3">
        <v>4</v>
      </c>
      <c r="K334" s="3">
        <v>2</v>
      </c>
      <c r="L334" s="3">
        <v>1</v>
      </c>
      <c r="M334" s="3">
        <v>5</v>
      </c>
      <c r="N334" s="3">
        <v>2</v>
      </c>
      <c r="O334" s="238"/>
      <c r="P334" s="234" t="s">
        <v>51</v>
      </c>
      <c r="Q334" s="93" t="s">
        <v>846</v>
      </c>
      <c r="R3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34" s="93">
        <v>1</v>
      </c>
      <c r="T334" s="93" t="b">
        <f>Data[[#This Row],[Day Rank]]=Data[[#This Row],[W Rank]]</f>
        <v>0</v>
      </c>
      <c r="U334" s="336"/>
    </row>
    <row r="335" spans="1:21" ht="15" customHeight="1">
      <c r="A335" s="333"/>
      <c r="B335" s="326"/>
      <c r="C335" s="339"/>
      <c r="D335" s="142">
        <f>D332</f>
        <v>45572</v>
      </c>
      <c r="E335" s="125" t="str">
        <f>$M$1</f>
        <v>samuelbattista</v>
      </c>
      <c r="F335" s="7">
        <f>IFERROR(AVERAGE(Data[[#This Row],[alappatjoe]:[currydestroyer27]]), "TBD")</f>
        <v>3</v>
      </c>
      <c r="G335" s="262">
        <f>IFERROR(_xlfn.STDEV.P(Data[[#This Row],[alappatjoe]:[currydestroyer27]]), "TBD")</f>
        <v>1.4142135623730951</v>
      </c>
      <c r="H335" s="264" t="s">
        <v>847</v>
      </c>
      <c r="I335" s="266" t="s">
        <v>848</v>
      </c>
      <c r="J335" s="3">
        <v>2</v>
      </c>
      <c r="K335" s="3">
        <v>3</v>
      </c>
      <c r="L335" s="3">
        <v>4</v>
      </c>
      <c r="M335" s="3">
        <v>1</v>
      </c>
      <c r="N335" s="3">
        <v>5</v>
      </c>
      <c r="O335" s="238"/>
      <c r="P335" s="234"/>
      <c r="Q335" s="93"/>
      <c r="R3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35" s="93">
        <v>1</v>
      </c>
      <c r="T335" s="93" t="b">
        <f>Data[[#This Row],[Day Rank]]=Data[[#This Row],[W Rank]]</f>
        <v>0</v>
      </c>
      <c r="U335" s="336"/>
    </row>
    <row r="336" spans="1:21" ht="15" customHeight="1" thickBot="1">
      <c r="A336" s="334"/>
      <c r="B336" s="327"/>
      <c r="C336" s="340"/>
      <c r="D336" s="82">
        <f>D332</f>
        <v>45572</v>
      </c>
      <c r="E336" s="182" t="str">
        <f>$N$1</f>
        <v>currydestroyer27</v>
      </c>
      <c r="F336" s="83">
        <f>IFERROR(AVERAGE(Data[[#This Row],[alappatjoe]:[currydestroyer27]]), "TBD")</f>
        <v>3.2</v>
      </c>
      <c r="G336" s="183">
        <f>IFERROR(_xlfn.STDEV.P(Data[[#This Row],[alappatjoe]:[currydestroyer27]]), "TBD")</f>
        <v>1.3266499161421599</v>
      </c>
      <c r="H336" s="184" t="s">
        <v>849</v>
      </c>
      <c r="I336" s="185" t="s">
        <v>850</v>
      </c>
      <c r="J336" s="83">
        <v>5</v>
      </c>
      <c r="K336" s="83">
        <v>4</v>
      </c>
      <c r="L336" s="83">
        <v>3</v>
      </c>
      <c r="M336" s="83">
        <v>3</v>
      </c>
      <c r="N336" s="83">
        <v>1</v>
      </c>
      <c r="O336" s="241"/>
      <c r="P336" s="236" t="s">
        <v>69</v>
      </c>
      <c r="Q336" s="162" t="s">
        <v>317</v>
      </c>
      <c r="R336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36" s="162">
        <v>1</v>
      </c>
      <c r="T336" s="162" t="b">
        <f>Data[[#This Row],[Day Rank]]=Data[[#This Row],[W Rank]]</f>
        <v>0</v>
      </c>
      <c r="U336" s="337"/>
    </row>
    <row r="337" spans="1:21" ht="15" customHeight="1">
      <c r="A337" s="332">
        <v>45573</v>
      </c>
      <c r="B337" s="325"/>
      <c r="C337" s="328" t="str" cm="1">
        <f t="array" ref="C337">_xlfn.LET(_xlpm.matches, _xlfn._xlws.FILTER(Data[Poster], (Data[Date]=A337)*(Data[Winner]=TRUE)), IF(ROWS(_xlpm.matches)&gt;1, "TIE", _xlpm.matches))</f>
        <v>currydestroyer27</v>
      </c>
      <c r="D337" s="147">
        <f>A337</f>
        <v>45573</v>
      </c>
      <c r="E337" s="181" t="str">
        <f>$J$1</f>
        <v>alappatjoe</v>
      </c>
      <c r="F337" s="9">
        <f>IFERROR(AVERAGE(Data[[#This Row],[alappatjoe]:[currydestroyer27]]), "TBD")</f>
        <v>2.4</v>
      </c>
      <c r="G337" s="178">
        <f>IFERROR(_xlfn.STDEV.P(Data[[#This Row],[alappatjoe]:[currydestroyer27]]), "TBD")</f>
        <v>1.019803902718557</v>
      </c>
      <c r="H337" s="160" t="s">
        <v>851</v>
      </c>
      <c r="I337" s="186" t="s">
        <v>728</v>
      </c>
      <c r="J337" s="3">
        <v>1</v>
      </c>
      <c r="K337" s="3">
        <v>2</v>
      </c>
      <c r="L337" s="3">
        <v>3</v>
      </c>
      <c r="M337" s="3">
        <v>4</v>
      </c>
      <c r="N337" s="3">
        <v>2</v>
      </c>
      <c r="O337" s="238"/>
      <c r="P337" s="234"/>
      <c r="Q337" s="93"/>
      <c r="R3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37" s="93">
        <v>1</v>
      </c>
      <c r="T337" s="93" t="b">
        <f>Data[[#This Row],[Day Rank]]=Data[[#This Row],[W Rank]]</f>
        <v>0</v>
      </c>
      <c r="U337" s="335"/>
    </row>
    <row r="338" spans="1:21" ht="15" customHeight="1">
      <c r="A338" s="333"/>
      <c r="B338" s="326"/>
      <c r="C338" s="329"/>
      <c r="D338" s="81">
        <f>D337</f>
        <v>45573</v>
      </c>
      <c r="E338" s="140" t="str">
        <f>$K$1</f>
        <v>danram</v>
      </c>
      <c r="F338" s="8">
        <f>IFERROR(AVERAGE(Data[[#This Row],[alappatjoe]:[currydestroyer27]]), "TBD")</f>
        <v>4.8</v>
      </c>
      <c r="G338" s="177">
        <f>IFERROR(_xlfn.STDEV.P(Data[[#This Row],[alappatjoe]:[currydestroyer27]]), "TBD")</f>
        <v>0.39999999999999997</v>
      </c>
      <c r="H338" s="135" t="s">
        <v>852</v>
      </c>
      <c r="I338" s="229" t="s">
        <v>853</v>
      </c>
      <c r="J338" s="3">
        <v>5</v>
      </c>
      <c r="K338" s="3">
        <v>4</v>
      </c>
      <c r="L338" s="3">
        <v>5</v>
      </c>
      <c r="M338" s="3">
        <v>5</v>
      </c>
      <c r="N338" s="3">
        <v>5</v>
      </c>
      <c r="O338" s="238"/>
      <c r="P338" s="234"/>
      <c r="Q338" s="93"/>
      <c r="R3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38" s="93">
        <v>1</v>
      </c>
      <c r="T338" s="93" t="b">
        <f>Data[[#This Row],[Day Rank]]=Data[[#This Row],[W Rank]]</f>
        <v>0</v>
      </c>
      <c r="U338" s="336"/>
    </row>
    <row r="339" spans="1:21" ht="15" customHeight="1">
      <c r="A339" s="333"/>
      <c r="B339" s="326"/>
      <c r="C339" s="329"/>
      <c r="D339" s="81">
        <f>D337</f>
        <v>45573</v>
      </c>
      <c r="E339" s="140" t="str">
        <f>$L$1</f>
        <v>loganworsdell</v>
      </c>
      <c r="F339" s="8">
        <f>IFERROR(AVERAGE(Data[[#This Row],[alappatjoe]:[currydestroyer27]]), "TBD")</f>
        <v>2.2000000000000002</v>
      </c>
      <c r="G339" s="177">
        <f>IFERROR(_xlfn.STDEV.P(Data[[#This Row],[alappatjoe]:[currydestroyer27]]), "TBD")</f>
        <v>1.1661903789690602</v>
      </c>
      <c r="H339" s="135" t="s">
        <v>854</v>
      </c>
      <c r="I339" s="229" t="s">
        <v>855</v>
      </c>
      <c r="J339" s="3">
        <v>2</v>
      </c>
      <c r="K339" s="3">
        <v>3</v>
      </c>
      <c r="L339" s="3">
        <v>1</v>
      </c>
      <c r="M339" s="3">
        <v>1</v>
      </c>
      <c r="N339" s="3">
        <v>4</v>
      </c>
      <c r="O339" s="238"/>
      <c r="P339" s="234" t="s">
        <v>293</v>
      </c>
      <c r="Q339" s="93" t="s">
        <v>856</v>
      </c>
      <c r="R3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39" s="93">
        <v>1</v>
      </c>
      <c r="T339" s="93" t="b">
        <f>Data[[#This Row],[Day Rank]]=Data[[#This Row],[W Rank]]</f>
        <v>0</v>
      </c>
      <c r="U339" s="336"/>
    </row>
    <row r="340" spans="1:21" ht="15" customHeight="1">
      <c r="A340" s="333"/>
      <c r="B340" s="326"/>
      <c r="C340" s="329"/>
      <c r="D340" s="142">
        <f>D337</f>
        <v>45573</v>
      </c>
      <c r="E340" s="125" t="str">
        <f>$M$1</f>
        <v>samuelbattista</v>
      </c>
      <c r="F340" s="7">
        <f>IFERROR(AVERAGE(Data[[#This Row],[alappatjoe]:[currydestroyer27]]), "TBD")</f>
        <v>3.8</v>
      </c>
      <c r="G340" s="262">
        <f>IFERROR(_xlfn.STDEV.P(Data[[#This Row],[alappatjoe]:[currydestroyer27]]), "TBD")</f>
        <v>0.74833147735478833</v>
      </c>
      <c r="H340" s="264" t="s">
        <v>857</v>
      </c>
      <c r="I340" s="266" t="s">
        <v>858</v>
      </c>
      <c r="J340" s="3">
        <v>4</v>
      </c>
      <c r="K340" s="3">
        <v>5</v>
      </c>
      <c r="L340" s="3">
        <v>4</v>
      </c>
      <c r="M340" s="3">
        <v>3</v>
      </c>
      <c r="N340" s="3">
        <v>3</v>
      </c>
      <c r="O340" s="238"/>
      <c r="P340" s="234"/>
      <c r="Q340" s="93"/>
      <c r="R3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40" s="93">
        <v>1</v>
      </c>
      <c r="T340" s="93" t="b">
        <f>Data[[#This Row],[Day Rank]]=Data[[#This Row],[W Rank]]</f>
        <v>0</v>
      </c>
      <c r="U340" s="336"/>
    </row>
    <row r="341" spans="1:21" ht="15" customHeight="1" thickBot="1">
      <c r="A341" s="334"/>
      <c r="B341" s="327"/>
      <c r="C341" s="330"/>
      <c r="D341" s="82">
        <f>D337</f>
        <v>45573</v>
      </c>
      <c r="E341" s="182" t="str">
        <f>$N$1</f>
        <v>currydestroyer27</v>
      </c>
      <c r="F341" s="83">
        <f>IFERROR(AVERAGE(Data[[#This Row],[alappatjoe]:[currydestroyer27]]), "TBD")</f>
        <v>1.8</v>
      </c>
      <c r="G341" s="183">
        <f>IFERROR(_xlfn.STDEV.P(Data[[#This Row],[alappatjoe]:[currydestroyer27]]), "TBD")</f>
        <v>0.74833147735478833</v>
      </c>
      <c r="H341" s="184" t="s">
        <v>859</v>
      </c>
      <c r="I341" s="185" t="s">
        <v>284</v>
      </c>
      <c r="J341" s="83">
        <v>3</v>
      </c>
      <c r="K341" s="83">
        <v>1</v>
      </c>
      <c r="L341" s="83">
        <v>2</v>
      </c>
      <c r="M341" s="83">
        <v>2</v>
      </c>
      <c r="N341" s="83">
        <v>1</v>
      </c>
      <c r="O341" s="241"/>
      <c r="P341" s="236" t="s">
        <v>120</v>
      </c>
      <c r="Q341" s="162" t="s">
        <v>860</v>
      </c>
      <c r="R341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41" s="162">
        <v>1</v>
      </c>
      <c r="T341" s="162" t="b">
        <f>Data[[#This Row],[Day Rank]]=Data[[#This Row],[W Rank]]</f>
        <v>1</v>
      </c>
      <c r="U341" s="337"/>
    </row>
    <row r="342" spans="1:21" ht="15" customHeight="1">
      <c r="A342" s="332">
        <v>45574</v>
      </c>
      <c r="B342" s="325"/>
      <c r="C342" s="338" t="str" cm="1">
        <f t="array" ref="C342">_xlfn.LET(_xlpm.matches, _xlfn._xlws.FILTER(Data[Poster], (Data[Date]=A342)*(Data[Winner]=TRUE)), IF(ROWS(_xlpm.matches)&gt;1, "TIE", _xlpm.matches))</f>
        <v>danram</v>
      </c>
      <c r="D342" s="147">
        <f>A342</f>
        <v>45574</v>
      </c>
      <c r="E342" s="181" t="str">
        <f>$J$1</f>
        <v>alappatjoe</v>
      </c>
      <c r="F342" s="9">
        <f>IFERROR(AVERAGE(Data[[#This Row],[alappatjoe]:[currydestroyer27]]), "TBD")</f>
        <v>3.2</v>
      </c>
      <c r="G342" s="178">
        <f>IFERROR(_xlfn.STDEV.P(Data[[#This Row],[alappatjoe]:[currydestroyer27]]), "TBD")</f>
        <v>1.3266499161421599</v>
      </c>
      <c r="H342" s="160" t="s">
        <v>861</v>
      </c>
      <c r="I342" s="186" t="s">
        <v>862</v>
      </c>
      <c r="J342" s="3">
        <v>1</v>
      </c>
      <c r="K342" s="3">
        <v>5</v>
      </c>
      <c r="L342" s="3">
        <v>4</v>
      </c>
      <c r="M342" s="3">
        <v>3</v>
      </c>
      <c r="N342" s="3">
        <v>3</v>
      </c>
      <c r="O342" s="238"/>
      <c r="P342" s="234"/>
      <c r="Q342" s="93"/>
      <c r="R3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42" s="93">
        <v>1</v>
      </c>
      <c r="T342" s="93" t="b">
        <f>Data[[#This Row],[Day Rank]]=Data[[#This Row],[W Rank]]</f>
        <v>0</v>
      </c>
      <c r="U342" s="335"/>
    </row>
    <row r="343" spans="1:21" ht="15" customHeight="1">
      <c r="A343" s="333"/>
      <c r="B343" s="326"/>
      <c r="C343" s="339"/>
      <c r="D343" s="81">
        <f>D342</f>
        <v>45574</v>
      </c>
      <c r="E343" s="140" t="str">
        <f>$K$1</f>
        <v>danram</v>
      </c>
      <c r="F343" s="8">
        <f>IFERROR(AVERAGE(Data[[#This Row],[alappatjoe]:[currydestroyer27]]), "TBD")</f>
        <v>1.8</v>
      </c>
      <c r="G343" s="177">
        <f>IFERROR(_xlfn.STDEV.P(Data[[#This Row],[alappatjoe]:[currydestroyer27]]), "TBD")</f>
        <v>0.74833147735478833</v>
      </c>
      <c r="H343" s="135" t="s">
        <v>863</v>
      </c>
      <c r="I343" s="229" t="s">
        <v>864</v>
      </c>
      <c r="J343" s="3">
        <v>3</v>
      </c>
      <c r="K343" s="3">
        <v>1</v>
      </c>
      <c r="L343" s="3">
        <v>1</v>
      </c>
      <c r="M343" s="3">
        <v>2</v>
      </c>
      <c r="N343" s="3">
        <v>2</v>
      </c>
      <c r="O343" s="238"/>
      <c r="P343" s="234"/>
      <c r="Q343" s="93"/>
      <c r="R3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43" s="93">
        <v>1</v>
      </c>
      <c r="T343" s="93" t="b">
        <f>Data[[#This Row],[Day Rank]]=Data[[#This Row],[W Rank]]</f>
        <v>1</v>
      </c>
      <c r="U343" s="336"/>
    </row>
    <row r="344" spans="1:21" ht="15" customHeight="1">
      <c r="A344" s="333"/>
      <c r="B344" s="326"/>
      <c r="C344" s="339"/>
      <c r="D344" s="81">
        <f>D342</f>
        <v>45574</v>
      </c>
      <c r="E344" s="140" t="str">
        <f>$L$1</f>
        <v>loganworsdell</v>
      </c>
      <c r="F344" s="8">
        <f>IFERROR(AVERAGE(Data[[#This Row],[alappatjoe]:[currydestroyer27]]), "TBD")</f>
        <v>3.8</v>
      </c>
      <c r="G344" s="177">
        <f>IFERROR(_xlfn.STDEV.P(Data[[#This Row],[alappatjoe]:[currydestroyer27]]), "TBD")</f>
        <v>0.9797958971132712</v>
      </c>
      <c r="H344" s="135" t="s">
        <v>865</v>
      </c>
      <c r="I344" s="229" t="s">
        <v>866</v>
      </c>
      <c r="J344" s="3">
        <v>4</v>
      </c>
      <c r="K344" s="3">
        <v>4</v>
      </c>
      <c r="L344" s="3">
        <v>2</v>
      </c>
      <c r="M344" s="3">
        <v>4</v>
      </c>
      <c r="N344" s="3">
        <v>5</v>
      </c>
      <c r="O344" s="238"/>
      <c r="P344" s="234"/>
      <c r="Q344" s="93"/>
      <c r="R3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44" s="93">
        <v>1</v>
      </c>
      <c r="T344" s="93" t="b">
        <f>Data[[#This Row],[Day Rank]]=Data[[#This Row],[W Rank]]</f>
        <v>0</v>
      </c>
      <c r="U344" s="336"/>
    </row>
    <row r="345" spans="1:21" ht="15" customHeight="1">
      <c r="A345" s="333"/>
      <c r="B345" s="326"/>
      <c r="C345" s="339"/>
      <c r="D345" s="142">
        <f>D342</f>
        <v>45574</v>
      </c>
      <c r="E345" s="125" t="str">
        <f>$M$1</f>
        <v>samuelbattista</v>
      </c>
      <c r="F345" s="7">
        <f>IFERROR(AVERAGE(Data[[#This Row],[alappatjoe]:[currydestroyer27]]), "TBD")</f>
        <v>3.2</v>
      </c>
      <c r="G345" s="262">
        <f>IFERROR(_xlfn.STDEV.P(Data[[#This Row],[alappatjoe]:[currydestroyer27]]), "TBD")</f>
        <v>1.3266499161421599</v>
      </c>
      <c r="H345" s="264" t="s">
        <v>867</v>
      </c>
      <c r="I345" s="266" t="s">
        <v>868</v>
      </c>
      <c r="J345" s="3">
        <v>5</v>
      </c>
      <c r="K345" s="3">
        <v>3</v>
      </c>
      <c r="L345" s="3">
        <v>3</v>
      </c>
      <c r="M345" s="3">
        <v>1</v>
      </c>
      <c r="N345" s="3">
        <v>4</v>
      </c>
      <c r="O345" s="238"/>
      <c r="P345" s="234"/>
      <c r="Q345" s="93"/>
      <c r="R3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45" s="93">
        <v>1</v>
      </c>
      <c r="T345" s="93" t="b">
        <f>Data[[#This Row],[Day Rank]]=Data[[#This Row],[W Rank]]</f>
        <v>0</v>
      </c>
      <c r="U345" s="336"/>
    </row>
    <row r="346" spans="1:21" ht="15" customHeight="1" thickBot="1">
      <c r="A346" s="334"/>
      <c r="B346" s="327"/>
      <c r="C346" s="340"/>
      <c r="D346" s="82">
        <f>D342</f>
        <v>45574</v>
      </c>
      <c r="E346" s="182" t="str">
        <f>$N$1</f>
        <v>currydestroyer27</v>
      </c>
      <c r="F346" s="83">
        <f>IFERROR(AVERAGE(Data[[#This Row],[alappatjoe]:[currydestroyer27]]), "TBD")</f>
        <v>3</v>
      </c>
      <c r="G346" s="183">
        <f>IFERROR(_xlfn.STDEV.P(Data[[#This Row],[alappatjoe]:[currydestroyer27]]), "TBD")</f>
        <v>1.6733200530681511</v>
      </c>
      <c r="H346" s="184" t="s">
        <v>869</v>
      </c>
      <c r="I346" s="185" t="s">
        <v>870</v>
      </c>
      <c r="J346" s="83">
        <v>2</v>
      </c>
      <c r="K346" s="83">
        <v>2</v>
      </c>
      <c r="L346" s="83">
        <v>5</v>
      </c>
      <c r="M346" s="83">
        <v>5</v>
      </c>
      <c r="N346" s="83">
        <v>1</v>
      </c>
      <c r="O346" s="241"/>
      <c r="P346" s="236" t="s">
        <v>76</v>
      </c>
      <c r="Q346" s="162" t="s">
        <v>99</v>
      </c>
      <c r="R346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46" s="162">
        <v>1</v>
      </c>
      <c r="T346" s="162" t="b">
        <f>Data[[#This Row],[Day Rank]]=Data[[#This Row],[W Rank]]</f>
        <v>0</v>
      </c>
      <c r="U346" s="337"/>
    </row>
    <row r="347" spans="1:21" ht="15" customHeight="1">
      <c r="A347" s="332">
        <v>45575</v>
      </c>
      <c r="B347" s="325"/>
      <c r="C347" s="328" t="str" cm="1">
        <f t="array" ref="C347">_xlfn.LET(_xlpm.matches, _xlfn._xlws.FILTER(Data[Poster], (Data[Date]=A347)*(Data[Winner]=TRUE)), IF(ROWS(_xlpm.matches)&gt;1, "TIE", _xlpm.matches))</f>
        <v>samuelbattista</v>
      </c>
      <c r="D347" s="147">
        <f>A347</f>
        <v>45575</v>
      </c>
      <c r="E347" s="181" t="str">
        <f>$J$1</f>
        <v>alappatjoe</v>
      </c>
      <c r="F347" s="9">
        <f>IFERROR(AVERAGE(Data[[#This Row],[alappatjoe]:[currydestroyer27]]), "TBD")</f>
        <v>3.2</v>
      </c>
      <c r="G347" s="177">
        <f>IFERROR(_xlfn.STDEV.P(Data[[#This Row],[alappatjoe]:[currydestroyer27]]), "TBD")</f>
        <v>1.6</v>
      </c>
      <c r="H347" s="135" t="s">
        <v>871</v>
      </c>
      <c r="I347" s="229" t="s">
        <v>872</v>
      </c>
      <c r="J347" s="3">
        <v>1</v>
      </c>
      <c r="K347" s="3">
        <v>2</v>
      </c>
      <c r="L347" s="3">
        <v>5</v>
      </c>
      <c r="M347" s="3">
        <v>5</v>
      </c>
      <c r="N347" s="3">
        <v>3</v>
      </c>
      <c r="O347" s="238"/>
      <c r="P347" s="234"/>
      <c r="Q347" s="93"/>
      <c r="R3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47" s="93">
        <v>1</v>
      </c>
      <c r="T347" s="93" t="b">
        <f>Data[[#This Row],[Day Rank]]=Data[[#This Row],[W Rank]]</f>
        <v>0</v>
      </c>
      <c r="U347" s="335" t="s">
        <v>873</v>
      </c>
    </row>
    <row r="348" spans="1:21" ht="15" customHeight="1">
      <c r="A348" s="333"/>
      <c r="B348" s="326"/>
      <c r="C348" s="329"/>
      <c r="D348" s="81">
        <f>D347</f>
        <v>45575</v>
      </c>
      <c r="E348" s="140" t="str">
        <f>$K$1</f>
        <v>danram</v>
      </c>
      <c r="F348" s="8">
        <f>IFERROR(AVERAGE(Data[[#This Row],[alappatjoe]:[currydestroyer27]]), "TBD")</f>
        <v>3</v>
      </c>
      <c r="G348" s="177">
        <f>IFERROR(_xlfn.STDEV.P(Data[[#This Row],[alappatjoe]:[currydestroyer27]]), "TBD")</f>
        <v>1.2649110640673518</v>
      </c>
      <c r="H348" s="135" t="s">
        <v>874</v>
      </c>
      <c r="I348" s="229" t="s">
        <v>875</v>
      </c>
      <c r="J348" s="3">
        <v>2</v>
      </c>
      <c r="K348" s="3">
        <v>1</v>
      </c>
      <c r="L348" s="3">
        <v>4</v>
      </c>
      <c r="M348" s="3">
        <v>4</v>
      </c>
      <c r="N348" s="3">
        <v>4</v>
      </c>
      <c r="O348" s="238"/>
      <c r="P348" s="234"/>
      <c r="Q348" s="93"/>
      <c r="R3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48" s="93">
        <v>1</v>
      </c>
      <c r="T348" s="93" t="b">
        <f>Data[[#This Row],[Day Rank]]=Data[[#This Row],[W Rank]]</f>
        <v>0</v>
      </c>
      <c r="U348" s="336"/>
    </row>
    <row r="349" spans="1:21" ht="15" customHeight="1">
      <c r="A349" s="333"/>
      <c r="B349" s="326"/>
      <c r="C349" s="329"/>
      <c r="D349" s="81">
        <f>D347</f>
        <v>45575</v>
      </c>
      <c r="E349" s="140" t="str">
        <f>$L$1</f>
        <v>loganworsdell</v>
      </c>
      <c r="F349" s="8">
        <f>IFERROR(AVERAGE(Data[[#This Row],[alappatjoe]:[currydestroyer27]]), "TBD")</f>
        <v>3</v>
      </c>
      <c r="G349" s="177">
        <f>IFERROR(_xlfn.STDEV.P(Data[[#This Row],[alappatjoe]:[currydestroyer27]]), "TBD")</f>
        <v>1.4142135623730951</v>
      </c>
      <c r="H349" s="135" t="s">
        <v>876</v>
      </c>
      <c r="I349" s="229" t="s">
        <v>877</v>
      </c>
      <c r="J349" s="3">
        <v>3</v>
      </c>
      <c r="K349" s="3">
        <v>4</v>
      </c>
      <c r="L349" s="3">
        <v>1</v>
      </c>
      <c r="M349" s="3">
        <v>2</v>
      </c>
      <c r="N349" s="3">
        <v>5</v>
      </c>
      <c r="O349" s="238"/>
      <c r="P349" s="234"/>
      <c r="Q349" s="93"/>
      <c r="R3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49" s="93">
        <v>1</v>
      </c>
      <c r="T349" s="93" t="b">
        <f>Data[[#This Row],[Day Rank]]=Data[[#This Row],[W Rank]]</f>
        <v>0</v>
      </c>
      <c r="U349" s="336"/>
    </row>
    <row r="350" spans="1:21" ht="15" customHeight="1">
      <c r="A350" s="333"/>
      <c r="B350" s="326"/>
      <c r="C350" s="329"/>
      <c r="D350" s="142">
        <f>D347</f>
        <v>45575</v>
      </c>
      <c r="E350" s="125" t="str">
        <f>$M$1</f>
        <v>samuelbattista</v>
      </c>
      <c r="F350" s="7">
        <f>IFERROR(AVERAGE(Data[[#This Row],[alappatjoe]:[currydestroyer27]]), "TBD")</f>
        <v>2.6</v>
      </c>
      <c r="G350" s="262">
        <f>IFERROR(_xlfn.STDEV.P(Data[[#This Row],[alappatjoe]:[currydestroyer27]]), "TBD")</f>
        <v>1.3564659966250536</v>
      </c>
      <c r="H350" s="264" t="s">
        <v>878</v>
      </c>
      <c r="I350" s="266" t="s">
        <v>879</v>
      </c>
      <c r="J350" s="3">
        <v>5</v>
      </c>
      <c r="K350" s="3">
        <v>3</v>
      </c>
      <c r="L350" s="3">
        <v>2</v>
      </c>
      <c r="M350" s="3">
        <v>1</v>
      </c>
      <c r="N350" s="3">
        <v>2</v>
      </c>
      <c r="O350" s="238"/>
      <c r="P350" s="234"/>
      <c r="Q350" s="93"/>
      <c r="R3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50" s="93">
        <v>1</v>
      </c>
      <c r="T350" s="93" t="b">
        <f>Data[[#This Row],[Day Rank]]=Data[[#This Row],[W Rank]]</f>
        <v>1</v>
      </c>
      <c r="U350" s="336"/>
    </row>
    <row r="351" spans="1:21" ht="15" customHeight="1" thickBot="1">
      <c r="A351" s="334"/>
      <c r="B351" s="327"/>
      <c r="C351" s="330"/>
      <c r="D351" s="82">
        <f>D347</f>
        <v>45575</v>
      </c>
      <c r="E351" s="182" t="str">
        <f>$N$1</f>
        <v>currydestroyer27</v>
      </c>
      <c r="F351" s="83">
        <f>IFERROR(AVERAGE(Data[[#This Row],[alappatjoe]:[currydestroyer27]]), "TBD")</f>
        <v>3.2</v>
      </c>
      <c r="G351" s="183">
        <f>IFERROR(_xlfn.STDEV.P(Data[[#This Row],[alappatjoe]:[currydestroyer27]]), "TBD")</f>
        <v>1.3266499161421599</v>
      </c>
      <c r="H351" s="184" t="s">
        <v>880</v>
      </c>
      <c r="I351" s="185" t="s">
        <v>881</v>
      </c>
      <c r="J351" s="83">
        <v>4</v>
      </c>
      <c r="K351" s="83">
        <v>5</v>
      </c>
      <c r="L351" s="83">
        <v>3</v>
      </c>
      <c r="M351" s="83">
        <v>3</v>
      </c>
      <c r="N351" s="83">
        <v>1</v>
      </c>
      <c r="O351" s="241"/>
      <c r="P351" s="236" t="s">
        <v>76</v>
      </c>
      <c r="Q351" s="162" t="s">
        <v>882</v>
      </c>
      <c r="R351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51" s="162">
        <v>1</v>
      </c>
      <c r="T351" s="162" t="b">
        <f>Data[[#This Row],[Day Rank]]=Data[[#This Row],[W Rank]]</f>
        <v>0</v>
      </c>
      <c r="U351" s="337"/>
    </row>
    <row r="352" spans="1:21" ht="15" customHeight="1">
      <c r="A352" s="332">
        <v>45579</v>
      </c>
      <c r="B352" s="325"/>
      <c r="C352" s="338" t="str" cm="1">
        <f t="array" ref="C352">_xlfn.LET(_xlpm.matches, _xlfn._xlws.FILTER(Data[Poster], (Data[Date]=A352)*(Data[Winner]=TRUE)), IF(ROWS(_xlpm.matches)&gt;1, "TIE", _xlpm.matches))</f>
        <v>loganworsdell</v>
      </c>
      <c r="D352" s="147">
        <f>A352</f>
        <v>45579</v>
      </c>
      <c r="E352" s="181" t="str">
        <f>$J$1</f>
        <v>alappatjoe</v>
      </c>
      <c r="F352" s="9">
        <f>IFERROR(AVERAGE(Data[[#This Row],[alappatjoe]:[currydestroyer27]]), "TBD")</f>
        <v>3.6</v>
      </c>
      <c r="G352" s="178">
        <f>IFERROR(_xlfn.STDEV.P(Data[[#This Row],[alappatjoe]:[currydestroyer27]]), "TBD")</f>
        <v>1.3564659966250536</v>
      </c>
      <c r="H352" s="160" t="s">
        <v>883</v>
      </c>
      <c r="I352" s="186" t="s">
        <v>884</v>
      </c>
      <c r="J352" s="3">
        <v>1</v>
      </c>
      <c r="K352" s="3">
        <v>4</v>
      </c>
      <c r="L352" s="3">
        <v>5</v>
      </c>
      <c r="M352" s="3">
        <v>4</v>
      </c>
      <c r="N352" s="3">
        <v>4</v>
      </c>
      <c r="O352" s="238"/>
      <c r="P352" s="234"/>
      <c r="Q352" s="93"/>
      <c r="R3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52" s="93">
        <v>1</v>
      </c>
      <c r="T352" s="93" t="b">
        <f>Data[[#This Row],[Day Rank]]=Data[[#This Row],[W Rank]]</f>
        <v>0</v>
      </c>
      <c r="U352" s="335"/>
    </row>
    <row r="353" spans="1:21" ht="15" customHeight="1">
      <c r="A353" s="333"/>
      <c r="B353" s="326"/>
      <c r="C353" s="339"/>
      <c r="D353" s="81">
        <f>D352</f>
        <v>45579</v>
      </c>
      <c r="E353" s="140" t="str">
        <f>$K$1</f>
        <v>danram</v>
      </c>
      <c r="F353" s="8">
        <f>IFERROR(AVERAGE(Data[[#This Row],[alappatjoe]:[currydestroyer27]]), "TBD")</f>
        <v>3.6</v>
      </c>
      <c r="G353" s="177">
        <f>IFERROR(_xlfn.STDEV.P(Data[[#This Row],[alappatjoe]:[currydestroyer27]]), "TBD")</f>
        <v>1.019803902718557</v>
      </c>
      <c r="H353" s="268">
        <v>18</v>
      </c>
      <c r="I353" s="229" t="s">
        <v>885</v>
      </c>
      <c r="J353" s="3">
        <v>4</v>
      </c>
      <c r="K353" s="3">
        <v>2</v>
      </c>
      <c r="L353" s="3">
        <v>4</v>
      </c>
      <c r="M353" s="3">
        <v>5</v>
      </c>
      <c r="N353" s="3">
        <v>3</v>
      </c>
      <c r="O353" s="238"/>
      <c r="P353" s="234"/>
      <c r="Q353" s="93"/>
      <c r="R3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53" s="93">
        <v>1</v>
      </c>
      <c r="T353" s="93" t="b">
        <f>Data[[#This Row],[Day Rank]]=Data[[#This Row],[W Rank]]</f>
        <v>0</v>
      </c>
      <c r="U353" s="336"/>
    </row>
    <row r="354" spans="1:21" ht="15" customHeight="1">
      <c r="A354" s="333"/>
      <c r="B354" s="326"/>
      <c r="C354" s="339"/>
      <c r="D354" s="81">
        <f>D352</f>
        <v>45579</v>
      </c>
      <c r="E354" s="140" t="str">
        <f>$L$1</f>
        <v>loganworsdell</v>
      </c>
      <c r="F354" s="8">
        <f>IFERROR(AVERAGE(Data[[#This Row],[alappatjoe]:[currydestroyer27]]), "TBD")</f>
        <v>1.8</v>
      </c>
      <c r="G354" s="177">
        <f>IFERROR(_xlfn.STDEV.P(Data[[#This Row],[alappatjoe]:[currydestroyer27]]), "TBD")</f>
        <v>0.4</v>
      </c>
      <c r="H354" s="135" t="s">
        <v>886</v>
      </c>
      <c r="I354" s="229" t="s">
        <v>887</v>
      </c>
      <c r="J354" s="3">
        <v>2</v>
      </c>
      <c r="K354" s="3">
        <v>1</v>
      </c>
      <c r="L354" s="3">
        <v>2</v>
      </c>
      <c r="M354" s="3">
        <v>2</v>
      </c>
      <c r="N354" s="3">
        <v>2</v>
      </c>
      <c r="O354" s="238"/>
      <c r="P354" s="234"/>
      <c r="Q354" s="93"/>
      <c r="R3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54" s="93">
        <v>1</v>
      </c>
      <c r="T354" s="93" t="b">
        <f>Data[[#This Row],[Day Rank]]=Data[[#This Row],[W Rank]]</f>
        <v>1</v>
      </c>
      <c r="U354" s="336"/>
    </row>
    <row r="355" spans="1:21" ht="15" customHeight="1">
      <c r="A355" s="333"/>
      <c r="B355" s="326"/>
      <c r="C355" s="339"/>
      <c r="D355" s="142">
        <f>D352</f>
        <v>45579</v>
      </c>
      <c r="E355" s="125" t="str">
        <f>$M$1</f>
        <v>samuelbattista</v>
      </c>
      <c r="F355" s="7">
        <f>IFERROR(AVERAGE(Data[[#This Row],[alappatjoe]:[currydestroyer27]]), "TBD")</f>
        <v>3</v>
      </c>
      <c r="G355" s="262">
        <f>IFERROR(_xlfn.STDEV.P(Data[[#This Row],[alappatjoe]:[currydestroyer27]]), "TBD")</f>
        <v>1.7888543819998317</v>
      </c>
      <c r="H355" s="264" t="s">
        <v>888</v>
      </c>
      <c r="I355" s="266" t="s">
        <v>889</v>
      </c>
      <c r="J355" s="3">
        <v>5</v>
      </c>
      <c r="K355" s="3">
        <v>3</v>
      </c>
      <c r="L355" s="3">
        <v>1</v>
      </c>
      <c r="M355" s="3">
        <v>1</v>
      </c>
      <c r="N355" s="3">
        <v>5</v>
      </c>
      <c r="O355" s="238"/>
      <c r="P355" s="234"/>
      <c r="Q355" s="93"/>
      <c r="R3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55" s="93">
        <v>1</v>
      </c>
      <c r="T355" s="93" t="b">
        <f>Data[[#This Row],[Day Rank]]=Data[[#This Row],[W Rank]]</f>
        <v>0</v>
      </c>
      <c r="U355" s="336"/>
    </row>
    <row r="356" spans="1:21" ht="15" customHeight="1" thickBot="1">
      <c r="A356" s="334"/>
      <c r="B356" s="327"/>
      <c r="C356" s="340"/>
      <c r="D356" s="82">
        <f>D352</f>
        <v>45579</v>
      </c>
      <c r="E356" s="182" t="str">
        <f>$N$1</f>
        <v>currydestroyer27</v>
      </c>
      <c r="F356" s="83">
        <f>IFERROR(AVERAGE(Data[[#This Row],[alappatjoe]:[currydestroyer27]]), "TBD")</f>
        <v>3</v>
      </c>
      <c r="G356" s="183">
        <f>IFERROR(_xlfn.STDEV.P(Data[[#This Row],[alappatjoe]:[currydestroyer27]]), "TBD")</f>
        <v>1.2649110640673518</v>
      </c>
      <c r="H356" s="184" t="s">
        <v>890</v>
      </c>
      <c r="I356" s="185" t="s">
        <v>891</v>
      </c>
      <c r="J356" s="83">
        <v>3</v>
      </c>
      <c r="K356" s="83">
        <v>5</v>
      </c>
      <c r="L356" s="83">
        <v>3</v>
      </c>
      <c r="M356" s="83">
        <v>3</v>
      </c>
      <c r="N356" s="83">
        <v>1</v>
      </c>
      <c r="O356" s="241"/>
      <c r="P356" s="236" t="s">
        <v>69</v>
      </c>
      <c r="Q356" s="162" t="s">
        <v>317</v>
      </c>
      <c r="R356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56" s="162">
        <v>1</v>
      </c>
      <c r="T356" s="162" t="b">
        <f>Data[[#This Row],[Day Rank]]=Data[[#This Row],[W Rank]]</f>
        <v>0</v>
      </c>
      <c r="U356" s="337"/>
    </row>
    <row r="357" spans="1:21" ht="15" customHeight="1">
      <c r="A357" s="332">
        <v>45580</v>
      </c>
      <c r="B357" s="325"/>
      <c r="C357" s="328" t="str" cm="1">
        <f t="array" ref="C357">_xlfn.LET(_xlpm.matches, _xlfn._xlws.FILTER(Data[Poster], (Data[Date]=A357)*(Data[Winner]=TRUE)), IF(ROWS(_xlpm.matches)&gt;1, "TIE", _xlpm.matches))</f>
        <v>danram</v>
      </c>
      <c r="D357" s="147">
        <f>A357</f>
        <v>45580</v>
      </c>
      <c r="E357" s="181" t="str">
        <f>$J$1</f>
        <v>alappatjoe</v>
      </c>
      <c r="F357" s="9">
        <f>IFERROR(AVERAGE(Data[[#This Row],[alappatjoe]:[currydestroyer27]]), "TBD")</f>
        <v>3</v>
      </c>
      <c r="G357" s="178">
        <f>IFERROR(_xlfn.STDEV.P(Data[[#This Row],[alappatjoe]:[currydestroyer27]]), "TBD")</f>
        <v>1.4142135623730951</v>
      </c>
      <c r="H357" s="160" t="s">
        <v>892</v>
      </c>
      <c r="I357" s="186" t="s">
        <v>893</v>
      </c>
      <c r="J357" s="3">
        <v>1</v>
      </c>
      <c r="K357" s="3">
        <v>2</v>
      </c>
      <c r="L357" s="3">
        <v>3</v>
      </c>
      <c r="M357" s="3">
        <v>5</v>
      </c>
      <c r="N357" s="3">
        <v>4</v>
      </c>
      <c r="O357" s="238"/>
      <c r="P357" s="234"/>
      <c r="Q357" s="93"/>
      <c r="R3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57" s="93">
        <v>1</v>
      </c>
      <c r="T357" s="93" t="b">
        <f>Data[[#This Row],[Day Rank]]=Data[[#This Row],[W Rank]]</f>
        <v>0</v>
      </c>
      <c r="U357" s="335"/>
    </row>
    <row r="358" spans="1:21" ht="15" customHeight="1">
      <c r="A358" s="333"/>
      <c r="B358" s="326"/>
      <c r="C358" s="329"/>
      <c r="D358" s="81">
        <f>D357</f>
        <v>45580</v>
      </c>
      <c r="E358" s="140" t="str">
        <f>$K$1</f>
        <v>danram</v>
      </c>
      <c r="F358" s="8">
        <f>IFERROR(AVERAGE(Data[[#This Row],[alappatjoe]:[currydestroyer27]]), "TBD")</f>
        <v>2.2000000000000002</v>
      </c>
      <c r="G358" s="177">
        <f>IFERROR(_xlfn.STDEV.P(Data[[#This Row],[alappatjoe]:[currydestroyer27]]), "TBD")</f>
        <v>1.1661903789690602</v>
      </c>
      <c r="H358" s="135" t="s">
        <v>894</v>
      </c>
      <c r="I358" s="229" t="s">
        <v>895</v>
      </c>
      <c r="J358" s="3">
        <v>3</v>
      </c>
      <c r="K358" s="3">
        <v>1</v>
      </c>
      <c r="L358" s="3">
        <v>1</v>
      </c>
      <c r="M358" s="3">
        <v>4</v>
      </c>
      <c r="N358" s="3">
        <v>2</v>
      </c>
      <c r="O358" s="238"/>
      <c r="P358" s="234"/>
      <c r="Q358" s="93"/>
      <c r="R3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58" s="93">
        <v>1</v>
      </c>
      <c r="T358" s="93" t="b">
        <f>Data[[#This Row],[Day Rank]]=Data[[#This Row],[W Rank]]</f>
        <v>1</v>
      </c>
      <c r="U358" s="336"/>
    </row>
    <row r="359" spans="1:21" ht="15" customHeight="1">
      <c r="A359" s="333"/>
      <c r="B359" s="326"/>
      <c r="C359" s="329"/>
      <c r="D359" s="81">
        <f>D357</f>
        <v>45580</v>
      </c>
      <c r="E359" s="140" t="str">
        <f>$L$1</f>
        <v>loganworsdell</v>
      </c>
      <c r="F359" s="8">
        <f>IFERROR(AVERAGE(Data[[#This Row],[alappatjoe]:[currydestroyer27]]), "TBD")</f>
        <v>3</v>
      </c>
      <c r="G359" s="177">
        <f>IFERROR(_xlfn.STDEV.P(Data[[#This Row],[alappatjoe]:[currydestroyer27]]), "TBD")</f>
        <v>0.63245553203367588</v>
      </c>
      <c r="H359" s="135" t="s">
        <v>896</v>
      </c>
      <c r="I359" s="229" t="s">
        <v>897</v>
      </c>
      <c r="J359" s="3">
        <v>4</v>
      </c>
      <c r="K359" s="3">
        <v>3</v>
      </c>
      <c r="L359" s="3">
        <v>2</v>
      </c>
      <c r="M359" s="3">
        <v>3</v>
      </c>
      <c r="N359" s="3">
        <v>3</v>
      </c>
      <c r="O359" s="238"/>
      <c r="P359" s="234"/>
      <c r="Q359" s="93"/>
      <c r="R3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59" s="93">
        <v>1</v>
      </c>
      <c r="T359" s="93" t="b">
        <f>Data[[#This Row],[Day Rank]]=Data[[#This Row],[W Rank]]</f>
        <v>0</v>
      </c>
      <c r="U359" s="336"/>
    </row>
    <row r="360" spans="1:21" ht="15" customHeight="1">
      <c r="A360" s="333"/>
      <c r="B360" s="326"/>
      <c r="C360" s="329"/>
      <c r="D360" s="142">
        <f>D357</f>
        <v>45580</v>
      </c>
      <c r="E360" s="125" t="str">
        <f>$M$1</f>
        <v>samuelbattista</v>
      </c>
      <c r="F360" s="7">
        <f>IFERROR(AVERAGE(Data[[#This Row],[alappatjoe]:[currydestroyer27]]), "TBD")</f>
        <v>4.2</v>
      </c>
      <c r="G360" s="262">
        <f>IFERROR(_xlfn.STDEV.P(Data[[#This Row],[alappatjoe]:[currydestroyer27]]), "TBD")</f>
        <v>1.6</v>
      </c>
      <c r="H360" s="264" t="s">
        <v>898</v>
      </c>
      <c r="I360" s="266" t="s">
        <v>899</v>
      </c>
      <c r="J360" s="3">
        <v>5</v>
      </c>
      <c r="K360" s="3">
        <v>5</v>
      </c>
      <c r="L360" s="3">
        <v>5</v>
      </c>
      <c r="M360" s="3">
        <v>1</v>
      </c>
      <c r="N360" s="3">
        <v>5</v>
      </c>
      <c r="O360" s="238"/>
      <c r="P360" s="234"/>
      <c r="Q360" s="93"/>
      <c r="R3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60" s="93">
        <v>1</v>
      </c>
      <c r="T360" s="93" t="b">
        <f>Data[[#This Row],[Day Rank]]=Data[[#This Row],[W Rank]]</f>
        <v>0</v>
      </c>
      <c r="U360" s="336"/>
    </row>
    <row r="361" spans="1:21" ht="15" customHeight="1" thickBot="1">
      <c r="A361" s="334"/>
      <c r="B361" s="327"/>
      <c r="C361" s="330"/>
      <c r="D361" s="82">
        <f>D357</f>
        <v>45580</v>
      </c>
      <c r="E361" s="182" t="str">
        <f>$N$1</f>
        <v>currydestroyer27</v>
      </c>
      <c r="F361" s="83">
        <f>IFERROR(AVERAGE(Data[[#This Row],[alappatjoe]:[currydestroyer27]]), "TBD")</f>
        <v>2.6</v>
      </c>
      <c r="G361" s="183">
        <f>IFERROR(_xlfn.STDEV.P(Data[[#This Row],[alappatjoe]:[currydestroyer27]]), "TBD")</f>
        <v>1.2</v>
      </c>
      <c r="H361" s="184" t="s">
        <v>900</v>
      </c>
      <c r="I361" s="185" t="s">
        <v>901</v>
      </c>
      <c r="J361" s="83">
        <v>2</v>
      </c>
      <c r="K361" s="83">
        <v>4</v>
      </c>
      <c r="L361" s="83">
        <v>4</v>
      </c>
      <c r="M361" s="83">
        <v>2</v>
      </c>
      <c r="N361" s="83">
        <v>1</v>
      </c>
      <c r="O361" s="241"/>
      <c r="P361" s="236"/>
      <c r="Q361" s="162"/>
      <c r="R361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61" s="162">
        <v>1</v>
      </c>
      <c r="T361" s="162" t="b">
        <f>Data[[#This Row],[Day Rank]]=Data[[#This Row],[W Rank]]</f>
        <v>0</v>
      </c>
      <c r="U361" s="337"/>
    </row>
    <row r="362" spans="1:21" ht="15" customHeight="1">
      <c r="A362" s="332">
        <v>45581</v>
      </c>
      <c r="B362" s="325"/>
      <c r="C362" s="338" t="str" cm="1">
        <f t="array" ref="C362">_xlfn.LET(_xlpm.matches, _xlfn._xlws.FILTER(Data[Poster], (Data[Date]=A362)*(Data[Winner]=TRUE)), IF(ROWS(_xlpm.matches)&gt;1, "TIE", _xlpm.matches))</f>
        <v>loganworsdell</v>
      </c>
      <c r="D362" s="147">
        <f>A362</f>
        <v>45581</v>
      </c>
      <c r="E362" s="181" t="str">
        <f>$J$1</f>
        <v>alappatjoe</v>
      </c>
      <c r="F362" s="9">
        <f>IFERROR(AVERAGE(Data[[#This Row],[alappatjoe]:[currydestroyer27]]), "TBD")</f>
        <v>3.2</v>
      </c>
      <c r="G362" s="178">
        <f>IFERROR(_xlfn.STDEV.P(Data[[#This Row],[alappatjoe]:[currydestroyer27]]), "TBD")</f>
        <v>1.3266499161421599</v>
      </c>
      <c r="H362" s="160" t="s">
        <v>902</v>
      </c>
      <c r="I362" s="186" t="s">
        <v>903</v>
      </c>
      <c r="J362" s="3">
        <v>1</v>
      </c>
      <c r="K362" s="3">
        <v>5</v>
      </c>
      <c r="L362" s="3">
        <v>3</v>
      </c>
      <c r="M362" s="3">
        <v>4</v>
      </c>
      <c r="N362" s="3">
        <v>3</v>
      </c>
      <c r="O362" s="238"/>
      <c r="P362" s="234"/>
      <c r="Q362" s="93"/>
      <c r="R3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62" s="93">
        <v>1</v>
      </c>
      <c r="T362" s="93" t="b">
        <f>Data[[#This Row],[Day Rank]]=Data[[#This Row],[W Rank]]</f>
        <v>0</v>
      </c>
      <c r="U362" s="335"/>
    </row>
    <row r="363" spans="1:21" ht="15" customHeight="1">
      <c r="A363" s="333"/>
      <c r="B363" s="326"/>
      <c r="C363" s="339"/>
      <c r="D363" s="81">
        <f>D362</f>
        <v>45581</v>
      </c>
      <c r="E363" s="140" t="str">
        <f>$K$1</f>
        <v>danram</v>
      </c>
      <c r="F363" s="8">
        <f>IFERROR(AVERAGE(Data[[#This Row],[alappatjoe]:[currydestroyer27]]), "TBD")</f>
        <v>3.8</v>
      </c>
      <c r="G363" s="177">
        <f>IFERROR(_xlfn.STDEV.P(Data[[#This Row],[alappatjoe]:[currydestroyer27]]), "TBD")</f>
        <v>1.4696938456699069</v>
      </c>
      <c r="H363" s="135" t="s">
        <v>904</v>
      </c>
      <c r="I363" s="229" t="s">
        <v>905</v>
      </c>
      <c r="J363" s="3">
        <v>4</v>
      </c>
      <c r="K363" s="3">
        <v>1</v>
      </c>
      <c r="L363" s="3">
        <v>5</v>
      </c>
      <c r="M363" s="3">
        <v>5</v>
      </c>
      <c r="N363" s="3">
        <v>4</v>
      </c>
      <c r="O363" s="238"/>
      <c r="P363" s="234"/>
      <c r="Q363" s="93"/>
      <c r="R3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63" s="93">
        <v>1</v>
      </c>
      <c r="T363" s="93" t="b">
        <f>Data[[#This Row],[Day Rank]]=Data[[#This Row],[W Rank]]</f>
        <v>0</v>
      </c>
      <c r="U363" s="336"/>
    </row>
    <row r="364" spans="1:21" ht="15" customHeight="1">
      <c r="A364" s="333"/>
      <c r="B364" s="326"/>
      <c r="C364" s="339"/>
      <c r="D364" s="81">
        <f>D362</f>
        <v>45581</v>
      </c>
      <c r="E364" s="140" t="str">
        <f>$L$1</f>
        <v>loganworsdell</v>
      </c>
      <c r="F364" s="8">
        <f>IFERROR(AVERAGE(Data[[#This Row],[alappatjoe]:[currydestroyer27]]), "TBD")</f>
        <v>2</v>
      </c>
      <c r="G364" s="177">
        <f>IFERROR(_xlfn.STDEV.P(Data[[#This Row],[alappatjoe]:[currydestroyer27]]), "TBD")</f>
        <v>0.63245553203367588</v>
      </c>
      <c r="H364" s="135" t="s">
        <v>906</v>
      </c>
      <c r="I364" s="229" t="s">
        <v>907</v>
      </c>
      <c r="J364" s="3">
        <v>2</v>
      </c>
      <c r="K364" s="3">
        <v>2</v>
      </c>
      <c r="L364" s="3">
        <v>1</v>
      </c>
      <c r="M364" s="3">
        <v>3</v>
      </c>
      <c r="N364" s="3">
        <v>2</v>
      </c>
      <c r="O364" s="238"/>
      <c r="P364" s="234"/>
      <c r="Q364" s="93"/>
      <c r="R3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64" s="93">
        <v>1</v>
      </c>
      <c r="T364" s="93" t="b">
        <f>Data[[#This Row],[Day Rank]]=Data[[#This Row],[W Rank]]</f>
        <v>1</v>
      </c>
      <c r="U364" s="336"/>
    </row>
    <row r="365" spans="1:21" ht="15" customHeight="1">
      <c r="A365" s="333"/>
      <c r="B365" s="326"/>
      <c r="C365" s="339"/>
      <c r="D365" s="142">
        <f>D362</f>
        <v>45581</v>
      </c>
      <c r="E365" s="125" t="str">
        <f>$M$1</f>
        <v>samuelbattista</v>
      </c>
      <c r="F365" s="7">
        <f>IFERROR(AVERAGE(Data[[#This Row],[alappatjoe]:[currydestroyer27]]), "TBD")</f>
        <v>3.2</v>
      </c>
      <c r="G365" s="262">
        <f>IFERROR(_xlfn.STDEV.P(Data[[#This Row],[alappatjoe]:[currydestroyer27]]), "TBD")</f>
        <v>1.6</v>
      </c>
      <c r="H365" s="264" t="s">
        <v>908</v>
      </c>
      <c r="I365" s="266" t="s">
        <v>909</v>
      </c>
      <c r="J365" s="3">
        <v>5</v>
      </c>
      <c r="K365" s="3">
        <v>3</v>
      </c>
      <c r="L365" s="3">
        <v>2</v>
      </c>
      <c r="M365" s="3">
        <v>1</v>
      </c>
      <c r="N365" s="3">
        <v>5</v>
      </c>
      <c r="O365" s="238"/>
      <c r="P365" s="234"/>
      <c r="Q365" s="93"/>
      <c r="R3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65" s="93">
        <v>1</v>
      </c>
      <c r="T365" s="93" t="b">
        <f>Data[[#This Row],[Day Rank]]=Data[[#This Row],[W Rank]]</f>
        <v>0</v>
      </c>
      <c r="U365" s="336"/>
    </row>
    <row r="366" spans="1:21" ht="15" customHeight="1" thickBot="1">
      <c r="A366" s="334"/>
      <c r="B366" s="327"/>
      <c r="C366" s="340"/>
      <c r="D366" s="82">
        <f>D362</f>
        <v>45581</v>
      </c>
      <c r="E366" s="182" t="str">
        <f>$N$1</f>
        <v>currydestroyer27</v>
      </c>
      <c r="F366" s="83">
        <f>IFERROR(AVERAGE(Data[[#This Row],[alappatjoe]:[currydestroyer27]]), "TBD")</f>
        <v>2.8</v>
      </c>
      <c r="G366" s="183">
        <f>IFERROR(_xlfn.STDEV.P(Data[[#This Row],[alappatjoe]:[currydestroyer27]]), "TBD")</f>
        <v>1.1661903789690602</v>
      </c>
      <c r="H366" s="184" t="s">
        <v>910</v>
      </c>
      <c r="I366" s="185" t="s">
        <v>911</v>
      </c>
      <c r="J366" s="83">
        <v>3</v>
      </c>
      <c r="K366" s="83">
        <v>4</v>
      </c>
      <c r="L366" s="83">
        <v>4</v>
      </c>
      <c r="M366" s="83">
        <v>2</v>
      </c>
      <c r="N366" s="83">
        <v>1</v>
      </c>
      <c r="O366" s="238"/>
      <c r="P366" s="234"/>
      <c r="Q366" s="162"/>
      <c r="R366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66" s="162">
        <v>1</v>
      </c>
      <c r="T366" s="162" t="b">
        <f>Data[[#This Row],[Day Rank]]=Data[[#This Row],[W Rank]]</f>
        <v>0</v>
      </c>
      <c r="U366" s="337"/>
    </row>
    <row r="367" spans="1:21" ht="15" customHeight="1">
      <c r="A367" s="332">
        <v>45582</v>
      </c>
      <c r="B367" s="325"/>
      <c r="C367" s="328" t="str" cm="1">
        <f t="array" ref="C367">_xlfn.LET(_xlpm.matches, _xlfn._xlws.FILTER(Data[Poster], (Data[Date]=A367)*(Data[Winner]=TRUE)), IF(ROWS(_xlpm.matches)&gt;1, "TIE", _xlpm.matches))</f>
        <v>danram</v>
      </c>
      <c r="D367" s="147">
        <f>A367</f>
        <v>45582</v>
      </c>
      <c r="E367" s="181" t="str">
        <f>$J$1</f>
        <v>alappatjoe</v>
      </c>
      <c r="F367" s="9">
        <f>IFERROR(AVERAGE(Data[[#This Row],[alappatjoe]:[currydestroyer27]]), "TBD")</f>
        <v>2.8</v>
      </c>
      <c r="G367" s="178">
        <f>IFERROR(_xlfn.STDEV.P(Data[[#This Row],[alappatjoe]:[currydestroyer27]]), "TBD")</f>
        <v>1.1661903789690602</v>
      </c>
      <c r="H367" s="160" t="s">
        <v>912</v>
      </c>
      <c r="I367" s="186" t="s">
        <v>913</v>
      </c>
      <c r="J367" s="3">
        <v>1</v>
      </c>
      <c r="K367" s="3">
        <v>4</v>
      </c>
      <c r="L367" s="3">
        <v>2</v>
      </c>
      <c r="M367" s="3">
        <v>4</v>
      </c>
      <c r="N367" s="3">
        <v>3</v>
      </c>
      <c r="O367" s="238"/>
      <c r="P367" s="234"/>
      <c r="Q367" s="93"/>
      <c r="R3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67" s="93">
        <v>1</v>
      </c>
      <c r="T367" s="93" t="b">
        <f>Data[[#This Row],[Day Rank]]=Data[[#This Row],[W Rank]]</f>
        <v>0</v>
      </c>
      <c r="U367" s="335" t="s">
        <v>914</v>
      </c>
    </row>
    <row r="368" spans="1:21" ht="15" customHeight="1">
      <c r="A368" s="333"/>
      <c r="B368" s="326"/>
      <c r="C368" s="329"/>
      <c r="D368" s="81">
        <f>D367</f>
        <v>45582</v>
      </c>
      <c r="E368" s="140" t="str">
        <f>$K$1</f>
        <v>danram</v>
      </c>
      <c r="F368" s="8">
        <f>IFERROR(AVERAGE(Data[[#This Row],[alappatjoe]:[currydestroyer27]]), "TBD")</f>
        <v>2.2000000000000002</v>
      </c>
      <c r="G368" s="177">
        <f>IFERROR(_xlfn.STDEV.P(Data[[#This Row],[alappatjoe]:[currydestroyer27]]), "TBD")</f>
        <v>0.74833147735478833</v>
      </c>
      <c r="H368" s="135" t="s">
        <v>915</v>
      </c>
      <c r="I368" s="229" t="s">
        <v>916</v>
      </c>
      <c r="J368" s="3">
        <v>2</v>
      </c>
      <c r="K368" s="3">
        <v>1</v>
      </c>
      <c r="L368" s="3">
        <v>3</v>
      </c>
      <c r="M368" s="3">
        <v>3</v>
      </c>
      <c r="N368" s="3">
        <v>2</v>
      </c>
      <c r="O368" s="238"/>
      <c r="P368" s="234"/>
      <c r="Q368" s="93"/>
      <c r="R3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68" s="93">
        <v>1</v>
      </c>
      <c r="T368" s="93" t="b">
        <f>Data[[#This Row],[Day Rank]]=Data[[#This Row],[W Rank]]</f>
        <v>1</v>
      </c>
      <c r="U368" s="336"/>
    </row>
    <row r="369" spans="1:21" ht="15" customHeight="1">
      <c r="A369" s="333"/>
      <c r="B369" s="326"/>
      <c r="C369" s="329"/>
      <c r="D369" s="81">
        <f>D367</f>
        <v>45582</v>
      </c>
      <c r="E369" s="140" t="str">
        <f>$L$1</f>
        <v>loganworsdell</v>
      </c>
      <c r="F369" s="8">
        <f>IFERROR(AVERAGE(Data[[#This Row],[alappatjoe]:[currydestroyer27]]), "TBD")</f>
        <v>4.2</v>
      </c>
      <c r="G369" s="177">
        <f>IFERROR(_xlfn.STDEV.P(Data[[#This Row],[alappatjoe]:[currydestroyer27]]), "TBD")</f>
        <v>1.1661903789690602</v>
      </c>
      <c r="H369" s="135" t="s">
        <v>917</v>
      </c>
      <c r="I369" s="229" t="s">
        <v>918</v>
      </c>
      <c r="J369" s="3">
        <v>5</v>
      </c>
      <c r="K369" s="3">
        <v>5</v>
      </c>
      <c r="L369" s="3">
        <v>4</v>
      </c>
      <c r="M369" s="3">
        <v>2</v>
      </c>
      <c r="N369" s="3">
        <v>5</v>
      </c>
      <c r="O369" s="238"/>
      <c r="P369" s="234"/>
      <c r="Q369" s="93"/>
      <c r="R3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69" s="93">
        <v>1</v>
      </c>
      <c r="T369" s="93" t="b">
        <f>Data[[#This Row],[Day Rank]]=Data[[#This Row],[W Rank]]</f>
        <v>0</v>
      </c>
      <c r="U369" s="336"/>
    </row>
    <row r="370" spans="1:21" ht="15" customHeight="1">
      <c r="A370" s="333"/>
      <c r="B370" s="326"/>
      <c r="C370" s="329"/>
      <c r="D370" s="142">
        <f>D367</f>
        <v>45582</v>
      </c>
      <c r="E370" s="125" t="str">
        <f>$M$1</f>
        <v>samuelbattista</v>
      </c>
      <c r="F370" s="7">
        <f>IFERROR(AVERAGE(Data[[#This Row],[alappatjoe]:[currydestroyer27]]), "TBD")</f>
        <v>2.4</v>
      </c>
      <c r="G370" s="262">
        <f>IFERROR(_xlfn.STDEV.P(Data[[#This Row],[alappatjoe]:[currydestroyer27]]), "TBD")</f>
        <v>1.3564659966250536</v>
      </c>
      <c r="H370" s="264" t="s">
        <v>919</v>
      </c>
      <c r="I370" s="266" t="s">
        <v>920</v>
      </c>
      <c r="J370" s="3">
        <v>4</v>
      </c>
      <c r="K370" s="3">
        <v>2</v>
      </c>
      <c r="L370" s="3">
        <v>1</v>
      </c>
      <c r="M370" s="3">
        <v>1</v>
      </c>
      <c r="N370" s="3">
        <v>4</v>
      </c>
      <c r="O370" s="238"/>
      <c r="P370" s="234"/>
      <c r="Q370" s="93"/>
      <c r="R3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70" s="93">
        <v>1</v>
      </c>
      <c r="T370" s="93" t="b">
        <f>Data[[#This Row],[Day Rank]]=Data[[#This Row],[W Rank]]</f>
        <v>0</v>
      </c>
      <c r="U370" s="336"/>
    </row>
    <row r="371" spans="1:21" ht="15" customHeight="1" thickBot="1">
      <c r="A371" s="334"/>
      <c r="B371" s="327"/>
      <c r="C371" s="330"/>
      <c r="D371" s="82">
        <f>D367</f>
        <v>45582</v>
      </c>
      <c r="E371" s="182" t="str">
        <f>$N$1</f>
        <v>currydestroyer27</v>
      </c>
      <c r="F371" s="83">
        <f>IFERROR(AVERAGE(Data[[#This Row],[alappatjoe]:[currydestroyer27]]), "TBD")</f>
        <v>3.4</v>
      </c>
      <c r="G371" s="183">
        <f>IFERROR(_xlfn.STDEV.P(Data[[#This Row],[alappatjoe]:[currydestroyer27]]), "TBD")</f>
        <v>1.4966629547095767</v>
      </c>
      <c r="H371" s="184" t="s">
        <v>921</v>
      </c>
      <c r="I371" s="185" t="s">
        <v>922</v>
      </c>
      <c r="J371" s="83">
        <v>3</v>
      </c>
      <c r="K371" s="83">
        <v>3</v>
      </c>
      <c r="L371" s="83">
        <v>5</v>
      </c>
      <c r="M371" s="83">
        <v>5</v>
      </c>
      <c r="N371" s="83">
        <v>1</v>
      </c>
      <c r="O371" s="241"/>
      <c r="P371" s="236"/>
      <c r="Q371" s="162"/>
      <c r="R371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71" s="162">
        <v>1</v>
      </c>
      <c r="T371" s="162" t="b">
        <f>Data[[#This Row],[Day Rank]]=Data[[#This Row],[W Rank]]</f>
        <v>0</v>
      </c>
      <c r="U371" s="337"/>
    </row>
    <row r="372" spans="1:21" ht="15" customHeight="1">
      <c r="A372" s="332">
        <v>45586</v>
      </c>
      <c r="B372" s="325"/>
      <c r="C372" s="338" t="str" cm="1">
        <f t="array" ref="C372">_xlfn.LET(_xlpm.matches, _xlfn._xlws.FILTER(Data[Poster], (Data[Date]=A372)*(Data[Winner]=TRUE)), IF(ROWS(_xlpm.matches)&gt;1, "TIE", _xlpm.matches))</f>
        <v>danram</v>
      </c>
      <c r="D372" s="81">
        <f>A372</f>
        <v>45586</v>
      </c>
      <c r="E372" s="140" t="str">
        <f>$J$1</f>
        <v>alappatjoe</v>
      </c>
      <c r="F372" s="8">
        <f>IFERROR(AVERAGE(Data[[#This Row],[alappatjoe]:[currydestroyer27]]), "TBD")</f>
        <v>4.5999999999999996</v>
      </c>
      <c r="G372" s="177">
        <f>IFERROR(_xlfn.STDEV.P(Data[[#This Row],[alappatjoe]:[currydestroyer27]]), "TBD")</f>
        <v>0.8</v>
      </c>
      <c r="H372" s="135" t="s">
        <v>923</v>
      </c>
      <c r="I372" s="229" t="s">
        <v>924</v>
      </c>
      <c r="J372" s="3">
        <v>3</v>
      </c>
      <c r="K372" s="3">
        <v>5</v>
      </c>
      <c r="L372" s="3">
        <v>5</v>
      </c>
      <c r="M372" s="3">
        <v>5</v>
      </c>
      <c r="N372" s="3">
        <v>5</v>
      </c>
      <c r="O372" s="238"/>
      <c r="P372" s="234"/>
      <c r="Q372" s="93"/>
      <c r="R3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72" s="93">
        <v>1</v>
      </c>
      <c r="T372" s="93" t="b">
        <f>Data[[#This Row],[Day Rank]]=Data[[#This Row],[W Rank]]</f>
        <v>0</v>
      </c>
      <c r="U372" s="335"/>
    </row>
    <row r="373" spans="1:21" ht="15" customHeight="1">
      <c r="A373" s="333"/>
      <c r="B373" s="326"/>
      <c r="C373" s="339"/>
      <c r="D373" s="81">
        <f>D372</f>
        <v>45586</v>
      </c>
      <c r="E373" s="140" t="str">
        <f>$K$1</f>
        <v>danram</v>
      </c>
      <c r="F373" s="8">
        <f>IFERROR(AVERAGE(Data[[#This Row],[alappatjoe]:[currydestroyer27]]), "TBD")</f>
        <v>1.8</v>
      </c>
      <c r="G373" s="177">
        <f>IFERROR(_xlfn.STDEV.P(Data[[#This Row],[alappatjoe]:[currydestroyer27]]), "TBD")</f>
        <v>0.74833147735478833</v>
      </c>
      <c r="H373" s="135" t="s">
        <v>925</v>
      </c>
      <c r="I373" s="229" t="s">
        <v>926</v>
      </c>
      <c r="J373" s="3">
        <v>1</v>
      </c>
      <c r="K373" s="3">
        <v>1</v>
      </c>
      <c r="L373" s="3">
        <v>3</v>
      </c>
      <c r="M373" s="3">
        <v>2</v>
      </c>
      <c r="N373" s="3">
        <v>2</v>
      </c>
      <c r="O373" s="238"/>
      <c r="P373" s="234"/>
      <c r="Q373" s="93"/>
      <c r="R3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73" s="93">
        <v>1</v>
      </c>
      <c r="T373" s="93" t="b">
        <f>Data[[#This Row],[Day Rank]]=Data[[#This Row],[W Rank]]</f>
        <v>1</v>
      </c>
      <c r="U373" s="336"/>
    </row>
    <row r="374" spans="1:21" ht="15" customHeight="1">
      <c r="A374" s="333"/>
      <c r="B374" s="326"/>
      <c r="C374" s="339"/>
      <c r="D374" s="81">
        <f>D372</f>
        <v>45586</v>
      </c>
      <c r="E374" s="140" t="str">
        <f>$L$1</f>
        <v>loganworsdell</v>
      </c>
      <c r="F374" s="8">
        <f>IFERROR(AVERAGE(Data[[#This Row],[alappatjoe]:[currydestroyer27]]), "TBD")</f>
        <v>3.6</v>
      </c>
      <c r="G374" s="177">
        <f>IFERROR(_xlfn.STDEV.P(Data[[#This Row],[alappatjoe]:[currydestroyer27]]), "TBD")</f>
        <v>0.8</v>
      </c>
      <c r="H374" s="135" t="s">
        <v>927</v>
      </c>
      <c r="I374" s="229" t="s">
        <v>928</v>
      </c>
      <c r="J374" s="3">
        <v>5</v>
      </c>
      <c r="K374" s="3">
        <v>3</v>
      </c>
      <c r="L374" s="3">
        <v>4</v>
      </c>
      <c r="M374" s="3">
        <v>3</v>
      </c>
      <c r="N374" s="3">
        <v>3</v>
      </c>
      <c r="O374" s="238"/>
      <c r="P374" s="234"/>
      <c r="Q374" s="93"/>
      <c r="R3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74" s="93">
        <v>1</v>
      </c>
      <c r="T374" s="93" t="b">
        <f>Data[[#This Row],[Day Rank]]=Data[[#This Row],[W Rank]]</f>
        <v>0</v>
      </c>
      <c r="U374" s="336"/>
    </row>
    <row r="375" spans="1:21" ht="15" customHeight="1">
      <c r="A375" s="333"/>
      <c r="B375" s="326"/>
      <c r="C375" s="339"/>
      <c r="D375" s="142">
        <f>D372</f>
        <v>45586</v>
      </c>
      <c r="E375" s="125" t="str">
        <f>$M$1</f>
        <v>samuelbattista</v>
      </c>
      <c r="F375" s="7">
        <f>IFERROR(AVERAGE(Data[[#This Row],[alappatjoe]:[currydestroyer27]]), "TBD")</f>
        <v>2</v>
      </c>
      <c r="G375" s="262">
        <f>IFERROR(_xlfn.STDEV.P(Data[[#This Row],[alappatjoe]:[currydestroyer27]]), "TBD")</f>
        <v>1.0954451150103321</v>
      </c>
      <c r="H375" s="264" t="s">
        <v>929</v>
      </c>
      <c r="I375" s="266" t="s">
        <v>787</v>
      </c>
      <c r="J375" s="3">
        <v>2</v>
      </c>
      <c r="K375" s="3">
        <v>2</v>
      </c>
      <c r="L375" s="3">
        <v>1</v>
      </c>
      <c r="M375" s="3">
        <v>1</v>
      </c>
      <c r="N375" s="3">
        <v>4</v>
      </c>
      <c r="O375" s="238"/>
      <c r="P375" s="234"/>
      <c r="Q375" s="93"/>
      <c r="R3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75" s="93">
        <v>1</v>
      </c>
      <c r="T375" s="93" t="b">
        <f>Data[[#This Row],[Day Rank]]=Data[[#This Row],[W Rank]]</f>
        <v>0</v>
      </c>
      <c r="U375" s="336"/>
    </row>
    <row r="376" spans="1:21" ht="15" customHeight="1" thickBot="1">
      <c r="A376" s="334"/>
      <c r="B376" s="327"/>
      <c r="C376" s="340"/>
      <c r="D376" s="82">
        <f>D372</f>
        <v>45586</v>
      </c>
      <c r="E376" s="182" t="str">
        <f>$N$1</f>
        <v>currydestroyer27</v>
      </c>
      <c r="F376" s="83">
        <f>IFERROR(AVERAGE(Data[[#This Row],[alappatjoe]:[currydestroyer27]]), "TBD")</f>
        <v>3</v>
      </c>
      <c r="G376" s="183">
        <f>IFERROR(_xlfn.STDEV.P(Data[[#This Row],[alappatjoe]:[currydestroyer27]]), "TBD")</f>
        <v>1.2649110640673518</v>
      </c>
      <c r="H376" s="184" t="s">
        <v>930</v>
      </c>
      <c r="I376" s="185" t="s">
        <v>800</v>
      </c>
      <c r="J376" s="83">
        <v>4</v>
      </c>
      <c r="K376" s="83">
        <v>4</v>
      </c>
      <c r="L376" s="83">
        <v>2</v>
      </c>
      <c r="M376" s="83">
        <v>4</v>
      </c>
      <c r="N376" s="83">
        <v>1</v>
      </c>
      <c r="O376" s="241"/>
      <c r="P376" s="236"/>
      <c r="Q376" s="162"/>
      <c r="R376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76" s="162">
        <v>1</v>
      </c>
      <c r="T376" s="162" t="b">
        <f>Data[[#This Row],[Day Rank]]=Data[[#This Row],[W Rank]]</f>
        <v>0</v>
      </c>
      <c r="U376" s="337"/>
    </row>
    <row r="377" spans="1:21" ht="15" customHeight="1">
      <c r="A377" s="332">
        <v>45587</v>
      </c>
      <c r="B377" s="325"/>
      <c r="C377" s="328" t="str" cm="1">
        <f t="array" ref="C377">_xlfn.LET(_xlpm.matches, _xlfn._xlws.FILTER(Data[Poster], (Data[Date]=A377)*(Data[Winner]=TRUE)), IF(ROWS(_xlpm.matches)&gt;1, "TIE", _xlpm.matches))</f>
        <v>loganworsdell</v>
      </c>
      <c r="D377" s="147">
        <f>A377</f>
        <v>45587</v>
      </c>
      <c r="E377" s="181" t="str">
        <f>$J$1</f>
        <v>alappatjoe</v>
      </c>
      <c r="F377" s="9">
        <f>IFERROR(AVERAGE(Data[[#This Row],[alappatjoe]:[currydestroyer27]]), "TBD")</f>
        <v>3.4</v>
      </c>
      <c r="G377" s="178">
        <f>IFERROR(_xlfn.STDEV.P(Data[[#This Row],[alappatjoe]:[currydestroyer27]]), "TBD")</f>
        <v>1.3564659966250536</v>
      </c>
      <c r="H377" s="160" t="s">
        <v>931</v>
      </c>
      <c r="I377" s="186" t="s">
        <v>932</v>
      </c>
      <c r="J377" s="3">
        <v>2</v>
      </c>
      <c r="K377" s="3">
        <v>5</v>
      </c>
      <c r="L377" s="3">
        <v>5</v>
      </c>
      <c r="M377" s="3">
        <v>3</v>
      </c>
      <c r="N377" s="3">
        <v>2</v>
      </c>
      <c r="O377" s="238"/>
      <c r="P377" s="234"/>
      <c r="Q377" s="93"/>
      <c r="R3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77" s="93">
        <v>1</v>
      </c>
      <c r="T377" s="93" t="b">
        <f>Data[[#This Row],[Day Rank]]=Data[[#This Row],[W Rank]]</f>
        <v>0</v>
      </c>
      <c r="U377" s="335"/>
    </row>
    <row r="378" spans="1:21" ht="15" customHeight="1">
      <c r="A378" s="333"/>
      <c r="B378" s="326"/>
      <c r="C378" s="329"/>
      <c r="D378" s="81">
        <f>D377</f>
        <v>45587</v>
      </c>
      <c r="E378" s="140" t="str">
        <f>$K$1</f>
        <v>danram</v>
      </c>
      <c r="F378" s="8">
        <f>IFERROR(AVERAGE(Data[[#This Row],[alappatjoe]:[currydestroyer27]]), "TBD")</f>
        <v>3.6</v>
      </c>
      <c r="G378" s="177">
        <f>IFERROR(_xlfn.STDEV.P(Data[[#This Row],[alappatjoe]:[currydestroyer27]]), "TBD")</f>
        <v>1.019803902718557</v>
      </c>
      <c r="H378" s="135" t="s">
        <v>933</v>
      </c>
      <c r="I378" s="229" t="s">
        <v>934</v>
      </c>
      <c r="J378" s="3">
        <v>3</v>
      </c>
      <c r="K378" s="3">
        <v>4</v>
      </c>
      <c r="L378" s="3">
        <v>4</v>
      </c>
      <c r="M378" s="3">
        <v>2</v>
      </c>
      <c r="N378" s="3">
        <v>5</v>
      </c>
      <c r="O378" s="238"/>
      <c r="P378" s="234"/>
      <c r="Q378" s="93"/>
      <c r="R3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78" s="93">
        <v>1</v>
      </c>
      <c r="T378" s="93" t="b">
        <f>Data[[#This Row],[Day Rank]]=Data[[#This Row],[W Rank]]</f>
        <v>0</v>
      </c>
      <c r="U378" s="336"/>
    </row>
    <row r="379" spans="1:21" ht="15" customHeight="1">
      <c r="A379" s="333"/>
      <c r="B379" s="326"/>
      <c r="C379" s="329"/>
      <c r="D379" s="81">
        <f>D377</f>
        <v>45587</v>
      </c>
      <c r="E379" s="140" t="str">
        <f>$L$1</f>
        <v>loganworsdell</v>
      </c>
      <c r="F379" s="8">
        <f>IFERROR(AVERAGE(Data[[#This Row],[alappatjoe]:[currydestroyer27]]), "TBD")</f>
        <v>2.6</v>
      </c>
      <c r="G379" s="177">
        <f>IFERROR(_xlfn.STDEV.P(Data[[#This Row],[alappatjoe]:[currydestroyer27]]), "TBD")</f>
        <v>1.3564659966250536</v>
      </c>
      <c r="H379" s="135" t="s">
        <v>935</v>
      </c>
      <c r="I379" s="229" t="s">
        <v>936</v>
      </c>
      <c r="J379" s="3">
        <v>1</v>
      </c>
      <c r="K379" s="3">
        <v>3</v>
      </c>
      <c r="L379" s="3">
        <v>1</v>
      </c>
      <c r="M379" s="3">
        <v>4</v>
      </c>
      <c r="N379" s="3">
        <v>4</v>
      </c>
      <c r="O379" s="238"/>
      <c r="P379" s="234"/>
      <c r="Q379" s="93"/>
      <c r="R3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79" s="93">
        <v>1</v>
      </c>
      <c r="T379" s="93" t="b">
        <f>Data[[#This Row],[Day Rank]]=Data[[#This Row],[W Rank]]</f>
        <v>1</v>
      </c>
      <c r="U379" s="336"/>
    </row>
    <row r="380" spans="1:21" ht="15" customHeight="1">
      <c r="A380" s="333"/>
      <c r="B380" s="326"/>
      <c r="C380" s="329"/>
      <c r="D380" s="142">
        <f>D377</f>
        <v>45587</v>
      </c>
      <c r="E380" s="125" t="str">
        <f>$M$1</f>
        <v>samuelbattista</v>
      </c>
      <c r="F380" s="7">
        <f>IFERROR(AVERAGE(Data[[#This Row],[alappatjoe]:[currydestroyer27]]), "TBD")</f>
        <v>2.8</v>
      </c>
      <c r="G380" s="262">
        <f>IFERROR(_xlfn.STDEV.P(Data[[#This Row],[alappatjoe]:[currydestroyer27]]), "TBD")</f>
        <v>1.3266499161421599</v>
      </c>
      <c r="H380" s="264" t="s">
        <v>937</v>
      </c>
      <c r="I380" s="266" t="s">
        <v>938</v>
      </c>
      <c r="J380" s="3">
        <v>5</v>
      </c>
      <c r="K380" s="3">
        <v>2</v>
      </c>
      <c r="L380" s="3">
        <v>3</v>
      </c>
      <c r="M380" s="3">
        <v>1</v>
      </c>
      <c r="N380" s="3">
        <v>3</v>
      </c>
      <c r="O380" s="238"/>
      <c r="P380" s="234"/>
      <c r="Q380" s="93"/>
      <c r="R3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80" s="93">
        <v>1</v>
      </c>
      <c r="T380" s="93" t="b">
        <f>Data[[#This Row],[Day Rank]]=Data[[#This Row],[W Rank]]</f>
        <v>0</v>
      </c>
      <c r="U380" s="336"/>
    </row>
    <row r="381" spans="1:21" ht="15" customHeight="1" thickBot="1">
      <c r="A381" s="334"/>
      <c r="B381" s="327"/>
      <c r="C381" s="330"/>
      <c r="D381" s="82">
        <f>D377</f>
        <v>45587</v>
      </c>
      <c r="E381" s="182" t="str">
        <f>$N$1</f>
        <v>currydestroyer27</v>
      </c>
      <c r="F381" s="83">
        <f>IFERROR(AVERAGE(Data[[#This Row],[alappatjoe]:[currydestroyer27]]), "TBD")</f>
        <v>2.6</v>
      </c>
      <c r="G381" s="183">
        <f>IFERROR(_xlfn.STDEV.P(Data[[#This Row],[alappatjoe]:[currydestroyer27]]), "TBD")</f>
        <v>1.6248076809271921</v>
      </c>
      <c r="H381" s="184" t="s">
        <v>939</v>
      </c>
      <c r="I381" s="185" t="s">
        <v>940</v>
      </c>
      <c r="J381" s="83">
        <v>4</v>
      </c>
      <c r="K381" s="83">
        <v>1</v>
      </c>
      <c r="L381" s="83">
        <v>2</v>
      </c>
      <c r="M381" s="83">
        <v>5</v>
      </c>
      <c r="N381" s="83">
        <v>1</v>
      </c>
      <c r="O381" s="241"/>
      <c r="P381" s="236"/>
      <c r="Q381" s="162"/>
      <c r="R381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81" s="162">
        <v>1</v>
      </c>
      <c r="T381" s="162" t="b">
        <f>Data[[#This Row],[Day Rank]]=Data[[#This Row],[W Rank]]</f>
        <v>0</v>
      </c>
      <c r="U381" s="337"/>
    </row>
    <row r="382" spans="1:21" ht="15" customHeight="1">
      <c r="A382" s="332">
        <v>45588</v>
      </c>
      <c r="B382" s="325"/>
      <c r="C382" s="338" t="str" cm="1">
        <f t="array" ref="C382">_xlfn.LET(_xlpm.matches, _xlfn._xlws.FILTER(Data[Poster], (Data[Date]=A382)*(Data[Winner]=TRUE)), IF(ROWS(_xlpm.matches)&gt;1, "TIE", _xlpm.matches))</f>
        <v>samuelbattista</v>
      </c>
      <c r="D382" s="147">
        <f>A382</f>
        <v>45588</v>
      </c>
      <c r="E382" s="181" t="str">
        <f>$J$1</f>
        <v>alappatjoe</v>
      </c>
      <c r="F382" s="9">
        <f>IFERROR(AVERAGE(Data[[#This Row],[alappatjoe]:[currydestroyer27]]), "TBD")</f>
        <v>3.4</v>
      </c>
      <c r="G382" s="178">
        <f>IFERROR(_xlfn.STDEV.P(Data[[#This Row],[alappatjoe]:[currydestroyer27]]), "TBD")</f>
        <v>1.3564659966250536</v>
      </c>
      <c r="H382" s="160" t="s">
        <v>941</v>
      </c>
      <c r="I382" s="186" t="s">
        <v>942</v>
      </c>
      <c r="J382" s="3">
        <v>1</v>
      </c>
      <c r="K382" s="3">
        <v>4</v>
      </c>
      <c r="L382" s="3">
        <v>5</v>
      </c>
      <c r="M382" s="3">
        <v>4</v>
      </c>
      <c r="N382" s="3">
        <v>3</v>
      </c>
      <c r="O382" s="238"/>
      <c r="P382" s="234"/>
      <c r="Q382" s="93"/>
      <c r="R3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82" s="93">
        <v>1</v>
      </c>
      <c r="T382" s="93" t="b">
        <f>Data[[#This Row],[Day Rank]]=Data[[#This Row],[W Rank]]</f>
        <v>0</v>
      </c>
      <c r="U382" s="335"/>
    </row>
    <row r="383" spans="1:21" ht="15" customHeight="1">
      <c r="A383" s="333"/>
      <c r="B383" s="326"/>
      <c r="C383" s="339"/>
      <c r="D383" s="81">
        <f>D382</f>
        <v>45588</v>
      </c>
      <c r="E383" s="140" t="str">
        <f>$K$1</f>
        <v>danram</v>
      </c>
      <c r="F383" s="8">
        <f>IFERROR(AVERAGE(Data[[#This Row],[alappatjoe]:[currydestroyer27]]), "TBD")</f>
        <v>2.8</v>
      </c>
      <c r="G383" s="177">
        <f>IFERROR(_xlfn.STDEV.P(Data[[#This Row],[alappatjoe]:[currydestroyer27]]), "TBD")</f>
        <v>1.4696938456699069</v>
      </c>
      <c r="H383" s="135" t="s">
        <v>943</v>
      </c>
      <c r="I383" s="229" t="s">
        <v>944</v>
      </c>
      <c r="J383" s="3">
        <v>5</v>
      </c>
      <c r="K383" s="3">
        <v>2</v>
      </c>
      <c r="L383" s="3">
        <v>1</v>
      </c>
      <c r="M383" s="3">
        <v>2</v>
      </c>
      <c r="N383" s="3">
        <v>4</v>
      </c>
      <c r="O383" s="238"/>
      <c r="P383" s="234"/>
      <c r="Q383" s="93"/>
      <c r="R3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83" s="93">
        <v>1</v>
      </c>
      <c r="T383" s="93" t="b">
        <f>Data[[#This Row],[Day Rank]]=Data[[#This Row],[W Rank]]</f>
        <v>0</v>
      </c>
      <c r="U383" s="336"/>
    </row>
    <row r="384" spans="1:21" ht="15" customHeight="1">
      <c r="A384" s="333"/>
      <c r="B384" s="326"/>
      <c r="C384" s="339"/>
      <c r="D384" s="81">
        <f>D382</f>
        <v>45588</v>
      </c>
      <c r="E384" s="140" t="str">
        <f>$L$1</f>
        <v>loganworsdell</v>
      </c>
      <c r="F384" s="8">
        <f>IFERROR(AVERAGE(Data[[#This Row],[alappatjoe]:[currydestroyer27]]), "TBD")</f>
        <v>3.2</v>
      </c>
      <c r="G384" s="177">
        <f>IFERROR(_xlfn.STDEV.P(Data[[#This Row],[alappatjoe]:[currydestroyer27]]), "TBD")</f>
        <v>0.9797958971132712</v>
      </c>
      <c r="H384" s="135" t="s">
        <v>945</v>
      </c>
      <c r="I384" s="229" t="s">
        <v>946</v>
      </c>
      <c r="J384" s="3">
        <v>2</v>
      </c>
      <c r="K384" s="3">
        <v>3</v>
      </c>
      <c r="L384" s="3">
        <v>3</v>
      </c>
      <c r="M384" s="3">
        <v>3</v>
      </c>
      <c r="N384" s="3">
        <v>5</v>
      </c>
      <c r="O384" s="238"/>
      <c r="P384" s="234"/>
      <c r="Q384" s="93"/>
      <c r="R3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84" s="93">
        <v>1</v>
      </c>
      <c r="T384" s="93" t="b">
        <f>Data[[#This Row],[Day Rank]]=Data[[#This Row],[W Rank]]</f>
        <v>0</v>
      </c>
      <c r="U384" s="336"/>
    </row>
    <row r="385" spans="1:21" ht="15" customHeight="1">
      <c r="A385" s="333"/>
      <c r="B385" s="326"/>
      <c r="C385" s="339"/>
      <c r="D385" s="142">
        <f>D382</f>
        <v>45588</v>
      </c>
      <c r="E385" s="125" t="str">
        <f>$M$1</f>
        <v>samuelbattista</v>
      </c>
      <c r="F385" s="7">
        <f>IFERROR(AVERAGE(Data[[#This Row],[alappatjoe]:[currydestroyer27]]), "TBD")</f>
        <v>2</v>
      </c>
      <c r="G385" s="262">
        <f>IFERROR(_xlfn.STDEV.P(Data[[#This Row],[alappatjoe]:[currydestroyer27]]), "TBD")</f>
        <v>1.0954451150103321</v>
      </c>
      <c r="H385" s="264" t="s">
        <v>947</v>
      </c>
      <c r="I385" s="266" t="s">
        <v>948</v>
      </c>
      <c r="J385" s="3">
        <v>4</v>
      </c>
      <c r="K385" s="3">
        <v>1</v>
      </c>
      <c r="L385" s="3">
        <v>2</v>
      </c>
      <c r="M385" s="3">
        <v>1</v>
      </c>
      <c r="N385" s="3">
        <v>2</v>
      </c>
      <c r="O385" s="238"/>
      <c r="P385" s="234"/>
      <c r="Q385" s="93"/>
      <c r="R3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85" s="93">
        <v>1</v>
      </c>
      <c r="T385" s="93" t="b">
        <f>Data[[#This Row],[Day Rank]]=Data[[#This Row],[W Rank]]</f>
        <v>1</v>
      </c>
      <c r="U385" s="336"/>
    </row>
    <row r="386" spans="1:21" ht="15" customHeight="1" thickBot="1">
      <c r="A386" s="334"/>
      <c r="B386" s="327"/>
      <c r="C386" s="340"/>
      <c r="D386" s="82">
        <f>D382</f>
        <v>45588</v>
      </c>
      <c r="E386" s="182" t="str">
        <f>$N$1</f>
        <v>currydestroyer27</v>
      </c>
      <c r="F386" s="83">
        <f>IFERROR(AVERAGE(Data[[#This Row],[alappatjoe]:[currydestroyer27]]), "TBD")</f>
        <v>3.6</v>
      </c>
      <c r="G386" s="183">
        <f>IFERROR(_xlfn.STDEV.P(Data[[#This Row],[alappatjoe]:[currydestroyer27]]), "TBD")</f>
        <v>1.4966629547095767</v>
      </c>
      <c r="H386" s="184" t="s">
        <v>949</v>
      </c>
      <c r="I386" s="185" t="s">
        <v>950</v>
      </c>
      <c r="J386" s="83">
        <v>3</v>
      </c>
      <c r="K386" s="83">
        <v>5</v>
      </c>
      <c r="L386" s="83">
        <v>4</v>
      </c>
      <c r="M386" s="83">
        <v>5</v>
      </c>
      <c r="N386" s="83">
        <v>1</v>
      </c>
      <c r="O386" s="241"/>
      <c r="P386" s="236"/>
      <c r="Q386" s="162"/>
      <c r="R386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86" s="162">
        <v>1</v>
      </c>
      <c r="T386" s="162" t="b">
        <f>Data[[#This Row],[Day Rank]]=Data[[#This Row],[W Rank]]</f>
        <v>0</v>
      </c>
      <c r="U386" s="337"/>
    </row>
    <row r="387" spans="1:21" ht="15" customHeight="1">
      <c r="A387" s="332">
        <v>45589</v>
      </c>
      <c r="B387" s="325"/>
      <c r="C387" s="328" t="str" cm="1">
        <f t="array" ref="C387">_xlfn.LET(_xlpm.matches, _xlfn._xlws.FILTER(Data[Poster], (Data[Date]=A387)*(Data[Winner]=TRUE)), IF(ROWS(_xlpm.matches)&gt;1, "TIE", _xlpm.matches))</f>
        <v>danram</v>
      </c>
      <c r="D387" s="147">
        <f>A387</f>
        <v>45589</v>
      </c>
      <c r="E387" s="181" t="str">
        <f>$J$1</f>
        <v>alappatjoe</v>
      </c>
      <c r="F387" s="9">
        <f>IFERROR(AVERAGE(Data[[#This Row],[alappatjoe]:[currydestroyer27]]), "TBD")</f>
        <v>3</v>
      </c>
      <c r="G387" s="178">
        <f>IFERROR(_xlfn.STDEV.P(Data[[#This Row],[alappatjoe]:[currydestroyer27]]), "TBD")</f>
        <v>1.6733200530681511</v>
      </c>
      <c r="H387" s="160" t="s">
        <v>951</v>
      </c>
      <c r="I387" s="186" t="s">
        <v>952</v>
      </c>
      <c r="J387" s="3">
        <v>1</v>
      </c>
      <c r="K387" s="3">
        <v>5</v>
      </c>
      <c r="L387" s="3">
        <v>2</v>
      </c>
      <c r="M387" s="3">
        <v>5</v>
      </c>
      <c r="N387" s="3">
        <v>2</v>
      </c>
      <c r="O387" s="238"/>
      <c r="P387" s="234"/>
      <c r="Q387" s="93"/>
      <c r="R3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87" s="93">
        <v>1</v>
      </c>
      <c r="T387" s="93" t="b">
        <f>Data[[#This Row],[Day Rank]]=Data[[#This Row],[W Rank]]</f>
        <v>0</v>
      </c>
      <c r="U387" s="335" t="s">
        <v>953</v>
      </c>
    </row>
    <row r="388" spans="1:21" ht="15" customHeight="1">
      <c r="A388" s="333"/>
      <c r="B388" s="326"/>
      <c r="C388" s="329"/>
      <c r="D388" s="81">
        <f>D387</f>
        <v>45589</v>
      </c>
      <c r="E388" s="140" t="str">
        <f>$K$1</f>
        <v>danram</v>
      </c>
      <c r="F388" s="8">
        <f>IFERROR(AVERAGE(Data[[#This Row],[alappatjoe]:[currydestroyer27]]), "TBD")</f>
        <v>1.6</v>
      </c>
      <c r="G388" s="177">
        <f>IFERROR(_xlfn.STDEV.P(Data[[#This Row],[alappatjoe]:[currydestroyer27]]), "TBD")</f>
        <v>0.8</v>
      </c>
      <c r="H388" s="135" t="s">
        <v>954</v>
      </c>
      <c r="I388" s="229" t="s">
        <v>952</v>
      </c>
      <c r="J388" s="3">
        <v>2</v>
      </c>
      <c r="K388" s="3">
        <v>1</v>
      </c>
      <c r="L388" s="3">
        <v>1</v>
      </c>
      <c r="M388" s="3">
        <v>1</v>
      </c>
      <c r="N388" s="3">
        <v>3</v>
      </c>
      <c r="O388" s="238"/>
      <c r="P388" s="234"/>
      <c r="Q388" s="93"/>
      <c r="R3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88" s="93">
        <v>1</v>
      </c>
      <c r="T388" s="93" t="b">
        <f>Data[[#This Row],[Day Rank]]=Data[[#This Row],[W Rank]]</f>
        <v>1</v>
      </c>
      <c r="U388" s="336"/>
    </row>
    <row r="389" spans="1:21" ht="15" customHeight="1">
      <c r="A389" s="333"/>
      <c r="B389" s="326"/>
      <c r="C389" s="329"/>
      <c r="D389" s="81">
        <f>D387</f>
        <v>45589</v>
      </c>
      <c r="E389" s="140" t="str">
        <f>$L$1</f>
        <v>loganworsdell</v>
      </c>
      <c r="F389" s="8">
        <f>IFERROR(AVERAGE(Data[[#This Row],[alappatjoe]:[currydestroyer27]]), "TBD")</f>
        <v>3.8</v>
      </c>
      <c r="G389" s="177">
        <f>IFERROR(_xlfn.STDEV.P(Data[[#This Row],[alappatjoe]:[currydestroyer27]]), "TBD")</f>
        <v>0.74833147735478833</v>
      </c>
      <c r="H389" s="135" t="s">
        <v>955</v>
      </c>
      <c r="I389" s="229" t="s">
        <v>664</v>
      </c>
      <c r="J389" s="3">
        <v>5</v>
      </c>
      <c r="K389" s="3">
        <v>4</v>
      </c>
      <c r="L389" s="3">
        <v>3</v>
      </c>
      <c r="M389" s="3">
        <v>3</v>
      </c>
      <c r="N389" s="3">
        <v>4</v>
      </c>
      <c r="O389" s="238"/>
      <c r="P389" s="234"/>
      <c r="Q389" s="93"/>
      <c r="R3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89" s="93">
        <v>1</v>
      </c>
      <c r="T389" s="93" t="b">
        <f>Data[[#This Row],[Day Rank]]=Data[[#This Row],[W Rank]]</f>
        <v>0</v>
      </c>
      <c r="U389" s="336"/>
    </row>
    <row r="390" spans="1:21" ht="15" customHeight="1">
      <c r="A390" s="333"/>
      <c r="B390" s="326"/>
      <c r="C390" s="329"/>
      <c r="D390" s="142">
        <f>D387</f>
        <v>45589</v>
      </c>
      <c r="E390" s="125" t="str">
        <f>$M$1</f>
        <v>samuelbattista</v>
      </c>
      <c r="F390" s="7">
        <f>IFERROR(AVERAGE(Data[[#This Row],[alappatjoe]:[currydestroyer27]]), "TBD")</f>
        <v>3.6</v>
      </c>
      <c r="G390" s="262">
        <f>IFERROR(_xlfn.STDEV.P(Data[[#This Row],[alappatjoe]:[currydestroyer27]]), "TBD")</f>
        <v>1.019803902718557</v>
      </c>
      <c r="H390" s="264" t="s">
        <v>956</v>
      </c>
      <c r="I390" s="266" t="s">
        <v>957</v>
      </c>
      <c r="J390" s="3">
        <v>4</v>
      </c>
      <c r="K390" s="3">
        <v>3</v>
      </c>
      <c r="L390" s="3">
        <v>4</v>
      </c>
      <c r="M390" s="3">
        <v>2</v>
      </c>
      <c r="N390" s="3">
        <v>5</v>
      </c>
      <c r="O390" s="238"/>
      <c r="P390" s="234"/>
      <c r="Q390" s="93"/>
      <c r="R3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90" s="93">
        <v>1</v>
      </c>
      <c r="T390" s="93" t="b">
        <f>Data[[#This Row],[Day Rank]]=Data[[#This Row],[W Rank]]</f>
        <v>0</v>
      </c>
      <c r="U390" s="336"/>
    </row>
    <row r="391" spans="1:21" ht="15" customHeight="1" thickBot="1">
      <c r="A391" s="334"/>
      <c r="B391" s="327"/>
      <c r="C391" s="330"/>
      <c r="D391" s="82">
        <f>D387</f>
        <v>45589</v>
      </c>
      <c r="E391" s="182" t="str">
        <f>$N$1</f>
        <v>currydestroyer27</v>
      </c>
      <c r="F391" s="83">
        <f>IFERROR(AVERAGE(Data[[#This Row],[alappatjoe]:[currydestroyer27]]), "TBD")</f>
        <v>3</v>
      </c>
      <c r="G391" s="183">
        <f>IFERROR(_xlfn.STDEV.P(Data[[#This Row],[alappatjoe]:[currydestroyer27]]), "TBD")</f>
        <v>1.4142135623730951</v>
      </c>
      <c r="H391" s="184" t="s">
        <v>958</v>
      </c>
      <c r="I391" s="185" t="s">
        <v>959</v>
      </c>
      <c r="J391" s="83">
        <v>3</v>
      </c>
      <c r="K391" s="83">
        <v>2</v>
      </c>
      <c r="L391" s="83">
        <v>5</v>
      </c>
      <c r="M391" s="83">
        <v>4</v>
      </c>
      <c r="N391" s="83">
        <v>1</v>
      </c>
      <c r="O391" s="241"/>
      <c r="P391" s="236"/>
      <c r="Q391" s="162"/>
      <c r="R391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91" s="162">
        <v>1</v>
      </c>
      <c r="T391" s="162" t="b">
        <f>Data[[#This Row],[Day Rank]]=Data[[#This Row],[W Rank]]</f>
        <v>0</v>
      </c>
      <c r="U391" s="337"/>
    </row>
    <row r="392" spans="1:21" ht="15" customHeight="1">
      <c r="A392" s="332">
        <v>45593</v>
      </c>
      <c r="B392" s="325"/>
      <c r="C392" s="338" t="str" cm="1">
        <f t="array" ref="C392">_xlfn.LET(_xlpm.matches, _xlfn._xlws.FILTER(Data[Poster], (Data[Date]=A392)*(Data[Winner]=TRUE)), IF(ROWS(_xlpm.matches)&gt;1, "TIE", _xlpm.matches))</f>
        <v>alappatjoe</v>
      </c>
      <c r="D392" s="147">
        <f>A392</f>
        <v>45593</v>
      </c>
      <c r="E392" s="181" t="str">
        <f>$J$1</f>
        <v>alappatjoe</v>
      </c>
      <c r="F392" s="9">
        <f>IFERROR(AVERAGE(Data[[#This Row],[alappatjoe]:[currydestroyer27]]), "TBD")</f>
        <v>2</v>
      </c>
      <c r="G392" s="178">
        <f>IFERROR(_xlfn.STDEV.P(Data[[#This Row],[alappatjoe]:[currydestroyer27]]), "TBD")</f>
        <v>1.0954451150103321</v>
      </c>
      <c r="H392" s="160" t="s">
        <v>960</v>
      </c>
      <c r="I392" s="186" t="s">
        <v>616</v>
      </c>
      <c r="J392" s="3">
        <v>1</v>
      </c>
      <c r="K392" s="3">
        <v>1</v>
      </c>
      <c r="L392" s="3">
        <v>2</v>
      </c>
      <c r="M392" s="3">
        <v>2</v>
      </c>
      <c r="N392" s="3">
        <v>4</v>
      </c>
      <c r="O392" s="238"/>
      <c r="P392" s="234"/>
      <c r="Q392" s="93"/>
      <c r="R3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392" s="93">
        <v>1</v>
      </c>
      <c r="T392" s="93" t="b">
        <f>Data[[#This Row],[Day Rank]]=Data[[#This Row],[W Rank]]</f>
        <v>1</v>
      </c>
      <c r="U392" s="335"/>
    </row>
    <row r="393" spans="1:21" ht="15" customHeight="1">
      <c r="A393" s="333"/>
      <c r="B393" s="326"/>
      <c r="C393" s="339"/>
      <c r="D393" s="81">
        <f>D392</f>
        <v>45593</v>
      </c>
      <c r="E393" s="140" t="str">
        <f>$K$1</f>
        <v>danram</v>
      </c>
      <c r="F393" s="8">
        <f>IFERROR(AVERAGE(Data[[#This Row],[alappatjoe]:[currydestroyer27]]), "TBD")</f>
        <v>3.6</v>
      </c>
      <c r="G393" s="177">
        <f>IFERROR(_xlfn.STDEV.P(Data[[#This Row],[alappatjoe]:[currydestroyer27]]), "TBD")</f>
        <v>1.019803902718557</v>
      </c>
      <c r="H393" s="135" t="s">
        <v>961</v>
      </c>
      <c r="I393" s="229" t="s">
        <v>373</v>
      </c>
      <c r="J393" s="3">
        <v>3</v>
      </c>
      <c r="K393" s="3">
        <v>2</v>
      </c>
      <c r="L393" s="3">
        <v>4</v>
      </c>
      <c r="M393" s="3">
        <v>4</v>
      </c>
      <c r="N393" s="3">
        <v>5</v>
      </c>
      <c r="O393" s="238"/>
      <c r="P393" s="234"/>
      <c r="Q393" s="93"/>
      <c r="R3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93" s="93">
        <v>1</v>
      </c>
      <c r="T393" s="93" t="b">
        <f>Data[[#This Row],[Day Rank]]=Data[[#This Row],[W Rank]]</f>
        <v>0</v>
      </c>
      <c r="U393" s="336"/>
    </row>
    <row r="394" spans="1:21" ht="15" customHeight="1">
      <c r="A394" s="333"/>
      <c r="B394" s="326"/>
      <c r="C394" s="339"/>
      <c r="D394" s="81">
        <f>D392</f>
        <v>45593</v>
      </c>
      <c r="E394" s="140" t="str">
        <f>$L$1</f>
        <v>loganworsdell</v>
      </c>
      <c r="F394" s="8">
        <f>IFERROR(AVERAGE(Data[[#This Row],[alappatjoe]:[currydestroyer27]]), "TBD")</f>
        <v>3.2</v>
      </c>
      <c r="G394" s="177">
        <f>IFERROR(_xlfn.STDEV.P(Data[[#This Row],[alappatjoe]:[currydestroyer27]]), "TBD")</f>
        <v>0.9797958971132712</v>
      </c>
      <c r="H394" s="135" t="s">
        <v>962</v>
      </c>
      <c r="I394" s="229" t="s">
        <v>963</v>
      </c>
      <c r="J394" s="3">
        <v>2</v>
      </c>
      <c r="K394" s="3">
        <v>3</v>
      </c>
      <c r="L394" s="3">
        <v>3</v>
      </c>
      <c r="M394" s="3">
        <v>5</v>
      </c>
      <c r="N394" s="3">
        <v>3</v>
      </c>
      <c r="O394" s="238"/>
      <c r="P394" s="234"/>
      <c r="Q394" s="93"/>
      <c r="R3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94" s="93">
        <v>1</v>
      </c>
      <c r="T394" s="93" t="b">
        <f>Data[[#This Row],[Day Rank]]=Data[[#This Row],[W Rank]]</f>
        <v>0</v>
      </c>
      <c r="U394" s="336"/>
    </row>
    <row r="395" spans="1:21" ht="15" customHeight="1">
      <c r="A395" s="333"/>
      <c r="B395" s="326"/>
      <c r="C395" s="339"/>
      <c r="D395" s="142">
        <f>D392</f>
        <v>45593</v>
      </c>
      <c r="E395" s="125" t="str">
        <f>$M$1</f>
        <v>samuelbattista</v>
      </c>
      <c r="F395" s="7">
        <f>IFERROR(AVERAGE(Data[[#This Row],[alappatjoe]:[currydestroyer27]]), "TBD")</f>
        <v>2.8</v>
      </c>
      <c r="G395" s="262">
        <f>IFERROR(_xlfn.STDEV.P(Data[[#This Row],[alappatjoe]:[currydestroyer27]]), "TBD")</f>
        <v>1.833030277982336</v>
      </c>
      <c r="H395" s="264" t="s">
        <v>964</v>
      </c>
      <c r="I395" s="266" t="s">
        <v>965</v>
      </c>
      <c r="J395" s="3">
        <v>5</v>
      </c>
      <c r="K395" s="3">
        <v>5</v>
      </c>
      <c r="L395" s="3">
        <v>1</v>
      </c>
      <c r="M395" s="3">
        <v>1</v>
      </c>
      <c r="N395" s="3">
        <v>2</v>
      </c>
      <c r="O395" s="238"/>
      <c r="P395" s="234"/>
      <c r="Q395" s="93"/>
      <c r="R3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95" s="93">
        <v>1</v>
      </c>
      <c r="T395" s="93" t="b">
        <f>Data[[#This Row],[Day Rank]]=Data[[#This Row],[W Rank]]</f>
        <v>0</v>
      </c>
      <c r="U395" s="336"/>
    </row>
    <row r="396" spans="1:21" ht="15" customHeight="1" thickBot="1">
      <c r="A396" s="334"/>
      <c r="B396" s="327"/>
      <c r="C396" s="340"/>
      <c r="D396" s="82">
        <f>D392</f>
        <v>45593</v>
      </c>
      <c r="E396" s="182" t="str">
        <f>$N$1</f>
        <v>currydestroyer27</v>
      </c>
      <c r="F396" s="83">
        <f>IFERROR(AVERAGE(Data[[#This Row],[alappatjoe]:[currydestroyer27]]), "TBD")</f>
        <v>3.4</v>
      </c>
      <c r="G396" s="183">
        <f>IFERROR(_xlfn.STDEV.P(Data[[#This Row],[alappatjoe]:[currydestroyer27]]), "TBD")</f>
        <v>1.3564659966250536</v>
      </c>
      <c r="H396" s="184" t="s">
        <v>966</v>
      </c>
      <c r="I396" s="185" t="s">
        <v>967</v>
      </c>
      <c r="J396" s="83">
        <v>4</v>
      </c>
      <c r="K396" s="83">
        <v>4</v>
      </c>
      <c r="L396" s="83">
        <v>5</v>
      </c>
      <c r="M396" s="83">
        <v>3</v>
      </c>
      <c r="N396" s="83">
        <v>1</v>
      </c>
      <c r="O396" s="241"/>
      <c r="P396" s="236"/>
      <c r="Q396" s="162"/>
      <c r="R396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396" s="162">
        <v>1</v>
      </c>
      <c r="T396" s="93" t="b">
        <f>Data[[#This Row],[Day Rank]]=Data[[#This Row],[W Rank]]</f>
        <v>0</v>
      </c>
      <c r="U396" s="337"/>
    </row>
    <row r="397" spans="1:21" ht="15" customHeight="1">
      <c r="A397" s="332">
        <v>45594</v>
      </c>
      <c r="B397" s="325"/>
      <c r="C397" s="328" t="str" cm="1">
        <f t="array" ref="C397">_xlfn.LET(_xlpm.matches, _xlfn._xlws.FILTER(Data[Poster], (Data[Date]=A397)*(Data[Winner]=TRUE)), IF(ROWS(_xlpm.matches)&gt;1, "TIE", _xlpm.matches))</f>
        <v>currydestroyer27</v>
      </c>
      <c r="D397" s="147">
        <f>A397</f>
        <v>45594</v>
      </c>
      <c r="E397" s="181" t="str">
        <f>$J$1</f>
        <v>alappatjoe</v>
      </c>
      <c r="F397" s="9">
        <f>IFERROR(AVERAGE(Data[[#This Row],[alappatjoe]:[currydestroyer27]]), "TBD")</f>
        <v>2.8</v>
      </c>
      <c r="G397" s="178">
        <f>IFERROR(_xlfn.STDEV.P(Data[[#This Row],[alappatjoe]:[currydestroyer27]]), "TBD")</f>
        <v>1.1661903789690602</v>
      </c>
      <c r="H397" s="160" t="s">
        <v>968</v>
      </c>
      <c r="I397" s="186" t="s">
        <v>969</v>
      </c>
      <c r="J397" s="3">
        <v>1</v>
      </c>
      <c r="K397" s="3">
        <v>4</v>
      </c>
      <c r="L397" s="3">
        <v>3</v>
      </c>
      <c r="M397" s="3">
        <v>4</v>
      </c>
      <c r="N397" s="3">
        <v>2</v>
      </c>
      <c r="O397" s="238"/>
      <c r="P397" s="234"/>
      <c r="Q397" s="93"/>
      <c r="R3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397" s="93">
        <v>1</v>
      </c>
      <c r="T397" s="93" t="b">
        <f>Data[[#This Row],[Day Rank]]=Data[[#This Row],[W Rank]]</f>
        <v>0</v>
      </c>
      <c r="U397" s="335"/>
    </row>
    <row r="398" spans="1:21" ht="15" customHeight="1">
      <c r="A398" s="333"/>
      <c r="B398" s="326"/>
      <c r="C398" s="329"/>
      <c r="D398" s="81">
        <f>D397</f>
        <v>45594</v>
      </c>
      <c r="E398" s="140" t="str">
        <f>$K$1</f>
        <v>danram</v>
      </c>
      <c r="F398" s="8">
        <f>IFERROR(AVERAGE(Data[[#This Row],[alappatjoe]:[currydestroyer27]]), "TBD")</f>
        <v>3.6</v>
      </c>
      <c r="G398" s="177">
        <f>IFERROR(_xlfn.STDEV.P(Data[[#This Row],[alappatjoe]:[currydestroyer27]]), "TBD")</f>
        <v>1.019803902718557</v>
      </c>
      <c r="H398" s="135" t="s">
        <v>970</v>
      </c>
      <c r="I398" s="229" t="s">
        <v>971</v>
      </c>
      <c r="J398" s="3">
        <v>4</v>
      </c>
      <c r="K398" s="3">
        <v>3</v>
      </c>
      <c r="L398" s="3">
        <v>4</v>
      </c>
      <c r="M398" s="3">
        <v>2</v>
      </c>
      <c r="N398" s="3">
        <v>5</v>
      </c>
      <c r="O398" s="238"/>
      <c r="P398" s="234"/>
      <c r="Q398" s="93"/>
      <c r="R3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398" s="93">
        <v>1</v>
      </c>
      <c r="T398" s="93" t="b">
        <f>Data[[#This Row],[Day Rank]]=Data[[#This Row],[W Rank]]</f>
        <v>0</v>
      </c>
      <c r="U398" s="336"/>
    </row>
    <row r="399" spans="1:21" ht="15" customHeight="1">
      <c r="A399" s="333"/>
      <c r="B399" s="326"/>
      <c r="C399" s="329"/>
      <c r="D399" s="81">
        <f>D397</f>
        <v>45594</v>
      </c>
      <c r="E399" s="140" t="str">
        <f>$L$1</f>
        <v>loganworsdell</v>
      </c>
      <c r="F399" s="8">
        <f>IFERROR(AVERAGE(Data[[#This Row],[alappatjoe]:[currydestroyer27]]), "TBD")</f>
        <v>2.6</v>
      </c>
      <c r="G399" s="177">
        <f>IFERROR(_xlfn.STDEV.P(Data[[#This Row],[alappatjoe]:[currydestroyer27]]), "TBD")</f>
        <v>1.4966629547095767</v>
      </c>
      <c r="H399" s="135" t="s">
        <v>972</v>
      </c>
      <c r="I399" s="229" t="s">
        <v>973</v>
      </c>
      <c r="J399" s="3">
        <v>5</v>
      </c>
      <c r="K399" s="3">
        <v>1</v>
      </c>
      <c r="L399" s="3">
        <v>1</v>
      </c>
      <c r="M399" s="3">
        <v>3</v>
      </c>
      <c r="N399" s="3">
        <v>3</v>
      </c>
      <c r="O399" s="238"/>
      <c r="P399" s="234"/>
      <c r="Q399" s="93"/>
      <c r="R3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399" s="93">
        <v>1</v>
      </c>
      <c r="T399" s="93" t="b">
        <f>Data[[#This Row],[Day Rank]]=Data[[#This Row],[W Rank]]</f>
        <v>0</v>
      </c>
      <c r="U399" s="336"/>
    </row>
    <row r="400" spans="1:21" ht="15" customHeight="1">
      <c r="A400" s="333"/>
      <c r="B400" s="326"/>
      <c r="C400" s="329"/>
      <c r="D400" s="142">
        <f>D397</f>
        <v>45594</v>
      </c>
      <c r="E400" s="125" t="str">
        <f>$M$1</f>
        <v>samuelbattista</v>
      </c>
      <c r="F400" s="7">
        <f>IFERROR(AVERAGE(Data[[#This Row],[alappatjoe]:[currydestroyer27]]), "TBD")</f>
        <v>3.4</v>
      </c>
      <c r="G400" s="262">
        <f>IFERROR(_xlfn.STDEV.P(Data[[#This Row],[alappatjoe]:[currydestroyer27]]), "TBD")</f>
        <v>1.6248076809271921</v>
      </c>
      <c r="H400" s="264" t="s">
        <v>974</v>
      </c>
      <c r="I400" s="266" t="s">
        <v>975</v>
      </c>
      <c r="J400" s="3">
        <v>2</v>
      </c>
      <c r="K400" s="3">
        <v>5</v>
      </c>
      <c r="L400" s="3">
        <v>5</v>
      </c>
      <c r="M400" s="3">
        <v>1</v>
      </c>
      <c r="N400" s="3">
        <v>4</v>
      </c>
      <c r="O400" s="238"/>
      <c r="P400" s="234"/>
      <c r="Q400" s="93"/>
      <c r="R4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00" s="93">
        <v>1</v>
      </c>
      <c r="T400" s="93" t="b">
        <f>Data[[#This Row],[Day Rank]]=Data[[#This Row],[W Rank]]</f>
        <v>0</v>
      </c>
      <c r="U400" s="336"/>
    </row>
    <row r="401" spans="1:21" ht="15" customHeight="1" thickBot="1">
      <c r="A401" s="334"/>
      <c r="B401" s="327"/>
      <c r="C401" s="330"/>
      <c r="D401" s="82">
        <f>D397</f>
        <v>45594</v>
      </c>
      <c r="E401" s="182" t="str">
        <f>$N$1</f>
        <v>currydestroyer27</v>
      </c>
      <c r="F401" s="83">
        <f>IFERROR(AVERAGE(Data[[#This Row],[alappatjoe]:[currydestroyer27]]), "TBD")</f>
        <v>2.6</v>
      </c>
      <c r="G401" s="183">
        <f>IFERROR(_xlfn.STDEV.P(Data[[#This Row],[alappatjoe]:[currydestroyer27]]), "TBD")</f>
        <v>1.3564659966250536</v>
      </c>
      <c r="H401" s="184" t="s">
        <v>976</v>
      </c>
      <c r="I401" s="185" t="s">
        <v>977</v>
      </c>
      <c r="J401" s="83">
        <v>3</v>
      </c>
      <c r="K401" s="83">
        <v>2</v>
      </c>
      <c r="L401" s="83">
        <v>2</v>
      </c>
      <c r="M401" s="83">
        <v>5</v>
      </c>
      <c r="N401" s="83">
        <v>1</v>
      </c>
      <c r="O401" s="241"/>
      <c r="P401" s="236"/>
      <c r="Q401" s="162"/>
      <c r="R401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01" s="162">
        <v>1</v>
      </c>
      <c r="T401" s="93" t="b">
        <f>Data[[#This Row],[Day Rank]]=Data[[#This Row],[W Rank]]</f>
        <v>1</v>
      </c>
      <c r="U401" s="337"/>
    </row>
    <row r="402" spans="1:21" ht="15" customHeight="1">
      <c r="A402" s="332">
        <v>45595</v>
      </c>
      <c r="B402" s="325"/>
      <c r="C402" s="338" t="str" cm="1">
        <f t="array" ref="C402">_xlfn.LET(_xlpm.matches, _xlfn._xlws.FILTER(Data[Poster], (Data[Date]=A402)*(Data[Winner]=TRUE)), IF(ROWS(_xlpm.matches)&gt;1, "TIE", _xlpm.matches))</f>
        <v>loganworsdell</v>
      </c>
      <c r="D402" s="147">
        <f>A402</f>
        <v>45595</v>
      </c>
      <c r="E402" s="181" t="str">
        <f>$J$1</f>
        <v>alappatjoe</v>
      </c>
      <c r="F402" s="9">
        <f>IFERROR(AVERAGE(Data[[#This Row],[alappatjoe]:[currydestroyer27]]), "TBD")</f>
        <v>4.2</v>
      </c>
      <c r="G402" s="178">
        <f>IFERROR(_xlfn.STDEV.P(Data[[#This Row],[alappatjoe]:[currydestroyer27]]), "TBD")</f>
        <v>1.6</v>
      </c>
      <c r="H402" s="160" t="s">
        <v>978</v>
      </c>
      <c r="I402" s="186" t="s">
        <v>979</v>
      </c>
      <c r="J402" s="3">
        <v>1</v>
      </c>
      <c r="K402" s="3">
        <v>5</v>
      </c>
      <c r="L402" s="3">
        <v>5</v>
      </c>
      <c r="M402" s="3">
        <v>5</v>
      </c>
      <c r="N402" s="3">
        <v>5</v>
      </c>
      <c r="O402" s="238"/>
      <c r="P402" s="234"/>
      <c r="Q402" s="93"/>
      <c r="R4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02" s="93">
        <v>1</v>
      </c>
      <c r="T402" s="93" t="b">
        <f>Data[[#This Row],[Day Rank]]=Data[[#This Row],[W Rank]]</f>
        <v>0</v>
      </c>
      <c r="U402" s="335"/>
    </row>
    <row r="403" spans="1:21" ht="15" customHeight="1">
      <c r="A403" s="333"/>
      <c r="B403" s="326"/>
      <c r="C403" s="339"/>
      <c r="D403" s="81">
        <f>D402</f>
        <v>45595</v>
      </c>
      <c r="E403" s="140" t="str">
        <f>$K$1</f>
        <v>danram</v>
      </c>
      <c r="F403" s="8">
        <f>IFERROR(AVERAGE(Data[[#This Row],[alappatjoe]:[currydestroyer27]]), "TBD")</f>
        <v>2.6</v>
      </c>
      <c r="G403" s="177">
        <f>IFERROR(_xlfn.STDEV.P(Data[[#This Row],[alappatjoe]:[currydestroyer27]]), "TBD")</f>
        <v>1.019803902718557</v>
      </c>
      <c r="H403" s="135" t="s">
        <v>980</v>
      </c>
      <c r="I403" s="229" t="s">
        <v>361</v>
      </c>
      <c r="J403" s="3">
        <v>4</v>
      </c>
      <c r="K403" s="3">
        <v>1</v>
      </c>
      <c r="L403" s="3">
        <v>3</v>
      </c>
      <c r="M403" s="3">
        <v>2</v>
      </c>
      <c r="N403" s="3">
        <v>3</v>
      </c>
      <c r="O403" s="238"/>
      <c r="P403" s="234"/>
      <c r="Q403" s="93"/>
      <c r="R4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03" s="93">
        <v>1</v>
      </c>
      <c r="T403" s="93" t="b">
        <f>Data[[#This Row],[Day Rank]]=Data[[#This Row],[W Rank]]</f>
        <v>0</v>
      </c>
      <c r="U403" s="336"/>
    </row>
    <row r="404" spans="1:21" ht="15" customHeight="1">
      <c r="A404" s="333"/>
      <c r="B404" s="326"/>
      <c r="C404" s="339"/>
      <c r="D404" s="81">
        <f>D402</f>
        <v>45595</v>
      </c>
      <c r="E404" s="140" t="str">
        <f>$L$1</f>
        <v>loganworsdell</v>
      </c>
      <c r="F404" s="8">
        <f>IFERROR(AVERAGE(Data[[#This Row],[alappatjoe]:[currydestroyer27]]), "TBD")</f>
        <v>2</v>
      </c>
      <c r="G404" s="177">
        <f>IFERROR(_xlfn.STDEV.P(Data[[#This Row],[alappatjoe]:[currydestroyer27]]), "TBD")</f>
        <v>0.63245553203367588</v>
      </c>
      <c r="H404" s="135" t="s">
        <v>981</v>
      </c>
      <c r="I404" s="229" t="s">
        <v>982</v>
      </c>
      <c r="J404" s="3">
        <v>2</v>
      </c>
      <c r="K404" s="3">
        <v>2</v>
      </c>
      <c r="L404" s="3">
        <v>1</v>
      </c>
      <c r="M404" s="3">
        <v>3</v>
      </c>
      <c r="N404" s="3">
        <v>2</v>
      </c>
      <c r="O404" s="238"/>
      <c r="P404" s="234"/>
      <c r="Q404" s="93"/>
      <c r="R4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04" s="93">
        <v>1</v>
      </c>
      <c r="T404" s="93" t="b">
        <f>Data[[#This Row],[Day Rank]]=Data[[#This Row],[W Rank]]</f>
        <v>1</v>
      </c>
      <c r="U404" s="336"/>
    </row>
    <row r="405" spans="1:21" ht="15" customHeight="1">
      <c r="A405" s="333"/>
      <c r="B405" s="326"/>
      <c r="C405" s="339"/>
      <c r="D405" s="142">
        <f>D402</f>
        <v>45595</v>
      </c>
      <c r="E405" s="125" t="str">
        <f>$M$1</f>
        <v>samuelbattista</v>
      </c>
      <c r="F405" s="7">
        <f>IFERROR(AVERAGE(Data[[#This Row],[alappatjoe]:[currydestroyer27]]), "TBD")</f>
        <v>3.6</v>
      </c>
      <c r="G405" s="262">
        <f>IFERROR(_xlfn.STDEV.P(Data[[#This Row],[alappatjoe]:[currydestroyer27]]), "TBD")</f>
        <v>1.3564659966250536</v>
      </c>
      <c r="H405" s="264" t="s">
        <v>983</v>
      </c>
      <c r="I405" s="266" t="s">
        <v>984</v>
      </c>
      <c r="J405" s="3">
        <v>5</v>
      </c>
      <c r="K405" s="3">
        <v>4</v>
      </c>
      <c r="L405" s="3">
        <v>4</v>
      </c>
      <c r="M405" s="3">
        <v>1</v>
      </c>
      <c r="N405" s="3">
        <v>4</v>
      </c>
      <c r="O405" s="238"/>
      <c r="P405" s="234"/>
      <c r="Q405" s="93"/>
      <c r="R4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05" s="93">
        <v>1</v>
      </c>
      <c r="T405" s="93" t="b">
        <f>Data[[#This Row],[Day Rank]]=Data[[#This Row],[W Rank]]</f>
        <v>0</v>
      </c>
      <c r="U405" s="336"/>
    </row>
    <row r="406" spans="1:21" ht="15" customHeight="1" thickBot="1">
      <c r="A406" s="334"/>
      <c r="B406" s="327"/>
      <c r="C406" s="340"/>
      <c r="D406" s="82">
        <f>D402</f>
        <v>45595</v>
      </c>
      <c r="E406" s="182" t="str">
        <f>$N$1</f>
        <v>currydestroyer27</v>
      </c>
      <c r="F406" s="83">
        <f>IFERROR(AVERAGE(Data[[#This Row],[alappatjoe]:[currydestroyer27]]), "TBD")</f>
        <v>2.6</v>
      </c>
      <c r="G406" s="183">
        <f>IFERROR(_xlfn.STDEV.P(Data[[#This Row],[alappatjoe]:[currydestroyer27]]), "TBD")</f>
        <v>1.019803902718557</v>
      </c>
      <c r="H406" s="184" t="s">
        <v>985</v>
      </c>
      <c r="I406" s="185" t="s">
        <v>986</v>
      </c>
      <c r="J406" s="83">
        <v>3</v>
      </c>
      <c r="K406" s="83">
        <v>3</v>
      </c>
      <c r="L406" s="83">
        <v>2</v>
      </c>
      <c r="M406" s="83">
        <v>4</v>
      </c>
      <c r="N406" s="83">
        <v>1</v>
      </c>
      <c r="O406" s="241"/>
      <c r="P406" s="236"/>
      <c r="Q406" s="162"/>
      <c r="R406" s="16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06" s="162">
        <v>1</v>
      </c>
      <c r="T406" s="93" t="b">
        <f>Data[[#This Row],[Day Rank]]=Data[[#This Row],[W Rank]]</f>
        <v>0</v>
      </c>
      <c r="U406" s="337"/>
    </row>
    <row r="407" spans="1:21" ht="15" customHeight="1">
      <c r="A407" s="332">
        <v>45596</v>
      </c>
      <c r="B407" s="325"/>
      <c r="C407" s="328" t="str" cm="1">
        <f t="array" ref="C407">_xlfn.LET(_xlpm.matches, _xlfn._xlws.FILTER(Data[Poster], (Data[Date]=A407)*(Data[Winner]=TRUE)), IF(ROWS(_xlpm.matches)&gt;1, "TIE", _xlpm.matches))</f>
        <v>alappatjoe</v>
      </c>
      <c r="D407" s="147">
        <f>A407</f>
        <v>45596</v>
      </c>
      <c r="E407" s="181" t="str">
        <f>$J$1</f>
        <v>alappatjoe</v>
      </c>
      <c r="F407" s="8">
        <f>IFERROR(AVERAGE(Data[[#This Row],[alappatjoe]:[currydestroyer27]]), "TBD")</f>
        <v>2.6</v>
      </c>
      <c r="G407" s="177">
        <f>IFERROR(_xlfn.STDEV.P(Data[[#This Row],[alappatjoe]:[currydestroyer27]]), "TBD")</f>
        <v>1.3564659966250536</v>
      </c>
      <c r="H407" s="135" t="s">
        <v>987</v>
      </c>
      <c r="I407" s="229" t="s">
        <v>988</v>
      </c>
      <c r="J407" s="3">
        <v>1</v>
      </c>
      <c r="K407" s="3">
        <v>3</v>
      </c>
      <c r="L407" s="3">
        <v>4</v>
      </c>
      <c r="M407" s="3">
        <v>4</v>
      </c>
      <c r="N407" s="3">
        <v>1</v>
      </c>
      <c r="O407" s="238"/>
      <c r="P407" s="234"/>
      <c r="Q407" s="93"/>
      <c r="R4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07" s="93">
        <v>1</v>
      </c>
      <c r="T407" s="93" t="b">
        <f>Data[[#This Row],[Day Rank]]=Data[[#This Row],[W Rank]]</f>
        <v>1</v>
      </c>
      <c r="U407" s="335" t="s">
        <v>989</v>
      </c>
    </row>
    <row r="408" spans="1:21" ht="15" customHeight="1">
      <c r="A408" s="333"/>
      <c r="B408" s="326"/>
      <c r="C408" s="329"/>
      <c r="D408" s="81">
        <f>D407</f>
        <v>45596</v>
      </c>
      <c r="E408" s="140" t="str">
        <f>$K$1</f>
        <v>danram</v>
      </c>
      <c r="F408" s="8">
        <f>IFERROR(AVERAGE(Data[[#This Row],[alappatjoe]:[currydestroyer27]]), "TBD")</f>
        <v>2.8</v>
      </c>
      <c r="G408" s="177">
        <f>IFERROR(_xlfn.STDEV.P(Data[[#This Row],[alappatjoe]:[currydestroyer27]]), "TBD")</f>
        <v>1.833030277982336</v>
      </c>
      <c r="H408" s="135" t="s">
        <v>990</v>
      </c>
      <c r="I408" s="229" t="s">
        <v>991</v>
      </c>
      <c r="J408" s="3">
        <v>2</v>
      </c>
      <c r="K408" s="3">
        <v>1</v>
      </c>
      <c r="L408" s="3">
        <v>1</v>
      </c>
      <c r="M408" s="3">
        <v>5</v>
      </c>
      <c r="N408" s="3">
        <v>5</v>
      </c>
      <c r="O408" s="238"/>
      <c r="P408" s="234"/>
      <c r="Q408" s="93"/>
      <c r="R4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08" s="93">
        <v>1</v>
      </c>
      <c r="T408" s="93" t="b">
        <f>Data[[#This Row],[Day Rank]]=Data[[#This Row],[W Rank]]</f>
        <v>0</v>
      </c>
      <c r="U408" s="336"/>
    </row>
    <row r="409" spans="1:21" ht="15" customHeight="1">
      <c r="A409" s="333"/>
      <c r="B409" s="326"/>
      <c r="C409" s="329"/>
      <c r="D409" s="81">
        <f>D407</f>
        <v>45596</v>
      </c>
      <c r="E409" s="140" t="str">
        <f>$L$1</f>
        <v>loganworsdell</v>
      </c>
      <c r="F409" s="8">
        <f>IFERROR(AVERAGE(Data[[#This Row],[alappatjoe]:[currydestroyer27]]), "TBD")</f>
        <v>3.8</v>
      </c>
      <c r="G409" s="177">
        <f>IFERROR(_xlfn.STDEV.P(Data[[#This Row],[alappatjoe]:[currydestroyer27]]), "TBD")</f>
        <v>1.1661903789690602</v>
      </c>
      <c r="H409" s="135" t="s">
        <v>992</v>
      </c>
      <c r="I409" s="229" t="s">
        <v>993</v>
      </c>
      <c r="J409" s="3">
        <v>3</v>
      </c>
      <c r="K409" s="3">
        <v>5</v>
      </c>
      <c r="L409" s="3">
        <v>5</v>
      </c>
      <c r="M409" s="3">
        <v>2</v>
      </c>
      <c r="N409" s="3">
        <v>4</v>
      </c>
      <c r="O409" s="238"/>
      <c r="P409" s="234"/>
      <c r="Q409" s="93"/>
      <c r="R4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09" s="93">
        <v>1</v>
      </c>
      <c r="T409" s="93" t="b">
        <f>Data[[#This Row],[Day Rank]]=Data[[#This Row],[W Rank]]</f>
        <v>0</v>
      </c>
      <c r="U409" s="336"/>
    </row>
    <row r="410" spans="1:21" ht="15" customHeight="1">
      <c r="A410" s="333"/>
      <c r="B410" s="326"/>
      <c r="C410" s="329"/>
      <c r="D410" s="142">
        <f>D407</f>
        <v>45596</v>
      </c>
      <c r="E410" s="125" t="str">
        <f>$M$1</f>
        <v>samuelbattista</v>
      </c>
      <c r="F410" s="8">
        <f>IFERROR(AVERAGE(Data[[#This Row],[alappatjoe]:[currydestroyer27]]), "TBD")</f>
        <v>2.6</v>
      </c>
      <c r="G410" s="177">
        <f>IFERROR(_xlfn.STDEV.P(Data[[#This Row],[alappatjoe]:[currydestroyer27]]), "TBD")</f>
        <v>1.3564659966250536</v>
      </c>
      <c r="H410" s="135" t="s">
        <v>994</v>
      </c>
      <c r="I410" s="229" t="s">
        <v>995</v>
      </c>
      <c r="J410" s="3">
        <v>5</v>
      </c>
      <c r="K410" s="3">
        <v>2</v>
      </c>
      <c r="L410" s="3">
        <v>2</v>
      </c>
      <c r="M410" s="3">
        <v>1</v>
      </c>
      <c r="N410" s="3">
        <v>3</v>
      </c>
      <c r="O410" s="238"/>
      <c r="P410" s="234"/>
      <c r="Q410" s="93"/>
      <c r="R4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10" s="93">
        <v>2</v>
      </c>
      <c r="T410" s="93" t="b">
        <f>Data[[#This Row],[Day Rank]]=Data[[#This Row],[W Rank]]</f>
        <v>0</v>
      </c>
      <c r="U410" s="336"/>
    </row>
    <row r="411" spans="1:21" ht="15" customHeight="1" thickBot="1">
      <c r="A411" s="334"/>
      <c r="B411" s="327"/>
      <c r="C411" s="330"/>
      <c r="D411" s="164">
        <f>D407</f>
        <v>45596</v>
      </c>
      <c r="E411" s="215" t="str">
        <f>$N$1</f>
        <v>currydestroyer27</v>
      </c>
      <c r="F411" s="165">
        <f>IFERROR(AVERAGE(Data[[#This Row],[alappatjoe]:[currydestroyer27]]), "TBD")</f>
        <v>3.2</v>
      </c>
      <c r="G411" s="256">
        <f>IFERROR(_xlfn.STDEV.P(Data[[#This Row],[alappatjoe]:[currydestroyer27]]), "TBD")</f>
        <v>0.74833147735478833</v>
      </c>
      <c r="H411" s="227" t="s">
        <v>996</v>
      </c>
      <c r="I411" s="257" t="s">
        <v>997</v>
      </c>
      <c r="J411" s="166">
        <v>4</v>
      </c>
      <c r="K411" s="166">
        <v>4</v>
      </c>
      <c r="L411" s="166">
        <v>3</v>
      </c>
      <c r="M411" s="166">
        <v>3</v>
      </c>
      <c r="N411" s="166">
        <v>2</v>
      </c>
      <c r="O411" s="242"/>
      <c r="P411" s="237"/>
      <c r="Q411" s="167"/>
      <c r="R4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11" s="167">
        <v>1</v>
      </c>
      <c r="T411" s="167" t="b">
        <f>Data[[#This Row],[Day Rank]]=Data[[#This Row],[W Rank]]</f>
        <v>0</v>
      </c>
      <c r="U411" s="337"/>
    </row>
    <row r="412" spans="1:21" ht="15" customHeight="1">
      <c r="A412" s="332">
        <v>45600</v>
      </c>
      <c r="B412" s="325"/>
      <c r="C412" s="338" t="str" cm="1">
        <f t="array" ref="C412">_xlfn.LET(_xlpm.matches, _xlfn._xlws.FILTER(Data[Poster], (Data[Date]=A412)*(Data[Winner]=TRUE)), IF(ROWS(_xlpm.matches)&gt;1, "TIE", _xlpm.matches))</f>
        <v>samuelbattista</v>
      </c>
      <c r="D412" s="147">
        <f>A412</f>
        <v>45600</v>
      </c>
      <c r="E412" s="181" t="str">
        <f>$J$1</f>
        <v>alappatjoe</v>
      </c>
      <c r="F412" s="9">
        <f>IFERROR(AVERAGE(Data[[#This Row],[alappatjoe]:[currydestroyer27]]), "TBD")</f>
        <v>2.8</v>
      </c>
      <c r="G412" s="178">
        <f>IFERROR(_xlfn.STDEV.P(Data[[#This Row],[alappatjoe]:[currydestroyer27]]), "TBD")</f>
        <v>1.3266499161421599</v>
      </c>
      <c r="H412" s="160" t="s">
        <v>998</v>
      </c>
      <c r="I412" s="186" t="s">
        <v>999</v>
      </c>
      <c r="J412" s="3">
        <v>1</v>
      </c>
      <c r="K412" s="3">
        <v>5</v>
      </c>
      <c r="L412" s="3">
        <v>3</v>
      </c>
      <c r="M412" s="3">
        <v>3</v>
      </c>
      <c r="N412" s="3">
        <v>2</v>
      </c>
      <c r="O412" s="238"/>
      <c r="P412" s="234"/>
      <c r="Q412" s="93"/>
      <c r="R4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12" s="93">
        <v>1</v>
      </c>
      <c r="T412" s="93" t="b">
        <f>Data[[#This Row],[Day Rank]]=Data[[#This Row],[W Rank]]</f>
        <v>0</v>
      </c>
      <c r="U412" s="335"/>
    </row>
    <row r="413" spans="1:21" ht="15" customHeight="1">
      <c r="A413" s="333"/>
      <c r="B413" s="326"/>
      <c r="C413" s="339"/>
      <c r="D413" s="81">
        <f>D412</f>
        <v>45600</v>
      </c>
      <c r="E413" s="140" t="str">
        <f>$K$1</f>
        <v>danram</v>
      </c>
      <c r="F413" s="8">
        <f>IFERROR(AVERAGE(Data[[#This Row],[alappatjoe]:[currydestroyer27]]), "TBD")</f>
        <v>2.8</v>
      </c>
      <c r="G413" s="177">
        <f>IFERROR(_xlfn.STDEV.P(Data[[#This Row],[alappatjoe]:[currydestroyer27]]), "TBD")</f>
        <v>1.1661903789690602</v>
      </c>
      <c r="H413" s="135" t="s">
        <v>1000</v>
      </c>
      <c r="I413" s="229" t="s">
        <v>1001</v>
      </c>
      <c r="J413" s="3">
        <v>3</v>
      </c>
      <c r="K413" s="3">
        <v>1</v>
      </c>
      <c r="L413" s="3">
        <v>4</v>
      </c>
      <c r="M413" s="3">
        <v>2</v>
      </c>
      <c r="N413" s="3">
        <v>4</v>
      </c>
      <c r="O413" s="238"/>
      <c r="P413" s="234"/>
      <c r="Q413" s="93"/>
      <c r="R4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13" s="93">
        <v>1</v>
      </c>
      <c r="T413" s="93" t="b">
        <f>Data[[#This Row],[Day Rank]]=Data[[#This Row],[W Rank]]</f>
        <v>0</v>
      </c>
      <c r="U413" s="336"/>
    </row>
    <row r="414" spans="1:21" ht="15" customHeight="1">
      <c r="A414" s="333"/>
      <c r="B414" s="326"/>
      <c r="C414" s="339"/>
      <c r="D414" s="81">
        <f>D412</f>
        <v>45600</v>
      </c>
      <c r="E414" s="140" t="str">
        <f>$L$1</f>
        <v>loganworsdell</v>
      </c>
      <c r="F414" s="8">
        <f>IFERROR(AVERAGE(Data[[#This Row],[alappatjoe]:[currydestroyer27]]), "TBD")</f>
        <v>3.8</v>
      </c>
      <c r="G414" s="177">
        <f>IFERROR(_xlfn.STDEV.P(Data[[#This Row],[alappatjoe]:[currydestroyer27]]), "TBD")</f>
        <v>1.6</v>
      </c>
      <c r="H414" s="135" t="s">
        <v>1002</v>
      </c>
      <c r="I414" s="229" t="s">
        <v>1003</v>
      </c>
      <c r="J414" s="3">
        <v>5</v>
      </c>
      <c r="K414" s="3">
        <v>3</v>
      </c>
      <c r="L414" s="3">
        <v>1</v>
      </c>
      <c r="M414" s="3">
        <v>5</v>
      </c>
      <c r="N414" s="3">
        <v>5</v>
      </c>
      <c r="O414" s="238"/>
      <c r="P414" s="234"/>
      <c r="Q414" s="93"/>
      <c r="R4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14" s="93">
        <v>1</v>
      </c>
      <c r="T414" s="93" t="b">
        <f>Data[[#This Row],[Day Rank]]=Data[[#This Row],[W Rank]]</f>
        <v>0</v>
      </c>
      <c r="U414" s="336"/>
    </row>
    <row r="415" spans="1:21" ht="15" customHeight="1">
      <c r="A415" s="333"/>
      <c r="B415" s="326"/>
      <c r="C415" s="339"/>
      <c r="D415" s="81">
        <f>D412</f>
        <v>45600</v>
      </c>
      <c r="E415" s="140" t="str">
        <f>$M$1</f>
        <v>samuelbattista</v>
      </c>
      <c r="F415" s="8">
        <f>IFERROR(AVERAGE(Data[[#This Row],[alappatjoe]:[currydestroyer27]]), "TBD")</f>
        <v>2.6</v>
      </c>
      <c r="G415" s="177">
        <f>IFERROR(_xlfn.STDEV.P(Data[[#This Row],[alappatjoe]:[currydestroyer27]]), "TBD")</f>
        <v>1.3564659966250536</v>
      </c>
      <c r="H415" s="135" t="s">
        <v>1004</v>
      </c>
      <c r="I415" s="229" t="s">
        <v>1005</v>
      </c>
      <c r="J415" s="3">
        <v>2</v>
      </c>
      <c r="K415" s="3">
        <v>2</v>
      </c>
      <c r="L415" s="3">
        <v>5</v>
      </c>
      <c r="M415" s="3">
        <v>1</v>
      </c>
      <c r="N415" s="3">
        <v>3</v>
      </c>
      <c r="O415" s="238"/>
      <c r="P415" s="234"/>
      <c r="Q415" s="93"/>
      <c r="R4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15" s="93">
        <v>1</v>
      </c>
      <c r="T415" s="93" t="b">
        <f>Data[[#This Row],[Day Rank]]=Data[[#This Row],[W Rank]]</f>
        <v>1</v>
      </c>
      <c r="U415" s="336"/>
    </row>
    <row r="416" spans="1:21" ht="15" customHeight="1" thickBot="1">
      <c r="A416" s="334"/>
      <c r="B416" s="327"/>
      <c r="C416" s="340"/>
      <c r="D416" s="164">
        <f>D412</f>
        <v>45600</v>
      </c>
      <c r="E416" s="215" t="str">
        <f>$N$1</f>
        <v>currydestroyer27</v>
      </c>
      <c r="F416" s="165">
        <f>IFERROR(AVERAGE(Data[[#This Row],[alappatjoe]:[currydestroyer27]]), "TBD")</f>
        <v>3</v>
      </c>
      <c r="G416" s="256">
        <f>IFERROR(_xlfn.STDEV.P(Data[[#This Row],[alappatjoe]:[currydestroyer27]]), "TBD")</f>
        <v>1.2649110640673518</v>
      </c>
      <c r="H416" s="227" t="s">
        <v>1006</v>
      </c>
      <c r="I416" s="257" t="s">
        <v>1007</v>
      </c>
      <c r="J416" s="165">
        <v>4</v>
      </c>
      <c r="K416" s="165">
        <v>4</v>
      </c>
      <c r="L416" s="165">
        <v>2</v>
      </c>
      <c r="M416" s="165">
        <v>4</v>
      </c>
      <c r="N416" s="165">
        <v>1</v>
      </c>
      <c r="O416" s="242"/>
      <c r="P416" s="237"/>
      <c r="Q416" s="167"/>
      <c r="R4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16" s="167">
        <v>1</v>
      </c>
      <c r="T416" s="167" t="b">
        <f>Data[[#This Row],[Day Rank]]=Data[[#This Row],[W Rank]]</f>
        <v>0</v>
      </c>
      <c r="U416" s="337"/>
    </row>
    <row r="417" spans="1:21" ht="15" customHeight="1">
      <c r="A417" s="332">
        <v>45601</v>
      </c>
      <c r="B417" s="325"/>
      <c r="C417" s="328" t="str" cm="1">
        <f t="array" ref="C417">_xlfn.LET(_xlpm.matches, _xlfn._xlws.FILTER(Data[Poster], (Data[Date]=A417)*(Data[Winner]=TRUE)), IF(ROWS(_xlpm.matches)&gt;1, "TIE", _xlpm.matches))</f>
        <v>samuelbattista</v>
      </c>
      <c r="D417" s="147">
        <f>A417</f>
        <v>45601</v>
      </c>
      <c r="E417" s="181" t="str">
        <f>$J$1</f>
        <v>alappatjoe</v>
      </c>
      <c r="F417" s="9">
        <f>IFERROR(AVERAGE(Data[[#This Row],[alappatjoe]:[currydestroyer27]]), "TBD")</f>
        <v>3.8</v>
      </c>
      <c r="G417" s="178">
        <f>IFERROR(_xlfn.STDEV.P(Data[[#This Row],[alappatjoe]:[currydestroyer27]]), "TBD")</f>
        <v>1.6</v>
      </c>
      <c r="H417" s="160" t="s">
        <v>1008</v>
      </c>
      <c r="I417" s="186" t="s">
        <v>1009</v>
      </c>
      <c r="J417" s="3">
        <v>1</v>
      </c>
      <c r="K417" s="3">
        <v>5</v>
      </c>
      <c r="L417" s="3">
        <v>3</v>
      </c>
      <c r="M417" s="3">
        <v>5</v>
      </c>
      <c r="N417" s="3">
        <v>5</v>
      </c>
      <c r="O417" s="238"/>
      <c r="P417" s="234"/>
      <c r="Q417" s="93"/>
      <c r="R4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17" s="93">
        <v>1</v>
      </c>
      <c r="T417" s="93" t="b">
        <f>Data[[#This Row],[Day Rank]]=Data[[#This Row],[W Rank]]</f>
        <v>0</v>
      </c>
      <c r="U417" s="335"/>
    </row>
    <row r="418" spans="1:21" ht="15" customHeight="1">
      <c r="A418" s="333"/>
      <c r="B418" s="326"/>
      <c r="C418" s="329"/>
      <c r="D418" s="81">
        <f>D417</f>
        <v>45601</v>
      </c>
      <c r="E418" s="140" t="str">
        <f>$K$1</f>
        <v>danram</v>
      </c>
      <c r="F418" s="8">
        <f>IFERROR(AVERAGE(Data[[#This Row],[alappatjoe]:[currydestroyer27]]), "TBD")</f>
        <v>3.4</v>
      </c>
      <c r="G418" s="177">
        <f>IFERROR(_xlfn.STDEV.P(Data[[#This Row],[alappatjoe]:[currydestroyer27]]), "TBD")</f>
        <v>1.2</v>
      </c>
      <c r="H418" s="135" t="s">
        <v>1010</v>
      </c>
      <c r="I418" s="229" t="s">
        <v>1011</v>
      </c>
      <c r="J418" s="3">
        <v>5</v>
      </c>
      <c r="K418" s="3">
        <v>2</v>
      </c>
      <c r="L418" s="3">
        <v>4</v>
      </c>
      <c r="M418" s="3">
        <v>4</v>
      </c>
      <c r="N418" s="3">
        <v>2</v>
      </c>
      <c r="O418" s="238"/>
      <c r="P418" s="234"/>
      <c r="Q418" s="93"/>
      <c r="R4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18" s="93">
        <v>1</v>
      </c>
      <c r="T418" s="93" t="b">
        <f>Data[[#This Row],[Day Rank]]=Data[[#This Row],[W Rank]]</f>
        <v>0</v>
      </c>
      <c r="U418" s="336"/>
    </row>
    <row r="419" spans="1:21" ht="15" customHeight="1">
      <c r="A419" s="333"/>
      <c r="B419" s="326"/>
      <c r="C419" s="329"/>
      <c r="D419" s="81">
        <f>D417</f>
        <v>45601</v>
      </c>
      <c r="E419" s="140" t="str">
        <f>$L$1</f>
        <v>loganworsdell</v>
      </c>
      <c r="F419" s="8">
        <f>IFERROR(AVERAGE(Data[[#This Row],[alappatjoe]:[currydestroyer27]]), "TBD")</f>
        <v>3.4</v>
      </c>
      <c r="G419" s="177">
        <f>IFERROR(_xlfn.STDEV.P(Data[[#This Row],[alappatjoe]:[currydestroyer27]]), "TBD")</f>
        <v>0.8</v>
      </c>
      <c r="H419" s="268">
        <v>24</v>
      </c>
      <c r="I419" s="229" t="s">
        <v>1012</v>
      </c>
      <c r="J419" s="3">
        <v>4</v>
      </c>
      <c r="K419" s="3">
        <v>4</v>
      </c>
      <c r="L419" s="3">
        <v>2</v>
      </c>
      <c r="M419" s="3">
        <v>3</v>
      </c>
      <c r="N419" s="3">
        <v>4</v>
      </c>
      <c r="O419" s="238"/>
      <c r="P419" s="234"/>
      <c r="Q419" s="93"/>
      <c r="R4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19" s="93">
        <v>1</v>
      </c>
      <c r="T419" s="93" t="b">
        <f>Data[[#This Row],[Day Rank]]=Data[[#This Row],[W Rank]]</f>
        <v>0</v>
      </c>
      <c r="U419" s="336"/>
    </row>
    <row r="420" spans="1:21" ht="15" customHeight="1">
      <c r="A420" s="333"/>
      <c r="B420" s="326"/>
      <c r="C420" s="329"/>
      <c r="D420" s="81">
        <f>D417</f>
        <v>45601</v>
      </c>
      <c r="E420" s="140" t="str">
        <f>$M$1</f>
        <v>samuelbattista</v>
      </c>
      <c r="F420" s="8">
        <f>IFERROR(AVERAGE(Data[[#This Row],[alappatjoe]:[currydestroyer27]]), "TBD")</f>
        <v>1.8</v>
      </c>
      <c r="G420" s="177">
        <f>IFERROR(_xlfn.STDEV.P(Data[[#This Row],[alappatjoe]:[currydestroyer27]]), "TBD")</f>
        <v>0.9797958971132712</v>
      </c>
      <c r="H420" s="135" t="s">
        <v>1013</v>
      </c>
      <c r="I420" s="229" t="s">
        <v>1014</v>
      </c>
      <c r="J420" s="3">
        <v>3</v>
      </c>
      <c r="K420" s="3">
        <v>1</v>
      </c>
      <c r="L420" s="3">
        <v>1</v>
      </c>
      <c r="M420" s="3">
        <v>1</v>
      </c>
      <c r="N420" s="3">
        <v>3</v>
      </c>
      <c r="O420" s="238"/>
      <c r="P420" s="234"/>
      <c r="Q420" s="93"/>
      <c r="R4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20" s="93">
        <v>1</v>
      </c>
      <c r="T420" s="93" t="b">
        <f>Data[[#This Row],[Day Rank]]=Data[[#This Row],[W Rank]]</f>
        <v>1</v>
      </c>
      <c r="U420" s="336"/>
    </row>
    <row r="421" spans="1:21" ht="15" customHeight="1" thickBot="1">
      <c r="A421" s="334"/>
      <c r="B421" s="327"/>
      <c r="C421" s="330"/>
      <c r="D421" s="164">
        <f>D417</f>
        <v>45601</v>
      </c>
      <c r="E421" s="215" t="str">
        <f>$N$1</f>
        <v>currydestroyer27</v>
      </c>
      <c r="F421" s="165">
        <f>IFERROR(AVERAGE(Data[[#This Row],[alappatjoe]:[currydestroyer27]]), "TBD")</f>
        <v>2.6</v>
      </c>
      <c r="G421" s="256">
        <f>IFERROR(_xlfn.STDEV.P(Data[[#This Row],[alappatjoe]:[currydestroyer27]]), "TBD")</f>
        <v>1.3564659966250536</v>
      </c>
      <c r="H421" s="227" t="s">
        <v>1015</v>
      </c>
      <c r="I421" s="257" t="s">
        <v>263</v>
      </c>
      <c r="J421" s="165">
        <v>2</v>
      </c>
      <c r="K421" s="165">
        <v>3</v>
      </c>
      <c r="L421" s="165">
        <v>5</v>
      </c>
      <c r="M421" s="165">
        <v>2</v>
      </c>
      <c r="N421" s="165">
        <v>1</v>
      </c>
      <c r="O421" s="242"/>
      <c r="P421" s="237"/>
      <c r="Q421" s="167"/>
      <c r="R4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21" s="167">
        <v>1</v>
      </c>
      <c r="T421" s="93" t="b">
        <f>Data[[#This Row],[Day Rank]]=Data[[#This Row],[W Rank]]</f>
        <v>0</v>
      </c>
      <c r="U421" s="337"/>
    </row>
    <row r="422" spans="1:21" ht="15" customHeight="1">
      <c r="A422" s="332">
        <v>45602</v>
      </c>
      <c r="B422" s="325"/>
      <c r="C422" s="338" t="str" cm="1">
        <f t="array" ref="C422">_xlfn.LET(_xlpm.matches, _xlfn._xlws.FILTER(Data[Poster], (Data[Date]=A422)*(Data[Winner]=TRUE)), IF(ROWS(_xlpm.matches)&gt;1, "TIE", _xlpm.matches))</f>
        <v>danram</v>
      </c>
      <c r="D422" s="147">
        <f>A422</f>
        <v>45602</v>
      </c>
      <c r="E422" s="181" t="str">
        <f>$J$1</f>
        <v>alappatjoe</v>
      </c>
      <c r="F422" s="9">
        <f>IFERROR(AVERAGE(Data[[#This Row],[alappatjoe]:[currydestroyer27]]), "TBD")</f>
        <v>4</v>
      </c>
      <c r="G422" s="178">
        <f>IFERROR(_xlfn.STDEV.P(Data[[#This Row],[alappatjoe]:[currydestroyer27]]), "TBD")</f>
        <v>1.5491933384829668</v>
      </c>
      <c r="H422" s="160" t="s">
        <v>1016</v>
      </c>
      <c r="I422" s="186" t="s">
        <v>1017</v>
      </c>
      <c r="J422" s="3">
        <v>1</v>
      </c>
      <c r="K422" s="3">
        <v>5</v>
      </c>
      <c r="L422" s="3">
        <v>5</v>
      </c>
      <c r="M422" s="3">
        <v>5</v>
      </c>
      <c r="N422" s="3">
        <v>4</v>
      </c>
      <c r="O422" s="238"/>
      <c r="P422" s="234"/>
      <c r="Q422" s="93"/>
      <c r="R4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22" s="93">
        <v>1</v>
      </c>
      <c r="T422" s="93" t="b">
        <f>Data[[#This Row],[Day Rank]]=Data[[#This Row],[W Rank]]</f>
        <v>0</v>
      </c>
      <c r="U422" s="335"/>
    </row>
    <row r="423" spans="1:21" ht="15" customHeight="1">
      <c r="A423" s="333"/>
      <c r="B423" s="326"/>
      <c r="C423" s="339"/>
      <c r="D423" s="81">
        <f>D422</f>
        <v>45602</v>
      </c>
      <c r="E423" s="140" t="str">
        <f>$K$1</f>
        <v>danram</v>
      </c>
      <c r="F423" s="8">
        <f>IFERROR(AVERAGE(Data[[#This Row],[alappatjoe]:[currydestroyer27]]), "TBD")</f>
        <v>1.8</v>
      </c>
      <c r="G423" s="177">
        <f>IFERROR(_xlfn.STDEV.P(Data[[#This Row],[alappatjoe]:[currydestroyer27]]), "TBD")</f>
        <v>0.74833147735478833</v>
      </c>
      <c r="H423" s="135" t="s">
        <v>1018</v>
      </c>
      <c r="I423" s="229" t="s">
        <v>1019</v>
      </c>
      <c r="J423" s="3">
        <v>2</v>
      </c>
      <c r="K423" s="3">
        <v>1</v>
      </c>
      <c r="L423" s="3">
        <v>3</v>
      </c>
      <c r="M423" s="3">
        <v>1</v>
      </c>
      <c r="N423" s="3">
        <v>2</v>
      </c>
      <c r="O423" s="238"/>
      <c r="P423" s="234"/>
      <c r="Q423" s="93"/>
      <c r="R4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23" s="93">
        <v>1</v>
      </c>
      <c r="T423" s="93" t="b">
        <f>Data[[#This Row],[Day Rank]]=Data[[#This Row],[W Rank]]</f>
        <v>1</v>
      </c>
      <c r="U423" s="336"/>
    </row>
    <row r="424" spans="1:21" ht="15" customHeight="1">
      <c r="A424" s="333"/>
      <c r="B424" s="326"/>
      <c r="C424" s="339"/>
      <c r="D424" s="81">
        <f>D422</f>
        <v>45602</v>
      </c>
      <c r="E424" s="140" t="str">
        <f>$L$1</f>
        <v>loganworsdell</v>
      </c>
      <c r="F424" s="8">
        <f>IFERROR(AVERAGE(Data[[#This Row],[alappatjoe]:[currydestroyer27]]), "TBD")</f>
        <v>3.4</v>
      </c>
      <c r="G424" s="177">
        <f>IFERROR(_xlfn.STDEV.P(Data[[#This Row],[alappatjoe]:[currydestroyer27]]), "TBD")</f>
        <v>1.019803902718557</v>
      </c>
      <c r="H424" s="135" t="s">
        <v>1020</v>
      </c>
      <c r="I424" s="229" t="s">
        <v>1021</v>
      </c>
      <c r="J424" s="3">
        <v>3</v>
      </c>
      <c r="K424" s="3">
        <v>3</v>
      </c>
      <c r="L424" s="3">
        <v>2</v>
      </c>
      <c r="M424" s="3">
        <v>4</v>
      </c>
      <c r="N424" s="3">
        <v>5</v>
      </c>
      <c r="O424" s="238"/>
      <c r="P424" s="234"/>
      <c r="Q424" s="93"/>
      <c r="R4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24" s="93">
        <v>1</v>
      </c>
      <c r="T424" s="93" t="b">
        <f>Data[[#This Row],[Day Rank]]=Data[[#This Row],[W Rank]]</f>
        <v>0</v>
      </c>
      <c r="U424" s="336"/>
    </row>
    <row r="425" spans="1:21" ht="15" customHeight="1">
      <c r="A425" s="333"/>
      <c r="B425" s="326"/>
      <c r="C425" s="339"/>
      <c r="D425" s="81">
        <f>D422</f>
        <v>45602</v>
      </c>
      <c r="E425" s="140" t="str">
        <f>$M$1</f>
        <v>samuelbattista</v>
      </c>
      <c r="F425" s="8">
        <f>IFERROR(AVERAGE(Data[[#This Row],[alappatjoe]:[currydestroyer27]]), "TBD")</f>
        <v>3.6</v>
      </c>
      <c r="G425" s="177">
        <f>IFERROR(_xlfn.STDEV.P(Data[[#This Row],[alappatjoe]:[currydestroyer27]]), "TBD")</f>
        <v>0.4898979485566356</v>
      </c>
      <c r="H425" s="135" t="s">
        <v>1022</v>
      </c>
      <c r="I425" s="229" t="s">
        <v>1023</v>
      </c>
      <c r="J425" s="3">
        <v>4</v>
      </c>
      <c r="K425" s="3">
        <v>4</v>
      </c>
      <c r="L425" s="3">
        <v>4</v>
      </c>
      <c r="M425" s="3">
        <v>3</v>
      </c>
      <c r="N425" s="3">
        <v>3</v>
      </c>
      <c r="O425" s="238"/>
      <c r="P425" s="234"/>
      <c r="Q425" s="93"/>
      <c r="R4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25" s="93">
        <v>1</v>
      </c>
      <c r="T425" s="93" t="b">
        <f>Data[[#This Row],[Day Rank]]=Data[[#This Row],[W Rank]]</f>
        <v>0</v>
      </c>
      <c r="U425" s="336"/>
    </row>
    <row r="426" spans="1:21" ht="15" customHeight="1" thickBot="1">
      <c r="A426" s="334"/>
      <c r="B426" s="327"/>
      <c r="C426" s="340"/>
      <c r="D426" s="164">
        <f>D422</f>
        <v>45602</v>
      </c>
      <c r="E426" s="215" t="str">
        <f>$N$1</f>
        <v>currydestroyer27</v>
      </c>
      <c r="F426" s="165">
        <f>IFERROR(AVERAGE(Data[[#This Row],[alappatjoe]:[currydestroyer27]]), "TBD")</f>
        <v>2.2000000000000002</v>
      </c>
      <c r="G426" s="256">
        <f>IFERROR(_xlfn.STDEV.P(Data[[#This Row],[alappatjoe]:[currydestroyer27]]), "TBD")</f>
        <v>1.4696938456699069</v>
      </c>
      <c r="H426" s="227" t="s">
        <v>1024</v>
      </c>
      <c r="I426" s="257" t="s">
        <v>1025</v>
      </c>
      <c r="J426" s="165">
        <v>5</v>
      </c>
      <c r="K426" s="165">
        <v>2</v>
      </c>
      <c r="L426" s="165">
        <v>1</v>
      </c>
      <c r="M426" s="165">
        <v>2</v>
      </c>
      <c r="N426" s="165">
        <v>1</v>
      </c>
      <c r="O426" s="242"/>
      <c r="P426" s="237"/>
      <c r="Q426" s="167"/>
      <c r="R4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26" s="167">
        <v>1</v>
      </c>
      <c r="T426" s="93" t="b">
        <f>Data[[#This Row],[Day Rank]]=Data[[#This Row],[W Rank]]</f>
        <v>0</v>
      </c>
      <c r="U426" s="337"/>
    </row>
    <row r="427" spans="1:21" ht="15" customHeight="1">
      <c r="A427" s="332">
        <v>45603</v>
      </c>
      <c r="B427" s="325"/>
      <c r="C427" s="328" t="str" cm="1">
        <f t="array" ref="C427">_xlfn.LET(_xlpm.matches, _xlfn._xlws.FILTER(Data[Poster], (Data[Date]=A427)*(Data[Winner]=TRUE)), IF(ROWS(_xlpm.matches)&gt;1, "TIE", _xlpm.matches))</f>
        <v>danram</v>
      </c>
      <c r="D427" s="147">
        <f>A427</f>
        <v>45603</v>
      </c>
      <c r="E427" s="181" t="str">
        <f>$J$1</f>
        <v>alappatjoe</v>
      </c>
      <c r="F427" s="9">
        <f>IFERROR(AVERAGE(Data[[#This Row],[alappatjoe]:[currydestroyer27]]), "TBD")</f>
        <v>3.2</v>
      </c>
      <c r="G427" s="178">
        <f>IFERROR(_xlfn.STDEV.P(Data[[#This Row],[alappatjoe]:[currydestroyer27]]), "TBD")</f>
        <v>1.1661903789690602</v>
      </c>
      <c r="H427" s="160" t="s">
        <v>1026</v>
      </c>
      <c r="I427" s="186" t="s">
        <v>1027</v>
      </c>
      <c r="J427" s="3">
        <v>1</v>
      </c>
      <c r="K427" s="3">
        <v>4</v>
      </c>
      <c r="L427" s="3">
        <v>4</v>
      </c>
      <c r="M427" s="3">
        <v>3</v>
      </c>
      <c r="N427" s="3">
        <v>4</v>
      </c>
      <c r="O427" s="238"/>
      <c r="P427" s="234"/>
      <c r="Q427" s="93"/>
      <c r="R4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27" s="93">
        <v>1</v>
      </c>
      <c r="T427" s="93" t="b">
        <f>Data[[#This Row],[Day Rank]]=Data[[#This Row],[W Rank]]</f>
        <v>0</v>
      </c>
      <c r="U427" s="335" t="s">
        <v>1028</v>
      </c>
    </row>
    <row r="428" spans="1:21" ht="15" customHeight="1">
      <c r="A428" s="333"/>
      <c r="B428" s="326"/>
      <c r="C428" s="329"/>
      <c r="D428" s="81">
        <f>D427</f>
        <v>45603</v>
      </c>
      <c r="E428" s="140" t="str">
        <f>$K$1</f>
        <v>danram</v>
      </c>
      <c r="F428" s="8">
        <f>IFERROR(AVERAGE(Data[[#This Row],[alappatjoe]:[currydestroyer27]]), "TBD")</f>
        <v>2</v>
      </c>
      <c r="G428" s="177">
        <f>IFERROR(_xlfn.STDEV.P(Data[[#This Row],[alappatjoe]:[currydestroyer27]]), "TBD")</f>
        <v>1.0954451150103321</v>
      </c>
      <c r="H428" s="135" t="s">
        <v>1029</v>
      </c>
      <c r="I428" s="229" t="s">
        <v>1030</v>
      </c>
      <c r="J428" s="3">
        <v>4</v>
      </c>
      <c r="K428" s="3">
        <v>1</v>
      </c>
      <c r="L428" s="3">
        <v>2</v>
      </c>
      <c r="M428" s="3">
        <v>1</v>
      </c>
      <c r="N428" s="3">
        <v>2</v>
      </c>
      <c r="O428" s="238"/>
      <c r="P428" s="234"/>
      <c r="Q428" s="93"/>
      <c r="R4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28" s="93">
        <v>1</v>
      </c>
      <c r="T428" s="93" t="b">
        <f>Data[[#This Row],[Day Rank]]=Data[[#This Row],[W Rank]]</f>
        <v>1</v>
      </c>
      <c r="U428" s="336"/>
    </row>
    <row r="429" spans="1:21" ht="15" customHeight="1">
      <c r="A429" s="333"/>
      <c r="B429" s="326"/>
      <c r="C429" s="329"/>
      <c r="D429" s="81">
        <f>D427</f>
        <v>45603</v>
      </c>
      <c r="E429" s="140" t="str">
        <f>$L$1</f>
        <v>loganworsdell</v>
      </c>
      <c r="F429" s="8">
        <f>IFERROR(AVERAGE(Data[[#This Row],[alappatjoe]:[currydestroyer27]]), "TBD")</f>
        <v>2.2000000000000002</v>
      </c>
      <c r="G429" s="177">
        <f>IFERROR(_xlfn.STDEV.P(Data[[#This Row],[alappatjoe]:[currydestroyer27]]), "TBD")</f>
        <v>0.74833147735478833</v>
      </c>
      <c r="H429" s="135" t="s">
        <v>1031</v>
      </c>
      <c r="I429" s="229" t="s">
        <v>1032</v>
      </c>
      <c r="J429" s="3">
        <v>3</v>
      </c>
      <c r="K429" s="3">
        <v>2</v>
      </c>
      <c r="L429" s="3">
        <v>1</v>
      </c>
      <c r="M429" s="3">
        <v>2</v>
      </c>
      <c r="N429" s="3">
        <v>3</v>
      </c>
      <c r="O429" s="238"/>
      <c r="P429" s="234"/>
      <c r="Q429" s="93"/>
      <c r="R4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29" s="93">
        <v>1</v>
      </c>
      <c r="T429" s="93" t="b">
        <f>Data[[#This Row],[Day Rank]]=Data[[#This Row],[W Rank]]</f>
        <v>0</v>
      </c>
      <c r="U429" s="336"/>
    </row>
    <row r="430" spans="1:21" ht="15" customHeight="1">
      <c r="A430" s="333"/>
      <c r="B430" s="326"/>
      <c r="C430" s="329"/>
      <c r="D430" s="81">
        <f>D427</f>
        <v>45603</v>
      </c>
      <c r="E430" s="140" t="str">
        <f>$M$1</f>
        <v>samuelbattista</v>
      </c>
      <c r="F430" s="8">
        <f>IFERROR(AVERAGE(Data[[#This Row],[alappatjoe]:[currydestroyer27]]), "TBD")</f>
        <v>5</v>
      </c>
      <c r="G430" s="177">
        <f>IFERROR(_xlfn.STDEV.P(Data[[#This Row],[alappatjoe]:[currydestroyer27]]), "TBD")</f>
        <v>0</v>
      </c>
      <c r="H430" s="135" t="s">
        <v>1033</v>
      </c>
      <c r="I430" s="229" t="s">
        <v>1034</v>
      </c>
      <c r="J430" s="3">
        <v>5</v>
      </c>
      <c r="K430" s="3">
        <v>5</v>
      </c>
      <c r="L430" s="3">
        <v>5</v>
      </c>
      <c r="M430" s="3">
        <v>5</v>
      </c>
      <c r="N430" s="3">
        <v>5</v>
      </c>
      <c r="O430" s="238"/>
      <c r="P430" s="234"/>
      <c r="Q430" s="93"/>
      <c r="R4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30" s="93">
        <v>1</v>
      </c>
      <c r="T430" s="93" t="b">
        <f>Data[[#This Row],[Day Rank]]=Data[[#This Row],[W Rank]]</f>
        <v>0</v>
      </c>
      <c r="U430" s="336"/>
    </row>
    <row r="431" spans="1:21" ht="15" customHeight="1" thickBot="1">
      <c r="A431" s="334"/>
      <c r="B431" s="327"/>
      <c r="C431" s="330"/>
      <c r="D431" s="164">
        <f>D427</f>
        <v>45603</v>
      </c>
      <c r="E431" s="215" t="str">
        <f>$N$1</f>
        <v>currydestroyer27</v>
      </c>
      <c r="F431" s="165">
        <f>IFERROR(AVERAGE(Data[[#This Row],[alappatjoe]:[currydestroyer27]]), "TBD")</f>
        <v>2.6</v>
      </c>
      <c r="G431" s="256">
        <f>IFERROR(_xlfn.STDEV.P(Data[[#This Row],[alappatjoe]:[currydestroyer27]]), "TBD")</f>
        <v>1.019803902718557</v>
      </c>
      <c r="H431" s="227" t="s">
        <v>1035</v>
      </c>
      <c r="I431" s="257" t="s">
        <v>1036</v>
      </c>
      <c r="J431" s="166">
        <v>2</v>
      </c>
      <c r="K431" s="166">
        <v>3</v>
      </c>
      <c r="L431" s="166">
        <v>3</v>
      </c>
      <c r="M431" s="166">
        <v>4</v>
      </c>
      <c r="N431" s="166">
        <v>1</v>
      </c>
      <c r="O431" s="242"/>
      <c r="P431" s="237"/>
      <c r="Q431" s="167"/>
      <c r="R43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31" s="167">
        <v>1</v>
      </c>
      <c r="T431" s="93" t="b">
        <f>Data[[#This Row],[Day Rank]]=Data[[#This Row],[W Rank]]</f>
        <v>0</v>
      </c>
      <c r="U431" s="337"/>
    </row>
    <row r="432" spans="1:21" ht="15" customHeight="1">
      <c r="A432" s="332">
        <v>45607</v>
      </c>
      <c r="B432" s="325"/>
      <c r="C432" s="338" t="str" cm="1">
        <f t="array" ref="C432">_xlfn.LET(_xlpm.matches, _xlfn._xlws.FILTER(Data[Poster], (Data[Date]=A432)*(Data[Winner]=TRUE)), IF(ROWS(_xlpm.matches)&gt;1, "TIE", _xlpm.matches))</f>
        <v>alappatjoe</v>
      </c>
      <c r="D432" s="81">
        <f>A432</f>
        <v>45607</v>
      </c>
      <c r="E432" s="140" t="str">
        <f>$J$1</f>
        <v>alappatjoe</v>
      </c>
      <c r="F432" s="8">
        <f>IFERROR(AVERAGE(Data[[#This Row],[alappatjoe]:[currydestroyer27]]), "TBD")</f>
        <v>2.4</v>
      </c>
      <c r="G432" s="177">
        <f>IFERROR(_xlfn.STDEV.P(Data[[#This Row],[alappatjoe]:[currydestroyer27]]), "TBD")</f>
        <v>1.019803902718557</v>
      </c>
      <c r="H432" s="135" t="s">
        <v>1037</v>
      </c>
      <c r="I432" s="229" t="s">
        <v>1038</v>
      </c>
      <c r="J432" s="3">
        <v>1</v>
      </c>
      <c r="K432" s="3">
        <v>4</v>
      </c>
      <c r="L432" s="3">
        <v>3</v>
      </c>
      <c r="M432" s="3">
        <v>2</v>
      </c>
      <c r="N432" s="3">
        <v>2</v>
      </c>
      <c r="O432" s="238"/>
      <c r="P432" s="234"/>
      <c r="Q432" s="93"/>
      <c r="R4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32" s="93">
        <v>1</v>
      </c>
      <c r="T432" s="93" t="b">
        <f>Data[[#This Row],[Day Rank]]=Data[[#This Row],[W Rank]]</f>
        <v>1</v>
      </c>
      <c r="U432" s="335"/>
    </row>
    <row r="433" spans="1:21" ht="15" customHeight="1">
      <c r="A433" s="333"/>
      <c r="B433" s="326"/>
      <c r="C433" s="339"/>
      <c r="D433" s="81">
        <f>D432</f>
        <v>45607</v>
      </c>
      <c r="E433" s="140" t="str">
        <f>$K$1</f>
        <v>danram</v>
      </c>
      <c r="F433" s="8">
        <f>IFERROR(AVERAGE(Data[[#This Row],[alappatjoe]:[currydestroyer27]]), "TBD")</f>
        <v>5</v>
      </c>
      <c r="G433" s="177">
        <f>IFERROR(_xlfn.STDEV.P(Data[[#This Row],[alappatjoe]:[currydestroyer27]]), "TBD")</f>
        <v>0</v>
      </c>
      <c r="H433" s="135" t="s">
        <v>1039</v>
      </c>
      <c r="I433" s="229" t="s">
        <v>657</v>
      </c>
      <c r="J433" s="3">
        <v>5</v>
      </c>
      <c r="K433" s="3">
        <v>5</v>
      </c>
      <c r="L433" s="3">
        <v>5</v>
      </c>
      <c r="M433" s="3">
        <v>5</v>
      </c>
      <c r="N433" s="3">
        <v>5</v>
      </c>
      <c r="O433" s="238"/>
      <c r="P433" s="234"/>
      <c r="Q433" s="93"/>
      <c r="R4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33" s="93">
        <v>1</v>
      </c>
      <c r="T433" s="93" t="b">
        <f>Data[[#This Row],[Day Rank]]=Data[[#This Row],[W Rank]]</f>
        <v>0</v>
      </c>
      <c r="U433" s="336"/>
    </row>
    <row r="434" spans="1:21" ht="15" customHeight="1">
      <c r="A434" s="333"/>
      <c r="B434" s="326"/>
      <c r="C434" s="339"/>
      <c r="D434" s="81">
        <f>D432</f>
        <v>45607</v>
      </c>
      <c r="E434" s="140" t="str">
        <f>$L$1</f>
        <v>loganworsdell</v>
      </c>
      <c r="F434" s="8">
        <f>IFERROR(AVERAGE(Data[[#This Row],[alappatjoe]:[currydestroyer27]]), "TBD")</f>
        <v>2.6</v>
      </c>
      <c r="G434" s="177">
        <f>IFERROR(_xlfn.STDEV.P(Data[[#This Row],[alappatjoe]:[currydestroyer27]]), "TBD")</f>
        <v>1.2</v>
      </c>
      <c r="H434" s="135" t="s">
        <v>1040</v>
      </c>
      <c r="I434" s="229" t="s">
        <v>1041</v>
      </c>
      <c r="J434" s="3">
        <v>2</v>
      </c>
      <c r="K434" s="3">
        <v>2</v>
      </c>
      <c r="L434" s="3">
        <v>1</v>
      </c>
      <c r="M434" s="3">
        <v>4</v>
      </c>
      <c r="N434" s="3">
        <v>4</v>
      </c>
      <c r="O434" s="238"/>
      <c r="P434" s="234"/>
      <c r="Q434" s="93"/>
      <c r="R4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34" s="93">
        <v>1</v>
      </c>
      <c r="T434" s="93" t="b">
        <f>Data[[#This Row],[Day Rank]]=Data[[#This Row],[W Rank]]</f>
        <v>0</v>
      </c>
      <c r="U434" s="336"/>
    </row>
    <row r="435" spans="1:21" ht="15" customHeight="1">
      <c r="A435" s="333"/>
      <c r="B435" s="326"/>
      <c r="C435" s="339"/>
      <c r="D435" s="81">
        <f>D432</f>
        <v>45607</v>
      </c>
      <c r="E435" s="140" t="str">
        <f>$M$1</f>
        <v>samuelbattista</v>
      </c>
      <c r="F435" s="8">
        <f>IFERROR(AVERAGE(Data[[#This Row],[alappatjoe]:[currydestroyer27]]), "TBD")</f>
        <v>2.4</v>
      </c>
      <c r="G435" s="177">
        <f>IFERROR(_xlfn.STDEV.P(Data[[#This Row],[alappatjoe]:[currydestroyer27]]), "TBD")</f>
        <v>1.2</v>
      </c>
      <c r="H435" s="135" t="s">
        <v>1042</v>
      </c>
      <c r="I435" s="229" t="s">
        <v>1043</v>
      </c>
      <c r="J435" s="3">
        <v>3</v>
      </c>
      <c r="K435" s="3">
        <v>1</v>
      </c>
      <c r="L435" s="3">
        <v>4</v>
      </c>
      <c r="M435" s="3">
        <v>1</v>
      </c>
      <c r="N435" s="3">
        <v>3</v>
      </c>
      <c r="O435" s="238"/>
      <c r="P435" s="234"/>
      <c r="Q435" s="93"/>
      <c r="R4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35" s="93">
        <v>1</v>
      </c>
      <c r="T435" s="93" t="b">
        <f>Data[[#This Row],[Day Rank]]=Data[[#This Row],[W Rank]]</f>
        <v>0</v>
      </c>
      <c r="U435" s="336"/>
    </row>
    <row r="436" spans="1:21" ht="15" customHeight="1" thickBot="1">
      <c r="A436" s="334"/>
      <c r="B436" s="327"/>
      <c r="C436" s="340"/>
      <c r="D436" s="164">
        <f>D432</f>
        <v>45607</v>
      </c>
      <c r="E436" s="215" t="str">
        <f>$N$1</f>
        <v>currydestroyer27</v>
      </c>
      <c r="F436" s="165">
        <f>IFERROR(AVERAGE(Data[[#This Row],[alappatjoe]:[currydestroyer27]]), "TBD")</f>
        <v>2.6</v>
      </c>
      <c r="G436" s="256">
        <f>IFERROR(_xlfn.STDEV.P(Data[[#This Row],[alappatjoe]:[currydestroyer27]]), "TBD")</f>
        <v>1.019803902718557</v>
      </c>
      <c r="H436" s="227" t="s">
        <v>1044</v>
      </c>
      <c r="I436" s="257" t="s">
        <v>93</v>
      </c>
      <c r="J436" s="165">
        <v>4</v>
      </c>
      <c r="K436" s="165">
        <v>3</v>
      </c>
      <c r="L436" s="165">
        <v>2</v>
      </c>
      <c r="M436" s="165">
        <v>3</v>
      </c>
      <c r="N436" s="165">
        <v>1</v>
      </c>
      <c r="O436" s="242"/>
      <c r="P436" s="237"/>
      <c r="Q436" s="167"/>
      <c r="R43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36" s="167">
        <v>1</v>
      </c>
      <c r="T436" s="167" t="b">
        <f>Data[[#This Row],[Day Rank]]=Data[[#This Row],[W Rank]]</f>
        <v>0</v>
      </c>
      <c r="U436" s="337"/>
    </row>
    <row r="437" spans="1:21" ht="15" customHeight="1">
      <c r="A437" s="332">
        <v>45608</v>
      </c>
      <c r="B437" s="325"/>
      <c r="C437" s="328" t="str" cm="1">
        <f t="array" ref="C437">_xlfn.LET(_xlpm.matches, _xlfn._xlws.FILTER(Data[Poster], (Data[Date]=A437)*(Data[Winner]=TRUE)), IF(ROWS(_xlpm.matches)&gt;1, "TIE", _xlpm.matches))</f>
        <v>alappatjoe</v>
      </c>
      <c r="D437" s="147">
        <f>A437</f>
        <v>45608</v>
      </c>
      <c r="E437" s="181" t="str">
        <f>$J$1</f>
        <v>alappatjoe</v>
      </c>
      <c r="F437" s="9">
        <f>IFERROR(AVERAGE(Data[[#This Row],[alappatjoe]:[currydestroyer27]]), "TBD")</f>
        <v>2.4</v>
      </c>
      <c r="G437" s="178">
        <f>IFERROR(_xlfn.STDEV.P(Data[[#This Row],[alappatjoe]:[currydestroyer27]]), "TBD")</f>
        <v>1.019803902718557</v>
      </c>
      <c r="H437" s="160" t="s">
        <v>1045</v>
      </c>
      <c r="I437" s="186" t="s">
        <v>1046</v>
      </c>
      <c r="J437" s="3">
        <v>1</v>
      </c>
      <c r="K437" s="3">
        <v>2</v>
      </c>
      <c r="L437" s="3">
        <v>4</v>
      </c>
      <c r="M437" s="3">
        <v>3</v>
      </c>
      <c r="N437" s="3">
        <v>2</v>
      </c>
      <c r="O437" s="238"/>
      <c r="P437" s="234"/>
      <c r="Q437" s="93"/>
      <c r="R4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37" s="93">
        <v>1</v>
      </c>
      <c r="T437" s="93" t="b">
        <f>Data[[#This Row],[Day Rank]]=Data[[#This Row],[W Rank]]</f>
        <v>1</v>
      </c>
      <c r="U437" s="335"/>
    </row>
    <row r="438" spans="1:21" ht="15" customHeight="1">
      <c r="A438" s="333"/>
      <c r="B438" s="326"/>
      <c r="C438" s="329"/>
      <c r="D438" s="81">
        <f>D437</f>
        <v>45608</v>
      </c>
      <c r="E438" s="140" t="str">
        <f>$K$1</f>
        <v>danram</v>
      </c>
      <c r="F438" s="8">
        <f>IFERROR(AVERAGE(Data[[#This Row],[alappatjoe]:[currydestroyer27]]), "TBD")</f>
        <v>3.2</v>
      </c>
      <c r="G438" s="177">
        <f>IFERROR(_xlfn.STDEV.P(Data[[#This Row],[alappatjoe]:[currydestroyer27]]), "TBD")</f>
        <v>1.3266499161421599</v>
      </c>
      <c r="H438" s="135" t="s">
        <v>1047</v>
      </c>
      <c r="I438" s="229" t="s">
        <v>1048</v>
      </c>
      <c r="J438" s="3">
        <v>3</v>
      </c>
      <c r="K438" s="3">
        <v>1</v>
      </c>
      <c r="L438" s="3">
        <v>3</v>
      </c>
      <c r="M438" s="3">
        <v>5</v>
      </c>
      <c r="N438" s="3">
        <v>4</v>
      </c>
      <c r="O438" s="238"/>
      <c r="P438" s="234"/>
      <c r="Q438" s="93"/>
      <c r="R4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38" s="93">
        <v>1</v>
      </c>
      <c r="T438" s="93" t="b">
        <f>Data[[#This Row],[Day Rank]]=Data[[#This Row],[W Rank]]</f>
        <v>0</v>
      </c>
      <c r="U438" s="336"/>
    </row>
    <row r="439" spans="1:21" ht="15" customHeight="1">
      <c r="A439" s="333"/>
      <c r="B439" s="326"/>
      <c r="C439" s="329"/>
      <c r="D439" s="147">
        <f>D437</f>
        <v>45608</v>
      </c>
      <c r="E439" s="181" t="str">
        <f>$L$1</f>
        <v>loganworsdell</v>
      </c>
      <c r="F439" s="9">
        <f>IFERROR(AVERAGE(Data[[#This Row],[alappatjoe]:[currydestroyer27]]), "TBD")</f>
        <v>2.8</v>
      </c>
      <c r="G439" s="178">
        <f>IFERROR(_xlfn.STDEV.P(Data[[#This Row],[alappatjoe]:[currydestroyer27]]), "TBD")</f>
        <v>1.1661903789690602</v>
      </c>
      <c r="H439" s="160" t="s">
        <v>1049</v>
      </c>
      <c r="I439" s="186" t="s">
        <v>1050</v>
      </c>
      <c r="J439" s="3">
        <v>4</v>
      </c>
      <c r="K439" s="3">
        <v>4</v>
      </c>
      <c r="L439" s="3">
        <v>1</v>
      </c>
      <c r="M439" s="3">
        <v>2</v>
      </c>
      <c r="N439" s="3">
        <v>3</v>
      </c>
      <c r="O439" s="238"/>
      <c r="P439" s="234"/>
      <c r="Q439" s="93"/>
      <c r="R4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39" s="93">
        <v>1</v>
      </c>
      <c r="T439" s="93" t="b">
        <f>Data[[#This Row],[Day Rank]]=Data[[#This Row],[W Rank]]</f>
        <v>0</v>
      </c>
      <c r="U439" s="336"/>
    </row>
    <row r="440" spans="1:21" ht="15" customHeight="1">
      <c r="A440" s="333"/>
      <c r="B440" s="326"/>
      <c r="C440" s="329"/>
      <c r="D440" s="81">
        <f>D437</f>
        <v>45608</v>
      </c>
      <c r="E440" s="140" t="str">
        <f>$M$1</f>
        <v>samuelbattista</v>
      </c>
      <c r="F440" s="8">
        <f>IFERROR(AVERAGE(Data[[#This Row],[alappatjoe]:[currydestroyer27]]), "TBD")</f>
        <v>3.2</v>
      </c>
      <c r="G440" s="177">
        <f>IFERROR(_xlfn.STDEV.P(Data[[#This Row],[alappatjoe]:[currydestroyer27]]), "TBD")</f>
        <v>1.6</v>
      </c>
      <c r="H440" s="135" t="s">
        <v>1051</v>
      </c>
      <c r="I440" s="229" t="s">
        <v>1052</v>
      </c>
      <c r="J440" s="3">
        <v>2</v>
      </c>
      <c r="K440" s="3">
        <v>3</v>
      </c>
      <c r="L440" s="3">
        <v>5</v>
      </c>
      <c r="M440" s="3">
        <v>1</v>
      </c>
      <c r="N440" s="3">
        <v>5</v>
      </c>
      <c r="O440" s="238"/>
      <c r="P440" s="234"/>
      <c r="Q440" s="93"/>
      <c r="R4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40" s="93">
        <v>1</v>
      </c>
      <c r="T440" s="93" t="b">
        <f>Data[[#This Row],[Day Rank]]=Data[[#This Row],[W Rank]]</f>
        <v>0</v>
      </c>
      <c r="U440" s="336"/>
    </row>
    <row r="441" spans="1:21" ht="15" customHeight="1" thickBot="1">
      <c r="A441" s="334"/>
      <c r="B441" s="327"/>
      <c r="C441" s="330"/>
      <c r="D441" s="164">
        <f>D437</f>
        <v>45608</v>
      </c>
      <c r="E441" s="215" t="str">
        <f>$N$1</f>
        <v>currydestroyer27</v>
      </c>
      <c r="F441" s="165">
        <f>IFERROR(AVERAGE(Data[[#This Row],[alappatjoe]:[currydestroyer27]]), "TBD")</f>
        <v>3.4</v>
      </c>
      <c r="G441" s="256">
        <f>IFERROR(_xlfn.STDEV.P(Data[[#This Row],[alappatjoe]:[currydestroyer27]]), "TBD")</f>
        <v>1.6248076809271921</v>
      </c>
      <c r="H441" s="227" t="s">
        <v>1053</v>
      </c>
      <c r="I441" s="257" t="s">
        <v>889</v>
      </c>
      <c r="J441" s="165">
        <v>5</v>
      </c>
      <c r="K441" s="165">
        <v>5</v>
      </c>
      <c r="L441" s="165">
        <v>2</v>
      </c>
      <c r="M441" s="165">
        <v>4</v>
      </c>
      <c r="N441" s="165">
        <v>1</v>
      </c>
      <c r="O441" s="242"/>
      <c r="P441" s="237"/>
      <c r="Q441" s="167"/>
      <c r="R44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41" s="167">
        <v>1</v>
      </c>
      <c r="T441" s="167" t="b">
        <f>Data[[#This Row],[Day Rank]]=Data[[#This Row],[W Rank]]</f>
        <v>0</v>
      </c>
      <c r="U441" s="337"/>
    </row>
    <row r="442" spans="1:21" ht="15" customHeight="1">
      <c r="A442" s="332">
        <v>45609</v>
      </c>
      <c r="B442" s="325"/>
      <c r="C442" s="338" t="str" cm="1">
        <f t="array" ref="C442">_xlfn.LET(_xlpm.matches, _xlfn._xlws.FILTER(Data[Poster], (Data[Date]=A442)*(Data[Winner]=TRUE)), IF(ROWS(_xlpm.matches)&gt;1, "TIE", _xlpm.matches))</f>
        <v>samuelbattista</v>
      </c>
      <c r="D442" s="147">
        <f>A442</f>
        <v>45609</v>
      </c>
      <c r="E442" s="181" t="str">
        <f>$J$1</f>
        <v>alappatjoe</v>
      </c>
      <c r="F442" s="9">
        <f>IFERROR(AVERAGE(Data[[#This Row],[alappatjoe]:[currydestroyer27]]), "TBD")</f>
        <v>3.4</v>
      </c>
      <c r="G442" s="178">
        <f>IFERROR(_xlfn.STDEV.P(Data[[#This Row],[alappatjoe]:[currydestroyer27]]), "TBD")</f>
        <v>1.6248076809271921</v>
      </c>
      <c r="H442" s="160" t="s">
        <v>1054</v>
      </c>
      <c r="I442" s="186" t="s">
        <v>1055</v>
      </c>
      <c r="J442" s="3">
        <v>1</v>
      </c>
      <c r="K442" s="3">
        <v>5</v>
      </c>
      <c r="L442" s="3">
        <v>4</v>
      </c>
      <c r="M442" s="3">
        <v>5</v>
      </c>
      <c r="N442" s="3">
        <v>2</v>
      </c>
      <c r="O442" s="238"/>
      <c r="P442" s="234"/>
      <c r="Q442" s="93"/>
      <c r="R4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42" s="93">
        <v>1</v>
      </c>
      <c r="T442" s="93" t="b">
        <f>Data[[#This Row],[Day Rank]]=Data[[#This Row],[W Rank]]</f>
        <v>0</v>
      </c>
      <c r="U442" s="335"/>
    </row>
    <row r="443" spans="1:21" ht="15" customHeight="1">
      <c r="A443" s="333"/>
      <c r="B443" s="326"/>
      <c r="C443" s="339"/>
      <c r="D443" s="81">
        <f>D442</f>
        <v>45609</v>
      </c>
      <c r="E443" s="140" t="str">
        <f>$K$1</f>
        <v>danram</v>
      </c>
      <c r="F443" s="8">
        <f>IFERROR(AVERAGE(Data[[#This Row],[alappatjoe]:[currydestroyer27]]), "TBD")</f>
        <v>3.2</v>
      </c>
      <c r="G443" s="177">
        <f>IFERROR(_xlfn.STDEV.P(Data[[#This Row],[alappatjoe]:[currydestroyer27]]), "TBD")</f>
        <v>1.4696938456699069</v>
      </c>
      <c r="H443" s="135" t="s">
        <v>1056</v>
      </c>
      <c r="I443" s="229" t="s">
        <v>1057</v>
      </c>
      <c r="J443" s="3">
        <v>5</v>
      </c>
      <c r="K443" s="3">
        <v>1</v>
      </c>
      <c r="L443" s="3">
        <v>2</v>
      </c>
      <c r="M443" s="3">
        <v>4</v>
      </c>
      <c r="N443" s="3">
        <v>4</v>
      </c>
      <c r="O443" s="238"/>
      <c r="P443" s="234"/>
      <c r="Q443" s="93"/>
      <c r="R4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43" s="93">
        <v>1</v>
      </c>
      <c r="T443" s="93" t="b">
        <f>Data[[#This Row],[Day Rank]]=Data[[#This Row],[W Rank]]</f>
        <v>0</v>
      </c>
      <c r="U443" s="336"/>
    </row>
    <row r="444" spans="1:21" ht="15" customHeight="1">
      <c r="A444" s="333"/>
      <c r="B444" s="326"/>
      <c r="C444" s="339"/>
      <c r="D444" s="81">
        <f>D442</f>
        <v>45609</v>
      </c>
      <c r="E444" s="140" t="str">
        <f>$L$1</f>
        <v>loganworsdell</v>
      </c>
      <c r="F444" s="8">
        <f>IFERROR(AVERAGE(Data[[#This Row],[alappatjoe]:[currydestroyer27]]), "TBD")</f>
        <v>3</v>
      </c>
      <c r="G444" s="177">
        <f>IFERROR(_xlfn.STDEV.P(Data[[#This Row],[alappatjoe]:[currydestroyer27]]), "TBD")</f>
        <v>1.0954451150103321</v>
      </c>
      <c r="H444" s="135" t="s">
        <v>1058</v>
      </c>
      <c r="I444" s="229" t="s">
        <v>1059</v>
      </c>
      <c r="J444" s="3">
        <v>2</v>
      </c>
      <c r="K444" s="3">
        <v>2</v>
      </c>
      <c r="L444" s="3">
        <v>3</v>
      </c>
      <c r="M444" s="3">
        <v>3</v>
      </c>
      <c r="N444" s="3">
        <v>5</v>
      </c>
      <c r="O444" s="238"/>
      <c r="P444" s="234"/>
      <c r="Q444" s="93"/>
      <c r="R4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44" s="93">
        <v>1</v>
      </c>
      <c r="T444" s="93" t="b">
        <f>Data[[#This Row],[Day Rank]]=Data[[#This Row],[W Rank]]</f>
        <v>0</v>
      </c>
      <c r="U444" s="336"/>
    </row>
    <row r="445" spans="1:21" ht="15" customHeight="1">
      <c r="A445" s="333"/>
      <c r="B445" s="326"/>
      <c r="C445" s="339"/>
      <c r="D445" s="81">
        <f>D442</f>
        <v>45609</v>
      </c>
      <c r="E445" s="140" t="str">
        <f>$M$1</f>
        <v>samuelbattista</v>
      </c>
      <c r="F445" s="8">
        <f>IFERROR(AVERAGE(Data[[#This Row],[alappatjoe]:[currydestroyer27]]), "TBD")</f>
        <v>2.4</v>
      </c>
      <c r="G445" s="177">
        <f>IFERROR(_xlfn.STDEV.P(Data[[#This Row],[alappatjoe]:[currydestroyer27]]), "TBD")</f>
        <v>1.2</v>
      </c>
      <c r="H445" s="135" t="s">
        <v>1060</v>
      </c>
      <c r="I445" s="229" t="s">
        <v>1061</v>
      </c>
      <c r="J445" s="3">
        <v>4</v>
      </c>
      <c r="K445" s="3">
        <v>3</v>
      </c>
      <c r="L445" s="3">
        <v>1</v>
      </c>
      <c r="M445" s="3">
        <v>1</v>
      </c>
      <c r="N445" s="3">
        <v>3</v>
      </c>
      <c r="O445" s="238"/>
      <c r="P445" s="234"/>
      <c r="Q445" s="93"/>
      <c r="R4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45" s="93">
        <v>1</v>
      </c>
      <c r="T445" s="93" t="b">
        <f>Data[[#This Row],[Day Rank]]=Data[[#This Row],[W Rank]]</f>
        <v>1</v>
      </c>
      <c r="U445" s="336"/>
    </row>
    <row r="446" spans="1:21" ht="15" customHeight="1" thickBot="1">
      <c r="A446" s="334"/>
      <c r="B446" s="327"/>
      <c r="C446" s="340"/>
      <c r="D446" s="164">
        <f>D442</f>
        <v>45609</v>
      </c>
      <c r="E446" s="215" t="str">
        <f>$N$1</f>
        <v>currydestroyer27</v>
      </c>
      <c r="F446" s="165">
        <f>IFERROR(AVERAGE(Data[[#This Row],[alappatjoe]:[currydestroyer27]]), "TBD")</f>
        <v>3</v>
      </c>
      <c r="G446" s="256">
        <f>IFERROR(_xlfn.STDEV.P(Data[[#This Row],[alappatjoe]:[currydestroyer27]]), "TBD")</f>
        <v>1.4142135623730951</v>
      </c>
      <c r="H446" s="227" t="s">
        <v>1062</v>
      </c>
      <c r="I446" s="257" t="s">
        <v>1063</v>
      </c>
      <c r="J446" s="165">
        <v>3</v>
      </c>
      <c r="K446" s="165">
        <v>4</v>
      </c>
      <c r="L446" s="165">
        <v>5</v>
      </c>
      <c r="M446" s="165">
        <v>2</v>
      </c>
      <c r="N446" s="165">
        <v>1</v>
      </c>
      <c r="O446" s="242"/>
      <c r="P446" s="237"/>
      <c r="Q446" s="167"/>
      <c r="R44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46" s="167">
        <v>1</v>
      </c>
      <c r="T446" s="167" t="b">
        <f>Data[[#This Row],[Day Rank]]=Data[[#This Row],[W Rank]]</f>
        <v>0</v>
      </c>
      <c r="U446" s="337"/>
    </row>
    <row r="447" spans="1:21" ht="15" customHeight="1">
      <c r="A447" s="332">
        <v>45610</v>
      </c>
      <c r="B447" s="325"/>
      <c r="C447" s="328" t="str" cm="1">
        <f t="array" ref="C447">_xlfn.LET(_xlpm.matches, _xlfn._xlws.FILTER(Data[Poster], (Data[Date]=A447)*(Data[Winner]=TRUE)), IF(ROWS(_xlpm.matches)&gt;1, "TIE", _xlpm.matches))</f>
        <v>danram</v>
      </c>
      <c r="D447" s="147">
        <f>A447</f>
        <v>45610</v>
      </c>
      <c r="E447" s="181" t="str">
        <f>$J$1</f>
        <v>alappatjoe</v>
      </c>
      <c r="F447" s="9">
        <f>IFERROR(AVERAGE(Data[[#This Row],[alappatjoe]:[currydestroyer27]]), "TBD")</f>
        <v>4.2</v>
      </c>
      <c r="G447" s="178">
        <f>IFERROR(_xlfn.STDEV.P(Data[[#This Row],[alappatjoe]:[currydestroyer27]]), "TBD")</f>
        <v>0.74833147735478833</v>
      </c>
      <c r="H447" s="160" t="s">
        <v>1064</v>
      </c>
      <c r="I447" s="186" t="s">
        <v>1065</v>
      </c>
      <c r="J447" s="3">
        <v>3</v>
      </c>
      <c r="K447" s="3">
        <v>4</v>
      </c>
      <c r="L447" s="3">
        <v>5</v>
      </c>
      <c r="M447" s="3">
        <v>4</v>
      </c>
      <c r="N447" s="3">
        <v>5</v>
      </c>
      <c r="O447" s="238"/>
      <c r="P447" s="234"/>
      <c r="Q447" s="93"/>
      <c r="R4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47" s="93">
        <v>1</v>
      </c>
      <c r="T447" s="93" t="b">
        <f>Data[[#This Row],[Day Rank]]=Data[[#This Row],[W Rank]]</f>
        <v>0</v>
      </c>
      <c r="U447" s="335" t="s">
        <v>1066</v>
      </c>
    </row>
    <row r="448" spans="1:21" ht="15" customHeight="1">
      <c r="A448" s="333"/>
      <c r="B448" s="326"/>
      <c r="C448" s="329"/>
      <c r="D448" s="81">
        <f>D447</f>
        <v>45610</v>
      </c>
      <c r="E448" s="140" t="str">
        <f>$K$1</f>
        <v>danram</v>
      </c>
      <c r="F448" s="8">
        <f>IFERROR(AVERAGE(Data[[#This Row],[alappatjoe]:[currydestroyer27]]), "TBD")</f>
        <v>2.2000000000000002</v>
      </c>
      <c r="G448" s="177">
        <f>IFERROR(_xlfn.STDEV.P(Data[[#This Row],[alappatjoe]:[currydestroyer27]]), "TBD")</f>
        <v>1.4696938456699069</v>
      </c>
      <c r="H448" s="135" t="s">
        <v>1067</v>
      </c>
      <c r="I448" s="229" t="s">
        <v>1068</v>
      </c>
      <c r="J448" s="3">
        <v>5</v>
      </c>
      <c r="K448" s="3">
        <v>1</v>
      </c>
      <c r="L448" s="3">
        <v>1</v>
      </c>
      <c r="M448" s="3">
        <v>2</v>
      </c>
      <c r="N448" s="3">
        <v>2</v>
      </c>
      <c r="O448" s="238"/>
      <c r="P448" s="234"/>
      <c r="Q448" s="93"/>
      <c r="R4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48" s="93">
        <v>1</v>
      </c>
      <c r="T448" s="93" t="b">
        <f>Data[[#This Row],[Day Rank]]=Data[[#This Row],[W Rank]]</f>
        <v>1</v>
      </c>
      <c r="U448" s="336"/>
    </row>
    <row r="449" spans="1:21" ht="15" customHeight="1">
      <c r="A449" s="333"/>
      <c r="B449" s="326"/>
      <c r="C449" s="329"/>
      <c r="D449" s="81">
        <f>D447</f>
        <v>45610</v>
      </c>
      <c r="E449" s="140" t="str">
        <f>$L$1</f>
        <v>loganworsdell</v>
      </c>
      <c r="F449" s="8">
        <f>IFERROR(AVERAGE(Data[[#This Row],[alappatjoe]:[currydestroyer27]]), "TBD")</f>
        <v>3.6</v>
      </c>
      <c r="G449" s="177">
        <f>IFERROR(_xlfn.STDEV.P(Data[[#This Row],[alappatjoe]:[currydestroyer27]]), "TBD")</f>
        <v>1.019803902718557</v>
      </c>
      <c r="H449" s="135" t="s">
        <v>1069</v>
      </c>
      <c r="I449" s="229" t="s">
        <v>1070</v>
      </c>
      <c r="J449" s="3">
        <v>4</v>
      </c>
      <c r="K449" s="3">
        <v>5</v>
      </c>
      <c r="L449" s="3">
        <v>2</v>
      </c>
      <c r="M449" s="3">
        <v>3</v>
      </c>
      <c r="N449" s="3">
        <v>4</v>
      </c>
      <c r="O449" s="238"/>
      <c r="P449" s="234"/>
      <c r="Q449" s="93"/>
      <c r="R4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49" s="93">
        <v>1</v>
      </c>
      <c r="T449" s="93" t="b">
        <f>Data[[#This Row],[Day Rank]]=Data[[#This Row],[W Rank]]</f>
        <v>0</v>
      </c>
      <c r="U449" s="336"/>
    </row>
    <row r="450" spans="1:21" ht="15" customHeight="1">
      <c r="A450" s="333"/>
      <c r="B450" s="326"/>
      <c r="C450" s="329"/>
      <c r="D450" s="81">
        <f>D447</f>
        <v>45610</v>
      </c>
      <c r="E450" s="140" t="str">
        <f>$M$1</f>
        <v>samuelbattista</v>
      </c>
      <c r="F450" s="8">
        <f>IFERROR(AVERAGE(Data[[#This Row],[alappatjoe]:[currydestroyer27]]), "TBD")</f>
        <v>2.4</v>
      </c>
      <c r="G450" s="177">
        <f>IFERROR(_xlfn.STDEV.P(Data[[#This Row],[alappatjoe]:[currydestroyer27]]), "TBD")</f>
        <v>1.019803902718557</v>
      </c>
      <c r="H450" s="135" t="s">
        <v>1071</v>
      </c>
      <c r="I450" s="229" t="s">
        <v>1072</v>
      </c>
      <c r="J450" s="3">
        <v>2</v>
      </c>
      <c r="K450" s="3">
        <v>2</v>
      </c>
      <c r="L450" s="3">
        <v>4</v>
      </c>
      <c r="M450" s="3">
        <v>1</v>
      </c>
      <c r="N450" s="3">
        <v>3</v>
      </c>
      <c r="O450" s="238"/>
      <c r="P450" s="234"/>
      <c r="Q450" s="93"/>
      <c r="R4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50" s="93">
        <v>1</v>
      </c>
      <c r="T450" s="93" t="b">
        <f>Data[[#This Row],[Day Rank]]=Data[[#This Row],[W Rank]]</f>
        <v>0</v>
      </c>
      <c r="U450" s="336"/>
    </row>
    <row r="451" spans="1:21" ht="15" customHeight="1" thickBot="1">
      <c r="A451" s="334"/>
      <c r="B451" s="327"/>
      <c r="C451" s="330"/>
      <c r="D451" s="164">
        <f>D447</f>
        <v>45610</v>
      </c>
      <c r="E451" s="215" t="str">
        <f>$N$1</f>
        <v>currydestroyer27</v>
      </c>
      <c r="F451" s="165">
        <f>IFERROR(AVERAGE(Data[[#This Row],[alappatjoe]:[currydestroyer27]]), "TBD")</f>
        <v>2.6</v>
      </c>
      <c r="G451" s="256">
        <f>IFERROR(_xlfn.STDEV.P(Data[[#This Row],[alappatjoe]:[currydestroyer27]]), "TBD")</f>
        <v>1.4966629547095767</v>
      </c>
      <c r="H451" s="227" t="s">
        <v>1067</v>
      </c>
      <c r="I451" s="257" t="s">
        <v>1073</v>
      </c>
      <c r="J451" s="166">
        <v>1</v>
      </c>
      <c r="K451" s="166">
        <v>3</v>
      </c>
      <c r="L451" s="166">
        <v>3</v>
      </c>
      <c r="M451" s="166">
        <v>5</v>
      </c>
      <c r="N451" s="166">
        <v>1</v>
      </c>
      <c r="O451" s="242"/>
      <c r="P451" s="237"/>
      <c r="Q451" s="167"/>
      <c r="R45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51" s="167">
        <v>1</v>
      </c>
      <c r="T451" s="167" t="b">
        <f>Data[[#This Row],[Day Rank]]=Data[[#This Row],[W Rank]]</f>
        <v>0</v>
      </c>
      <c r="U451" s="337"/>
    </row>
    <row r="452" spans="1:21" ht="15" customHeight="1">
      <c r="A452" s="332">
        <v>45614</v>
      </c>
      <c r="B452" s="325"/>
      <c r="C452" s="338" t="str" cm="1">
        <f t="array" ref="C452">_xlfn.LET(_xlpm.matches, _xlfn._xlws.FILTER(Data[Poster], (Data[Date]=A452)*(Data[Winner]=TRUE)), IF(ROWS(_xlpm.matches)&gt;1, "TIE", _xlpm.matches))</f>
        <v>loganworsdell</v>
      </c>
      <c r="D452" s="147">
        <f>A452</f>
        <v>45614</v>
      </c>
      <c r="E452" s="181" t="str">
        <f>$J$1</f>
        <v>alappatjoe</v>
      </c>
      <c r="F452" s="8">
        <f>IFERROR(AVERAGE(Data[[#This Row],[alappatjoe]:[currydestroyer27]]), "TBD")</f>
        <v>3.4</v>
      </c>
      <c r="G452" s="177">
        <f>IFERROR(_xlfn.STDEV.P(Data[[#This Row],[alappatjoe]:[currydestroyer27]]), "TBD")</f>
        <v>1.3564659966250536</v>
      </c>
      <c r="H452" s="135" t="s">
        <v>1074</v>
      </c>
      <c r="I452" s="229" t="s">
        <v>1075</v>
      </c>
      <c r="J452" s="3">
        <v>1</v>
      </c>
      <c r="K452" s="3">
        <v>5</v>
      </c>
      <c r="L452" s="3">
        <v>3</v>
      </c>
      <c r="M452" s="3">
        <v>4</v>
      </c>
      <c r="N452" s="3">
        <v>4</v>
      </c>
      <c r="O452" s="238"/>
      <c r="P452" s="234"/>
      <c r="Q452" s="93"/>
      <c r="R4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52" s="93">
        <v>1</v>
      </c>
      <c r="T452" s="93" t="b">
        <f>Data[[#This Row],[Day Rank]]=Data[[#This Row],[W Rank]]</f>
        <v>0</v>
      </c>
      <c r="U452" s="335"/>
    </row>
    <row r="453" spans="1:21" ht="15" customHeight="1">
      <c r="A453" s="333"/>
      <c r="B453" s="326"/>
      <c r="C453" s="339"/>
      <c r="D453" s="81">
        <f>D452</f>
        <v>45614</v>
      </c>
      <c r="E453" s="140" t="str">
        <f>$K$1</f>
        <v>danram</v>
      </c>
      <c r="F453" s="8">
        <f>IFERROR(AVERAGE(Data[[#This Row],[alappatjoe]:[currydestroyer27]]), "TBD")</f>
        <v>4.2</v>
      </c>
      <c r="G453" s="177">
        <f>IFERROR(_xlfn.STDEV.P(Data[[#This Row],[alappatjoe]:[currydestroyer27]]), "TBD")</f>
        <v>0.74833147735478833</v>
      </c>
      <c r="H453" s="135" t="s">
        <v>1076</v>
      </c>
      <c r="I453" s="229" t="s">
        <v>1077</v>
      </c>
      <c r="J453" s="3">
        <v>5</v>
      </c>
      <c r="K453" s="3">
        <v>4</v>
      </c>
      <c r="L453" s="3">
        <v>4</v>
      </c>
      <c r="M453" s="3">
        <v>5</v>
      </c>
      <c r="N453" s="3">
        <v>3</v>
      </c>
      <c r="O453" s="238"/>
      <c r="P453" s="234"/>
      <c r="Q453" s="93"/>
      <c r="R4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53" s="93">
        <v>1</v>
      </c>
      <c r="T453" s="93" t="b">
        <f>Data[[#This Row],[Day Rank]]=Data[[#This Row],[W Rank]]</f>
        <v>0</v>
      </c>
      <c r="U453" s="336"/>
    </row>
    <row r="454" spans="1:21" ht="15" customHeight="1">
      <c r="A454" s="333"/>
      <c r="B454" s="326"/>
      <c r="C454" s="339"/>
      <c r="D454" s="81">
        <f>D452</f>
        <v>45614</v>
      </c>
      <c r="E454" s="140" t="str">
        <f>$L$1</f>
        <v>loganworsdell</v>
      </c>
      <c r="F454" s="8">
        <f>IFERROR(AVERAGE(Data[[#This Row],[alappatjoe]:[currydestroyer27]]), "TBD")</f>
        <v>2.2000000000000002</v>
      </c>
      <c r="G454" s="177">
        <f>IFERROR(_xlfn.STDEV.P(Data[[#This Row],[alappatjoe]:[currydestroyer27]]), "TBD")</f>
        <v>1.4696938456699069</v>
      </c>
      <c r="H454" s="135" t="s">
        <v>1078</v>
      </c>
      <c r="I454" s="229" t="s">
        <v>1079</v>
      </c>
      <c r="J454" s="3">
        <v>2</v>
      </c>
      <c r="K454" s="3">
        <v>1</v>
      </c>
      <c r="L454" s="3">
        <v>1</v>
      </c>
      <c r="M454" s="3">
        <v>2</v>
      </c>
      <c r="N454" s="3">
        <v>5</v>
      </c>
      <c r="O454" s="238"/>
      <c r="P454" s="234"/>
      <c r="Q454" s="93"/>
      <c r="R4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54" s="93">
        <v>1</v>
      </c>
      <c r="T454" s="93" t="b">
        <f>Data[[#This Row],[Day Rank]]=Data[[#This Row],[W Rank]]</f>
        <v>1</v>
      </c>
      <c r="U454" s="336"/>
    </row>
    <row r="455" spans="1:21" ht="15" customHeight="1">
      <c r="A455" s="333"/>
      <c r="B455" s="326"/>
      <c r="C455" s="339"/>
      <c r="D455" s="81">
        <f>D452</f>
        <v>45614</v>
      </c>
      <c r="E455" s="140" t="str">
        <f>$M$1</f>
        <v>samuelbattista</v>
      </c>
      <c r="F455" s="8">
        <f>IFERROR(AVERAGE(Data[[#This Row],[alappatjoe]:[currydestroyer27]]), "TBD")</f>
        <v>2.8</v>
      </c>
      <c r="G455" s="177">
        <f>IFERROR(_xlfn.STDEV.P(Data[[#This Row],[alappatjoe]:[currydestroyer27]]), "TBD")</f>
        <v>1.3266499161421599</v>
      </c>
      <c r="H455" s="135" t="s">
        <v>1080</v>
      </c>
      <c r="I455" s="229" t="s">
        <v>472</v>
      </c>
      <c r="J455" s="3">
        <v>3</v>
      </c>
      <c r="K455" s="3">
        <v>3</v>
      </c>
      <c r="L455" s="3">
        <v>5</v>
      </c>
      <c r="M455" s="3">
        <v>1</v>
      </c>
      <c r="N455" s="3">
        <v>2</v>
      </c>
      <c r="O455" s="238"/>
      <c r="P455" s="234"/>
      <c r="Q455" s="93"/>
      <c r="R4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55" s="93">
        <v>1</v>
      </c>
      <c r="T455" s="93" t="b">
        <f>Data[[#This Row],[Day Rank]]=Data[[#This Row],[W Rank]]</f>
        <v>0</v>
      </c>
      <c r="U455" s="336"/>
    </row>
    <row r="456" spans="1:21" ht="15" customHeight="1" thickBot="1">
      <c r="A456" s="334"/>
      <c r="B456" s="327"/>
      <c r="C456" s="340"/>
      <c r="D456" s="164">
        <f>D452</f>
        <v>45614</v>
      </c>
      <c r="E456" s="215" t="str">
        <f>$N$1</f>
        <v>currydestroyer27</v>
      </c>
      <c r="F456" s="165">
        <f>IFERROR(AVERAGE(Data[[#This Row],[alappatjoe]:[currydestroyer27]]), "TBD")</f>
        <v>2.4</v>
      </c>
      <c r="G456" s="256">
        <f>IFERROR(_xlfn.STDEV.P(Data[[#This Row],[alappatjoe]:[currydestroyer27]]), "TBD")</f>
        <v>1.019803902718557</v>
      </c>
      <c r="H456" s="227" t="s">
        <v>1081</v>
      </c>
      <c r="I456" s="257" t="s">
        <v>1082</v>
      </c>
      <c r="J456" s="166">
        <v>4</v>
      </c>
      <c r="K456" s="166">
        <v>2</v>
      </c>
      <c r="L456" s="166">
        <v>2</v>
      </c>
      <c r="M456" s="166">
        <v>3</v>
      </c>
      <c r="N456" s="166">
        <v>1</v>
      </c>
      <c r="O456" s="242"/>
      <c r="P456" s="237"/>
      <c r="Q456" s="167"/>
      <c r="R45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56" s="167">
        <v>1</v>
      </c>
      <c r="T456" s="167" t="b">
        <f>Data[[#This Row],[Day Rank]]=Data[[#This Row],[W Rank]]</f>
        <v>0</v>
      </c>
      <c r="U456" s="337"/>
    </row>
    <row r="457" spans="1:21" ht="15" customHeight="1">
      <c r="A457" s="332">
        <v>45615</v>
      </c>
      <c r="B457" s="325"/>
      <c r="C457" s="328" t="str" cm="1">
        <f t="array" ref="C457">_xlfn.LET(_xlpm.matches, _xlfn._xlws.FILTER(Data[Poster], (Data[Date]=A457)*(Data[Winner]=TRUE)), IF(ROWS(_xlpm.matches)&gt;1, "TIE", _xlpm.matches))</f>
        <v>alappatjoe</v>
      </c>
      <c r="D457" s="147">
        <f>A457</f>
        <v>45615</v>
      </c>
      <c r="E457" s="181" t="str">
        <f>$J$1</f>
        <v>alappatjoe</v>
      </c>
      <c r="F457" s="9">
        <f>IFERROR(AVERAGE(Data[[#This Row],[alappatjoe]:[currydestroyer27]]), "TBD")</f>
        <v>2.6</v>
      </c>
      <c r="G457" s="178">
        <f>IFERROR(_xlfn.STDEV.P(Data[[#This Row],[alappatjoe]:[currydestroyer27]]), "TBD")</f>
        <v>1.3564659966250536</v>
      </c>
      <c r="H457" s="135" t="s">
        <v>1083</v>
      </c>
      <c r="I457" s="229" t="s">
        <v>1084</v>
      </c>
      <c r="J457" s="3">
        <v>1</v>
      </c>
      <c r="K457" s="3">
        <v>2</v>
      </c>
      <c r="L457" s="3">
        <v>5</v>
      </c>
      <c r="M457" s="3">
        <v>2</v>
      </c>
      <c r="N457" s="3">
        <v>3</v>
      </c>
      <c r="O457" s="238"/>
      <c r="P457" s="234"/>
      <c r="Q457" s="93"/>
      <c r="R4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57" s="93">
        <v>1</v>
      </c>
      <c r="T457" s="93" t="b">
        <f>Data[[#This Row],[Day Rank]]=Data[[#This Row],[W Rank]]</f>
        <v>1</v>
      </c>
      <c r="U457" s="335"/>
    </row>
    <row r="458" spans="1:21" ht="15" customHeight="1">
      <c r="A458" s="333"/>
      <c r="B458" s="326"/>
      <c r="C458" s="329"/>
      <c r="D458" s="81">
        <f>D457</f>
        <v>45615</v>
      </c>
      <c r="E458" s="140" t="str">
        <f>$K$1</f>
        <v>danram</v>
      </c>
      <c r="F458" s="8">
        <f>IFERROR(AVERAGE(Data[[#This Row],[alappatjoe]:[currydestroyer27]]), "TBD")</f>
        <v>3.2</v>
      </c>
      <c r="G458" s="177">
        <f>IFERROR(_xlfn.STDEV.P(Data[[#This Row],[alappatjoe]:[currydestroyer27]]), "TBD")</f>
        <v>1.1661903789690602</v>
      </c>
      <c r="H458" s="135" t="s">
        <v>1085</v>
      </c>
      <c r="I458" s="229" t="s">
        <v>1086</v>
      </c>
      <c r="J458" s="3">
        <v>2</v>
      </c>
      <c r="K458" s="3">
        <v>3</v>
      </c>
      <c r="L458" s="3">
        <v>4</v>
      </c>
      <c r="M458" s="3">
        <v>5</v>
      </c>
      <c r="N458" s="3">
        <v>2</v>
      </c>
      <c r="O458" s="238"/>
      <c r="P458" s="234"/>
      <c r="Q458" s="93"/>
      <c r="R4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58" s="93">
        <v>1</v>
      </c>
      <c r="T458" s="93" t="b">
        <f>Data[[#This Row],[Day Rank]]=Data[[#This Row],[W Rank]]</f>
        <v>0</v>
      </c>
      <c r="U458" s="336"/>
    </row>
    <row r="459" spans="1:21" ht="15" customHeight="1">
      <c r="A459" s="333"/>
      <c r="B459" s="326"/>
      <c r="C459" s="329"/>
      <c r="D459" s="81">
        <f>D457</f>
        <v>45615</v>
      </c>
      <c r="E459" s="140" t="str">
        <f>$L$1</f>
        <v>loganworsdell</v>
      </c>
      <c r="F459" s="8">
        <f>IFERROR(AVERAGE(Data[[#This Row],[alappatjoe]:[currydestroyer27]]), "TBD")</f>
        <v>3.4</v>
      </c>
      <c r="G459" s="177">
        <f>IFERROR(_xlfn.STDEV.P(Data[[#This Row],[alappatjoe]:[currydestroyer27]]), "TBD")</f>
        <v>0.8</v>
      </c>
      <c r="H459" s="135" t="s">
        <v>1087</v>
      </c>
      <c r="I459" s="229" t="s">
        <v>1088</v>
      </c>
      <c r="J459" s="3">
        <v>4</v>
      </c>
      <c r="K459" s="3">
        <v>4</v>
      </c>
      <c r="L459" s="3">
        <v>2</v>
      </c>
      <c r="M459" s="3">
        <v>3</v>
      </c>
      <c r="N459" s="3">
        <v>4</v>
      </c>
      <c r="O459" s="238"/>
      <c r="P459" s="234"/>
      <c r="Q459" s="93"/>
      <c r="R4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59" s="93">
        <v>1</v>
      </c>
      <c r="T459" s="93" t="b">
        <f>Data[[#This Row],[Day Rank]]=Data[[#This Row],[W Rank]]</f>
        <v>0</v>
      </c>
      <c r="U459" s="336"/>
    </row>
    <row r="460" spans="1:21" ht="15" customHeight="1">
      <c r="A460" s="333"/>
      <c r="B460" s="326"/>
      <c r="C460" s="329"/>
      <c r="D460" s="81">
        <f>D457</f>
        <v>45615</v>
      </c>
      <c r="E460" s="140" t="str">
        <f>$M$1</f>
        <v>samuelbattista</v>
      </c>
      <c r="F460" s="8">
        <f>IFERROR(AVERAGE(Data[[#This Row],[alappatjoe]:[currydestroyer27]]), "TBD")</f>
        <v>2.6</v>
      </c>
      <c r="G460" s="177">
        <f>IFERROR(_xlfn.STDEV.P(Data[[#This Row],[alappatjoe]:[currydestroyer27]]), "TBD")</f>
        <v>1.9595917942265424</v>
      </c>
      <c r="H460" s="135" t="s">
        <v>1089</v>
      </c>
      <c r="I460" s="229" t="s">
        <v>1090</v>
      </c>
      <c r="J460" s="3">
        <v>5</v>
      </c>
      <c r="K460" s="3">
        <v>1</v>
      </c>
      <c r="L460" s="3">
        <v>1</v>
      </c>
      <c r="M460" s="3">
        <v>1</v>
      </c>
      <c r="N460" s="3">
        <v>5</v>
      </c>
      <c r="O460" s="238"/>
      <c r="P460" s="234"/>
      <c r="Q460" s="93"/>
      <c r="R4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60" s="93">
        <v>1</v>
      </c>
      <c r="T460" s="93" t="b">
        <f>Data[[#This Row],[Day Rank]]=Data[[#This Row],[W Rank]]</f>
        <v>0</v>
      </c>
      <c r="U460" s="336"/>
    </row>
    <row r="461" spans="1:21" ht="15" customHeight="1" thickBot="1">
      <c r="A461" s="334"/>
      <c r="B461" s="327"/>
      <c r="C461" s="330"/>
      <c r="D461" s="164">
        <f>D457</f>
        <v>45615</v>
      </c>
      <c r="E461" s="215" t="str">
        <f>$N$1</f>
        <v>currydestroyer27</v>
      </c>
      <c r="F461" s="165">
        <f>IFERROR(AVERAGE(Data[[#This Row],[alappatjoe]:[currydestroyer27]]), "TBD")</f>
        <v>3.2</v>
      </c>
      <c r="G461" s="256">
        <f>IFERROR(_xlfn.STDEV.P(Data[[#This Row],[alappatjoe]:[currydestroyer27]]), "TBD")</f>
        <v>1.3266499161421599</v>
      </c>
      <c r="H461" s="227" t="s">
        <v>1091</v>
      </c>
      <c r="I461" s="185" t="s">
        <v>977</v>
      </c>
      <c r="J461" s="166">
        <v>3</v>
      </c>
      <c r="K461" s="166">
        <v>5</v>
      </c>
      <c r="L461" s="166">
        <v>3</v>
      </c>
      <c r="M461" s="166">
        <v>4</v>
      </c>
      <c r="N461" s="166">
        <v>1</v>
      </c>
      <c r="O461" s="242"/>
      <c r="P461" s="237"/>
      <c r="Q461" s="167"/>
      <c r="R46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61" s="167">
        <v>1</v>
      </c>
      <c r="T461" s="167" t="b">
        <f>Data[[#This Row],[Day Rank]]=Data[[#This Row],[W Rank]]</f>
        <v>0</v>
      </c>
      <c r="U461" s="337"/>
    </row>
    <row r="462" spans="1:21" ht="15" customHeight="1">
      <c r="A462" s="332">
        <v>45616</v>
      </c>
      <c r="B462" s="325"/>
      <c r="C462" s="338" t="str" cm="1">
        <f t="array" ref="C462">_xlfn.LET(_xlpm.matches, _xlfn._xlws.FILTER(Data[Poster], (Data[Date]=A462)*(Data[Winner]=TRUE)), IF(ROWS(_xlpm.matches)&gt;1, "TIE", _xlpm.matches))</f>
        <v>currydestroyer27</v>
      </c>
      <c r="D462" s="147">
        <f>A462</f>
        <v>45616</v>
      </c>
      <c r="E462" s="181" t="str">
        <f>$J$1</f>
        <v>alappatjoe</v>
      </c>
      <c r="F462" s="8">
        <f>IFERROR(AVERAGE(Data[[#This Row],[alappatjoe]:[currydestroyer27]]), "TBD")</f>
        <v>3.6</v>
      </c>
      <c r="G462" s="177">
        <f>IFERROR(_xlfn.STDEV.P(Data[[#This Row],[alappatjoe]:[currydestroyer27]]), "TBD")</f>
        <v>1.3564659966250536</v>
      </c>
      <c r="H462" s="135" t="s">
        <v>1092</v>
      </c>
      <c r="I462" s="229" t="s">
        <v>1093</v>
      </c>
      <c r="J462" s="3">
        <v>1</v>
      </c>
      <c r="K462" s="3">
        <v>4</v>
      </c>
      <c r="L462" s="3">
        <v>4</v>
      </c>
      <c r="M462" s="3">
        <v>5</v>
      </c>
      <c r="N462" s="3">
        <v>4</v>
      </c>
      <c r="O462" s="238"/>
      <c r="P462" s="234"/>
      <c r="Q462" s="93"/>
      <c r="R4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62" s="93">
        <v>1</v>
      </c>
      <c r="T462" s="93" t="b">
        <f>Data[[#This Row],[Day Rank]]=Data[[#This Row],[W Rank]]</f>
        <v>0</v>
      </c>
      <c r="U462" s="335"/>
    </row>
    <row r="463" spans="1:21" ht="15" customHeight="1">
      <c r="A463" s="333"/>
      <c r="B463" s="326"/>
      <c r="C463" s="339"/>
      <c r="D463" s="81">
        <f>D462</f>
        <v>45616</v>
      </c>
      <c r="E463" s="140" t="str">
        <f>$K$1</f>
        <v>danram</v>
      </c>
      <c r="F463" s="8">
        <f>IFERROR(AVERAGE(Data[[#This Row],[alappatjoe]:[currydestroyer27]]), "TBD")</f>
        <v>3</v>
      </c>
      <c r="G463" s="177">
        <f>IFERROR(_xlfn.STDEV.P(Data[[#This Row],[alappatjoe]:[currydestroyer27]]), "TBD")</f>
        <v>1.4142135623730951</v>
      </c>
      <c r="H463" s="135" t="s">
        <v>1094</v>
      </c>
      <c r="I463" s="229" t="s">
        <v>1095</v>
      </c>
      <c r="J463" s="3">
        <v>3</v>
      </c>
      <c r="K463" s="3">
        <v>1</v>
      </c>
      <c r="L463" s="3">
        <v>5</v>
      </c>
      <c r="M463" s="3">
        <v>4</v>
      </c>
      <c r="N463" s="3">
        <v>2</v>
      </c>
      <c r="O463" s="238"/>
      <c r="P463" s="234"/>
      <c r="Q463" s="93"/>
      <c r="R4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63" s="93">
        <v>1</v>
      </c>
      <c r="T463" s="93" t="b">
        <f>Data[[#This Row],[Day Rank]]=Data[[#This Row],[W Rank]]</f>
        <v>0</v>
      </c>
      <c r="U463" s="336"/>
    </row>
    <row r="464" spans="1:21" ht="15" customHeight="1">
      <c r="A464" s="333"/>
      <c r="B464" s="326"/>
      <c r="C464" s="339"/>
      <c r="D464" s="81">
        <f>D462</f>
        <v>45616</v>
      </c>
      <c r="E464" s="140" t="str">
        <f>$L$1</f>
        <v>loganworsdell</v>
      </c>
      <c r="F464" s="8">
        <f>IFERROR(AVERAGE(Data[[#This Row],[alappatjoe]:[currydestroyer27]]), "TBD")</f>
        <v>4</v>
      </c>
      <c r="G464" s="177">
        <f>IFERROR(_xlfn.STDEV.P(Data[[#This Row],[alappatjoe]:[currydestroyer27]]), "TBD")</f>
        <v>1.2649110640673518</v>
      </c>
      <c r="H464" s="135" t="s">
        <v>1096</v>
      </c>
      <c r="I464" s="229" t="s">
        <v>1097</v>
      </c>
      <c r="J464" s="3">
        <v>5</v>
      </c>
      <c r="K464" s="3">
        <v>5</v>
      </c>
      <c r="L464" s="3">
        <v>2</v>
      </c>
      <c r="M464" s="3">
        <v>3</v>
      </c>
      <c r="N464" s="3">
        <v>5</v>
      </c>
      <c r="O464" s="238"/>
      <c r="P464" s="234"/>
      <c r="Q464" s="93"/>
      <c r="R4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64" s="93">
        <v>1</v>
      </c>
      <c r="T464" s="93" t="b">
        <f>Data[[#This Row],[Day Rank]]=Data[[#This Row],[W Rank]]</f>
        <v>0</v>
      </c>
      <c r="U464" s="336"/>
    </row>
    <row r="465" spans="1:21" ht="15" customHeight="1">
      <c r="A465" s="333"/>
      <c r="B465" s="326"/>
      <c r="C465" s="339"/>
      <c r="D465" s="81">
        <f>D462</f>
        <v>45616</v>
      </c>
      <c r="E465" s="140" t="str">
        <f>$M$1</f>
        <v>samuelbattista</v>
      </c>
      <c r="F465" s="8">
        <f>IFERROR(AVERAGE(Data[[#This Row],[alappatjoe]:[currydestroyer27]]), "TBD")</f>
        <v>2.4</v>
      </c>
      <c r="G465" s="177">
        <f>IFERROR(_xlfn.STDEV.P(Data[[#This Row],[alappatjoe]:[currydestroyer27]]), "TBD")</f>
        <v>1.2</v>
      </c>
      <c r="H465" s="135" t="s">
        <v>1098</v>
      </c>
      <c r="I465" s="229" t="s">
        <v>1099</v>
      </c>
      <c r="J465" s="3">
        <v>4</v>
      </c>
      <c r="K465" s="3">
        <v>3</v>
      </c>
      <c r="L465" s="3">
        <v>1</v>
      </c>
      <c r="M465" s="3">
        <v>1</v>
      </c>
      <c r="N465" s="3">
        <v>3</v>
      </c>
      <c r="O465" s="238"/>
      <c r="P465" s="234"/>
      <c r="Q465" s="93"/>
      <c r="R4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65" s="93">
        <v>1</v>
      </c>
      <c r="T465" s="93" t="b">
        <f>Data[[#This Row],[Day Rank]]=Data[[#This Row],[W Rank]]</f>
        <v>0</v>
      </c>
      <c r="U465" s="336"/>
    </row>
    <row r="466" spans="1:21" ht="15" customHeight="1" thickBot="1">
      <c r="A466" s="334"/>
      <c r="B466" s="327"/>
      <c r="C466" s="340"/>
      <c r="D466" s="164">
        <f>D462</f>
        <v>45616</v>
      </c>
      <c r="E466" s="215" t="str">
        <f>$N$1</f>
        <v>currydestroyer27</v>
      </c>
      <c r="F466" s="165">
        <f>IFERROR(AVERAGE(Data[[#This Row],[alappatjoe]:[currydestroyer27]]), "TBD")</f>
        <v>2</v>
      </c>
      <c r="G466" s="256">
        <f>IFERROR(_xlfn.STDEV.P(Data[[#This Row],[alappatjoe]:[currydestroyer27]]), "TBD")</f>
        <v>0.63245553203367588</v>
      </c>
      <c r="H466" s="227" t="s">
        <v>1100</v>
      </c>
      <c r="I466" s="257" t="s">
        <v>1101</v>
      </c>
      <c r="J466" s="166">
        <v>2</v>
      </c>
      <c r="K466" s="166">
        <v>2</v>
      </c>
      <c r="L466" s="166">
        <v>3</v>
      </c>
      <c r="M466" s="166">
        <v>2</v>
      </c>
      <c r="N466" s="166">
        <v>1</v>
      </c>
      <c r="O466" s="242"/>
      <c r="P466" s="237"/>
      <c r="Q466" s="167"/>
      <c r="R46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66" s="167">
        <v>1</v>
      </c>
      <c r="T466" s="167" t="b">
        <f>Data[[#This Row],[Day Rank]]=Data[[#This Row],[W Rank]]</f>
        <v>1</v>
      </c>
      <c r="U466" s="337"/>
    </row>
    <row r="467" spans="1:21" ht="15" customHeight="1">
      <c r="A467" s="332">
        <v>45617</v>
      </c>
      <c r="B467" s="325"/>
      <c r="C467" s="328" t="str" cm="1">
        <f t="array" ref="C467">_xlfn.LET(_xlpm.matches, _xlfn._xlws.FILTER(Data[Poster], (Data[Date]=A467)*(Data[Winner]=TRUE)), IF(ROWS(_xlpm.matches)&gt;1, "TIE", _xlpm.matches))</f>
        <v>samuelbattista</v>
      </c>
      <c r="D467" s="147">
        <f>A467</f>
        <v>45617</v>
      </c>
      <c r="E467" s="181" t="str">
        <f>$J$1</f>
        <v>alappatjoe</v>
      </c>
      <c r="F467" s="8">
        <f>IFERROR(AVERAGE(Data[[#This Row],[alappatjoe]:[currydestroyer27]]), "TBD")</f>
        <v>4</v>
      </c>
      <c r="G467" s="177">
        <f>IFERROR(_xlfn.STDEV.P(Data[[#This Row],[alappatjoe]:[currydestroyer27]]), "TBD")</f>
        <v>1.5491933384829668</v>
      </c>
      <c r="H467" s="135" t="s">
        <v>1102</v>
      </c>
      <c r="I467" s="229" t="s">
        <v>1103</v>
      </c>
      <c r="J467" s="3">
        <v>1</v>
      </c>
      <c r="K467" s="3">
        <v>5</v>
      </c>
      <c r="L467" s="3">
        <v>5</v>
      </c>
      <c r="M467" s="3">
        <v>4</v>
      </c>
      <c r="N467" s="3">
        <v>5</v>
      </c>
      <c r="O467" s="238"/>
      <c r="P467" s="234"/>
      <c r="Q467" s="93"/>
      <c r="R4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67" s="93">
        <v>1</v>
      </c>
      <c r="T467" s="93" t="b">
        <f>Data[[#This Row],[Day Rank]]=Data[[#This Row],[W Rank]]</f>
        <v>0</v>
      </c>
      <c r="U467" s="335" t="s">
        <v>1104</v>
      </c>
    </row>
    <row r="468" spans="1:21" ht="15" customHeight="1">
      <c r="A468" s="333"/>
      <c r="B468" s="326"/>
      <c r="C468" s="329"/>
      <c r="D468" s="81">
        <f>D467</f>
        <v>45617</v>
      </c>
      <c r="E468" s="140" t="str">
        <f>$K$1</f>
        <v>danram</v>
      </c>
      <c r="F468" s="8">
        <f>IFERROR(AVERAGE(Data[[#This Row],[alappatjoe]:[currydestroyer27]]), "TBD")</f>
        <v>3</v>
      </c>
      <c r="G468" s="177">
        <f>IFERROR(_xlfn.STDEV.P(Data[[#This Row],[alappatjoe]:[currydestroyer27]]), "TBD")</f>
        <v>1.4142135623730951</v>
      </c>
      <c r="H468" s="135" t="s">
        <v>1105</v>
      </c>
      <c r="I468" s="229" t="s">
        <v>1106</v>
      </c>
      <c r="J468" s="3">
        <v>5</v>
      </c>
      <c r="K468" s="3">
        <v>1</v>
      </c>
      <c r="L468" s="3">
        <v>3</v>
      </c>
      <c r="M468" s="3">
        <v>2</v>
      </c>
      <c r="N468" s="3">
        <v>4</v>
      </c>
      <c r="O468" s="238"/>
      <c r="P468" s="234"/>
      <c r="Q468" s="93"/>
      <c r="R4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68" s="93">
        <v>1</v>
      </c>
      <c r="T468" s="93" t="b">
        <f>Data[[#This Row],[Day Rank]]=Data[[#This Row],[W Rank]]</f>
        <v>0</v>
      </c>
      <c r="U468" s="336"/>
    </row>
    <row r="469" spans="1:21" ht="15" customHeight="1">
      <c r="A469" s="333"/>
      <c r="B469" s="326"/>
      <c r="C469" s="329"/>
      <c r="D469" s="81">
        <f>D467</f>
        <v>45617</v>
      </c>
      <c r="E469" s="140" t="str">
        <f>$L$1</f>
        <v>loganworsdell</v>
      </c>
      <c r="F469" s="8">
        <f>IFERROR(AVERAGE(Data[[#This Row],[alappatjoe]:[currydestroyer27]]), "TBD")</f>
        <v>2.6</v>
      </c>
      <c r="G469" s="177">
        <f>IFERROR(_xlfn.STDEV.P(Data[[#This Row],[alappatjoe]:[currydestroyer27]]), "TBD")</f>
        <v>1.019803902718557</v>
      </c>
      <c r="H469" s="135" t="s">
        <v>1107</v>
      </c>
      <c r="I469" s="229" t="s">
        <v>1108</v>
      </c>
      <c r="J469" s="3">
        <v>4</v>
      </c>
      <c r="K469" s="3">
        <v>2</v>
      </c>
      <c r="L469" s="3">
        <v>1</v>
      </c>
      <c r="M469" s="3">
        <v>3</v>
      </c>
      <c r="N469" s="3">
        <v>3</v>
      </c>
      <c r="O469" s="238"/>
      <c r="P469" s="234"/>
      <c r="Q469" s="93"/>
      <c r="R4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69" s="93">
        <v>1</v>
      </c>
      <c r="T469" s="93" t="b">
        <f>Data[[#This Row],[Day Rank]]=Data[[#This Row],[W Rank]]</f>
        <v>0</v>
      </c>
      <c r="U469" s="336"/>
    </row>
    <row r="470" spans="1:21" ht="15" customHeight="1">
      <c r="A470" s="333"/>
      <c r="B470" s="326"/>
      <c r="C470" s="329"/>
      <c r="D470" s="81">
        <f>D467</f>
        <v>45617</v>
      </c>
      <c r="E470" s="140" t="str">
        <f>$M$1</f>
        <v>samuelbattista</v>
      </c>
      <c r="F470" s="8">
        <f>IFERROR(AVERAGE(Data[[#This Row],[alappatjoe]:[currydestroyer27]]), "TBD")</f>
        <v>2.2000000000000002</v>
      </c>
      <c r="G470" s="177">
        <f>IFERROR(_xlfn.STDEV.P(Data[[#This Row],[alappatjoe]:[currydestroyer27]]), "TBD")</f>
        <v>0.74833147735478833</v>
      </c>
      <c r="H470" s="135" t="s">
        <v>1109</v>
      </c>
      <c r="I470" s="229" t="s">
        <v>1110</v>
      </c>
      <c r="J470" s="3">
        <v>3</v>
      </c>
      <c r="K470" s="3">
        <v>3</v>
      </c>
      <c r="L470" s="3">
        <v>2</v>
      </c>
      <c r="M470" s="3">
        <v>1</v>
      </c>
      <c r="N470" s="3">
        <v>2</v>
      </c>
      <c r="O470" s="238"/>
      <c r="P470" s="234"/>
      <c r="Q470" s="93"/>
      <c r="R4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70" s="93">
        <v>1</v>
      </c>
      <c r="T470" s="93" t="b">
        <f>Data[[#This Row],[Day Rank]]=Data[[#This Row],[W Rank]]</f>
        <v>1</v>
      </c>
      <c r="U470" s="336"/>
    </row>
    <row r="471" spans="1:21" ht="15" customHeight="1" thickBot="1">
      <c r="A471" s="334"/>
      <c r="B471" s="327"/>
      <c r="C471" s="330"/>
      <c r="D471" s="164">
        <f>D467</f>
        <v>45617</v>
      </c>
      <c r="E471" s="215" t="str">
        <f>$N$1</f>
        <v>currydestroyer27</v>
      </c>
      <c r="F471" s="165">
        <f>IFERROR(AVERAGE(Data[[#This Row],[alappatjoe]:[currydestroyer27]]), "TBD")</f>
        <v>3.2</v>
      </c>
      <c r="G471" s="256">
        <f>IFERROR(_xlfn.STDEV.P(Data[[#This Row],[alappatjoe]:[currydestroyer27]]), "TBD")</f>
        <v>1.4696938456699069</v>
      </c>
      <c r="H471" s="227" t="s">
        <v>1111</v>
      </c>
      <c r="I471" s="257" t="s">
        <v>1112</v>
      </c>
      <c r="J471" s="166">
        <v>2</v>
      </c>
      <c r="K471" s="166">
        <v>4</v>
      </c>
      <c r="L471" s="166">
        <v>4</v>
      </c>
      <c r="M471" s="166">
        <v>5</v>
      </c>
      <c r="N471" s="166">
        <v>1</v>
      </c>
      <c r="O471" s="238"/>
      <c r="P471" s="235"/>
      <c r="Q471" s="94"/>
      <c r="R47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71" s="94">
        <v>1</v>
      </c>
      <c r="T471" s="94" t="b">
        <f>Data[[#This Row],[Day Rank]]=Data[[#This Row],[W Rank]]</f>
        <v>0</v>
      </c>
      <c r="U471" s="337"/>
    </row>
    <row r="472" spans="1:21" ht="15" customHeight="1">
      <c r="A472" s="332">
        <v>45621</v>
      </c>
      <c r="B472" s="325"/>
      <c r="C472" s="338" t="str" cm="1">
        <f t="array" ref="C472">_xlfn.LET(_xlpm.matches, _xlfn._xlws.FILTER(Data[Poster], (Data[Date]=A472)*(Data[Winner]=TRUE)), IF(ROWS(_xlpm.matches)&gt;1, "TIE", _xlpm.matches))</f>
        <v>samuelbattista</v>
      </c>
      <c r="D472" s="147">
        <f>A472</f>
        <v>45621</v>
      </c>
      <c r="E472" s="181" t="str">
        <f>$J$1</f>
        <v>alappatjoe</v>
      </c>
      <c r="F472" s="8">
        <f>IFERROR(AVERAGE(Data[[#This Row],[alappatjoe]:[currydestroyer27]]), "TBD")</f>
        <v>2.6</v>
      </c>
      <c r="G472" s="177">
        <f>IFERROR(_xlfn.STDEV.P(Data[[#This Row],[alappatjoe]:[currydestroyer27]]), "TBD")</f>
        <v>1.019803902718557</v>
      </c>
      <c r="H472" s="135" t="s">
        <v>1113</v>
      </c>
      <c r="I472" s="229" t="s">
        <v>1114</v>
      </c>
      <c r="J472" s="3">
        <v>1</v>
      </c>
      <c r="K472" s="3">
        <v>3</v>
      </c>
      <c r="L472" s="3">
        <v>3</v>
      </c>
      <c r="M472" s="3">
        <v>4</v>
      </c>
      <c r="N472" s="3">
        <v>2</v>
      </c>
      <c r="O472" s="238"/>
      <c r="P472" s="234"/>
      <c r="Q472" s="93"/>
      <c r="R4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72" s="93">
        <v>1</v>
      </c>
      <c r="T472" s="93" t="b">
        <f>Data[[#This Row],[Day Rank]]=Data[[#This Row],[W Rank]]</f>
        <v>0</v>
      </c>
      <c r="U472" s="335"/>
    </row>
    <row r="473" spans="1:21" ht="15" customHeight="1">
      <c r="A473" s="333"/>
      <c r="B473" s="326"/>
      <c r="C473" s="339"/>
      <c r="D473" s="81">
        <f>D472</f>
        <v>45621</v>
      </c>
      <c r="E473" s="140" t="str">
        <f>$K$1</f>
        <v>danram</v>
      </c>
      <c r="F473" s="8">
        <f>IFERROR(AVERAGE(Data[[#This Row],[alappatjoe]:[currydestroyer27]]), "TBD")</f>
        <v>2.8</v>
      </c>
      <c r="G473" s="177">
        <f>IFERROR(_xlfn.STDEV.P(Data[[#This Row],[alappatjoe]:[currydestroyer27]]), "TBD")</f>
        <v>1.4696938456699069</v>
      </c>
      <c r="H473" s="135" t="s">
        <v>1115</v>
      </c>
      <c r="I473" s="229" t="s">
        <v>1116</v>
      </c>
      <c r="J473" s="3">
        <v>2</v>
      </c>
      <c r="K473" s="3">
        <v>1</v>
      </c>
      <c r="L473" s="3">
        <v>4</v>
      </c>
      <c r="M473" s="3">
        <v>2</v>
      </c>
      <c r="N473" s="3">
        <v>5</v>
      </c>
      <c r="O473" s="238"/>
      <c r="P473" s="234"/>
      <c r="Q473" s="93"/>
      <c r="R4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73" s="93">
        <v>1</v>
      </c>
      <c r="T473" s="93" t="b">
        <f>Data[[#This Row],[Day Rank]]=Data[[#This Row],[W Rank]]</f>
        <v>0</v>
      </c>
      <c r="U473" s="336"/>
    </row>
    <row r="474" spans="1:21" ht="15" customHeight="1">
      <c r="A474" s="333"/>
      <c r="B474" s="326"/>
      <c r="C474" s="339"/>
      <c r="D474" s="81">
        <f>D472</f>
        <v>45621</v>
      </c>
      <c r="E474" s="140" t="str">
        <f>$L$1</f>
        <v>loganworsdell</v>
      </c>
      <c r="F474" s="8">
        <f>IFERROR(AVERAGE(Data[[#This Row],[alappatjoe]:[currydestroyer27]]), "TBD")</f>
        <v>3.2</v>
      </c>
      <c r="G474" s="177">
        <f>IFERROR(_xlfn.STDEV.P(Data[[#This Row],[alappatjoe]:[currydestroyer27]]), "TBD")</f>
        <v>1.4696938456699069</v>
      </c>
      <c r="H474" s="135" t="s">
        <v>1117</v>
      </c>
      <c r="I474" s="229" t="s">
        <v>1118</v>
      </c>
      <c r="J474" s="3">
        <v>4</v>
      </c>
      <c r="K474" s="3">
        <v>4</v>
      </c>
      <c r="L474" s="3">
        <v>2</v>
      </c>
      <c r="M474" s="3">
        <v>5</v>
      </c>
      <c r="N474" s="3">
        <v>1</v>
      </c>
      <c r="O474" s="238"/>
      <c r="P474" s="234"/>
      <c r="Q474" s="93"/>
      <c r="R4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74" s="93">
        <v>1</v>
      </c>
      <c r="T474" s="93" t="b">
        <f>Data[[#This Row],[Day Rank]]=Data[[#This Row],[W Rank]]</f>
        <v>0</v>
      </c>
      <c r="U474" s="336"/>
    </row>
    <row r="475" spans="1:21" ht="15" customHeight="1">
      <c r="A475" s="333"/>
      <c r="B475" s="326"/>
      <c r="C475" s="339"/>
      <c r="D475" s="81">
        <f>D472</f>
        <v>45621</v>
      </c>
      <c r="E475" s="140" t="str">
        <f>$M$1</f>
        <v>samuelbattista</v>
      </c>
      <c r="F475" s="8">
        <f>IFERROR(AVERAGE(Data[[#This Row],[alappatjoe]:[currydestroyer27]]), "TBD")</f>
        <v>2.4</v>
      </c>
      <c r="G475" s="177">
        <f>IFERROR(_xlfn.STDEV.P(Data[[#This Row],[alappatjoe]:[currydestroyer27]]), "TBD")</f>
        <v>1.4966629547095767</v>
      </c>
      <c r="H475" s="135" t="s">
        <v>1119</v>
      </c>
      <c r="I475" s="229" t="s">
        <v>1120</v>
      </c>
      <c r="J475" s="3">
        <v>5</v>
      </c>
      <c r="K475" s="3">
        <v>2</v>
      </c>
      <c r="L475" s="3">
        <v>1</v>
      </c>
      <c r="M475" s="3">
        <v>1</v>
      </c>
      <c r="N475" s="3">
        <v>3</v>
      </c>
      <c r="O475" s="238"/>
      <c r="P475" s="234"/>
      <c r="Q475" s="93"/>
      <c r="R4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75" s="93">
        <v>1</v>
      </c>
      <c r="T475" s="93" t="b">
        <f>Data[[#This Row],[Day Rank]]=Data[[#This Row],[W Rank]]</f>
        <v>1</v>
      </c>
      <c r="U475" s="336"/>
    </row>
    <row r="476" spans="1:21" ht="15" customHeight="1" thickBot="1">
      <c r="A476" s="334"/>
      <c r="B476" s="327"/>
      <c r="C476" s="340"/>
      <c r="D476" s="164">
        <f>D472</f>
        <v>45621</v>
      </c>
      <c r="E476" s="215" t="str">
        <f>$N$1</f>
        <v>currydestroyer27</v>
      </c>
      <c r="F476" s="165">
        <f>IFERROR(AVERAGE(Data[[#This Row],[alappatjoe]:[currydestroyer27]]), "TBD")</f>
        <v>4</v>
      </c>
      <c r="G476" s="256">
        <f>IFERROR(_xlfn.STDEV.P(Data[[#This Row],[alappatjoe]:[currydestroyer27]]), "TBD")</f>
        <v>0.89442719099991586</v>
      </c>
      <c r="H476" s="227" t="s">
        <v>1121</v>
      </c>
      <c r="I476" s="257" t="s">
        <v>1122</v>
      </c>
      <c r="J476" s="166">
        <v>3</v>
      </c>
      <c r="K476" s="166">
        <v>5</v>
      </c>
      <c r="L476" s="166">
        <v>5</v>
      </c>
      <c r="M476" s="166">
        <v>3</v>
      </c>
      <c r="N476" s="166">
        <v>4</v>
      </c>
      <c r="O476" s="238"/>
      <c r="P476" s="235"/>
      <c r="Q476" s="94"/>
      <c r="R47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76" s="94">
        <v>1</v>
      </c>
      <c r="T476" s="94" t="b">
        <f>Data[[#This Row],[Day Rank]]=Data[[#This Row],[W Rank]]</f>
        <v>0</v>
      </c>
      <c r="U476" s="337"/>
    </row>
    <row r="477" spans="1:21" ht="15" customHeight="1">
      <c r="A477" s="332">
        <v>45622</v>
      </c>
      <c r="B477" s="325"/>
      <c r="C477" s="328" t="str" cm="1">
        <f t="array" ref="C477">_xlfn.LET(_xlpm.matches, _xlfn._xlws.FILTER(Data[Poster], (Data[Date]=A477)*(Data[Winner]=TRUE)), IF(ROWS(_xlpm.matches)&gt;1, "TIE", _xlpm.matches))</f>
        <v>samuelbattista</v>
      </c>
      <c r="D477" s="147">
        <f>A477</f>
        <v>45622</v>
      </c>
      <c r="E477" s="181" t="str">
        <f>$J$1</f>
        <v>alappatjoe</v>
      </c>
      <c r="F477" s="8">
        <f>IFERROR(AVERAGE(Data[[#This Row],[alappatjoe]:[currydestroyer27]]), "TBD")</f>
        <v>2.8</v>
      </c>
      <c r="G477" s="177">
        <f>IFERROR(_xlfn.STDEV.P(Data[[#This Row],[alappatjoe]:[currydestroyer27]]), "TBD")</f>
        <v>1.4696938456699069</v>
      </c>
      <c r="H477" s="135" t="s">
        <v>1123</v>
      </c>
      <c r="I477" s="229" t="s">
        <v>1124</v>
      </c>
      <c r="J477" s="3">
        <v>1</v>
      </c>
      <c r="K477" s="3">
        <v>2</v>
      </c>
      <c r="L477" s="3">
        <v>4</v>
      </c>
      <c r="M477" s="3">
        <v>2</v>
      </c>
      <c r="N477" s="3">
        <v>5</v>
      </c>
      <c r="O477" s="238"/>
      <c r="P477" s="234"/>
      <c r="Q477" s="93"/>
      <c r="R4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77" s="93">
        <v>1</v>
      </c>
      <c r="T477" s="93" t="b">
        <f>Data[[#This Row],[Day Rank]]=Data[[#This Row],[W Rank]]</f>
        <v>0</v>
      </c>
      <c r="U477" s="335"/>
    </row>
    <row r="478" spans="1:21" ht="15" customHeight="1">
      <c r="A478" s="333"/>
      <c r="B478" s="326"/>
      <c r="C478" s="329"/>
      <c r="D478" s="81">
        <f>D477</f>
        <v>45622</v>
      </c>
      <c r="E478" s="140" t="str">
        <f>$K$1</f>
        <v>danram</v>
      </c>
      <c r="F478" s="8">
        <f>IFERROR(AVERAGE(Data[[#This Row],[alappatjoe]:[currydestroyer27]]), "TBD")</f>
        <v>3.4</v>
      </c>
      <c r="G478" s="177">
        <f>IFERROR(_xlfn.STDEV.P(Data[[#This Row],[alappatjoe]:[currydestroyer27]]), "TBD")</f>
        <v>1.3564659966250536</v>
      </c>
      <c r="H478" s="135" t="s">
        <v>1125</v>
      </c>
      <c r="I478" s="229" t="s">
        <v>1126</v>
      </c>
      <c r="J478" s="3">
        <v>4</v>
      </c>
      <c r="K478" s="3">
        <v>1</v>
      </c>
      <c r="L478" s="3">
        <v>5</v>
      </c>
      <c r="M478" s="3">
        <v>3</v>
      </c>
      <c r="N478" s="3">
        <v>4</v>
      </c>
      <c r="O478" s="238"/>
      <c r="P478" s="234"/>
      <c r="Q478" s="93"/>
      <c r="R4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78" s="93">
        <v>1</v>
      </c>
      <c r="T478" s="93" t="b">
        <f>Data[[#This Row],[Day Rank]]=Data[[#This Row],[W Rank]]</f>
        <v>0</v>
      </c>
      <c r="U478" s="336"/>
    </row>
    <row r="479" spans="1:21" ht="15" customHeight="1">
      <c r="A479" s="333"/>
      <c r="B479" s="326"/>
      <c r="C479" s="329"/>
      <c r="D479" s="81">
        <f>D477</f>
        <v>45622</v>
      </c>
      <c r="E479" s="140" t="str">
        <f>$L$1</f>
        <v>loganworsdell</v>
      </c>
      <c r="F479" s="8">
        <f>IFERROR(AVERAGE(Data[[#This Row],[alappatjoe]:[currydestroyer27]]), "TBD")</f>
        <v>3.2</v>
      </c>
      <c r="G479" s="177">
        <f>IFERROR(_xlfn.STDEV.P(Data[[#This Row],[alappatjoe]:[currydestroyer27]]), "TBD")</f>
        <v>1.4696938456699069</v>
      </c>
      <c r="H479" s="135" t="s">
        <v>1127</v>
      </c>
      <c r="I479" s="229" t="s">
        <v>1128</v>
      </c>
      <c r="J479" s="3">
        <v>5</v>
      </c>
      <c r="K479" s="3">
        <v>4</v>
      </c>
      <c r="L479" s="3">
        <v>1</v>
      </c>
      <c r="M479" s="3">
        <v>4</v>
      </c>
      <c r="N479" s="3">
        <v>2</v>
      </c>
      <c r="O479" s="238"/>
      <c r="P479" s="234"/>
      <c r="Q479" s="93"/>
      <c r="R4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79" s="93">
        <v>1</v>
      </c>
      <c r="T479" s="93" t="b">
        <f>Data[[#This Row],[Day Rank]]=Data[[#This Row],[W Rank]]</f>
        <v>0</v>
      </c>
      <c r="U479" s="336"/>
    </row>
    <row r="480" spans="1:21" ht="15" customHeight="1">
      <c r="A480" s="333"/>
      <c r="B480" s="326"/>
      <c r="C480" s="329"/>
      <c r="D480" s="81">
        <f>D477</f>
        <v>45622</v>
      </c>
      <c r="E480" s="140" t="str">
        <f>$M$1</f>
        <v>samuelbattista</v>
      </c>
      <c r="F480" s="8">
        <f>IFERROR(AVERAGE(Data[[#This Row],[alappatjoe]:[currydestroyer27]]), "TBD")</f>
        <v>2.6</v>
      </c>
      <c r="G480" s="177">
        <f>IFERROR(_xlfn.STDEV.P(Data[[#This Row],[alappatjoe]:[currydestroyer27]]), "TBD")</f>
        <v>0.8</v>
      </c>
      <c r="H480" s="135" t="s">
        <v>1129</v>
      </c>
      <c r="I480" s="229" t="s">
        <v>1130</v>
      </c>
      <c r="J480" s="3">
        <v>3</v>
      </c>
      <c r="K480" s="3">
        <v>3</v>
      </c>
      <c r="L480" s="3">
        <v>3</v>
      </c>
      <c r="M480" s="3">
        <v>1</v>
      </c>
      <c r="N480" s="3">
        <v>3</v>
      </c>
      <c r="O480" s="238"/>
      <c r="P480" s="234"/>
      <c r="Q480" s="93"/>
      <c r="R4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80" s="93">
        <v>1</v>
      </c>
      <c r="T480" s="93" t="b">
        <f>Data[[#This Row],[Day Rank]]=Data[[#This Row],[W Rank]]</f>
        <v>1</v>
      </c>
      <c r="U480" s="336"/>
    </row>
    <row r="481" spans="1:21" ht="15" customHeight="1" thickBot="1">
      <c r="A481" s="334"/>
      <c r="B481" s="327"/>
      <c r="C481" s="330"/>
      <c r="D481" s="164">
        <f>D477</f>
        <v>45622</v>
      </c>
      <c r="E481" s="215" t="str">
        <f>$N$1</f>
        <v>currydestroyer27</v>
      </c>
      <c r="F481" s="165">
        <f>IFERROR(AVERAGE(Data[[#This Row],[alappatjoe]:[currydestroyer27]]), "TBD")</f>
        <v>3</v>
      </c>
      <c r="G481" s="256">
        <f>IFERROR(_xlfn.STDEV.P(Data[[#This Row],[alappatjoe]:[currydestroyer27]]), "TBD")</f>
        <v>1.6733200530681511</v>
      </c>
      <c r="H481" s="227" t="s">
        <v>1131</v>
      </c>
      <c r="I481" s="257" t="s">
        <v>1132</v>
      </c>
      <c r="J481" s="166">
        <v>2</v>
      </c>
      <c r="K481" s="166">
        <v>5</v>
      </c>
      <c r="L481" s="166">
        <v>2</v>
      </c>
      <c r="M481" s="166">
        <v>5</v>
      </c>
      <c r="N481" s="166">
        <v>1</v>
      </c>
      <c r="O481" s="238"/>
      <c r="P481" s="235"/>
      <c r="Q481" s="94"/>
      <c r="R48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81" s="94">
        <v>1</v>
      </c>
      <c r="T481" s="94" t="b">
        <f>Data[[#This Row],[Day Rank]]=Data[[#This Row],[W Rank]]</f>
        <v>0</v>
      </c>
      <c r="U481" s="337"/>
    </row>
    <row r="482" spans="1:21" ht="15" customHeight="1">
      <c r="A482" s="332">
        <v>45623</v>
      </c>
      <c r="B482" s="325"/>
      <c r="C482" s="338" t="str" cm="1">
        <f t="array" ref="C482">_xlfn.LET(_xlpm.matches, _xlfn._xlws.FILTER(Data[Poster], (Data[Date]=A482)*(Data[Winner]=TRUE)), IF(ROWS(_xlpm.matches)&gt;1, "TIE", _xlpm.matches))</f>
        <v>loganworsdell</v>
      </c>
      <c r="D482" s="147">
        <f>A482</f>
        <v>45623</v>
      </c>
      <c r="E482" s="181" t="str">
        <f>$J$1</f>
        <v>alappatjoe</v>
      </c>
      <c r="F482" s="8">
        <f>IFERROR(AVERAGE(Data[[#This Row],[alappatjoe]:[currydestroyer27]]), "TBD")</f>
        <v>4</v>
      </c>
      <c r="G482" s="177">
        <f>IFERROR(_xlfn.STDEV.P(Data[[#This Row],[alappatjoe]:[currydestroyer27]]), "TBD")</f>
        <v>1.2649110640673518</v>
      </c>
      <c r="H482" s="135" t="s">
        <v>1133</v>
      </c>
      <c r="I482" s="229" t="s">
        <v>1134</v>
      </c>
      <c r="J482" s="3">
        <v>2</v>
      </c>
      <c r="K482" s="3">
        <v>5</v>
      </c>
      <c r="L482" s="3">
        <v>5</v>
      </c>
      <c r="M482" s="3">
        <v>5</v>
      </c>
      <c r="N482" s="3">
        <v>3</v>
      </c>
      <c r="O482" s="238"/>
      <c r="P482" s="234"/>
      <c r="Q482" s="93"/>
      <c r="R4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82" s="93">
        <v>1</v>
      </c>
      <c r="T482" s="93" t="b">
        <f>Data[[#This Row],[Day Rank]]=Data[[#This Row],[W Rank]]</f>
        <v>0</v>
      </c>
      <c r="U482" s="331" t="s">
        <v>1135</v>
      </c>
    </row>
    <row r="483" spans="1:21" ht="15" customHeight="1">
      <c r="A483" s="333"/>
      <c r="B483" s="326"/>
      <c r="C483" s="339"/>
      <c r="D483" s="81">
        <f>D482</f>
        <v>45623</v>
      </c>
      <c r="E483" s="140" t="str">
        <f>$K$1</f>
        <v>danram</v>
      </c>
      <c r="F483" s="8">
        <f>IFERROR(AVERAGE(Data[[#This Row],[alappatjoe]:[currydestroyer27]]), "TBD")</f>
        <v>2.8</v>
      </c>
      <c r="G483" s="177">
        <f>IFERROR(_xlfn.STDEV.P(Data[[#This Row],[alappatjoe]:[currydestroyer27]]), "TBD")</f>
        <v>1.3266499161421599</v>
      </c>
      <c r="H483" s="135" t="s">
        <v>1136</v>
      </c>
      <c r="I483" s="229" t="s">
        <v>778</v>
      </c>
      <c r="J483" s="3">
        <v>3</v>
      </c>
      <c r="K483" s="3">
        <v>2</v>
      </c>
      <c r="L483" s="3">
        <v>1</v>
      </c>
      <c r="M483" s="3">
        <v>3</v>
      </c>
      <c r="N483" s="3">
        <v>5</v>
      </c>
      <c r="O483" s="238"/>
      <c r="P483" s="234"/>
      <c r="Q483" s="93"/>
      <c r="R4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83" s="93">
        <v>1</v>
      </c>
      <c r="T483" s="93" t="b">
        <f>Data[[#This Row],[Day Rank]]=Data[[#This Row],[W Rank]]</f>
        <v>0</v>
      </c>
      <c r="U483" s="323"/>
    </row>
    <row r="484" spans="1:21" ht="15" customHeight="1">
      <c r="A484" s="333"/>
      <c r="B484" s="326"/>
      <c r="C484" s="339"/>
      <c r="D484" s="81">
        <f>D482</f>
        <v>45623</v>
      </c>
      <c r="E484" s="140" t="str">
        <f>$L$1</f>
        <v>loganworsdell</v>
      </c>
      <c r="F484" s="8">
        <f>IFERROR(AVERAGE(Data[[#This Row],[alappatjoe]:[currydestroyer27]]), "TBD")</f>
        <v>2.4</v>
      </c>
      <c r="G484" s="177">
        <f>IFERROR(_xlfn.STDEV.P(Data[[#This Row],[alappatjoe]:[currydestroyer27]]), "TBD")</f>
        <v>1.3564659966250536</v>
      </c>
      <c r="H484" s="135" t="s">
        <v>1137</v>
      </c>
      <c r="I484" s="229" t="s">
        <v>1138</v>
      </c>
      <c r="J484" s="3">
        <v>5</v>
      </c>
      <c r="K484" s="3">
        <v>1</v>
      </c>
      <c r="L484" s="3">
        <v>2</v>
      </c>
      <c r="M484" s="3">
        <v>2</v>
      </c>
      <c r="N484" s="3">
        <v>2</v>
      </c>
      <c r="O484" s="238"/>
      <c r="P484" s="234"/>
      <c r="Q484" s="93"/>
      <c r="R4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84" s="93">
        <v>1</v>
      </c>
      <c r="T484" s="93" t="b">
        <f>Data[[#This Row],[Day Rank]]=Data[[#This Row],[W Rank]]</f>
        <v>1</v>
      </c>
      <c r="U484" s="323"/>
    </row>
    <row r="485" spans="1:21" ht="15" customHeight="1">
      <c r="A485" s="333"/>
      <c r="B485" s="326"/>
      <c r="C485" s="339"/>
      <c r="D485" s="81">
        <f>D482</f>
        <v>45623</v>
      </c>
      <c r="E485" s="140" t="str">
        <f>$M$1</f>
        <v>samuelbattista</v>
      </c>
      <c r="F485" s="8">
        <f>IFERROR(AVERAGE(Data[[#This Row],[alappatjoe]:[currydestroyer27]]), "TBD")</f>
        <v>3.2</v>
      </c>
      <c r="G485" s="177">
        <f>IFERROR(_xlfn.STDEV.P(Data[[#This Row],[alappatjoe]:[currydestroyer27]]), "TBD")</f>
        <v>1.1661903789690602</v>
      </c>
      <c r="H485" s="135" t="s">
        <v>1139</v>
      </c>
      <c r="I485" s="229" t="s">
        <v>1140</v>
      </c>
      <c r="J485" s="3">
        <v>4</v>
      </c>
      <c r="K485" s="3">
        <v>4</v>
      </c>
      <c r="L485" s="3">
        <v>3</v>
      </c>
      <c r="M485" s="3">
        <v>1</v>
      </c>
      <c r="N485" s="3">
        <v>4</v>
      </c>
      <c r="O485" s="238"/>
      <c r="P485" s="234"/>
      <c r="Q485" s="93"/>
      <c r="R4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85" s="93">
        <v>1</v>
      </c>
      <c r="T485" s="93" t="b">
        <f>Data[[#This Row],[Day Rank]]=Data[[#This Row],[W Rank]]</f>
        <v>0</v>
      </c>
      <c r="U485" s="323"/>
    </row>
    <row r="486" spans="1:21" ht="15" customHeight="1" thickBot="1">
      <c r="A486" s="334"/>
      <c r="B486" s="327"/>
      <c r="C486" s="340"/>
      <c r="D486" s="164">
        <f>D482</f>
        <v>45623</v>
      </c>
      <c r="E486" s="215" t="str">
        <f>$N$1</f>
        <v>currydestroyer27</v>
      </c>
      <c r="F486" s="165">
        <f>IFERROR(AVERAGE(Data[[#This Row],[alappatjoe]:[currydestroyer27]]), "TBD")</f>
        <v>2.6</v>
      </c>
      <c r="G486" s="256">
        <f>IFERROR(_xlfn.STDEV.P(Data[[#This Row],[alappatjoe]:[currydestroyer27]]), "TBD")</f>
        <v>1.3564659966250536</v>
      </c>
      <c r="H486" s="227" t="s">
        <v>1141</v>
      </c>
      <c r="I486" s="257" t="s">
        <v>1142</v>
      </c>
      <c r="J486" s="166">
        <v>1</v>
      </c>
      <c r="K486" s="166">
        <v>3</v>
      </c>
      <c r="L486" s="166">
        <v>4</v>
      </c>
      <c r="M486" s="166">
        <v>4</v>
      </c>
      <c r="N486" s="166">
        <v>1</v>
      </c>
      <c r="O486" s="238"/>
      <c r="P486" s="235"/>
      <c r="Q486" s="94"/>
      <c r="R48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86" s="94">
        <v>1</v>
      </c>
      <c r="T486" s="94" t="b">
        <f>Data[[#This Row],[Day Rank]]=Data[[#This Row],[W Rank]]</f>
        <v>0</v>
      </c>
      <c r="U486" s="323"/>
    </row>
    <row r="487" spans="1:21" ht="15" customHeight="1">
      <c r="A487" s="332">
        <v>45624</v>
      </c>
      <c r="B487" s="325"/>
      <c r="C487" s="328" t="str" cm="1">
        <f t="array" ref="C487">_xlfn.LET(_xlpm.matches, _xlfn._xlws.FILTER(Data[Poster], (Data[Date]=A487)*(Data[Winner]=TRUE)), IF(ROWS(_xlpm.matches)&gt;1, "TIE", _xlpm.matches))</f>
        <v>loganworsdell</v>
      </c>
      <c r="D487" s="147">
        <f>A487</f>
        <v>45624</v>
      </c>
      <c r="E487" s="181" t="str">
        <f>$J$1</f>
        <v>alappatjoe</v>
      </c>
      <c r="F487" s="8">
        <f>IFERROR(AVERAGE(Data[[#This Row],[alappatjoe]:[currydestroyer27]]), "TBD")</f>
        <v>4</v>
      </c>
      <c r="G487" s="177">
        <f>IFERROR(_xlfn.STDEV.P(Data[[#This Row],[alappatjoe]:[currydestroyer27]]), "TBD")</f>
        <v>1.2649110640673518</v>
      </c>
      <c r="H487" s="135" t="s">
        <v>1143</v>
      </c>
      <c r="I487" s="229" t="s">
        <v>1144</v>
      </c>
      <c r="J487" s="3">
        <v>2</v>
      </c>
      <c r="K487" s="3">
        <v>5</v>
      </c>
      <c r="L487" s="3">
        <v>5</v>
      </c>
      <c r="M487" s="3">
        <v>5</v>
      </c>
      <c r="N487" s="3">
        <v>3</v>
      </c>
      <c r="O487" s="238"/>
      <c r="P487" s="234"/>
      <c r="Q487" s="93"/>
      <c r="R4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87" s="93">
        <v>1</v>
      </c>
      <c r="T487" s="93" t="b">
        <f>Data[[#This Row],[Day Rank]]=Data[[#This Row],[W Rank]]</f>
        <v>0</v>
      </c>
      <c r="U487" s="323"/>
    </row>
    <row r="488" spans="1:21" ht="15" customHeight="1">
      <c r="A488" s="333"/>
      <c r="B488" s="326"/>
      <c r="C488" s="329"/>
      <c r="D488" s="81">
        <f>D487</f>
        <v>45624</v>
      </c>
      <c r="E488" s="140" t="str">
        <f>$K$1</f>
        <v>danram</v>
      </c>
      <c r="F488" s="8">
        <f>IFERROR(AVERAGE(Data[[#This Row],[alappatjoe]:[currydestroyer27]]), "TBD")</f>
        <v>2.8</v>
      </c>
      <c r="G488" s="177">
        <f>IFERROR(_xlfn.STDEV.P(Data[[#This Row],[alappatjoe]:[currydestroyer27]]), "TBD")</f>
        <v>1.3266499161421599</v>
      </c>
      <c r="H488" s="135" t="s">
        <v>1145</v>
      </c>
      <c r="I488" s="229" t="s">
        <v>778</v>
      </c>
      <c r="J488" s="3">
        <v>3</v>
      </c>
      <c r="K488" s="3">
        <v>2</v>
      </c>
      <c r="L488" s="3">
        <v>1</v>
      </c>
      <c r="M488" s="3">
        <v>3</v>
      </c>
      <c r="N488" s="3">
        <v>5</v>
      </c>
      <c r="O488" s="238"/>
      <c r="P488" s="234"/>
      <c r="Q488" s="93"/>
      <c r="R4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88" s="93">
        <v>1</v>
      </c>
      <c r="T488" s="93" t="b">
        <f>Data[[#This Row],[Day Rank]]=Data[[#This Row],[W Rank]]</f>
        <v>0</v>
      </c>
      <c r="U488" s="323"/>
    </row>
    <row r="489" spans="1:21" ht="15" customHeight="1">
      <c r="A489" s="333"/>
      <c r="B489" s="326"/>
      <c r="C489" s="329"/>
      <c r="D489" s="81">
        <f>D487</f>
        <v>45624</v>
      </c>
      <c r="E489" s="140" t="str">
        <f>$L$1</f>
        <v>loganworsdell</v>
      </c>
      <c r="F489" s="8">
        <f>IFERROR(AVERAGE(Data[[#This Row],[alappatjoe]:[currydestroyer27]]), "TBD")</f>
        <v>2.4</v>
      </c>
      <c r="G489" s="177">
        <f>IFERROR(_xlfn.STDEV.P(Data[[#This Row],[alappatjoe]:[currydestroyer27]]), "TBD")</f>
        <v>1.3564659966250536</v>
      </c>
      <c r="H489" s="135" t="s">
        <v>1146</v>
      </c>
      <c r="I489" s="229" t="s">
        <v>1138</v>
      </c>
      <c r="J489" s="3">
        <v>5</v>
      </c>
      <c r="K489" s="3">
        <v>1</v>
      </c>
      <c r="L489" s="3">
        <v>2</v>
      </c>
      <c r="M489" s="3">
        <v>2</v>
      </c>
      <c r="N489" s="3">
        <v>2</v>
      </c>
      <c r="O489" s="238"/>
      <c r="P489" s="234"/>
      <c r="Q489" s="93"/>
      <c r="R4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89" s="93">
        <v>1</v>
      </c>
      <c r="T489" s="93" t="b">
        <f>Data[[#This Row],[Day Rank]]=Data[[#This Row],[W Rank]]</f>
        <v>1</v>
      </c>
      <c r="U489" s="323"/>
    </row>
    <row r="490" spans="1:21" ht="15" customHeight="1">
      <c r="A490" s="333"/>
      <c r="B490" s="326"/>
      <c r="C490" s="329"/>
      <c r="D490" s="81">
        <f>D487</f>
        <v>45624</v>
      </c>
      <c r="E490" s="140" t="str">
        <f>$M$1</f>
        <v>samuelbattista</v>
      </c>
      <c r="F490" s="8">
        <f>IFERROR(AVERAGE(Data[[#This Row],[alappatjoe]:[currydestroyer27]]), "TBD")</f>
        <v>3.2</v>
      </c>
      <c r="G490" s="177">
        <f>IFERROR(_xlfn.STDEV.P(Data[[#This Row],[alappatjoe]:[currydestroyer27]]), "TBD")</f>
        <v>1.1661903789690602</v>
      </c>
      <c r="H490" s="135" t="s">
        <v>1147</v>
      </c>
      <c r="I490" s="229" t="s">
        <v>1148</v>
      </c>
      <c r="J490" s="3">
        <v>4</v>
      </c>
      <c r="K490" s="3">
        <v>4</v>
      </c>
      <c r="L490" s="3">
        <v>3</v>
      </c>
      <c r="M490" s="3">
        <v>1</v>
      </c>
      <c r="N490" s="3">
        <v>4</v>
      </c>
      <c r="O490" s="238"/>
      <c r="P490" s="234"/>
      <c r="Q490" s="93"/>
      <c r="R4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90" s="93">
        <v>1</v>
      </c>
      <c r="T490" s="93" t="b">
        <f>Data[[#This Row],[Day Rank]]=Data[[#This Row],[W Rank]]</f>
        <v>0</v>
      </c>
      <c r="U490" s="323"/>
    </row>
    <row r="491" spans="1:21" ht="15" customHeight="1" thickBot="1">
      <c r="A491" s="334"/>
      <c r="B491" s="327"/>
      <c r="C491" s="330"/>
      <c r="D491" s="164">
        <f>D487</f>
        <v>45624</v>
      </c>
      <c r="E491" s="215" t="str">
        <f>$N$1</f>
        <v>currydestroyer27</v>
      </c>
      <c r="F491" s="165">
        <f>IFERROR(AVERAGE(Data[[#This Row],[alappatjoe]:[currydestroyer27]]), "TBD")</f>
        <v>2.6</v>
      </c>
      <c r="G491" s="256">
        <f>IFERROR(_xlfn.STDEV.P(Data[[#This Row],[alappatjoe]:[currydestroyer27]]), "TBD")</f>
        <v>1.3564659966250536</v>
      </c>
      <c r="H491" s="227" t="s">
        <v>1149</v>
      </c>
      <c r="I491" s="257" t="s">
        <v>1150</v>
      </c>
      <c r="J491" s="166">
        <v>1</v>
      </c>
      <c r="K491" s="166">
        <v>3</v>
      </c>
      <c r="L491" s="166">
        <v>4</v>
      </c>
      <c r="M491" s="166">
        <v>4</v>
      </c>
      <c r="N491" s="166">
        <v>1</v>
      </c>
      <c r="O491" s="238"/>
      <c r="P491" s="235"/>
      <c r="Q491" s="94"/>
      <c r="R49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91" s="94">
        <v>1</v>
      </c>
      <c r="T491" s="94" t="b">
        <f>Data[[#This Row],[Day Rank]]=Data[[#This Row],[W Rank]]</f>
        <v>0</v>
      </c>
      <c r="U491" s="324"/>
    </row>
    <row r="492" spans="1:21" ht="15" customHeight="1">
      <c r="A492" s="332">
        <v>45628</v>
      </c>
      <c r="B492" s="325"/>
      <c r="C492" s="338" t="str" cm="1">
        <f t="array" ref="C492">_xlfn.LET(_xlpm.matches, _xlfn._xlws.FILTER(Data[Poster], (Data[Date]=A492)*(Data[Winner]=TRUE)), IF(ROWS(_xlpm.matches)&gt;1, "TIE", _xlpm.matches))</f>
        <v>alappatjoe</v>
      </c>
      <c r="D492" s="81">
        <f>A492</f>
        <v>45628</v>
      </c>
      <c r="E492" s="140" t="str">
        <f>$J$1</f>
        <v>alappatjoe</v>
      </c>
      <c r="F492" s="8">
        <f>IFERROR(AVERAGE(Data[[#This Row],[alappatjoe]:[currydestroyer27]]), "TBD")</f>
        <v>1.6</v>
      </c>
      <c r="G492" s="177">
        <f>IFERROR(_xlfn.STDEV.P(Data[[#This Row],[alappatjoe]:[currydestroyer27]]), "TBD")</f>
        <v>0.4898979485566356</v>
      </c>
      <c r="H492" s="135" t="s">
        <v>1151</v>
      </c>
      <c r="I492" s="229" t="s">
        <v>1152</v>
      </c>
      <c r="J492" s="3">
        <v>1</v>
      </c>
      <c r="K492" s="3">
        <v>2</v>
      </c>
      <c r="L492" s="3">
        <v>1</v>
      </c>
      <c r="M492" s="3">
        <v>2</v>
      </c>
      <c r="N492" s="3">
        <v>2</v>
      </c>
      <c r="O492" s="238"/>
      <c r="P492" s="234"/>
      <c r="Q492" s="93"/>
      <c r="R4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492" s="93">
        <v>1</v>
      </c>
      <c r="T492" s="93" t="b">
        <f>Data[[#This Row],[Day Rank]]=Data[[#This Row],[W Rank]]</f>
        <v>1</v>
      </c>
      <c r="U492" s="335"/>
    </row>
    <row r="493" spans="1:21" ht="15" customHeight="1">
      <c r="A493" s="333"/>
      <c r="B493" s="326"/>
      <c r="C493" s="339"/>
      <c r="D493" s="81">
        <f>D492</f>
        <v>45628</v>
      </c>
      <c r="E493" s="140" t="str">
        <f>$K$1</f>
        <v>danram</v>
      </c>
      <c r="F493" s="8">
        <f>IFERROR(AVERAGE(Data[[#This Row],[alappatjoe]:[currydestroyer27]]), "TBD")</f>
        <v>3</v>
      </c>
      <c r="G493" s="177">
        <f>IFERROR(_xlfn.STDEV.P(Data[[#This Row],[alappatjoe]:[currydestroyer27]]), "TBD")</f>
        <v>1.0954451150103321</v>
      </c>
      <c r="H493" s="135" t="s">
        <v>1153</v>
      </c>
      <c r="I493" s="229" t="s">
        <v>1154</v>
      </c>
      <c r="J493" s="3">
        <v>4</v>
      </c>
      <c r="K493" s="3">
        <v>1</v>
      </c>
      <c r="L493" s="3">
        <v>4</v>
      </c>
      <c r="M493" s="3">
        <v>3</v>
      </c>
      <c r="N493" s="3">
        <v>3</v>
      </c>
      <c r="O493" s="238"/>
      <c r="P493" s="234"/>
      <c r="Q493" s="93"/>
      <c r="R4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93" s="93">
        <v>1</v>
      </c>
      <c r="T493" s="93" t="b">
        <f>Data[[#This Row],[Day Rank]]=Data[[#This Row],[W Rank]]</f>
        <v>0</v>
      </c>
      <c r="U493" s="336"/>
    </row>
    <row r="494" spans="1:21" ht="15" customHeight="1">
      <c r="A494" s="333"/>
      <c r="B494" s="326"/>
      <c r="C494" s="339"/>
      <c r="D494" s="81">
        <f>D492</f>
        <v>45628</v>
      </c>
      <c r="E494" s="140" t="str">
        <f>$L$1</f>
        <v>loganworsdell</v>
      </c>
      <c r="F494" s="8">
        <f>IFERROR(AVERAGE(Data[[#This Row],[alappatjoe]:[currydestroyer27]]), "TBD")</f>
        <v>4.2</v>
      </c>
      <c r="G494" s="177">
        <f>IFERROR(_xlfn.STDEV.P(Data[[#This Row],[alappatjoe]:[currydestroyer27]]), "TBD")</f>
        <v>1.1661903789690602</v>
      </c>
      <c r="H494" s="135" t="s">
        <v>1155</v>
      </c>
      <c r="I494" s="229" t="s">
        <v>1156</v>
      </c>
      <c r="J494" s="3">
        <v>5</v>
      </c>
      <c r="K494" s="3">
        <v>5</v>
      </c>
      <c r="L494" s="3">
        <v>2</v>
      </c>
      <c r="M494" s="3">
        <v>4</v>
      </c>
      <c r="N494" s="3">
        <v>5</v>
      </c>
      <c r="O494" s="238"/>
      <c r="P494" s="234"/>
      <c r="Q494" s="93"/>
      <c r="R4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94" s="93">
        <v>1</v>
      </c>
      <c r="T494" s="93" t="b">
        <f>Data[[#This Row],[Day Rank]]=Data[[#This Row],[W Rank]]</f>
        <v>0</v>
      </c>
      <c r="U494" s="336"/>
    </row>
    <row r="495" spans="1:21" ht="15" customHeight="1">
      <c r="A495" s="333"/>
      <c r="B495" s="326"/>
      <c r="C495" s="339"/>
      <c r="D495" s="81">
        <f>D492</f>
        <v>45628</v>
      </c>
      <c r="E495" s="140" t="str">
        <f>$M$1</f>
        <v>samuelbattista</v>
      </c>
      <c r="F495" s="8">
        <f>IFERROR(AVERAGE(Data[[#This Row],[alappatjoe]:[currydestroyer27]]), "TBD")</f>
        <v>2.8</v>
      </c>
      <c r="G495" s="177">
        <f>IFERROR(_xlfn.STDEV.P(Data[[#This Row],[alappatjoe]:[currydestroyer27]]), "TBD")</f>
        <v>1.1661903789690602</v>
      </c>
      <c r="H495" s="135" t="s">
        <v>1157</v>
      </c>
      <c r="I495" s="229" t="s">
        <v>1158</v>
      </c>
      <c r="J495" s="3">
        <v>2</v>
      </c>
      <c r="K495" s="3">
        <v>4</v>
      </c>
      <c r="L495" s="3">
        <v>3</v>
      </c>
      <c r="M495" s="3">
        <v>1</v>
      </c>
      <c r="N495" s="3">
        <v>4</v>
      </c>
      <c r="O495" s="238"/>
      <c r="P495" s="234"/>
      <c r="Q495" s="93"/>
      <c r="R4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495" s="93">
        <v>1</v>
      </c>
      <c r="T495" s="93" t="b">
        <f>Data[[#This Row],[Day Rank]]=Data[[#This Row],[W Rank]]</f>
        <v>0</v>
      </c>
      <c r="U495" s="336"/>
    </row>
    <row r="496" spans="1:21" ht="15" customHeight="1" thickBot="1">
      <c r="A496" s="334"/>
      <c r="B496" s="327"/>
      <c r="C496" s="340"/>
      <c r="D496" s="82">
        <f>D492</f>
        <v>45628</v>
      </c>
      <c r="E496" s="182" t="str">
        <f>$N$1</f>
        <v>currydestroyer27</v>
      </c>
      <c r="F496" s="83">
        <f>IFERROR(AVERAGE(Data[[#This Row],[alappatjoe]:[currydestroyer27]]), "TBD")</f>
        <v>3.4</v>
      </c>
      <c r="G496" s="183">
        <f>IFERROR(_xlfn.STDEV.P(Data[[#This Row],[alappatjoe]:[currydestroyer27]]), "TBD")</f>
        <v>1.4966629547095767</v>
      </c>
      <c r="H496" s="184" t="s">
        <v>1159</v>
      </c>
      <c r="I496" s="185" t="s">
        <v>1160</v>
      </c>
      <c r="J496" s="22">
        <v>3</v>
      </c>
      <c r="K496" s="22">
        <v>3</v>
      </c>
      <c r="L496" s="22">
        <v>5</v>
      </c>
      <c r="M496" s="22">
        <v>5</v>
      </c>
      <c r="N496" s="22">
        <v>1</v>
      </c>
      <c r="O496" s="239"/>
      <c r="P496" s="235"/>
      <c r="Q496" s="94"/>
      <c r="R49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96" s="94">
        <v>1</v>
      </c>
      <c r="T496" s="94" t="b">
        <f>Data[[#This Row],[Day Rank]]=Data[[#This Row],[W Rank]]</f>
        <v>0</v>
      </c>
      <c r="U496" s="337"/>
    </row>
    <row r="497" spans="1:21" ht="15" customHeight="1">
      <c r="A497" s="332">
        <v>45629</v>
      </c>
      <c r="B497" s="325"/>
      <c r="C497" s="328" t="str" cm="1">
        <f t="array" ref="C497">_xlfn.LET(_xlpm.matches, _xlfn._xlws.FILTER(Data[Poster], (Data[Date]=A497)*(Data[Winner]=TRUE)), IF(ROWS(_xlpm.matches)&gt;1, "TIE", _xlpm.matches))</f>
        <v>samuelbattista</v>
      </c>
      <c r="D497" s="147">
        <f>A497</f>
        <v>45629</v>
      </c>
      <c r="E497" s="181" t="str">
        <f>$J$1</f>
        <v>alappatjoe</v>
      </c>
      <c r="F497" s="9">
        <f>IFERROR(AVERAGE(Data[[#This Row],[alappatjoe]:[currydestroyer27]]), "TBD")</f>
        <v>4</v>
      </c>
      <c r="G497" s="178">
        <f>IFERROR(_xlfn.STDEV.P(Data[[#This Row],[alappatjoe]:[currydestroyer27]]), "TBD")</f>
        <v>1.5491933384829668</v>
      </c>
      <c r="H497" s="160" t="s">
        <v>1161</v>
      </c>
      <c r="I497" s="186" t="s">
        <v>1162</v>
      </c>
      <c r="J497" s="3">
        <v>1</v>
      </c>
      <c r="K497" s="3">
        <v>5</v>
      </c>
      <c r="L497" s="3">
        <v>4</v>
      </c>
      <c r="M497" s="3">
        <v>5</v>
      </c>
      <c r="N497" s="3">
        <v>5</v>
      </c>
      <c r="O497" s="238"/>
      <c r="P497" s="234"/>
      <c r="Q497" s="93"/>
      <c r="R4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497" s="93">
        <v>1</v>
      </c>
      <c r="T497" s="93" t="b">
        <f>Data[[#This Row],[Day Rank]]=Data[[#This Row],[W Rank]]</f>
        <v>0</v>
      </c>
      <c r="U497" s="335"/>
    </row>
    <row r="498" spans="1:21" ht="15" customHeight="1">
      <c r="A498" s="333"/>
      <c r="B498" s="326"/>
      <c r="C498" s="329"/>
      <c r="D498" s="81">
        <f>D497</f>
        <v>45629</v>
      </c>
      <c r="E498" s="140" t="str">
        <f>$K$1</f>
        <v>danram</v>
      </c>
      <c r="F498" s="8">
        <f>IFERROR(AVERAGE(Data[[#This Row],[alappatjoe]:[currydestroyer27]]), "TBD")</f>
        <v>3.2</v>
      </c>
      <c r="G498" s="177">
        <f>IFERROR(_xlfn.STDEV.P(Data[[#This Row],[alappatjoe]:[currydestroyer27]]), "TBD")</f>
        <v>0.74833147735478833</v>
      </c>
      <c r="H498" s="135" t="s">
        <v>1163</v>
      </c>
      <c r="I498" s="229" t="s">
        <v>1164</v>
      </c>
      <c r="J498" s="3">
        <v>3</v>
      </c>
      <c r="K498" s="3">
        <v>2</v>
      </c>
      <c r="L498" s="3">
        <v>3</v>
      </c>
      <c r="M498" s="3">
        <v>4</v>
      </c>
      <c r="N498" s="3">
        <v>4</v>
      </c>
      <c r="O498" s="238"/>
      <c r="P498" s="234"/>
      <c r="Q498" s="93"/>
      <c r="R4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498" s="93">
        <v>1</v>
      </c>
      <c r="T498" s="93" t="b">
        <f>Data[[#This Row],[Day Rank]]=Data[[#This Row],[W Rank]]</f>
        <v>0</v>
      </c>
      <c r="U498" s="336"/>
    </row>
    <row r="499" spans="1:21" ht="15" customHeight="1">
      <c r="A499" s="333"/>
      <c r="B499" s="326"/>
      <c r="C499" s="329"/>
      <c r="D499" s="81">
        <f>D497</f>
        <v>45629</v>
      </c>
      <c r="E499" s="140" t="str">
        <f>$L$1</f>
        <v>loganworsdell</v>
      </c>
      <c r="F499" s="8">
        <f>IFERROR(AVERAGE(Data[[#This Row],[alappatjoe]:[currydestroyer27]]), "TBD")</f>
        <v>3</v>
      </c>
      <c r="G499" s="177">
        <f>IFERROR(_xlfn.STDEV.P(Data[[#This Row],[alappatjoe]:[currydestroyer27]]), "TBD")</f>
        <v>1.0954451150103321</v>
      </c>
      <c r="H499" s="135" t="s">
        <v>1165</v>
      </c>
      <c r="I499" s="229" t="s">
        <v>1166</v>
      </c>
      <c r="J499" s="3">
        <v>2</v>
      </c>
      <c r="K499" s="3">
        <v>3</v>
      </c>
      <c r="L499" s="3">
        <v>5</v>
      </c>
      <c r="M499" s="3">
        <v>2</v>
      </c>
      <c r="N499" s="3">
        <v>3</v>
      </c>
      <c r="O499" s="238"/>
      <c r="P499" s="234"/>
      <c r="Q499" s="93"/>
      <c r="R4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499" s="93">
        <v>1</v>
      </c>
      <c r="T499" s="93" t="b">
        <f>Data[[#This Row],[Day Rank]]=Data[[#This Row],[W Rank]]</f>
        <v>0</v>
      </c>
      <c r="U499" s="336"/>
    </row>
    <row r="500" spans="1:21" ht="15" customHeight="1">
      <c r="A500" s="333"/>
      <c r="B500" s="326"/>
      <c r="C500" s="329"/>
      <c r="D500" s="81">
        <f>D497</f>
        <v>45629</v>
      </c>
      <c r="E500" s="140" t="str">
        <f>$M$1</f>
        <v>samuelbattista</v>
      </c>
      <c r="F500" s="8">
        <f>IFERROR(AVERAGE(Data[[#This Row],[alappatjoe]:[currydestroyer27]]), "TBD")</f>
        <v>1.8</v>
      </c>
      <c r="G500" s="177">
        <f>IFERROR(_xlfn.STDEV.P(Data[[#This Row],[alappatjoe]:[currydestroyer27]]), "TBD")</f>
        <v>1.6</v>
      </c>
      <c r="H500" s="135" t="s">
        <v>1167</v>
      </c>
      <c r="I500" s="229" t="s">
        <v>965</v>
      </c>
      <c r="J500" s="3">
        <v>5</v>
      </c>
      <c r="K500" s="3">
        <v>1</v>
      </c>
      <c r="L500" s="3">
        <v>1</v>
      </c>
      <c r="M500" s="3">
        <v>1</v>
      </c>
      <c r="N500" s="3">
        <v>1</v>
      </c>
      <c r="O500" s="238"/>
      <c r="P500" s="234"/>
      <c r="Q500" s="93"/>
      <c r="R5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00" s="93">
        <v>1</v>
      </c>
      <c r="T500" s="93" t="b">
        <f>Data[[#This Row],[Day Rank]]=Data[[#This Row],[W Rank]]</f>
        <v>1</v>
      </c>
      <c r="U500" s="336"/>
    </row>
    <row r="501" spans="1:21" ht="15" customHeight="1" thickBot="1">
      <c r="A501" s="334"/>
      <c r="B501" s="327"/>
      <c r="C501" s="330"/>
      <c r="D501" s="82">
        <f>D497</f>
        <v>45629</v>
      </c>
      <c r="E501" s="182" t="str">
        <f>$N$1</f>
        <v>currydestroyer27</v>
      </c>
      <c r="F501" s="83">
        <f>IFERROR(AVERAGE(Data[[#This Row],[alappatjoe]:[currydestroyer27]]), "TBD")</f>
        <v>3</v>
      </c>
      <c r="G501" s="183">
        <f>IFERROR(_xlfn.STDEV.P(Data[[#This Row],[alappatjoe]:[currydestroyer27]]), "TBD")</f>
        <v>0.89442719099991586</v>
      </c>
      <c r="H501" s="184" t="s">
        <v>1168</v>
      </c>
      <c r="I501" s="185" t="s">
        <v>1169</v>
      </c>
      <c r="J501" s="22">
        <v>4</v>
      </c>
      <c r="K501" s="22">
        <v>4</v>
      </c>
      <c r="L501" s="22">
        <v>2</v>
      </c>
      <c r="M501" s="22">
        <v>3</v>
      </c>
      <c r="N501" s="22">
        <v>2</v>
      </c>
      <c r="O501" s="239"/>
      <c r="P501" s="235"/>
      <c r="Q501" s="94"/>
      <c r="R50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01" s="94">
        <v>1</v>
      </c>
      <c r="T501" s="94" t="b">
        <f>Data[[#This Row],[Day Rank]]=Data[[#This Row],[W Rank]]</f>
        <v>0</v>
      </c>
      <c r="U501" s="337"/>
    </row>
    <row r="502" spans="1:21" ht="15" customHeight="1">
      <c r="A502" s="332">
        <v>45630</v>
      </c>
      <c r="B502" s="325"/>
      <c r="C502" s="338" t="str" cm="1">
        <f t="array" ref="C502">_xlfn.LET(_xlpm.matches, _xlfn._xlws.FILTER(Data[Poster], (Data[Date]=A502)*(Data[Winner]=TRUE)), IF(ROWS(_xlpm.matches)&gt;1, "TIE", _xlpm.matches))</f>
        <v>currydestroyer27</v>
      </c>
      <c r="D502" s="147">
        <f>A502</f>
        <v>45630</v>
      </c>
      <c r="E502" s="181" t="str">
        <f>$J$1</f>
        <v>alappatjoe</v>
      </c>
      <c r="F502" s="9">
        <f>IFERROR(AVERAGE(Data[[#This Row],[alappatjoe]:[currydestroyer27]]), "TBD")</f>
        <v>3.4</v>
      </c>
      <c r="G502" s="178">
        <f>IFERROR(_xlfn.STDEV.P(Data[[#This Row],[alappatjoe]:[currydestroyer27]]), "TBD")</f>
        <v>1.6248076809271921</v>
      </c>
      <c r="H502" s="160" t="s">
        <v>1170</v>
      </c>
      <c r="I502" s="186" t="s">
        <v>1171</v>
      </c>
      <c r="J502" s="3">
        <v>1</v>
      </c>
      <c r="K502" s="3">
        <v>5</v>
      </c>
      <c r="L502" s="3">
        <v>4</v>
      </c>
      <c r="M502" s="3">
        <v>5</v>
      </c>
      <c r="N502" s="3">
        <v>2</v>
      </c>
      <c r="O502" s="238"/>
      <c r="P502" s="234"/>
      <c r="Q502" s="93"/>
      <c r="R5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02" s="93">
        <v>1</v>
      </c>
      <c r="T502" s="93" t="b">
        <f>Data[[#This Row],[Day Rank]]=Data[[#This Row],[W Rank]]</f>
        <v>0</v>
      </c>
      <c r="U502" s="335" t="s">
        <v>1172</v>
      </c>
    </row>
    <row r="503" spans="1:21" ht="15" customHeight="1">
      <c r="A503" s="333"/>
      <c r="B503" s="326"/>
      <c r="C503" s="339"/>
      <c r="D503" s="81">
        <f>D502</f>
        <v>45630</v>
      </c>
      <c r="E503" s="140" t="str">
        <f>$K$1</f>
        <v>danram</v>
      </c>
      <c r="F503" s="8">
        <f>IFERROR(AVERAGE(Data[[#This Row],[alappatjoe]:[currydestroyer27]]), "TBD")</f>
        <v>3.6</v>
      </c>
      <c r="G503" s="177">
        <f>IFERROR(_xlfn.STDEV.P(Data[[#This Row],[alappatjoe]:[currydestroyer27]]), "TBD")</f>
        <v>1.2</v>
      </c>
      <c r="H503" s="135" t="s">
        <v>1173</v>
      </c>
      <c r="I503" s="229" t="s">
        <v>361</v>
      </c>
      <c r="J503" s="3">
        <v>5</v>
      </c>
      <c r="K503" s="3">
        <v>2</v>
      </c>
      <c r="L503" s="3">
        <v>5</v>
      </c>
      <c r="M503" s="3">
        <v>3</v>
      </c>
      <c r="N503" s="3">
        <v>3</v>
      </c>
      <c r="O503" s="238"/>
      <c r="P503" s="234"/>
      <c r="Q503" s="93"/>
      <c r="R5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03" s="93">
        <v>1</v>
      </c>
      <c r="T503" s="93" t="b">
        <f>Data[[#This Row],[Day Rank]]=Data[[#This Row],[W Rank]]</f>
        <v>0</v>
      </c>
      <c r="U503" s="336"/>
    </row>
    <row r="504" spans="1:21" ht="15" customHeight="1">
      <c r="A504" s="333"/>
      <c r="B504" s="326"/>
      <c r="C504" s="339"/>
      <c r="D504" s="81">
        <f>D502</f>
        <v>45630</v>
      </c>
      <c r="E504" s="140" t="str">
        <f>$L$1</f>
        <v>loganworsdell</v>
      </c>
      <c r="F504" s="8">
        <f>IFERROR(AVERAGE(Data[[#This Row],[alappatjoe]:[currydestroyer27]]), "TBD")</f>
        <v>3.6</v>
      </c>
      <c r="G504" s="177">
        <f>IFERROR(_xlfn.STDEV.P(Data[[#This Row],[alappatjoe]:[currydestroyer27]]), "TBD")</f>
        <v>0.8</v>
      </c>
      <c r="H504" s="135" t="s">
        <v>1174</v>
      </c>
      <c r="I504" s="229" t="s">
        <v>1175</v>
      </c>
      <c r="J504" s="3">
        <v>4</v>
      </c>
      <c r="K504" s="3">
        <v>4</v>
      </c>
      <c r="L504" s="3">
        <v>2</v>
      </c>
      <c r="M504" s="3">
        <v>4</v>
      </c>
      <c r="N504" s="3">
        <v>4</v>
      </c>
      <c r="O504" s="238"/>
      <c r="P504" s="234"/>
      <c r="Q504" s="93"/>
      <c r="R5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04" s="93">
        <v>1</v>
      </c>
      <c r="T504" s="93" t="b">
        <f>Data[[#This Row],[Day Rank]]=Data[[#This Row],[W Rank]]</f>
        <v>0</v>
      </c>
      <c r="U504" s="336"/>
    </row>
    <row r="505" spans="1:21" ht="15" customHeight="1">
      <c r="A505" s="333"/>
      <c r="B505" s="326"/>
      <c r="C505" s="339"/>
      <c r="D505" s="81">
        <f>D502</f>
        <v>45630</v>
      </c>
      <c r="E505" s="140" t="str">
        <f>$M$1</f>
        <v>samuelbattista</v>
      </c>
      <c r="F505" s="8">
        <f>IFERROR(AVERAGE(Data[[#This Row],[alappatjoe]:[currydestroyer27]]), "TBD")</f>
        <v>3</v>
      </c>
      <c r="G505" s="177">
        <f>IFERROR(_xlfn.STDEV.P(Data[[#This Row],[alappatjoe]:[currydestroyer27]]), "TBD")</f>
        <v>1.2649110640673518</v>
      </c>
      <c r="H505" s="135" t="s">
        <v>1176</v>
      </c>
      <c r="I505" s="229" t="s">
        <v>1177</v>
      </c>
      <c r="J505" s="3">
        <v>3</v>
      </c>
      <c r="K505" s="3">
        <v>3</v>
      </c>
      <c r="L505" s="3">
        <v>3</v>
      </c>
      <c r="M505" s="3">
        <v>1</v>
      </c>
      <c r="N505" s="3">
        <v>5</v>
      </c>
      <c r="O505" s="238"/>
      <c r="P505" s="234"/>
      <c r="Q505" s="93"/>
      <c r="R5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05" s="93">
        <v>1</v>
      </c>
      <c r="T505" s="93" t="b">
        <f>Data[[#This Row],[Day Rank]]=Data[[#This Row],[W Rank]]</f>
        <v>0</v>
      </c>
      <c r="U505" s="336"/>
    </row>
    <row r="506" spans="1:21" ht="15" customHeight="1" thickBot="1">
      <c r="A506" s="334"/>
      <c r="B506" s="327"/>
      <c r="C506" s="340"/>
      <c r="D506" s="82">
        <f>D502</f>
        <v>45630</v>
      </c>
      <c r="E506" s="182" t="str">
        <f>$N$1</f>
        <v>currydestroyer27</v>
      </c>
      <c r="F506" s="83">
        <f>IFERROR(AVERAGE(Data[[#This Row],[alappatjoe]:[currydestroyer27]]), "TBD")</f>
        <v>1.4</v>
      </c>
      <c r="G506" s="183">
        <f>IFERROR(_xlfn.STDEV.P(Data[[#This Row],[alappatjoe]:[currydestroyer27]]), "TBD")</f>
        <v>0.4898979485566356</v>
      </c>
      <c r="H506" s="184" t="s">
        <v>1178</v>
      </c>
      <c r="I506" s="185" t="s">
        <v>159</v>
      </c>
      <c r="J506" s="22">
        <v>2</v>
      </c>
      <c r="K506" s="22">
        <v>1</v>
      </c>
      <c r="L506" s="22">
        <v>1</v>
      </c>
      <c r="M506" s="22">
        <v>2</v>
      </c>
      <c r="N506" s="22">
        <v>1</v>
      </c>
      <c r="O506" s="239"/>
      <c r="P506" s="235"/>
      <c r="Q506" s="94"/>
      <c r="R50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06" s="94">
        <v>1</v>
      </c>
      <c r="T506" s="94" t="b">
        <f>Data[[#This Row],[Day Rank]]=Data[[#This Row],[W Rank]]</f>
        <v>1</v>
      </c>
      <c r="U506" s="337"/>
    </row>
    <row r="507" spans="1:21" ht="15" customHeight="1">
      <c r="A507" s="332">
        <v>45631</v>
      </c>
      <c r="B507" s="325"/>
      <c r="C507" s="328" t="str" cm="1">
        <f t="array" ref="C507">_xlfn.LET(_xlpm.matches, _xlfn._xlws.FILTER(Data[Poster], (Data[Date]=A507)*(Data[Winner]=TRUE)), IF(ROWS(_xlpm.matches)&gt;1, "TIE", _xlpm.matches))</f>
        <v>currydestroyer27</v>
      </c>
      <c r="D507" s="147">
        <f>A507</f>
        <v>45631</v>
      </c>
      <c r="E507" s="181" t="str">
        <f>$J$1</f>
        <v>alappatjoe</v>
      </c>
      <c r="F507" s="9">
        <f>IFERROR(AVERAGE(Data[[#This Row],[alappatjoe]:[currydestroyer27]]), "TBD")</f>
        <v>4.4000000000000004</v>
      </c>
      <c r="G507" s="178">
        <f>IFERROR(_xlfn.STDEV.P(Data[[#This Row],[alappatjoe]:[currydestroyer27]]), "TBD")</f>
        <v>1.2</v>
      </c>
      <c r="H507" s="160" t="s">
        <v>1179</v>
      </c>
      <c r="I507" s="186" t="s">
        <v>1180</v>
      </c>
      <c r="J507" s="3">
        <v>2</v>
      </c>
      <c r="K507" s="3">
        <v>5</v>
      </c>
      <c r="L507" s="3">
        <v>5</v>
      </c>
      <c r="M507" s="3">
        <v>5</v>
      </c>
      <c r="N507" s="3">
        <v>5</v>
      </c>
      <c r="O507" s="238"/>
      <c r="P507" s="234"/>
      <c r="Q507" s="93"/>
      <c r="R5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07" s="93">
        <v>1</v>
      </c>
      <c r="T507" s="93" t="b">
        <f>Data[[#This Row],[Day Rank]]=Data[[#This Row],[W Rank]]</f>
        <v>0</v>
      </c>
      <c r="U507" s="335" t="s">
        <v>1181</v>
      </c>
    </row>
    <row r="508" spans="1:21" ht="15" customHeight="1">
      <c r="A508" s="333"/>
      <c r="B508" s="326"/>
      <c r="C508" s="329"/>
      <c r="D508" s="81">
        <f>D507</f>
        <v>45631</v>
      </c>
      <c r="E508" s="140" t="str">
        <f>$K$1</f>
        <v>danram</v>
      </c>
      <c r="F508" s="8">
        <f>IFERROR(AVERAGE(Data[[#This Row],[alappatjoe]:[currydestroyer27]]), "TBD")</f>
        <v>3.6</v>
      </c>
      <c r="G508" s="177">
        <f>IFERROR(_xlfn.STDEV.P(Data[[#This Row],[alappatjoe]:[currydestroyer27]]), "TBD")</f>
        <v>1.019803902718557</v>
      </c>
      <c r="H508" s="135" t="s">
        <v>1182</v>
      </c>
      <c r="I508" s="229" t="s">
        <v>769</v>
      </c>
      <c r="J508" s="3">
        <v>5</v>
      </c>
      <c r="K508" s="3">
        <v>2</v>
      </c>
      <c r="L508" s="3">
        <v>4</v>
      </c>
      <c r="M508" s="3">
        <v>4</v>
      </c>
      <c r="N508" s="3">
        <v>3</v>
      </c>
      <c r="O508" s="238"/>
      <c r="P508" s="234"/>
      <c r="Q508" s="93"/>
      <c r="R5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08" s="93">
        <v>1</v>
      </c>
      <c r="T508" s="93" t="b">
        <f>Data[[#This Row],[Day Rank]]=Data[[#This Row],[W Rank]]</f>
        <v>0</v>
      </c>
      <c r="U508" s="336"/>
    </row>
    <row r="509" spans="1:21" ht="15" customHeight="1">
      <c r="A509" s="333"/>
      <c r="B509" s="326"/>
      <c r="C509" s="329"/>
      <c r="D509" s="81">
        <f>D507</f>
        <v>45631</v>
      </c>
      <c r="E509" s="140" t="str">
        <f>$L$1</f>
        <v>loganworsdell</v>
      </c>
      <c r="F509" s="8">
        <f>IFERROR(AVERAGE(Data[[#This Row],[alappatjoe]:[currydestroyer27]]), "TBD")</f>
        <v>2.6</v>
      </c>
      <c r="G509" s="177">
        <f>IFERROR(_xlfn.STDEV.P(Data[[#This Row],[alappatjoe]:[currydestroyer27]]), "TBD")</f>
        <v>1.2</v>
      </c>
      <c r="H509" s="135" t="s">
        <v>1183</v>
      </c>
      <c r="I509" s="229" t="s">
        <v>1184</v>
      </c>
      <c r="J509" s="3">
        <v>4</v>
      </c>
      <c r="K509" s="3">
        <v>4</v>
      </c>
      <c r="L509" s="3">
        <v>1</v>
      </c>
      <c r="M509" s="3">
        <v>2</v>
      </c>
      <c r="N509" s="3">
        <v>2</v>
      </c>
      <c r="O509" s="238"/>
      <c r="P509" s="234"/>
      <c r="Q509" s="93"/>
      <c r="R5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09" s="93">
        <v>1</v>
      </c>
      <c r="T509" s="93" t="b">
        <f>Data[[#This Row],[Day Rank]]=Data[[#This Row],[W Rank]]</f>
        <v>0</v>
      </c>
      <c r="U509" s="336"/>
    </row>
    <row r="510" spans="1:21" ht="15" customHeight="1">
      <c r="A510" s="333"/>
      <c r="B510" s="326"/>
      <c r="C510" s="329"/>
      <c r="D510" s="81">
        <f>D507</f>
        <v>45631</v>
      </c>
      <c r="E510" s="140" t="str">
        <f>$M$1</f>
        <v>samuelbattista</v>
      </c>
      <c r="F510" s="8">
        <f>IFERROR(AVERAGE(Data[[#This Row],[alappatjoe]:[currydestroyer27]]), "TBD")</f>
        <v>2.2000000000000002</v>
      </c>
      <c r="G510" s="177">
        <f>IFERROR(_xlfn.STDEV.P(Data[[#This Row],[alappatjoe]:[currydestroyer27]]), "TBD")</f>
        <v>1.1661903789690602</v>
      </c>
      <c r="H510" s="135" t="s">
        <v>1185</v>
      </c>
      <c r="I510" s="229" t="s">
        <v>1186</v>
      </c>
      <c r="J510" s="3">
        <v>3</v>
      </c>
      <c r="K510" s="3">
        <v>1</v>
      </c>
      <c r="L510" s="3">
        <v>2</v>
      </c>
      <c r="M510" s="3">
        <v>1</v>
      </c>
      <c r="N510" s="3">
        <v>4</v>
      </c>
      <c r="O510" s="238"/>
      <c r="P510" s="234"/>
      <c r="Q510" s="93"/>
      <c r="R5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10" s="93">
        <v>1</v>
      </c>
      <c r="T510" s="93" t="b">
        <f>Data[[#This Row],[Day Rank]]=Data[[#This Row],[W Rank]]</f>
        <v>0</v>
      </c>
      <c r="U510" s="336"/>
    </row>
    <row r="511" spans="1:21" ht="15" customHeight="1" thickBot="1">
      <c r="A511" s="334"/>
      <c r="B511" s="327"/>
      <c r="C511" s="330"/>
      <c r="D511" s="82">
        <f>D507</f>
        <v>45631</v>
      </c>
      <c r="E511" s="182" t="str">
        <f>$N$1</f>
        <v>currydestroyer27</v>
      </c>
      <c r="F511" s="83">
        <f>IFERROR(AVERAGE(Data[[#This Row],[alappatjoe]:[currydestroyer27]]), "TBD")</f>
        <v>2.2000000000000002</v>
      </c>
      <c r="G511" s="183">
        <f>IFERROR(_xlfn.STDEV.P(Data[[#This Row],[alappatjoe]:[currydestroyer27]]), "TBD")</f>
        <v>0.9797958971132712</v>
      </c>
      <c r="H511" s="184" t="s">
        <v>1187</v>
      </c>
      <c r="I511" s="185" t="s">
        <v>1188</v>
      </c>
      <c r="J511" s="22">
        <v>1</v>
      </c>
      <c r="K511" s="22">
        <v>3</v>
      </c>
      <c r="L511" s="22">
        <v>3</v>
      </c>
      <c r="M511" s="22">
        <v>3</v>
      </c>
      <c r="N511" s="22">
        <v>1</v>
      </c>
      <c r="O511" s="239"/>
      <c r="P511" s="235"/>
      <c r="Q511" s="94"/>
      <c r="R51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11" s="94">
        <v>1</v>
      </c>
      <c r="T511" s="94" t="b">
        <f>Data[[#This Row],[Day Rank]]=Data[[#This Row],[W Rank]]</f>
        <v>1</v>
      </c>
      <c r="U511" s="337"/>
    </row>
    <row r="512" spans="1:21" ht="15" customHeight="1">
      <c r="A512" s="332">
        <v>45635</v>
      </c>
      <c r="B512" s="325"/>
      <c r="C512" s="338" t="str" cm="1">
        <f t="array" ref="C512">_xlfn.LET(_xlpm.matches, _xlfn._xlws.FILTER(Data[Poster], (Data[Date]=A512)*(Data[Winner]=TRUE)), IF(ROWS(_xlpm.matches)&gt;1, "TIE", _xlpm.matches))</f>
        <v>alappatjoe</v>
      </c>
      <c r="D512" s="147">
        <f>A512</f>
        <v>45635</v>
      </c>
      <c r="E512" s="181" t="str">
        <f>$J$1</f>
        <v>alappatjoe</v>
      </c>
      <c r="F512" s="9">
        <f>IFERROR(AVERAGE(Data[[#This Row],[alappatjoe]:[currydestroyer27]]), "TBD")</f>
        <v>2</v>
      </c>
      <c r="G512" s="178">
        <f>IFERROR(_xlfn.STDEV.P(Data[[#This Row],[alappatjoe]:[currydestroyer27]]), "TBD")</f>
        <v>1.0954451150103321</v>
      </c>
      <c r="H512" s="160" t="s">
        <v>1189</v>
      </c>
      <c r="I512" s="186" t="s">
        <v>260</v>
      </c>
      <c r="J512" s="3">
        <v>1</v>
      </c>
      <c r="K512" s="3">
        <v>1</v>
      </c>
      <c r="L512" s="3">
        <v>4</v>
      </c>
      <c r="M512" s="3">
        <v>2</v>
      </c>
      <c r="N512" s="3">
        <v>2</v>
      </c>
      <c r="O512" s="238"/>
      <c r="P512" s="234"/>
      <c r="Q512" s="93"/>
      <c r="R5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12" s="93">
        <v>1</v>
      </c>
      <c r="T512" s="93" t="b">
        <f>Data[[#This Row],[Day Rank]]=Data[[#This Row],[W Rank]]</f>
        <v>1</v>
      </c>
      <c r="U512" s="335"/>
    </row>
    <row r="513" spans="1:21" ht="15" customHeight="1">
      <c r="A513" s="333"/>
      <c r="B513" s="326"/>
      <c r="C513" s="339"/>
      <c r="D513" s="81">
        <f>D512</f>
        <v>45635</v>
      </c>
      <c r="E513" s="140" t="str">
        <f>$K$1</f>
        <v>danram</v>
      </c>
      <c r="F513" s="8">
        <f>IFERROR(AVERAGE(Data[[#This Row],[alappatjoe]:[currydestroyer27]]), "TBD")</f>
        <v>4.4000000000000004</v>
      </c>
      <c r="G513" s="177">
        <f>IFERROR(_xlfn.STDEV.P(Data[[#This Row],[alappatjoe]:[currydestroyer27]]), "TBD")</f>
        <v>0.8</v>
      </c>
      <c r="H513" s="135" t="s">
        <v>1190</v>
      </c>
      <c r="I513" s="229" t="s">
        <v>1191</v>
      </c>
      <c r="J513" s="3">
        <v>4</v>
      </c>
      <c r="K513" s="3">
        <v>3</v>
      </c>
      <c r="L513" s="3">
        <v>5</v>
      </c>
      <c r="M513" s="3">
        <v>5</v>
      </c>
      <c r="N513" s="3">
        <v>5</v>
      </c>
      <c r="O513" s="238"/>
      <c r="P513" s="234"/>
      <c r="Q513" s="93"/>
      <c r="R5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13" s="93">
        <v>1</v>
      </c>
      <c r="T513" s="93" t="b">
        <f>Data[[#This Row],[Day Rank]]=Data[[#This Row],[W Rank]]</f>
        <v>0</v>
      </c>
      <c r="U513" s="336"/>
    </row>
    <row r="514" spans="1:21" ht="15" customHeight="1">
      <c r="A514" s="333"/>
      <c r="B514" s="326"/>
      <c r="C514" s="339"/>
      <c r="D514" s="81">
        <f>D512</f>
        <v>45635</v>
      </c>
      <c r="E514" s="140" t="str">
        <f>$L$1</f>
        <v>loganworsdell</v>
      </c>
      <c r="F514" s="8">
        <f>IFERROR(AVERAGE(Data[[#This Row],[alappatjoe]:[currydestroyer27]]), "TBD")</f>
        <v>2.8</v>
      </c>
      <c r="G514" s="177">
        <f>IFERROR(_xlfn.STDEV.P(Data[[#This Row],[alappatjoe]:[currydestroyer27]]), "TBD")</f>
        <v>0.9797958971132712</v>
      </c>
      <c r="H514" s="135" t="s">
        <v>1192</v>
      </c>
      <c r="I514" s="229" t="s">
        <v>1193</v>
      </c>
      <c r="J514" s="3">
        <v>3</v>
      </c>
      <c r="K514" s="3">
        <v>4</v>
      </c>
      <c r="L514" s="3">
        <v>1</v>
      </c>
      <c r="M514" s="3">
        <v>3</v>
      </c>
      <c r="N514" s="3">
        <v>3</v>
      </c>
      <c r="O514" s="238"/>
      <c r="P514" s="234"/>
      <c r="Q514" s="93"/>
      <c r="R5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14" s="93">
        <v>1</v>
      </c>
      <c r="T514" s="93" t="b">
        <f>Data[[#This Row],[Day Rank]]=Data[[#This Row],[W Rank]]</f>
        <v>0</v>
      </c>
      <c r="U514" s="336"/>
    </row>
    <row r="515" spans="1:21" ht="15" customHeight="1">
      <c r="A515" s="333"/>
      <c r="B515" s="326"/>
      <c r="C515" s="339"/>
      <c r="D515" s="81">
        <f>D512</f>
        <v>45635</v>
      </c>
      <c r="E515" s="140" t="str">
        <f>$M$1</f>
        <v>samuelbattista</v>
      </c>
      <c r="F515" s="8">
        <f>IFERROR(AVERAGE(Data[[#This Row],[alappatjoe]:[currydestroyer27]]), "TBD")</f>
        <v>3.6</v>
      </c>
      <c r="G515" s="177">
        <f>IFERROR(_xlfn.STDEV.P(Data[[#This Row],[alappatjoe]:[currydestroyer27]]), "TBD")</f>
        <v>1.4966629547095767</v>
      </c>
      <c r="H515" s="135" t="s">
        <v>1194</v>
      </c>
      <c r="I515" s="229" t="s">
        <v>379</v>
      </c>
      <c r="J515" s="3">
        <v>5</v>
      </c>
      <c r="K515" s="3">
        <v>5</v>
      </c>
      <c r="L515" s="3">
        <v>3</v>
      </c>
      <c r="M515" s="3">
        <v>1</v>
      </c>
      <c r="N515" s="3">
        <v>4</v>
      </c>
      <c r="O515" s="238"/>
      <c r="P515" s="234"/>
      <c r="Q515" s="93"/>
      <c r="R5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15" s="93">
        <v>1</v>
      </c>
      <c r="T515" s="93" t="b">
        <f>Data[[#This Row],[Day Rank]]=Data[[#This Row],[W Rank]]</f>
        <v>0</v>
      </c>
      <c r="U515" s="336"/>
    </row>
    <row r="516" spans="1:21" ht="15" customHeight="1" thickBot="1">
      <c r="A516" s="334"/>
      <c r="B516" s="327"/>
      <c r="C516" s="340"/>
      <c r="D516" s="82">
        <f>D512</f>
        <v>45635</v>
      </c>
      <c r="E516" s="182" t="str">
        <f>$N$1</f>
        <v>currydestroyer27</v>
      </c>
      <c r="F516" s="83">
        <f>IFERROR(AVERAGE(Data[[#This Row],[alappatjoe]:[currydestroyer27]]), "TBD")</f>
        <v>2.2000000000000002</v>
      </c>
      <c r="G516" s="183">
        <f>IFERROR(_xlfn.STDEV.P(Data[[#This Row],[alappatjoe]:[currydestroyer27]]), "TBD")</f>
        <v>0.9797958971132712</v>
      </c>
      <c r="H516" s="184" t="s">
        <v>1195</v>
      </c>
      <c r="I516" s="185" t="s">
        <v>1196</v>
      </c>
      <c r="J516" s="22">
        <v>2</v>
      </c>
      <c r="K516" s="22">
        <v>2</v>
      </c>
      <c r="L516" s="22">
        <v>2</v>
      </c>
      <c r="M516" s="22">
        <v>4</v>
      </c>
      <c r="N516" s="22">
        <v>1</v>
      </c>
      <c r="O516" s="239"/>
      <c r="P516" s="235"/>
      <c r="Q516" s="94"/>
      <c r="R51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16" s="94">
        <v>1</v>
      </c>
      <c r="T516" s="94" t="b">
        <f>Data[[#This Row],[Day Rank]]=Data[[#This Row],[W Rank]]</f>
        <v>0</v>
      </c>
      <c r="U516" s="337"/>
    </row>
    <row r="517" spans="1:21" ht="15" customHeight="1">
      <c r="A517" s="332">
        <v>45636</v>
      </c>
      <c r="B517" s="325"/>
      <c r="C517" s="328" t="str" cm="1">
        <f t="array" ref="C517">_xlfn.LET(_xlpm.matches, _xlfn._xlws.FILTER(Data[Poster], (Data[Date]=A517)*(Data[Winner]=TRUE)), IF(ROWS(_xlpm.matches)&gt;1, "TIE", _xlpm.matches))</f>
        <v>alappatjoe</v>
      </c>
      <c r="D517" s="147">
        <f>A517</f>
        <v>45636</v>
      </c>
      <c r="E517" s="181" t="str">
        <f>$J$1</f>
        <v>alappatjoe</v>
      </c>
      <c r="F517" s="9">
        <f>IFERROR(AVERAGE(Data[[#This Row],[alappatjoe]:[currydestroyer27]]), "TBD")</f>
        <v>2.4</v>
      </c>
      <c r="G517" s="178">
        <f>IFERROR(_xlfn.STDEV.P(Data[[#This Row],[alappatjoe]:[currydestroyer27]]), "TBD")</f>
        <v>1.4966629547095767</v>
      </c>
      <c r="H517" s="160" t="s">
        <v>1197</v>
      </c>
      <c r="I517" s="186" t="s">
        <v>655</v>
      </c>
      <c r="J517" s="3">
        <v>1</v>
      </c>
      <c r="K517" s="3">
        <v>5</v>
      </c>
      <c r="L517" s="3">
        <v>1</v>
      </c>
      <c r="M517" s="3">
        <v>3</v>
      </c>
      <c r="N517" s="3">
        <v>2</v>
      </c>
      <c r="O517" s="238"/>
      <c r="P517" s="234"/>
      <c r="Q517" s="93"/>
      <c r="R5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17" s="93">
        <v>1</v>
      </c>
      <c r="T517" s="93" t="b">
        <f>Data[[#This Row],[Day Rank]]=Data[[#This Row],[W Rank]]</f>
        <v>1</v>
      </c>
      <c r="U517" s="335"/>
    </row>
    <row r="518" spans="1:21" ht="15" customHeight="1">
      <c r="A518" s="333"/>
      <c r="B518" s="326"/>
      <c r="C518" s="329"/>
      <c r="D518" s="81">
        <f>D517</f>
        <v>45636</v>
      </c>
      <c r="E518" s="140" t="str">
        <f>$K$1</f>
        <v>danram</v>
      </c>
      <c r="F518" s="8">
        <f>IFERROR(AVERAGE(Data[[#This Row],[alappatjoe]:[currydestroyer27]]), "TBD")</f>
        <v>3.2</v>
      </c>
      <c r="G518" s="177">
        <f>IFERROR(_xlfn.STDEV.P(Data[[#This Row],[alappatjoe]:[currydestroyer27]]), "TBD")</f>
        <v>1.3266499161421599</v>
      </c>
      <c r="H518" s="135" t="s">
        <v>1198</v>
      </c>
      <c r="I518" s="229" t="s">
        <v>1199</v>
      </c>
      <c r="J518" s="3">
        <v>3</v>
      </c>
      <c r="K518" s="3">
        <v>1</v>
      </c>
      <c r="L518" s="3">
        <v>4</v>
      </c>
      <c r="M518" s="3">
        <v>5</v>
      </c>
      <c r="N518" s="3">
        <v>3</v>
      </c>
      <c r="O518" s="238"/>
      <c r="P518" s="234"/>
      <c r="Q518" s="93"/>
      <c r="R5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18" s="93">
        <v>1</v>
      </c>
      <c r="T518" s="93" t="b">
        <f>Data[[#This Row],[Day Rank]]=Data[[#This Row],[W Rank]]</f>
        <v>0</v>
      </c>
      <c r="U518" s="336"/>
    </row>
    <row r="519" spans="1:21" ht="15" customHeight="1">
      <c r="A519" s="333"/>
      <c r="B519" s="326"/>
      <c r="C519" s="329"/>
      <c r="D519" s="81">
        <f>D517</f>
        <v>45636</v>
      </c>
      <c r="E519" s="140" t="str">
        <f>$L$1</f>
        <v>loganworsdell</v>
      </c>
      <c r="F519" s="8">
        <f>IFERROR(AVERAGE(Data[[#This Row],[alappatjoe]:[currydestroyer27]]), "TBD")</f>
        <v>3</v>
      </c>
      <c r="G519" s="177">
        <f>IFERROR(_xlfn.STDEV.P(Data[[#This Row],[alappatjoe]:[currydestroyer27]]), "TBD")</f>
        <v>1.2649110640673518</v>
      </c>
      <c r="H519" s="135" t="s">
        <v>1200</v>
      </c>
      <c r="I519" s="229" t="s">
        <v>1201</v>
      </c>
      <c r="J519" s="3">
        <v>5</v>
      </c>
      <c r="K519" s="3">
        <v>2</v>
      </c>
      <c r="L519" s="3">
        <v>2</v>
      </c>
      <c r="M519" s="3">
        <v>2</v>
      </c>
      <c r="N519" s="3">
        <v>4</v>
      </c>
      <c r="O519" s="238"/>
      <c r="P519" s="234"/>
      <c r="Q519" s="93"/>
      <c r="R5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19" s="93">
        <v>1</v>
      </c>
      <c r="T519" s="93" t="b">
        <f>Data[[#This Row],[Day Rank]]=Data[[#This Row],[W Rank]]</f>
        <v>0</v>
      </c>
      <c r="U519" s="336"/>
    </row>
    <row r="520" spans="1:21" ht="15" customHeight="1">
      <c r="A520" s="333"/>
      <c r="B520" s="326"/>
      <c r="C520" s="329"/>
      <c r="D520" s="81">
        <f>D517</f>
        <v>45636</v>
      </c>
      <c r="E520" s="140" t="str">
        <f>$M$1</f>
        <v>samuelbattista</v>
      </c>
      <c r="F520" s="8">
        <f>IFERROR(AVERAGE(Data[[#This Row],[alappatjoe]:[currydestroyer27]]), "TBD")</f>
        <v>3.8</v>
      </c>
      <c r="G520" s="177">
        <f>IFERROR(_xlfn.STDEV.P(Data[[#This Row],[alappatjoe]:[currydestroyer27]]), "TBD")</f>
        <v>1.4696938456699069</v>
      </c>
      <c r="H520" s="135" t="s">
        <v>1202</v>
      </c>
      <c r="I520" s="229" t="s">
        <v>1203</v>
      </c>
      <c r="J520" s="3">
        <v>4</v>
      </c>
      <c r="K520" s="3">
        <v>4</v>
      </c>
      <c r="L520" s="3">
        <v>5</v>
      </c>
      <c r="M520" s="3">
        <v>1</v>
      </c>
      <c r="N520" s="3">
        <v>5</v>
      </c>
      <c r="O520" s="238"/>
      <c r="P520" s="234"/>
      <c r="Q520" s="93"/>
      <c r="R5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20" s="93">
        <v>1</v>
      </c>
      <c r="T520" s="93" t="b">
        <f>Data[[#This Row],[Day Rank]]=Data[[#This Row],[W Rank]]</f>
        <v>0</v>
      </c>
      <c r="U520" s="336"/>
    </row>
    <row r="521" spans="1:21" ht="15" customHeight="1" thickBot="1">
      <c r="A521" s="334"/>
      <c r="B521" s="327"/>
      <c r="C521" s="330"/>
      <c r="D521" s="82">
        <f>D517</f>
        <v>45636</v>
      </c>
      <c r="E521" s="182" t="str">
        <f>$N$1</f>
        <v>currydestroyer27</v>
      </c>
      <c r="F521" s="83">
        <f>IFERROR(AVERAGE(Data[[#This Row],[alappatjoe]:[currydestroyer27]]), "TBD")</f>
        <v>2.6</v>
      </c>
      <c r="G521" s="183">
        <f>IFERROR(_xlfn.STDEV.P(Data[[#This Row],[alappatjoe]:[currydestroyer27]]), "TBD")</f>
        <v>1.019803902718557</v>
      </c>
      <c r="H521" s="184" t="s">
        <v>1204</v>
      </c>
      <c r="I521" s="185" t="s">
        <v>1205</v>
      </c>
      <c r="J521" s="22">
        <v>2</v>
      </c>
      <c r="K521" s="22">
        <v>3</v>
      </c>
      <c r="L521" s="22">
        <v>3</v>
      </c>
      <c r="M521" s="22">
        <v>4</v>
      </c>
      <c r="N521" s="22">
        <v>1</v>
      </c>
      <c r="O521" s="239"/>
      <c r="P521" s="235"/>
      <c r="Q521" s="94"/>
      <c r="R52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21" s="94">
        <v>1</v>
      </c>
      <c r="T521" s="94" t="b">
        <f>Data[[#This Row],[Day Rank]]=Data[[#This Row],[W Rank]]</f>
        <v>0</v>
      </c>
      <c r="U521" s="337"/>
    </row>
    <row r="522" spans="1:21" ht="15" customHeight="1">
      <c r="A522" s="332">
        <v>45637</v>
      </c>
      <c r="B522" s="325"/>
      <c r="C522" s="338" t="str" cm="1">
        <f t="array" ref="C522">_xlfn.LET(_xlpm.matches, _xlfn._xlws.FILTER(Data[Poster], (Data[Date]=A522)*(Data[Winner]=TRUE)), IF(ROWS(_xlpm.matches)&gt;1, "TIE", _xlpm.matches))</f>
        <v>danram</v>
      </c>
      <c r="D522" s="147">
        <f>A522</f>
        <v>45637</v>
      </c>
      <c r="E522" s="181" t="str">
        <f>$J$1</f>
        <v>alappatjoe</v>
      </c>
      <c r="F522" s="9">
        <f>IFERROR(AVERAGE(Data[[#This Row],[alappatjoe]:[currydestroyer27]]), "TBD")</f>
        <v>3.8</v>
      </c>
      <c r="G522" s="178">
        <f>IFERROR(_xlfn.STDEV.P(Data[[#This Row],[alappatjoe]:[currydestroyer27]]), "TBD")</f>
        <v>1.4696938456699069</v>
      </c>
      <c r="H522" s="160" t="s">
        <v>1206</v>
      </c>
      <c r="I522" s="186" t="s">
        <v>1207</v>
      </c>
      <c r="J522" s="3">
        <v>1</v>
      </c>
      <c r="K522" s="3">
        <v>5</v>
      </c>
      <c r="L522" s="3">
        <v>4</v>
      </c>
      <c r="M522" s="3">
        <v>4</v>
      </c>
      <c r="N522" s="3">
        <v>5</v>
      </c>
      <c r="O522" s="238"/>
      <c r="P522" s="234"/>
      <c r="Q522" s="93"/>
      <c r="R5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22" s="93">
        <v>1</v>
      </c>
      <c r="T522" s="93" t="b">
        <f>Data[[#This Row],[Day Rank]]=Data[[#This Row],[W Rank]]</f>
        <v>0</v>
      </c>
      <c r="U522" s="335"/>
    </row>
    <row r="523" spans="1:21" ht="15" customHeight="1">
      <c r="A523" s="333"/>
      <c r="B523" s="326"/>
      <c r="C523" s="339"/>
      <c r="D523" s="81">
        <f>D522</f>
        <v>45637</v>
      </c>
      <c r="E523" s="140" t="str">
        <f>$K$1</f>
        <v>danram</v>
      </c>
      <c r="F523" s="8">
        <f>IFERROR(AVERAGE(Data[[#This Row],[alappatjoe]:[currydestroyer27]]), "TBD")</f>
        <v>2.2000000000000002</v>
      </c>
      <c r="G523" s="177">
        <f>IFERROR(_xlfn.STDEV.P(Data[[#This Row],[alappatjoe]:[currydestroyer27]]), "TBD")</f>
        <v>0.9797958971132712</v>
      </c>
      <c r="H523" s="135" t="s">
        <v>1208</v>
      </c>
      <c r="I523" s="229" t="s">
        <v>1209</v>
      </c>
      <c r="J523" s="3">
        <v>3</v>
      </c>
      <c r="K523" s="3">
        <v>1</v>
      </c>
      <c r="L523" s="3">
        <v>1</v>
      </c>
      <c r="M523" s="3">
        <v>3</v>
      </c>
      <c r="N523" s="3">
        <v>3</v>
      </c>
      <c r="O523" s="238"/>
      <c r="P523" s="234"/>
      <c r="Q523" s="93"/>
      <c r="R5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23" s="93">
        <v>1</v>
      </c>
      <c r="T523" s="93" t="b">
        <f>Data[[#This Row],[Day Rank]]=Data[[#This Row],[W Rank]]</f>
        <v>1</v>
      </c>
      <c r="U523" s="336"/>
    </row>
    <row r="524" spans="1:21" ht="15" customHeight="1">
      <c r="A524" s="333"/>
      <c r="B524" s="326"/>
      <c r="C524" s="339"/>
      <c r="D524" s="81">
        <f>D522</f>
        <v>45637</v>
      </c>
      <c r="E524" s="140" t="str">
        <f>$L$1</f>
        <v>loganworsdell</v>
      </c>
      <c r="F524" s="8">
        <f>IFERROR(AVERAGE(Data[[#This Row],[alappatjoe]:[currydestroyer27]]), "TBD")</f>
        <v>2.6</v>
      </c>
      <c r="G524" s="177">
        <f>IFERROR(_xlfn.STDEV.P(Data[[#This Row],[alappatjoe]:[currydestroyer27]]), "TBD")</f>
        <v>0.8</v>
      </c>
      <c r="H524" s="135" t="s">
        <v>1210</v>
      </c>
      <c r="I524" s="229" t="s">
        <v>1211</v>
      </c>
      <c r="J524" s="3">
        <v>2</v>
      </c>
      <c r="K524" s="3">
        <v>2</v>
      </c>
      <c r="L524" s="3">
        <v>3</v>
      </c>
      <c r="M524" s="3">
        <v>2</v>
      </c>
      <c r="N524" s="3">
        <v>4</v>
      </c>
      <c r="O524" s="238"/>
      <c r="P524" s="234"/>
      <c r="Q524" s="93"/>
      <c r="R5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24" s="93">
        <v>1</v>
      </c>
      <c r="T524" s="93" t="b">
        <f>Data[[#This Row],[Day Rank]]=Data[[#This Row],[W Rank]]</f>
        <v>0</v>
      </c>
      <c r="U524" s="336"/>
    </row>
    <row r="525" spans="1:21" ht="15" customHeight="1">
      <c r="A525" s="333"/>
      <c r="B525" s="326"/>
      <c r="C525" s="339"/>
      <c r="D525" s="81">
        <f>D522</f>
        <v>45637</v>
      </c>
      <c r="E525" s="140" t="str">
        <f>$M$1</f>
        <v>samuelbattista</v>
      </c>
      <c r="F525" s="8">
        <f>IFERROR(AVERAGE(Data[[#This Row],[alappatjoe]:[currydestroyer27]]), "TBD")</f>
        <v>3.2</v>
      </c>
      <c r="G525" s="177">
        <f>IFERROR(_xlfn.STDEV.P(Data[[#This Row],[alappatjoe]:[currydestroyer27]]), "TBD")</f>
        <v>1.4696938456699069</v>
      </c>
      <c r="H525" s="135" t="s">
        <v>1212</v>
      </c>
      <c r="I525" s="229" t="s">
        <v>1213</v>
      </c>
      <c r="J525" s="3">
        <v>4</v>
      </c>
      <c r="K525" s="3">
        <v>4</v>
      </c>
      <c r="L525" s="3">
        <v>5</v>
      </c>
      <c r="M525" s="3">
        <v>1</v>
      </c>
      <c r="N525" s="3">
        <v>2</v>
      </c>
      <c r="O525" s="238"/>
      <c r="P525" s="234"/>
      <c r="Q525" s="93"/>
      <c r="R5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25" s="93">
        <v>1</v>
      </c>
      <c r="T525" s="93" t="b">
        <f>Data[[#This Row],[Day Rank]]=Data[[#This Row],[W Rank]]</f>
        <v>0</v>
      </c>
      <c r="U525" s="336"/>
    </row>
    <row r="526" spans="1:21" ht="15" customHeight="1" thickBot="1">
      <c r="A526" s="334"/>
      <c r="B526" s="327"/>
      <c r="C526" s="340"/>
      <c r="D526" s="82">
        <f>D522</f>
        <v>45637</v>
      </c>
      <c r="E526" s="182" t="str">
        <f>$N$1</f>
        <v>currydestroyer27</v>
      </c>
      <c r="F526" s="83">
        <f>IFERROR(AVERAGE(Data[[#This Row],[alappatjoe]:[currydestroyer27]]), "TBD")</f>
        <v>3.2</v>
      </c>
      <c r="G526" s="183">
        <f>IFERROR(_xlfn.STDEV.P(Data[[#This Row],[alappatjoe]:[currydestroyer27]]), "TBD")</f>
        <v>1.6</v>
      </c>
      <c r="H526" s="184" t="s">
        <v>1214</v>
      </c>
      <c r="I526" s="185" t="s">
        <v>1215</v>
      </c>
      <c r="J526" s="22">
        <v>5</v>
      </c>
      <c r="K526" s="22">
        <v>3</v>
      </c>
      <c r="L526" s="22">
        <v>2</v>
      </c>
      <c r="M526" s="22">
        <v>5</v>
      </c>
      <c r="N526" s="22">
        <v>1</v>
      </c>
      <c r="O526" s="239"/>
      <c r="P526" s="235"/>
      <c r="Q526" s="94"/>
      <c r="R52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26" s="94">
        <v>1</v>
      </c>
      <c r="T526" s="94" t="b">
        <f>Data[[#This Row],[Day Rank]]=Data[[#This Row],[W Rank]]</f>
        <v>0</v>
      </c>
      <c r="U526" s="337"/>
    </row>
    <row r="527" spans="1:21" ht="15" customHeight="1">
      <c r="A527" s="332">
        <v>45638</v>
      </c>
      <c r="B527" s="325"/>
      <c r="C527" s="328" t="str" cm="1">
        <f t="array" ref="C527">_xlfn.LET(_xlpm.matches, _xlfn._xlws.FILTER(Data[Poster], (Data[Date]=A527)*(Data[Winner]=TRUE)), IF(ROWS(_xlpm.matches)&gt;1, "TIE", _xlpm.matches))</f>
        <v>alappatjoe</v>
      </c>
      <c r="D527" s="147">
        <f>A527</f>
        <v>45638</v>
      </c>
      <c r="E527" s="181" t="str">
        <f>$J$1</f>
        <v>alappatjoe</v>
      </c>
      <c r="F527" s="9">
        <f>IFERROR(AVERAGE(Data[[#This Row],[alappatjoe]:[currydestroyer27]]), "TBD")</f>
        <v>2.2000000000000002</v>
      </c>
      <c r="G527" s="178">
        <f>IFERROR(_xlfn.STDEV.P(Data[[#This Row],[alappatjoe]:[currydestroyer27]]), "TBD")</f>
        <v>0.9797958971132712</v>
      </c>
      <c r="H527" s="160" t="s">
        <v>238</v>
      </c>
      <c r="I527" s="186" t="s">
        <v>239</v>
      </c>
      <c r="J527" s="3">
        <v>1</v>
      </c>
      <c r="K527" s="3">
        <v>2</v>
      </c>
      <c r="L527" s="3">
        <v>4</v>
      </c>
      <c r="M527" s="3">
        <v>2</v>
      </c>
      <c r="N527" s="3">
        <v>2</v>
      </c>
      <c r="O527" s="238"/>
      <c r="P527" s="234"/>
      <c r="Q527" s="93"/>
      <c r="R5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27" s="93">
        <v>1</v>
      </c>
      <c r="T527" s="93" t="b">
        <f>Data[[#This Row],[Day Rank]]=Data[[#This Row],[W Rank]]</f>
        <v>1</v>
      </c>
      <c r="U527" s="335" t="s">
        <v>1216</v>
      </c>
    </row>
    <row r="528" spans="1:21" ht="15" customHeight="1">
      <c r="A528" s="333"/>
      <c r="B528" s="326"/>
      <c r="C528" s="329"/>
      <c r="D528" s="81">
        <f>D527</f>
        <v>45638</v>
      </c>
      <c r="E528" s="140" t="str">
        <f>$K$1</f>
        <v>danram</v>
      </c>
      <c r="F528" s="8">
        <f>IFERROR(AVERAGE(Data[[#This Row],[alappatjoe]:[currydestroyer27]]), "TBD")</f>
        <v>2.4</v>
      </c>
      <c r="G528" s="177">
        <f>IFERROR(_xlfn.STDEV.P(Data[[#This Row],[alappatjoe]:[currydestroyer27]]), "TBD")</f>
        <v>1.3564659966250536</v>
      </c>
      <c r="H528" s="135" t="s">
        <v>346</v>
      </c>
      <c r="I528" s="229" t="s">
        <v>347</v>
      </c>
      <c r="J528" s="3">
        <v>2</v>
      </c>
      <c r="K528" s="3">
        <v>1</v>
      </c>
      <c r="L528" s="3">
        <v>1</v>
      </c>
      <c r="M528" s="3">
        <v>4</v>
      </c>
      <c r="N528" s="3">
        <v>4</v>
      </c>
      <c r="O528" s="238"/>
      <c r="P528" s="234"/>
      <c r="Q528" s="93"/>
      <c r="R5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28" s="93">
        <v>1</v>
      </c>
      <c r="T528" s="93" t="b">
        <f>Data[[#This Row],[Day Rank]]=Data[[#This Row],[W Rank]]</f>
        <v>0</v>
      </c>
      <c r="U528" s="336"/>
    </row>
    <row r="529" spans="1:21" ht="15" customHeight="1">
      <c r="A529" s="333"/>
      <c r="B529" s="326"/>
      <c r="C529" s="329"/>
      <c r="D529" s="81">
        <f>D527</f>
        <v>45638</v>
      </c>
      <c r="E529" s="140" t="str">
        <f>$L$1</f>
        <v>loganworsdell</v>
      </c>
      <c r="F529" s="8">
        <f>IFERROR(AVERAGE(Data[[#This Row],[alappatjoe]:[currydestroyer27]]), "TBD")</f>
        <v>2.8</v>
      </c>
      <c r="G529" s="177">
        <f>IFERROR(_xlfn.STDEV.P(Data[[#This Row],[alappatjoe]:[currydestroyer27]]), "TBD")</f>
        <v>1.3266499161421599</v>
      </c>
      <c r="H529" s="135" t="s">
        <v>70</v>
      </c>
      <c r="I529" s="229" t="s">
        <v>71</v>
      </c>
      <c r="J529" s="3">
        <v>5</v>
      </c>
      <c r="K529" s="3">
        <v>3</v>
      </c>
      <c r="L529" s="3">
        <v>2</v>
      </c>
      <c r="M529" s="3">
        <v>1</v>
      </c>
      <c r="N529" s="3">
        <v>3</v>
      </c>
      <c r="O529" s="238"/>
      <c r="P529" s="234"/>
      <c r="Q529" s="93"/>
      <c r="R5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29" s="93">
        <v>1</v>
      </c>
      <c r="T529" s="93" t="b">
        <f>Data[[#This Row],[Day Rank]]=Data[[#This Row],[W Rank]]</f>
        <v>0</v>
      </c>
      <c r="U529" s="336"/>
    </row>
    <row r="530" spans="1:21" ht="15" customHeight="1">
      <c r="A530" s="333"/>
      <c r="B530" s="326"/>
      <c r="C530" s="329"/>
      <c r="D530" s="81">
        <f>D527</f>
        <v>45638</v>
      </c>
      <c r="E530" s="140" t="str">
        <f>$M$1</f>
        <v>samuelbattista</v>
      </c>
      <c r="F530" s="8">
        <f>IFERROR(AVERAGE(Data[[#This Row],[alappatjoe]:[currydestroyer27]]), "TBD")</f>
        <v>4</v>
      </c>
      <c r="G530" s="177">
        <f>IFERROR(_xlfn.STDEV.P(Data[[#This Row],[alappatjoe]:[currydestroyer27]]), "TBD")</f>
        <v>0.89442719099991586</v>
      </c>
      <c r="H530" s="135" t="s">
        <v>498</v>
      </c>
      <c r="I530" s="229" t="s">
        <v>499</v>
      </c>
      <c r="J530" s="3">
        <v>4</v>
      </c>
      <c r="K530" s="3">
        <v>5</v>
      </c>
      <c r="L530" s="3">
        <v>3</v>
      </c>
      <c r="M530" s="3">
        <v>3</v>
      </c>
      <c r="N530" s="3">
        <v>5</v>
      </c>
      <c r="O530" s="238"/>
      <c r="P530" s="234"/>
      <c r="Q530" s="93"/>
      <c r="R5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30" s="93">
        <v>1</v>
      </c>
      <c r="T530" s="93" t="b">
        <f>Data[[#This Row],[Day Rank]]=Data[[#This Row],[W Rank]]</f>
        <v>0</v>
      </c>
      <c r="U530" s="336"/>
    </row>
    <row r="531" spans="1:21" ht="15" customHeight="1" thickBot="1">
      <c r="A531" s="334"/>
      <c r="B531" s="327"/>
      <c r="C531" s="330"/>
      <c r="D531" s="82">
        <f>D527</f>
        <v>45638</v>
      </c>
      <c r="E531" s="182" t="str">
        <f>$N$1</f>
        <v>currydestroyer27</v>
      </c>
      <c r="F531" s="83">
        <f>IFERROR(AVERAGE(Data[[#This Row],[alappatjoe]:[currydestroyer27]]), "TBD")</f>
        <v>3.6</v>
      </c>
      <c r="G531" s="183">
        <f>IFERROR(_xlfn.STDEV.P(Data[[#This Row],[alappatjoe]:[currydestroyer27]]), "TBD")</f>
        <v>1.4966629547095767</v>
      </c>
      <c r="H531" s="184" t="s">
        <v>735</v>
      </c>
      <c r="I531" s="185" t="s">
        <v>736</v>
      </c>
      <c r="J531" s="22">
        <v>3</v>
      </c>
      <c r="K531" s="22">
        <v>4</v>
      </c>
      <c r="L531" s="22">
        <v>5</v>
      </c>
      <c r="M531" s="22">
        <v>5</v>
      </c>
      <c r="N531" s="22">
        <v>1</v>
      </c>
      <c r="O531" s="239"/>
      <c r="P531" s="235"/>
      <c r="Q531" s="94"/>
      <c r="R53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31" s="94">
        <v>1</v>
      </c>
      <c r="T531" s="94" t="b">
        <f>Data[[#This Row],[Day Rank]]=Data[[#This Row],[W Rank]]</f>
        <v>0</v>
      </c>
      <c r="U531" s="337"/>
    </row>
    <row r="532" spans="1:21" ht="15" customHeight="1">
      <c r="A532" s="332">
        <v>45642</v>
      </c>
      <c r="B532" s="325"/>
      <c r="C532" s="338" t="str" cm="1">
        <f t="array" ref="C532">_xlfn.LET(_xlpm.matches, _xlfn._xlws.FILTER(Data[Poster], (Data[Date]=A532)*(Data[Winner]=TRUE)), IF(ROWS(_xlpm.matches)&gt;1, "TIE", _xlpm.matches))</f>
        <v>danram</v>
      </c>
      <c r="D532" s="147">
        <f>A532</f>
        <v>45642</v>
      </c>
      <c r="E532" s="181" t="str">
        <f>$J$1</f>
        <v>alappatjoe</v>
      </c>
      <c r="F532" s="9">
        <f>IFERROR(AVERAGE(Data[[#This Row],[alappatjoe]:[currydestroyer27]]), "TBD")</f>
        <v>3.4</v>
      </c>
      <c r="G532" s="178">
        <f>IFERROR(_xlfn.STDEV.P(Data[[#This Row],[alappatjoe]:[currydestroyer27]]), "TBD")</f>
        <v>1.3564659966250536</v>
      </c>
      <c r="H532" s="160" t="s">
        <v>1217</v>
      </c>
      <c r="I532" s="186" t="s">
        <v>1218</v>
      </c>
      <c r="J532" s="3">
        <v>1</v>
      </c>
      <c r="K532" s="3">
        <v>3</v>
      </c>
      <c r="L532" s="3">
        <v>4</v>
      </c>
      <c r="M532" s="3">
        <v>5</v>
      </c>
      <c r="N532" s="3">
        <v>4</v>
      </c>
      <c r="O532" s="238"/>
      <c r="P532" s="234"/>
      <c r="Q532" s="93"/>
      <c r="R5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32" s="93">
        <v>1</v>
      </c>
      <c r="T532" s="93" t="b">
        <f>Data[[#This Row],[Day Rank]]=Data[[#This Row],[W Rank]]</f>
        <v>0</v>
      </c>
      <c r="U532" s="335"/>
    </row>
    <row r="533" spans="1:21" ht="15" customHeight="1">
      <c r="A533" s="333"/>
      <c r="B533" s="326"/>
      <c r="C533" s="339"/>
      <c r="D533" s="81">
        <f>D532</f>
        <v>45642</v>
      </c>
      <c r="E533" s="140" t="str">
        <f>$K$1</f>
        <v>danram</v>
      </c>
      <c r="F533" s="8">
        <f>IFERROR(AVERAGE(Data[[#This Row],[alappatjoe]:[currydestroyer27]]), "TBD")</f>
        <v>1.6</v>
      </c>
      <c r="G533" s="177">
        <f>IFERROR(_xlfn.STDEV.P(Data[[#This Row],[alappatjoe]:[currydestroyer27]]), "TBD")</f>
        <v>0.4898979485566356</v>
      </c>
      <c r="H533" s="135" t="s">
        <v>1219</v>
      </c>
      <c r="I533" s="229" t="s">
        <v>1220</v>
      </c>
      <c r="J533" s="3">
        <v>2</v>
      </c>
      <c r="K533" s="3">
        <v>1</v>
      </c>
      <c r="L533" s="3">
        <v>2</v>
      </c>
      <c r="M533" s="3">
        <v>1</v>
      </c>
      <c r="N533" s="3">
        <v>2</v>
      </c>
      <c r="O533" s="238"/>
      <c r="P533" s="234"/>
      <c r="Q533" s="93"/>
      <c r="R5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33" s="93">
        <v>1</v>
      </c>
      <c r="T533" s="93" t="b">
        <f>Data[[#This Row],[Day Rank]]=Data[[#This Row],[W Rank]]</f>
        <v>1</v>
      </c>
      <c r="U533" s="336"/>
    </row>
    <row r="534" spans="1:21" ht="15" customHeight="1">
      <c r="A534" s="333"/>
      <c r="B534" s="326"/>
      <c r="C534" s="339"/>
      <c r="D534" s="81">
        <f>D532</f>
        <v>45642</v>
      </c>
      <c r="E534" s="140" t="str">
        <f>$L$1</f>
        <v>loganworsdell</v>
      </c>
      <c r="F534" s="8">
        <f>IFERROR(AVERAGE(Data[[#This Row],[alappatjoe]:[currydestroyer27]]), "TBD")</f>
        <v>3.6</v>
      </c>
      <c r="G534" s="177">
        <f>IFERROR(_xlfn.STDEV.P(Data[[#This Row],[alappatjoe]:[currydestroyer27]]), "TBD")</f>
        <v>0.8</v>
      </c>
      <c r="H534" s="135" t="s">
        <v>1221</v>
      </c>
      <c r="I534" s="229" t="s">
        <v>1222</v>
      </c>
      <c r="J534" s="3">
        <v>4</v>
      </c>
      <c r="K534" s="3">
        <v>5</v>
      </c>
      <c r="L534" s="3">
        <v>3</v>
      </c>
      <c r="M534" s="3">
        <v>3</v>
      </c>
      <c r="N534" s="3">
        <v>3</v>
      </c>
      <c r="O534" s="238"/>
      <c r="P534" s="234"/>
      <c r="Q534" s="93"/>
      <c r="R5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34" s="93">
        <v>1</v>
      </c>
      <c r="T534" s="93" t="b">
        <f>Data[[#This Row],[Day Rank]]=Data[[#This Row],[W Rank]]</f>
        <v>0</v>
      </c>
      <c r="U534" s="336"/>
    </row>
    <row r="535" spans="1:21" ht="15" customHeight="1">
      <c r="A535" s="333"/>
      <c r="B535" s="326"/>
      <c r="C535" s="339"/>
      <c r="D535" s="81">
        <f>D532</f>
        <v>45642</v>
      </c>
      <c r="E535" s="140" t="str">
        <f>$M$1</f>
        <v>samuelbattista</v>
      </c>
      <c r="F535" s="8">
        <f>IFERROR(AVERAGE(Data[[#This Row],[alappatjoe]:[currydestroyer27]]), "TBD")</f>
        <v>4.2</v>
      </c>
      <c r="G535" s="177">
        <f>IFERROR(_xlfn.STDEV.P(Data[[#This Row],[alappatjoe]:[currydestroyer27]]), "TBD")</f>
        <v>1.1661903789690602</v>
      </c>
      <c r="H535" s="135" t="s">
        <v>1223</v>
      </c>
      <c r="I535" s="229" t="s">
        <v>1224</v>
      </c>
      <c r="J535" s="3">
        <v>5</v>
      </c>
      <c r="K535" s="3">
        <v>4</v>
      </c>
      <c r="L535" s="3">
        <v>5</v>
      </c>
      <c r="M535" s="3">
        <v>2</v>
      </c>
      <c r="N535" s="3">
        <v>5</v>
      </c>
      <c r="O535" s="238"/>
      <c r="P535" s="234"/>
      <c r="Q535" s="93"/>
      <c r="R5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35" s="93">
        <v>1</v>
      </c>
      <c r="T535" s="93" t="b">
        <f>Data[[#This Row],[Day Rank]]=Data[[#This Row],[W Rank]]</f>
        <v>0</v>
      </c>
      <c r="U535" s="336"/>
    </row>
    <row r="536" spans="1:21" ht="15" customHeight="1" thickBot="1">
      <c r="A536" s="334"/>
      <c r="B536" s="327"/>
      <c r="C536" s="340"/>
      <c r="D536" s="82">
        <f>D532</f>
        <v>45642</v>
      </c>
      <c r="E536" s="182" t="str">
        <f>$N$1</f>
        <v>currydestroyer27</v>
      </c>
      <c r="F536" s="83">
        <f>IFERROR(AVERAGE(Data[[#This Row],[alappatjoe]:[currydestroyer27]]), "TBD")</f>
        <v>2.2000000000000002</v>
      </c>
      <c r="G536" s="183">
        <f>IFERROR(_xlfn.STDEV.P(Data[[#This Row],[alappatjoe]:[currydestroyer27]]), "TBD")</f>
        <v>1.1661903789690602</v>
      </c>
      <c r="H536" s="184" t="s">
        <v>1225</v>
      </c>
      <c r="I536" s="185" t="s">
        <v>1226</v>
      </c>
      <c r="J536" s="22">
        <v>3</v>
      </c>
      <c r="K536" s="22">
        <v>2</v>
      </c>
      <c r="L536" s="22">
        <v>1</v>
      </c>
      <c r="M536" s="22">
        <v>4</v>
      </c>
      <c r="N536" s="22">
        <v>1</v>
      </c>
      <c r="O536" s="239"/>
      <c r="P536" s="235"/>
      <c r="Q536" s="94"/>
      <c r="R53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36" s="94">
        <v>1</v>
      </c>
      <c r="T536" s="94" t="b">
        <f>Data[[#This Row],[Day Rank]]=Data[[#This Row],[W Rank]]</f>
        <v>0</v>
      </c>
      <c r="U536" s="337"/>
    </row>
    <row r="537" spans="1:21" ht="15" customHeight="1">
      <c r="A537" s="332">
        <v>45643</v>
      </c>
      <c r="B537" s="325"/>
      <c r="C537" s="328" t="str" cm="1">
        <f t="array" ref="C537">_xlfn.LET(_xlpm.matches, _xlfn._xlws.FILTER(Data[Poster], (Data[Date]=A537)*(Data[Winner]=TRUE)), IF(ROWS(_xlpm.matches)&gt;1, "TIE", _xlpm.matches))</f>
        <v>alappatjoe</v>
      </c>
      <c r="D537" s="147">
        <f>A537</f>
        <v>45643</v>
      </c>
      <c r="E537" s="181" t="str">
        <f>$J$1</f>
        <v>alappatjoe</v>
      </c>
      <c r="F537" s="9">
        <f>IFERROR(AVERAGE(Data[[#This Row],[alappatjoe]:[currydestroyer27]]), "TBD")</f>
        <v>2.6</v>
      </c>
      <c r="G537" s="178">
        <f>IFERROR(_xlfn.STDEV.P(Data[[#This Row],[alappatjoe]:[currydestroyer27]]), "TBD")</f>
        <v>1.3564659966250536</v>
      </c>
      <c r="H537" s="160" t="s">
        <v>1227</v>
      </c>
      <c r="I537" s="186" t="s">
        <v>1228</v>
      </c>
      <c r="J537" s="3">
        <v>1</v>
      </c>
      <c r="K537" s="3">
        <v>2</v>
      </c>
      <c r="L537" s="3">
        <v>2</v>
      </c>
      <c r="M537" s="3">
        <v>3</v>
      </c>
      <c r="N537" s="3">
        <v>5</v>
      </c>
      <c r="O537" s="238"/>
      <c r="P537" s="234"/>
      <c r="Q537" s="93"/>
      <c r="R5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37" s="93">
        <v>1</v>
      </c>
      <c r="T537" s="93" t="b">
        <f>Data[[#This Row],[Day Rank]]=Data[[#This Row],[W Rank]]</f>
        <v>1</v>
      </c>
      <c r="U537" s="335"/>
    </row>
    <row r="538" spans="1:21" ht="15" customHeight="1">
      <c r="A538" s="333"/>
      <c r="B538" s="326"/>
      <c r="C538" s="329"/>
      <c r="D538" s="81">
        <f>D537</f>
        <v>45643</v>
      </c>
      <c r="E538" s="140" t="str">
        <f>$K$1</f>
        <v>danram</v>
      </c>
      <c r="F538" s="8">
        <f>IFERROR(AVERAGE(Data[[#This Row],[alappatjoe]:[currydestroyer27]]), "TBD")</f>
        <v>3.6</v>
      </c>
      <c r="G538" s="177">
        <f>IFERROR(_xlfn.STDEV.P(Data[[#This Row],[alappatjoe]:[currydestroyer27]]), "TBD")</f>
        <v>1.3564659966250536</v>
      </c>
      <c r="H538" s="135" t="s">
        <v>1229</v>
      </c>
      <c r="I538" s="229" t="s">
        <v>776</v>
      </c>
      <c r="J538" s="3">
        <v>4</v>
      </c>
      <c r="K538" s="3">
        <v>1</v>
      </c>
      <c r="L538" s="3">
        <v>4</v>
      </c>
      <c r="M538" s="3">
        <v>5</v>
      </c>
      <c r="N538" s="3">
        <v>4</v>
      </c>
      <c r="O538" s="238"/>
      <c r="P538" s="234"/>
      <c r="Q538" s="93"/>
      <c r="R5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38" s="93">
        <v>1</v>
      </c>
      <c r="T538" s="93" t="b">
        <f>Data[[#This Row],[Day Rank]]=Data[[#This Row],[W Rank]]</f>
        <v>0</v>
      </c>
      <c r="U538" s="336"/>
    </row>
    <row r="539" spans="1:21" ht="15" customHeight="1">
      <c r="A539" s="333"/>
      <c r="B539" s="326"/>
      <c r="C539" s="329"/>
      <c r="D539" s="81">
        <f>D537</f>
        <v>45643</v>
      </c>
      <c r="E539" s="140" t="str">
        <f>$L$1</f>
        <v>loganworsdell</v>
      </c>
      <c r="F539" s="8">
        <f>IFERROR(AVERAGE(Data[[#This Row],[alappatjoe]:[currydestroyer27]]), "TBD")</f>
        <v>2.8</v>
      </c>
      <c r="G539" s="177">
        <f>IFERROR(_xlfn.STDEV.P(Data[[#This Row],[alappatjoe]:[currydestroyer27]]), "TBD")</f>
        <v>1.1661903789690602</v>
      </c>
      <c r="H539" s="135" t="s">
        <v>1230</v>
      </c>
      <c r="I539" s="229" t="s">
        <v>1231</v>
      </c>
      <c r="J539" s="3">
        <v>3</v>
      </c>
      <c r="K539" s="3">
        <v>4</v>
      </c>
      <c r="L539" s="3">
        <v>1</v>
      </c>
      <c r="M539" s="3">
        <v>4</v>
      </c>
      <c r="N539" s="3">
        <v>2</v>
      </c>
      <c r="O539" s="238"/>
      <c r="P539" s="234"/>
      <c r="Q539" s="93"/>
      <c r="R5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39" s="93">
        <v>1</v>
      </c>
      <c r="T539" s="93" t="b">
        <f>Data[[#This Row],[Day Rank]]=Data[[#This Row],[W Rank]]</f>
        <v>0</v>
      </c>
      <c r="U539" s="336"/>
    </row>
    <row r="540" spans="1:21" ht="15" customHeight="1">
      <c r="A540" s="333"/>
      <c r="B540" s="326"/>
      <c r="C540" s="329"/>
      <c r="D540" s="81">
        <f>D537</f>
        <v>45643</v>
      </c>
      <c r="E540" s="140" t="str">
        <f>$M$1</f>
        <v>samuelbattista</v>
      </c>
      <c r="F540" s="8">
        <f>IFERROR(AVERAGE(Data[[#This Row],[alappatjoe]:[currydestroyer27]]), "TBD")</f>
        <v>3</v>
      </c>
      <c r="G540" s="177">
        <f>IFERROR(_xlfn.STDEV.P(Data[[#This Row],[alappatjoe]:[currydestroyer27]]), "TBD")</f>
        <v>1.2649110640673518</v>
      </c>
      <c r="H540" s="135" t="s">
        <v>1232</v>
      </c>
      <c r="I540" s="229" t="s">
        <v>1233</v>
      </c>
      <c r="J540" s="3">
        <v>5</v>
      </c>
      <c r="K540" s="3">
        <v>3</v>
      </c>
      <c r="L540" s="3">
        <v>3</v>
      </c>
      <c r="M540" s="3">
        <v>1</v>
      </c>
      <c r="N540" s="3">
        <v>3</v>
      </c>
      <c r="O540" s="238"/>
      <c r="P540" s="234"/>
      <c r="Q540" s="93"/>
      <c r="R5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40" s="93">
        <v>1</v>
      </c>
      <c r="T540" s="93" t="b">
        <f>Data[[#This Row],[Day Rank]]=Data[[#This Row],[W Rank]]</f>
        <v>0</v>
      </c>
      <c r="U540" s="336"/>
    </row>
    <row r="541" spans="1:21" ht="15" customHeight="1" thickBot="1">
      <c r="A541" s="334"/>
      <c r="B541" s="327"/>
      <c r="C541" s="330"/>
      <c r="D541" s="82">
        <f>D537</f>
        <v>45643</v>
      </c>
      <c r="E541" s="182" t="str">
        <f>$N$1</f>
        <v>currydestroyer27</v>
      </c>
      <c r="F541" s="83">
        <f>IFERROR(AVERAGE(Data[[#This Row],[alappatjoe]:[currydestroyer27]]), "TBD")</f>
        <v>3</v>
      </c>
      <c r="G541" s="183">
        <f>IFERROR(_xlfn.STDEV.P(Data[[#This Row],[alappatjoe]:[currydestroyer27]]), "TBD")</f>
        <v>1.6733200530681511</v>
      </c>
      <c r="H541" s="184" t="s">
        <v>1234</v>
      </c>
      <c r="I541" s="185" t="s">
        <v>1235</v>
      </c>
      <c r="J541" s="22">
        <v>2</v>
      </c>
      <c r="K541" s="22">
        <v>5</v>
      </c>
      <c r="L541" s="22">
        <v>5</v>
      </c>
      <c r="M541" s="22">
        <v>2</v>
      </c>
      <c r="N541" s="22">
        <v>1</v>
      </c>
      <c r="O541" s="239"/>
      <c r="P541" s="235"/>
      <c r="Q541" s="94"/>
      <c r="R54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41" s="94">
        <v>1</v>
      </c>
      <c r="T541" s="94" t="b">
        <f>Data[[#This Row],[Day Rank]]=Data[[#This Row],[W Rank]]</f>
        <v>0</v>
      </c>
      <c r="U541" s="337"/>
    </row>
    <row r="542" spans="1:21" ht="15" customHeight="1">
      <c r="A542" s="332">
        <v>45644</v>
      </c>
      <c r="B542" s="325"/>
      <c r="C542" s="338" t="str" cm="1">
        <f t="array" ref="C542">_xlfn.LET(_xlpm.matches, _xlfn._xlws.FILTER(Data[Poster], (Data[Date]=A542)*(Data[Winner]=TRUE)), IF(ROWS(_xlpm.matches)&gt;1, "TIE", _xlpm.matches))</f>
        <v>loganworsdell</v>
      </c>
      <c r="D542" s="147">
        <f>A542</f>
        <v>45644</v>
      </c>
      <c r="E542" s="181" t="str">
        <f>$J$1</f>
        <v>alappatjoe</v>
      </c>
      <c r="F542" s="9">
        <f>IFERROR(AVERAGE(Data[[#This Row],[alappatjoe]:[currydestroyer27]]), "TBD")</f>
        <v>2.6</v>
      </c>
      <c r="G542" s="178">
        <f>IFERROR(_xlfn.STDEV.P(Data[[#This Row],[alappatjoe]:[currydestroyer27]]), "TBD")</f>
        <v>1.019803902718557</v>
      </c>
      <c r="H542" s="160" t="s">
        <v>1236</v>
      </c>
      <c r="I542" s="186" t="s">
        <v>1237</v>
      </c>
      <c r="J542" s="3">
        <v>1</v>
      </c>
      <c r="K542" s="3">
        <v>4</v>
      </c>
      <c r="L542" s="3">
        <v>3</v>
      </c>
      <c r="M542" s="3">
        <v>3</v>
      </c>
      <c r="N542" s="3">
        <v>2</v>
      </c>
      <c r="O542" s="238"/>
      <c r="P542" s="234"/>
      <c r="Q542" s="93"/>
      <c r="R5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42" s="93">
        <v>1</v>
      </c>
      <c r="T542" s="93" t="b">
        <f>Data[[#This Row],[Day Rank]]=Data[[#This Row],[W Rank]]</f>
        <v>0</v>
      </c>
      <c r="U542" s="335"/>
    </row>
    <row r="543" spans="1:21" ht="15" customHeight="1">
      <c r="A543" s="333"/>
      <c r="B543" s="326"/>
      <c r="C543" s="339"/>
      <c r="D543" s="81">
        <f>D542</f>
        <v>45644</v>
      </c>
      <c r="E543" s="140" t="str">
        <f>$K$1</f>
        <v>danram</v>
      </c>
      <c r="F543" s="8">
        <f>IFERROR(AVERAGE(Data[[#This Row],[alappatjoe]:[currydestroyer27]]), "TBD")</f>
        <v>3.8</v>
      </c>
      <c r="G543" s="177">
        <f>IFERROR(_xlfn.STDEV.P(Data[[#This Row],[alappatjoe]:[currydestroyer27]]), "TBD")</f>
        <v>1.4696938456699069</v>
      </c>
      <c r="H543" s="135" t="s">
        <v>1238</v>
      </c>
      <c r="I543" s="229" t="s">
        <v>1239</v>
      </c>
      <c r="J543" s="3">
        <v>5</v>
      </c>
      <c r="K543" s="3">
        <v>2</v>
      </c>
      <c r="L543" s="3">
        <v>5</v>
      </c>
      <c r="M543" s="3">
        <v>2</v>
      </c>
      <c r="N543" s="3">
        <v>5</v>
      </c>
      <c r="O543" s="238"/>
      <c r="P543" s="234"/>
      <c r="Q543" s="93"/>
      <c r="R5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43" s="93">
        <v>1</v>
      </c>
      <c r="T543" s="93" t="b">
        <f>Data[[#This Row],[Day Rank]]=Data[[#This Row],[W Rank]]</f>
        <v>0</v>
      </c>
      <c r="U543" s="336"/>
    </row>
    <row r="544" spans="1:21" ht="15" customHeight="1">
      <c r="A544" s="333"/>
      <c r="B544" s="326"/>
      <c r="C544" s="339"/>
      <c r="D544" s="81">
        <f>D542</f>
        <v>45644</v>
      </c>
      <c r="E544" s="140" t="str">
        <f>$L$1</f>
        <v>loganworsdell</v>
      </c>
      <c r="F544" s="8">
        <f>IFERROR(AVERAGE(Data[[#This Row],[alappatjoe]:[currydestroyer27]]), "TBD")</f>
        <v>2.2000000000000002</v>
      </c>
      <c r="G544" s="177">
        <f>IFERROR(_xlfn.STDEV.P(Data[[#This Row],[alappatjoe]:[currydestroyer27]]), "TBD")</f>
        <v>1.1661903789690602</v>
      </c>
      <c r="H544" s="135" t="s">
        <v>1240</v>
      </c>
      <c r="I544" s="229" t="s">
        <v>1241</v>
      </c>
      <c r="J544" s="3">
        <v>2</v>
      </c>
      <c r="K544" s="3">
        <v>1</v>
      </c>
      <c r="L544" s="3">
        <v>1</v>
      </c>
      <c r="M544" s="3">
        <v>4</v>
      </c>
      <c r="N544" s="3">
        <v>3</v>
      </c>
      <c r="O544" s="238"/>
      <c r="P544" s="234"/>
      <c r="Q544" s="93"/>
      <c r="R5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44" s="93">
        <v>1</v>
      </c>
      <c r="T544" s="93" t="b">
        <f>Data[[#This Row],[Day Rank]]=Data[[#This Row],[W Rank]]</f>
        <v>1</v>
      </c>
      <c r="U544" s="336"/>
    </row>
    <row r="545" spans="1:21" ht="15" customHeight="1">
      <c r="A545" s="333"/>
      <c r="B545" s="326"/>
      <c r="C545" s="339"/>
      <c r="D545" s="81">
        <f>D542</f>
        <v>45644</v>
      </c>
      <c r="E545" s="140" t="str">
        <f>$M$1</f>
        <v>samuelbattista</v>
      </c>
      <c r="F545" s="8">
        <f>IFERROR(AVERAGE(Data[[#This Row],[alappatjoe]:[currydestroyer27]]), "TBD")</f>
        <v>2.8</v>
      </c>
      <c r="G545" s="177">
        <f>IFERROR(_xlfn.STDEV.P(Data[[#This Row],[alappatjoe]:[currydestroyer27]]), "TBD")</f>
        <v>1.1661903789690602</v>
      </c>
      <c r="H545" s="135" t="s">
        <v>1242</v>
      </c>
      <c r="I545" s="229" t="s">
        <v>1243</v>
      </c>
      <c r="J545" s="3">
        <v>4</v>
      </c>
      <c r="K545" s="3">
        <v>3</v>
      </c>
      <c r="L545" s="3">
        <v>2</v>
      </c>
      <c r="M545" s="3">
        <v>1</v>
      </c>
      <c r="N545" s="3">
        <v>4</v>
      </c>
      <c r="O545" s="238"/>
      <c r="P545" s="234"/>
      <c r="Q545" s="93"/>
      <c r="R5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45" s="93">
        <v>1</v>
      </c>
      <c r="T545" s="93" t="b">
        <f>Data[[#This Row],[Day Rank]]=Data[[#This Row],[W Rank]]</f>
        <v>0</v>
      </c>
      <c r="U545" s="336"/>
    </row>
    <row r="546" spans="1:21" ht="15" customHeight="1" thickBot="1">
      <c r="A546" s="334"/>
      <c r="B546" s="327"/>
      <c r="C546" s="340"/>
      <c r="D546" s="82">
        <f>D542</f>
        <v>45644</v>
      </c>
      <c r="E546" s="182" t="str">
        <f>$N$1</f>
        <v>currydestroyer27</v>
      </c>
      <c r="F546" s="83">
        <f>IFERROR(AVERAGE(Data[[#This Row],[alappatjoe]:[currydestroyer27]]), "TBD")</f>
        <v>3.6</v>
      </c>
      <c r="G546" s="183">
        <f>IFERROR(_xlfn.STDEV.P(Data[[#This Row],[alappatjoe]:[currydestroyer27]]), "TBD")</f>
        <v>1.4966629547095767</v>
      </c>
      <c r="H546" s="184" t="s">
        <v>1244</v>
      </c>
      <c r="I546" s="185" t="s">
        <v>1245</v>
      </c>
      <c r="J546" s="22">
        <v>3</v>
      </c>
      <c r="K546" s="22">
        <v>5</v>
      </c>
      <c r="L546" s="22">
        <v>4</v>
      </c>
      <c r="M546" s="22">
        <v>5</v>
      </c>
      <c r="N546" s="22">
        <v>1</v>
      </c>
      <c r="O546" s="239"/>
      <c r="P546" s="235"/>
      <c r="Q546" s="94"/>
      <c r="R54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46" s="94">
        <v>1</v>
      </c>
      <c r="T546" s="94" t="b">
        <f>Data[[#This Row],[Day Rank]]=Data[[#This Row],[W Rank]]</f>
        <v>0</v>
      </c>
      <c r="U546" s="337"/>
    </row>
    <row r="547" spans="1:21" ht="15" customHeight="1">
      <c r="A547" s="332">
        <v>45645</v>
      </c>
      <c r="B547" s="325"/>
      <c r="C547" s="328" t="str" cm="1">
        <f t="array" ref="C547">_xlfn.LET(_xlpm.matches, _xlfn._xlws.FILTER(Data[Poster], (Data[Date]=A547)*(Data[Winner]=TRUE)), IF(ROWS(_xlpm.matches)&gt;1, "TIE", _xlpm.matches))</f>
        <v>danram</v>
      </c>
      <c r="D547" s="147">
        <f>A547</f>
        <v>45645</v>
      </c>
      <c r="E547" s="181" t="str">
        <f>$J$1</f>
        <v>alappatjoe</v>
      </c>
      <c r="F547" s="9">
        <f>IFERROR(AVERAGE(Data[[#This Row],[alappatjoe]:[currydestroyer27]]), "TBD")</f>
        <v>2.8</v>
      </c>
      <c r="G547" s="178">
        <f>IFERROR(_xlfn.STDEV.P(Data[[#This Row],[alappatjoe]:[currydestroyer27]]), "TBD")</f>
        <v>1.833030277982336</v>
      </c>
      <c r="H547" s="160" t="s">
        <v>1246</v>
      </c>
      <c r="I547" s="186" t="s">
        <v>1247</v>
      </c>
      <c r="J547" s="3">
        <v>1</v>
      </c>
      <c r="K547" s="3">
        <v>5</v>
      </c>
      <c r="L547" s="3">
        <v>5</v>
      </c>
      <c r="M547" s="3">
        <v>2</v>
      </c>
      <c r="N547" s="3">
        <v>1</v>
      </c>
      <c r="O547" s="238"/>
      <c r="P547" s="234"/>
      <c r="Q547" s="93"/>
      <c r="R5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47" s="93">
        <v>1</v>
      </c>
      <c r="T547" s="93" t="b">
        <f>Data[[#This Row],[Day Rank]]=Data[[#This Row],[W Rank]]</f>
        <v>0</v>
      </c>
      <c r="U547" s="335" t="s">
        <v>1248</v>
      </c>
    </row>
    <row r="548" spans="1:21" ht="15" customHeight="1">
      <c r="A548" s="333"/>
      <c r="B548" s="326"/>
      <c r="C548" s="329"/>
      <c r="D548" s="81">
        <f>D547</f>
        <v>45645</v>
      </c>
      <c r="E548" s="140" t="str">
        <f>$K$1</f>
        <v>danram</v>
      </c>
      <c r="F548" s="8">
        <f>IFERROR(AVERAGE(Data[[#This Row],[alappatjoe]:[currydestroyer27]]), "TBD")</f>
        <v>2.6</v>
      </c>
      <c r="G548" s="177">
        <f>IFERROR(_xlfn.STDEV.P(Data[[#This Row],[alappatjoe]:[currydestroyer27]]), "TBD")</f>
        <v>0.8</v>
      </c>
      <c r="H548" s="135" t="s">
        <v>1249</v>
      </c>
      <c r="I548" s="229" t="s">
        <v>1250</v>
      </c>
      <c r="J548" s="3">
        <v>3</v>
      </c>
      <c r="K548" s="3">
        <v>1</v>
      </c>
      <c r="L548" s="3">
        <v>3</v>
      </c>
      <c r="M548" s="3">
        <v>3</v>
      </c>
      <c r="N548" s="3">
        <v>3</v>
      </c>
      <c r="O548" s="238"/>
      <c r="P548" s="234"/>
      <c r="Q548" s="93"/>
      <c r="R5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48" s="93">
        <v>1</v>
      </c>
      <c r="T548" s="93" t="b">
        <f>Data[[#This Row],[Day Rank]]=Data[[#This Row],[W Rank]]</f>
        <v>1</v>
      </c>
      <c r="U548" s="336"/>
    </row>
    <row r="549" spans="1:21" ht="15" customHeight="1">
      <c r="A549" s="333"/>
      <c r="B549" s="326"/>
      <c r="C549" s="329"/>
      <c r="D549" s="81">
        <f>D547</f>
        <v>45645</v>
      </c>
      <c r="E549" s="140" t="str">
        <f>$L$1</f>
        <v>loganworsdell</v>
      </c>
      <c r="F549" s="8">
        <f>IFERROR(AVERAGE(Data[[#This Row],[alappatjoe]:[currydestroyer27]]), "TBD")</f>
        <v>3.6</v>
      </c>
      <c r="G549" s="177">
        <f>IFERROR(_xlfn.STDEV.P(Data[[#This Row],[alappatjoe]:[currydestroyer27]]), "TBD")</f>
        <v>1.3564659966250536</v>
      </c>
      <c r="H549" s="135" t="s">
        <v>1251</v>
      </c>
      <c r="I549" s="229" t="s">
        <v>800</v>
      </c>
      <c r="J549" s="3">
        <v>5</v>
      </c>
      <c r="K549" s="3">
        <v>2</v>
      </c>
      <c r="L549" s="3">
        <v>2</v>
      </c>
      <c r="M549" s="3">
        <v>5</v>
      </c>
      <c r="N549" s="3">
        <v>4</v>
      </c>
      <c r="O549" s="238"/>
      <c r="P549" s="234"/>
      <c r="Q549" s="93"/>
      <c r="R5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49" s="93">
        <v>1</v>
      </c>
      <c r="T549" s="93" t="b">
        <f>Data[[#This Row],[Day Rank]]=Data[[#This Row],[W Rank]]</f>
        <v>0</v>
      </c>
      <c r="U549" s="336"/>
    </row>
    <row r="550" spans="1:21" ht="15" customHeight="1">
      <c r="A550" s="333"/>
      <c r="B550" s="326"/>
      <c r="C550" s="329"/>
      <c r="D550" s="81">
        <f>D547</f>
        <v>45645</v>
      </c>
      <c r="E550" s="140" t="str">
        <f>$M$1</f>
        <v>samuelbattista</v>
      </c>
      <c r="F550" s="8">
        <f>IFERROR(AVERAGE(Data[[#This Row],[alappatjoe]:[currydestroyer27]]), "TBD")</f>
        <v>2.8</v>
      </c>
      <c r="G550" s="177">
        <f>IFERROR(_xlfn.STDEV.P(Data[[#This Row],[alappatjoe]:[currydestroyer27]]), "TBD")</f>
        <v>1.6</v>
      </c>
      <c r="H550" s="135" t="s">
        <v>1252</v>
      </c>
      <c r="I550" s="229" t="s">
        <v>1253</v>
      </c>
      <c r="J550" s="3">
        <v>4</v>
      </c>
      <c r="K550" s="3">
        <v>3</v>
      </c>
      <c r="L550" s="3">
        <v>1</v>
      </c>
      <c r="M550" s="3">
        <v>1</v>
      </c>
      <c r="N550" s="3">
        <v>5</v>
      </c>
      <c r="O550" s="238"/>
      <c r="P550" s="234"/>
      <c r="Q550" s="93"/>
      <c r="R5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50" s="93">
        <v>1</v>
      </c>
      <c r="T550" s="93" t="b">
        <f>Data[[#This Row],[Day Rank]]=Data[[#This Row],[W Rank]]</f>
        <v>0</v>
      </c>
      <c r="U550" s="336"/>
    </row>
    <row r="551" spans="1:21" ht="15" customHeight="1" thickBot="1">
      <c r="A551" s="334"/>
      <c r="B551" s="327"/>
      <c r="C551" s="330"/>
      <c r="D551" s="82">
        <f>D547</f>
        <v>45645</v>
      </c>
      <c r="E551" s="182" t="str">
        <f>$N$1</f>
        <v>currydestroyer27</v>
      </c>
      <c r="F551" s="83">
        <f>IFERROR(AVERAGE(Data[[#This Row],[alappatjoe]:[currydestroyer27]]), "TBD")</f>
        <v>3.2</v>
      </c>
      <c r="G551" s="183">
        <f>IFERROR(_xlfn.STDEV.P(Data[[#This Row],[alappatjoe]:[currydestroyer27]]), "TBD")</f>
        <v>0.9797958971132712</v>
      </c>
      <c r="H551" s="184" t="s">
        <v>1254</v>
      </c>
      <c r="I551" s="185" t="s">
        <v>1255</v>
      </c>
      <c r="J551" s="22">
        <v>2</v>
      </c>
      <c r="K551" s="22">
        <v>4</v>
      </c>
      <c r="L551" s="22">
        <v>4</v>
      </c>
      <c r="M551" s="22">
        <v>4</v>
      </c>
      <c r="N551" s="22">
        <v>2</v>
      </c>
      <c r="O551" s="239"/>
      <c r="P551" s="235"/>
      <c r="Q551" s="94"/>
      <c r="R55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51" s="94">
        <v>1</v>
      </c>
      <c r="T551" s="94" t="b">
        <f>Data[[#This Row],[Day Rank]]=Data[[#This Row],[W Rank]]</f>
        <v>0</v>
      </c>
      <c r="U551" s="337"/>
    </row>
    <row r="552" spans="1:21" ht="15" customHeight="1">
      <c r="A552" s="332">
        <v>45663</v>
      </c>
      <c r="B552" s="325"/>
      <c r="C552" s="338" t="str" cm="1">
        <f t="array" ref="C552">_xlfn.LET(_xlpm.matches, _xlfn._xlws.FILTER(Data[Poster], (Data[Date]=A552)*(Data[Winner]=TRUE)), IF(ROWS(_xlpm.matches)&gt;1, "TIE", _xlpm.matches))</f>
        <v>danram</v>
      </c>
      <c r="D552" s="147">
        <f>A552</f>
        <v>45663</v>
      </c>
      <c r="E552" s="181" t="str">
        <f>$J$1</f>
        <v>alappatjoe</v>
      </c>
      <c r="F552" s="9">
        <f>IFERROR(AVERAGE(Data[[#This Row],[alappatjoe]:[currydestroyer27]]), "TBD")</f>
        <v>3.6</v>
      </c>
      <c r="G552" s="178">
        <f>IFERROR(_xlfn.STDEV.P(Data[[#This Row],[alappatjoe]:[currydestroyer27]]), "TBD")</f>
        <v>1.7435595774162693</v>
      </c>
      <c r="H552" s="160" t="s">
        <v>1256</v>
      </c>
      <c r="I552" s="186" t="s">
        <v>1257</v>
      </c>
      <c r="J552" s="3">
        <v>1</v>
      </c>
      <c r="K552" s="3">
        <v>5</v>
      </c>
      <c r="L552" s="3">
        <v>5</v>
      </c>
      <c r="M552" s="3">
        <v>5</v>
      </c>
      <c r="N552" s="3">
        <v>2</v>
      </c>
      <c r="O552" s="238"/>
      <c r="P552" s="234"/>
      <c r="Q552" s="93"/>
      <c r="R5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52" s="93">
        <v>1</v>
      </c>
      <c r="T552" s="93" t="b">
        <f>Data[[#This Row],[Day Rank]]=Data[[#This Row],[W Rank]]</f>
        <v>0</v>
      </c>
      <c r="U552" s="335"/>
    </row>
    <row r="553" spans="1:21" ht="15" customHeight="1">
      <c r="A553" s="333"/>
      <c r="B553" s="326"/>
      <c r="C553" s="339"/>
      <c r="D553" s="81">
        <f>D552</f>
        <v>45663</v>
      </c>
      <c r="E553" s="140" t="str">
        <f>$K$1</f>
        <v>danram</v>
      </c>
      <c r="F553" s="8">
        <f>IFERROR(AVERAGE(Data[[#This Row],[alappatjoe]:[currydestroyer27]]), "TBD")</f>
        <v>2.4</v>
      </c>
      <c r="G553" s="177">
        <f>IFERROR(_xlfn.STDEV.P(Data[[#This Row],[alappatjoe]:[currydestroyer27]]), "TBD")</f>
        <v>1.3564659966250536</v>
      </c>
      <c r="H553" s="135" t="s">
        <v>1258</v>
      </c>
      <c r="I553" s="229" t="s">
        <v>1259</v>
      </c>
      <c r="J553" s="3">
        <v>4</v>
      </c>
      <c r="K553" s="3">
        <v>1</v>
      </c>
      <c r="L553" s="3">
        <v>2</v>
      </c>
      <c r="M553" s="3">
        <v>1</v>
      </c>
      <c r="N553" s="3">
        <v>4</v>
      </c>
      <c r="O553" s="238"/>
      <c r="P553" s="234"/>
      <c r="Q553" s="93"/>
      <c r="R5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53" s="93">
        <v>1</v>
      </c>
      <c r="T553" s="93" t="b">
        <f>Data[[#This Row],[Day Rank]]=Data[[#This Row],[W Rank]]</f>
        <v>1</v>
      </c>
      <c r="U553" s="336"/>
    </row>
    <row r="554" spans="1:21" ht="15" customHeight="1">
      <c r="A554" s="333"/>
      <c r="B554" s="326"/>
      <c r="C554" s="339"/>
      <c r="D554" s="81">
        <f>D552</f>
        <v>45663</v>
      </c>
      <c r="E554" s="140" t="str">
        <f>$L$1</f>
        <v>loganworsdell</v>
      </c>
      <c r="F554" s="8">
        <f>IFERROR(AVERAGE(Data[[#This Row],[alappatjoe]:[currydestroyer27]]), "TBD")</f>
        <v>3.8</v>
      </c>
      <c r="G554" s="177">
        <f>IFERROR(_xlfn.STDEV.P(Data[[#This Row],[alappatjoe]:[currydestroyer27]]), "TBD")</f>
        <v>1.4696938456699069</v>
      </c>
      <c r="H554" s="135" t="s">
        <v>1260</v>
      </c>
      <c r="I554" s="229" t="s">
        <v>57</v>
      </c>
      <c r="J554" s="3">
        <v>5</v>
      </c>
      <c r="K554" s="3">
        <v>4</v>
      </c>
      <c r="L554" s="3">
        <v>1</v>
      </c>
      <c r="M554" s="3">
        <v>4</v>
      </c>
      <c r="N554" s="3">
        <v>5</v>
      </c>
      <c r="O554" s="238"/>
      <c r="P554" s="234"/>
      <c r="Q554" s="93"/>
      <c r="R5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54" s="93">
        <v>1</v>
      </c>
      <c r="T554" s="93" t="b">
        <f>Data[[#This Row],[Day Rank]]=Data[[#This Row],[W Rank]]</f>
        <v>0</v>
      </c>
      <c r="U554" s="336"/>
    </row>
    <row r="555" spans="1:21" ht="15" customHeight="1">
      <c r="A555" s="333"/>
      <c r="B555" s="326"/>
      <c r="C555" s="339"/>
      <c r="D555" s="81">
        <f>D552</f>
        <v>45663</v>
      </c>
      <c r="E555" s="140" t="str">
        <f>$M$1</f>
        <v>samuelbattista</v>
      </c>
      <c r="F555" s="8">
        <f>IFERROR(AVERAGE(Data[[#This Row],[alappatjoe]:[currydestroyer27]]), "TBD")</f>
        <v>2.6</v>
      </c>
      <c r="G555" s="177">
        <f>IFERROR(_xlfn.STDEV.P(Data[[#This Row],[alappatjoe]:[currydestroyer27]]), "TBD")</f>
        <v>0.8</v>
      </c>
      <c r="H555" s="135" t="s">
        <v>1261</v>
      </c>
      <c r="I555" s="229" t="s">
        <v>61</v>
      </c>
      <c r="J555" s="3">
        <v>2</v>
      </c>
      <c r="K555" s="3">
        <v>2</v>
      </c>
      <c r="L555" s="3">
        <v>4</v>
      </c>
      <c r="M555" s="3">
        <v>2</v>
      </c>
      <c r="N555" s="3">
        <v>3</v>
      </c>
      <c r="O555" s="238"/>
      <c r="P555" s="234"/>
      <c r="Q555" s="93"/>
      <c r="R5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55" s="93">
        <v>1</v>
      </c>
      <c r="T555" s="93" t="b">
        <f>Data[[#This Row],[Day Rank]]=Data[[#This Row],[W Rank]]</f>
        <v>0</v>
      </c>
      <c r="U555" s="336"/>
    </row>
    <row r="556" spans="1:21" ht="15" customHeight="1" thickBot="1">
      <c r="A556" s="334"/>
      <c r="B556" s="327"/>
      <c r="C556" s="340"/>
      <c r="D556" s="82">
        <f>D552</f>
        <v>45663</v>
      </c>
      <c r="E556" s="182" t="str">
        <f>$N$1</f>
        <v>currydestroyer27</v>
      </c>
      <c r="F556" s="83">
        <f>IFERROR(AVERAGE(Data[[#This Row],[alappatjoe]:[currydestroyer27]]), "TBD")</f>
        <v>2.6</v>
      </c>
      <c r="G556" s="183">
        <f>IFERROR(_xlfn.STDEV.P(Data[[#This Row],[alappatjoe]:[currydestroyer27]]), "TBD")</f>
        <v>0.8</v>
      </c>
      <c r="H556" s="184" t="s">
        <v>1262</v>
      </c>
      <c r="I556" s="185" t="s">
        <v>1263</v>
      </c>
      <c r="J556" s="22">
        <v>3</v>
      </c>
      <c r="K556" s="22">
        <v>3</v>
      </c>
      <c r="L556" s="22">
        <v>3</v>
      </c>
      <c r="M556" s="22">
        <v>3</v>
      </c>
      <c r="N556" s="22">
        <v>1</v>
      </c>
      <c r="O556" s="239"/>
      <c r="P556" s="235"/>
      <c r="Q556" s="94"/>
      <c r="R55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56" s="94">
        <v>1</v>
      </c>
      <c r="T556" s="94" t="b">
        <f>Data[[#This Row],[Day Rank]]=Data[[#This Row],[W Rank]]</f>
        <v>0</v>
      </c>
      <c r="U556" s="337"/>
    </row>
    <row r="557" spans="1:21" ht="15" customHeight="1">
      <c r="A557" s="332">
        <v>45664</v>
      </c>
      <c r="B557" s="325"/>
      <c r="C557" s="328" t="str" cm="1">
        <f t="array" ref="C557">_xlfn.LET(_xlpm.matches, _xlfn._xlws.FILTER(Data[Poster], (Data[Date]=A557)*(Data[Winner]=TRUE)), IF(ROWS(_xlpm.matches)&gt;1, "TIE", _xlpm.matches))</f>
        <v>danram</v>
      </c>
      <c r="D557" s="147">
        <f>A557</f>
        <v>45664</v>
      </c>
      <c r="E557" s="181" t="str">
        <f>$J$1</f>
        <v>alappatjoe</v>
      </c>
      <c r="F557" s="9">
        <f>IFERROR(AVERAGE(Data[[#This Row],[alappatjoe]:[currydestroyer27]]), "TBD")</f>
        <v>3.4</v>
      </c>
      <c r="G557" s="178">
        <f>IFERROR(_xlfn.STDEV.P(Data[[#This Row],[alappatjoe]:[currydestroyer27]]), "TBD")</f>
        <v>1.6248076809271921</v>
      </c>
      <c r="H557" s="160" t="s">
        <v>1264</v>
      </c>
      <c r="I557" s="186" t="s">
        <v>1265</v>
      </c>
      <c r="J557" s="3">
        <v>1</v>
      </c>
      <c r="K557" s="3">
        <v>2</v>
      </c>
      <c r="L557" s="3">
        <v>5</v>
      </c>
      <c r="M557" s="3">
        <v>4</v>
      </c>
      <c r="N557" s="3">
        <v>5</v>
      </c>
      <c r="O557" s="238"/>
      <c r="P557" s="234"/>
      <c r="Q557" s="93"/>
      <c r="R5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57" s="93">
        <v>1</v>
      </c>
      <c r="T557" s="93" t="b">
        <f>Data[[#This Row],[Day Rank]]=Data[[#This Row],[W Rank]]</f>
        <v>0</v>
      </c>
      <c r="U557" s="335"/>
    </row>
    <row r="558" spans="1:21" ht="15" customHeight="1">
      <c r="A558" s="333"/>
      <c r="B558" s="326"/>
      <c r="C558" s="329"/>
      <c r="D558" s="81">
        <f>D557</f>
        <v>45664</v>
      </c>
      <c r="E558" s="140" t="str">
        <f>$K$1</f>
        <v>danram</v>
      </c>
      <c r="F558" s="8">
        <f>IFERROR(AVERAGE(Data[[#This Row],[alappatjoe]:[currydestroyer27]]), "TBD")</f>
        <v>2.2000000000000002</v>
      </c>
      <c r="G558" s="177">
        <f>IFERROR(_xlfn.STDEV.P(Data[[#This Row],[alappatjoe]:[currydestroyer27]]), "TBD")</f>
        <v>0.74833147735478833</v>
      </c>
      <c r="H558" s="135" t="s">
        <v>1266</v>
      </c>
      <c r="I558" s="229" t="s">
        <v>1171</v>
      </c>
      <c r="J558" s="3">
        <v>2</v>
      </c>
      <c r="K558" s="3">
        <v>1</v>
      </c>
      <c r="L558" s="3">
        <v>3</v>
      </c>
      <c r="M558" s="3">
        <v>3</v>
      </c>
      <c r="N558" s="3">
        <v>2</v>
      </c>
      <c r="O558" s="238"/>
      <c r="P558" s="234"/>
      <c r="Q558" s="93"/>
      <c r="R5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58" s="93">
        <v>1</v>
      </c>
      <c r="T558" s="93" t="b">
        <f>Data[[#This Row],[Day Rank]]=Data[[#This Row],[W Rank]]</f>
        <v>1</v>
      </c>
      <c r="U558" s="336"/>
    </row>
    <row r="559" spans="1:21" ht="15" customHeight="1">
      <c r="A559" s="333"/>
      <c r="B559" s="326"/>
      <c r="C559" s="329"/>
      <c r="D559" s="81">
        <f>D557</f>
        <v>45664</v>
      </c>
      <c r="E559" s="140" t="str">
        <f>$L$1</f>
        <v>loganworsdell</v>
      </c>
      <c r="F559" s="8">
        <f>IFERROR(AVERAGE(Data[[#This Row],[alappatjoe]:[currydestroyer27]]), "TBD")</f>
        <v>3</v>
      </c>
      <c r="G559" s="177">
        <f>IFERROR(_xlfn.STDEV.P(Data[[#This Row],[alappatjoe]:[currydestroyer27]]), "TBD")</f>
        <v>1.4142135623730951</v>
      </c>
      <c r="H559" s="135" t="s">
        <v>1267</v>
      </c>
      <c r="I559" s="229" t="s">
        <v>1268</v>
      </c>
      <c r="J559" s="3">
        <v>5</v>
      </c>
      <c r="K559" s="3">
        <v>4</v>
      </c>
      <c r="L559" s="3">
        <v>1</v>
      </c>
      <c r="M559" s="3">
        <v>2</v>
      </c>
      <c r="N559" s="3">
        <v>3</v>
      </c>
      <c r="O559" s="238"/>
      <c r="P559" s="234"/>
      <c r="Q559" s="93"/>
      <c r="R5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59" s="93">
        <v>1</v>
      </c>
      <c r="T559" s="93" t="b">
        <f>Data[[#This Row],[Day Rank]]=Data[[#This Row],[W Rank]]</f>
        <v>0</v>
      </c>
      <c r="U559" s="336"/>
    </row>
    <row r="560" spans="1:21" ht="15" customHeight="1">
      <c r="A560" s="333"/>
      <c r="B560" s="326"/>
      <c r="C560" s="329"/>
      <c r="D560" s="81">
        <f>D557</f>
        <v>45664</v>
      </c>
      <c r="E560" s="140" t="str">
        <f>$M$1</f>
        <v>samuelbattista</v>
      </c>
      <c r="F560" s="8">
        <f>IFERROR(AVERAGE(Data[[#This Row],[alappatjoe]:[currydestroyer27]]), "TBD")</f>
        <v>3</v>
      </c>
      <c r="G560" s="177">
        <f>IFERROR(_xlfn.STDEV.P(Data[[#This Row],[alappatjoe]:[currydestroyer27]]), "TBD")</f>
        <v>1.0954451150103321</v>
      </c>
      <c r="H560" s="135" t="s">
        <v>1269</v>
      </c>
      <c r="I560" s="229" t="s">
        <v>1270</v>
      </c>
      <c r="J560" s="3">
        <v>3</v>
      </c>
      <c r="K560" s="3">
        <v>3</v>
      </c>
      <c r="L560" s="3">
        <v>4</v>
      </c>
      <c r="M560" s="3">
        <v>1</v>
      </c>
      <c r="N560" s="3">
        <v>4</v>
      </c>
      <c r="O560" s="238"/>
      <c r="P560" s="234"/>
      <c r="Q560" s="93"/>
      <c r="R5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60" s="93">
        <v>1</v>
      </c>
      <c r="T560" s="93" t="b">
        <f>Data[[#This Row],[Day Rank]]=Data[[#This Row],[W Rank]]</f>
        <v>0</v>
      </c>
      <c r="U560" s="336"/>
    </row>
    <row r="561" spans="1:21" ht="15" customHeight="1" thickBot="1">
      <c r="A561" s="334"/>
      <c r="B561" s="327"/>
      <c r="C561" s="330"/>
      <c r="D561" s="82">
        <f>D557</f>
        <v>45664</v>
      </c>
      <c r="E561" s="182" t="str">
        <f>$N$1</f>
        <v>currydestroyer27</v>
      </c>
      <c r="F561" s="83">
        <f>IFERROR(AVERAGE(Data[[#This Row],[alappatjoe]:[currydestroyer27]]), "TBD")</f>
        <v>3.4</v>
      </c>
      <c r="G561" s="183">
        <f>IFERROR(_xlfn.STDEV.P(Data[[#This Row],[alappatjoe]:[currydestroyer27]]), "TBD")</f>
        <v>1.6248076809271921</v>
      </c>
      <c r="H561" s="184" t="s">
        <v>1271</v>
      </c>
      <c r="I561" s="185" t="s">
        <v>1272</v>
      </c>
      <c r="J561" s="22">
        <v>4</v>
      </c>
      <c r="K561" s="22">
        <v>5</v>
      </c>
      <c r="L561" s="22">
        <v>2</v>
      </c>
      <c r="M561" s="22">
        <v>5</v>
      </c>
      <c r="N561" s="22">
        <v>1</v>
      </c>
      <c r="O561" s="239"/>
      <c r="P561" s="235"/>
      <c r="Q561" s="94"/>
      <c r="R56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61" s="94">
        <v>1</v>
      </c>
      <c r="T561" s="94" t="b">
        <f>Data[[#This Row],[Day Rank]]=Data[[#This Row],[W Rank]]</f>
        <v>0</v>
      </c>
      <c r="U561" s="337"/>
    </row>
    <row r="562" spans="1:21" ht="15" customHeight="1">
      <c r="A562" s="332">
        <v>45665</v>
      </c>
      <c r="B562" s="325"/>
      <c r="C562" s="338" t="str" cm="1">
        <f t="array" ref="C562">_xlfn.LET(_xlpm.matches, _xlfn._xlws.FILTER(Data[Poster], (Data[Date]=A562)*(Data[Winner]=TRUE)), IF(ROWS(_xlpm.matches)&gt;1, "TIE", _xlpm.matches))</f>
        <v>danram</v>
      </c>
      <c r="D562" s="147">
        <f>A562</f>
        <v>45665</v>
      </c>
      <c r="E562" s="181" t="str">
        <f>$J$1</f>
        <v>alappatjoe</v>
      </c>
      <c r="F562" s="9">
        <f>IFERROR(AVERAGE(Data[[#This Row],[alappatjoe]:[currydestroyer27]]), "TBD")</f>
        <v>3.8</v>
      </c>
      <c r="G562" s="178">
        <f>IFERROR(_xlfn.STDEV.P(Data[[#This Row],[alappatjoe]:[currydestroyer27]]), "TBD")</f>
        <v>1.6</v>
      </c>
      <c r="H562" s="160" t="s">
        <v>1273</v>
      </c>
      <c r="I562" s="186" t="s">
        <v>1274</v>
      </c>
      <c r="J562" s="3">
        <v>1</v>
      </c>
      <c r="K562" s="3">
        <v>3</v>
      </c>
      <c r="L562" s="3">
        <v>5</v>
      </c>
      <c r="M562" s="3">
        <v>5</v>
      </c>
      <c r="N562" s="3">
        <v>5</v>
      </c>
      <c r="O562" s="238"/>
      <c r="P562" s="234"/>
      <c r="Q562" s="93"/>
      <c r="R5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62" s="93">
        <v>1</v>
      </c>
      <c r="T562" s="93" t="b">
        <f>Data[[#This Row],[Day Rank]]=Data[[#This Row],[W Rank]]</f>
        <v>0</v>
      </c>
      <c r="U562" s="335"/>
    </row>
    <row r="563" spans="1:21" ht="15" customHeight="1">
      <c r="A563" s="333"/>
      <c r="B563" s="326"/>
      <c r="C563" s="339"/>
      <c r="D563" s="81">
        <f>D562</f>
        <v>45665</v>
      </c>
      <c r="E563" s="140" t="str">
        <f>$K$1</f>
        <v>danram</v>
      </c>
      <c r="F563" s="8">
        <f>IFERROR(AVERAGE(Data[[#This Row],[alappatjoe]:[currydestroyer27]]), "TBD")</f>
        <v>2.4</v>
      </c>
      <c r="G563" s="177">
        <f>IFERROR(_xlfn.STDEV.P(Data[[#This Row],[alappatjoe]:[currydestroyer27]]), "TBD")</f>
        <v>1.019803902718557</v>
      </c>
      <c r="H563" s="135" t="s">
        <v>1275</v>
      </c>
      <c r="I563" s="229" t="s">
        <v>1077</v>
      </c>
      <c r="J563" s="3">
        <v>4</v>
      </c>
      <c r="K563" s="3">
        <v>1</v>
      </c>
      <c r="L563" s="3">
        <v>3</v>
      </c>
      <c r="M563" s="3">
        <v>2</v>
      </c>
      <c r="N563" s="3">
        <v>2</v>
      </c>
      <c r="O563" s="238"/>
      <c r="P563" s="234"/>
      <c r="Q563" s="93"/>
      <c r="R5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63" s="93">
        <v>1</v>
      </c>
      <c r="T563" s="93" t="b">
        <f>Data[[#This Row],[Day Rank]]=Data[[#This Row],[W Rank]]</f>
        <v>1</v>
      </c>
      <c r="U563" s="336"/>
    </row>
    <row r="564" spans="1:21" ht="15" customHeight="1">
      <c r="A564" s="333"/>
      <c r="B564" s="326"/>
      <c r="C564" s="339"/>
      <c r="D564" s="81">
        <f>D562</f>
        <v>45665</v>
      </c>
      <c r="E564" s="140" t="str">
        <f>$L$1</f>
        <v>loganworsdell</v>
      </c>
      <c r="F564" s="8">
        <f>IFERROR(AVERAGE(Data[[#This Row],[alappatjoe]:[currydestroyer27]]), "TBD")</f>
        <v>3.2</v>
      </c>
      <c r="G564" s="177">
        <f>IFERROR(_xlfn.STDEV.P(Data[[#This Row],[alappatjoe]:[currydestroyer27]]), "TBD")</f>
        <v>1.1661903789690602</v>
      </c>
      <c r="H564" s="135" t="s">
        <v>1276</v>
      </c>
      <c r="I564" s="229" t="s">
        <v>1277</v>
      </c>
      <c r="J564" s="3">
        <v>2</v>
      </c>
      <c r="K564" s="3">
        <v>5</v>
      </c>
      <c r="L564" s="3">
        <v>2</v>
      </c>
      <c r="M564" s="3">
        <v>4</v>
      </c>
      <c r="N564" s="3">
        <v>3</v>
      </c>
      <c r="O564" s="238"/>
      <c r="P564" s="234"/>
      <c r="Q564" s="93"/>
      <c r="R5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64" s="93">
        <v>1</v>
      </c>
      <c r="T564" s="93" t="b">
        <f>Data[[#This Row],[Day Rank]]=Data[[#This Row],[W Rank]]</f>
        <v>0</v>
      </c>
      <c r="U564" s="336"/>
    </row>
    <row r="565" spans="1:21" ht="15" customHeight="1">
      <c r="A565" s="333"/>
      <c r="B565" s="326"/>
      <c r="C565" s="339"/>
      <c r="D565" s="81">
        <f>D562</f>
        <v>45665</v>
      </c>
      <c r="E565" s="140" t="str">
        <f>$M$1</f>
        <v>samuelbattista</v>
      </c>
      <c r="F565" s="8">
        <f>IFERROR(AVERAGE(Data[[#This Row],[alappatjoe]:[currydestroyer27]]), "TBD")</f>
        <v>2.6</v>
      </c>
      <c r="G565" s="177">
        <f>IFERROR(_xlfn.STDEV.P(Data[[#This Row],[alappatjoe]:[currydestroyer27]]), "TBD")</f>
        <v>1.6248076809271921</v>
      </c>
      <c r="H565" s="135" t="s">
        <v>1278</v>
      </c>
      <c r="I565" s="229" t="s">
        <v>1279</v>
      </c>
      <c r="J565" s="3">
        <v>5</v>
      </c>
      <c r="K565" s="3">
        <v>2</v>
      </c>
      <c r="L565" s="3">
        <v>1</v>
      </c>
      <c r="M565" s="3">
        <v>1</v>
      </c>
      <c r="N565" s="3">
        <v>4</v>
      </c>
      <c r="O565" s="238"/>
      <c r="P565" s="234"/>
      <c r="Q565" s="93"/>
      <c r="R5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65" s="93">
        <v>1</v>
      </c>
      <c r="T565" s="93" t="b">
        <f>Data[[#This Row],[Day Rank]]=Data[[#This Row],[W Rank]]</f>
        <v>0</v>
      </c>
      <c r="U565" s="336"/>
    </row>
    <row r="566" spans="1:21" ht="15" customHeight="1" thickBot="1">
      <c r="A566" s="334"/>
      <c r="B566" s="327"/>
      <c r="C566" s="340"/>
      <c r="D566" s="82">
        <f>D562</f>
        <v>45665</v>
      </c>
      <c r="E566" s="182" t="str">
        <f>$N$1</f>
        <v>currydestroyer27</v>
      </c>
      <c r="F566" s="83">
        <f>IFERROR(AVERAGE(Data[[#This Row],[alappatjoe]:[currydestroyer27]]), "TBD")</f>
        <v>3</v>
      </c>
      <c r="G566" s="183">
        <f>IFERROR(_xlfn.STDEV.P(Data[[#This Row],[alappatjoe]:[currydestroyer27]]), "TBD")</f>
        <v>1.0954451150103321</v>
      </c>
      <c r="H566" s="184" t="s">
        <v>1280</v>
      </c>
      <c r="I566" s="185" t="s">
        <v>1281</v>
      </c>
      <c r="J566" s="22">
        <v>3</v>
      </c>
      <c r="K566" s="22">
        <v>4</v>
      </c>
      <c r="L566" s="22">
        <v>4</v>
      </c>
      <c r="M566" s="22">
        <v>3</v>
      </c>
      <c r="N566" s="22">
        <v>1</v>
      </c>
      <c r="O566" s="239"/>
      <c r="P566" s="235"/>
      <c r="Q566" s="94"/>
      <c r="R56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66" s="94">
        <v>1</v>
      </c>
      <c r="T566" s="94" t="b">
        <f>Data[[#This Row],[Day Rank]]=Data[[#This Row],[W Rank]]</f>
        <v>0</v>
      </c>
      <c r="U566" s="337"/>
    </row>
    <row r="567" spans="1:21" ht="15" customHeight="1">
      <c r="A567" s="332">
        <v>45666</v>
      </c>
      <c r="B567" s="325"/>
      <c r="C567" s="328" t="str" cm="1">
        <f t="array" ref="C567">_xlfn.LET(_xlpm.matches, _xlfn._xlws.FILTER(Data[Poster], (Data[Date]=A567)*(Data[Winner]=TRUE)), IF(ROWS(_xlpm.matches)&gt;1, "TIE", _xlpm.matches))</f>
        <v>samuelbattista</v>
      </c>
      <c r="D567" s="147">
        <f>A567</f>
        <v>45666</v>
      </c>
      <c r="E567" s="181" t="str">
        <f>$J$1</f>
        <v>alappatjoe</v>
      </c>
      <c r="F567" s="9">
        <f>IFERROR(AVERAGE(Data[[#This Row],[alappatjoe]:[currydestroyer27]]), "TBD")</f>
        <v>3.4</v>
      </c>
      <c r="G567" s="178">
        <f>IFERROR(_xlfn.STDEV.P(Data[[#This Row],[alappatjoe]:[currydestroyer27]]), "TBD")</f>
        <v>1.6248076809271921</v>
      </c>
      <c r="H567" s="160" t="s">
        <v>1282</v>
      </c>
      <c r="I567" s="186" t="s">
        <v>260</v>
      </c>
      <c r="J567" s="3">
        <v>1</v>
      </c>
      <c r="K567" s="3">
        <v>5</v>
      </c>
      <c r="L567" s="3">
        <v>5</v>
      </c>
      <c r="M567" s="3">
        <v>2</v>
      </c>
      <c r="N567" s="3">
        <v>4</v>
      </c>
      <c r="O567" s="238"/>
      <c r="P567" s="234"/>
      <c r="Q567" s="93"/>
      <c r="R5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67" s="93">
        <v>1</v>
      </c>
      <c r="T567" s="93" t="b">
        <f>Data[[#This Row],[Day Rank]]=Data[[#This Row],[W Rank]]</f>
        <v>0</v>
      </c>
      <c r="U567" s="335" t="s">
        <v>1283</v>
      </c>
    </row>
    <row r="568" spans="1:21" ht="15" customHeight="1">
      <c r="A568" s="333"/>
      <c r="B568" s="326"/>
      <c r="C568" s="329"/>
      <c r="D568" s="81">
        <f>D567</f>
        <v>45666</v>
      </c>
      <c r="E568" s="140" t="str">
        <f>$K$1</f>
        <v>danram</v>
      </c>
      <c r="F568" s="8">
        <f>IFERROR(AVERAGE(Data[[#This Row],[alappatjoe]:[currydestroyer27]]), "TBD")</f>
        <v>2.6</v>
      </c>
      <c r="G568" s="177">
        <f>IFERROR(_xlfn.STDEV.P(Data[[#This Row],[alappatjoe]:[currydestroyer27]]), "TBD")</f>
        <v>1.019803902718557</v>
      </c>
      <c r="H568" s="135" t="s">
        <v>1284</v>
      </c>
      <c r="I568" s="229" t="s">
        <v>1285</v>
      </c>
      <c r="J568" s="3">
        <v>4</v>
      </c>
      <c r="K568" s="3">
        <v>1</v>
      </c>
      <c r="L568" s="3">
        <v>3</v>
      </c>
      <c r="M568" s="3">
        <v>3</v>
      </c>
      <c r="N568" s="3">
        <v>2</v>
      </c>
      <c r="O568" s="238"/>
      <c r="P568" s="234"/>
      <c r="Q568" s="93"/>
      <c r="R5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68" s="93">
        <v>1</v>
      </c>
      <c r="T568" s="93" t="b">
        <f>Data[[#This Row],[Day Rank]]=Data[[#This Row],[W Rank]]</f>
        <v>0</v>
      </c>
      <c r="U568" s="336"/>
    </row>
    <row r="569" spans="1:21" ht="15" customHeight="1">
      <c r="A569" s="333"/>
      <c r="B569" s="326"/>
      <c r="C569" s="329"/>
      <c r="D569" s="81">
        <f>D567</f>
        <v>45666</v>
      </c>
      <c r="E569" s="140" t="str">
        <f>$L$1</f>
        <v>loganworsdell</v>
      </c>
      <c r="F569" s="8">
        <f>IFERROR(AVERAGE(Data[[#This Row],[alappatjoe]:[currydestroyer27]]), "TBD")</f>
        <v>3.6</v>
      </c>
      <c r="G569" s="177">
        <f>IFERROR(_xlfn.STDEV.P(Data[[#This Row],[alappatjoe]:[currydestroyer27]]), "TBD")</f>
        <v>1.4966629547095767</v>
      </c>
      <c r="H569" s="135" t="s">
        <v>1286</v>
      </c>
      <c r="I569" s="229" t="s">
        <v>1287</v>
      </c>
      <c r="J569" s="3">
        <v>5</v>
      </c>
      <c r="K569" s="3">
        <v>3</v>
      </c>
      <c r="L569" s="3">
        <v>1</v>
      </c>
      <c r="M569" s="3">
        <v>4</v>
      </c>
      <c r="N569" s="3">
        <v>5</v>
      </c>
      <c r="O569" s="238"/>
      <c r="P569" s="234"/>
      <c r="Q569" s="93"/>
      <c r="R5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69" s="93">
        <v>1</v>
      </c>
      <c r="T569" s="93" t="b">
        <f>Data[[#This Row],[Day Rank]]=Data[[#This Row],[W Rank]]</f>
        <v>0</v>
      </c>
      <c r="U569" s="336"/>
    </row>
    <row r="570" spans="1:21" ht="15" customHeight="1">
      <c r="A570" s="333"/>
      <c r="B570" s="326"/>
      <c r="C570" s="329"/>
      <c r="D570" s="81">
        <f>D567</f>
        <v>45666</v>
      </c>
      <c r="E570" s="140" t="str">
        <f>$M$1</f>
        <v>samuelbattista</v>
      </c>
      <c r="F570" s="8">
        <f>IFERROR(AVERAGE(Data[[#This Row],[alappatjoe]:[currydestroyer27]]), "TBD")</f>
        <v>2.4</v>
      </c>
      <c r="G570" s="177">
        <f>IFERROR(_xlfn.STDEV.P(Data[[#This Row],[alappatjoe]:[currydestroyer27]]), "TBD")</f>
        <v>1.019803902718557</v>
      </c>
      <c r="H570" s="135" t="s">
        <v>1288</v>
      </c>
      <c r="I570" s="229" t="s">
        <v>1289</v>
      </c>
      <c r="J570" s="3">
        <v>2</v>
      </c>
      <c r="K570" s="3">
        <v>4</v>
      </c>
      <c r="L570" s="3">
        <v>2</v>
      </c>
      <c r="M570" s="3">
        <v>1</v>
      </c>
      <c r="N570" s="3">
        <v>3</v>
      </c>
      <c r="O570" s="238"/>
      <c r="P570" s="234"/>
      <c r="Q570" s="93"/>
      <c r="R5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70" s="93">
        <v>1</v>
      </c>
      <c r="T570" s="93" t="b">
        <f>Data[[#This Row],[Day Rank]]=Data[[#This Row],[W Rank]]</f>
        <v>1</v>
      </c>
      <c r="U570" s="336"/>
    </row>
    <row r="571" spans="1:21" ht="15" customHeight="1" thickBot="1">
      <c r="A571" s="334"/>
      <c r="B571" s="327"/>
      <c r="C571" s="330"/>
      <c r="D571" s="82">
        <f>D567</f>
        <v>45666</v>
      </c>
      <c r="E571" s="182" t="str">
        <f>$N$1</f>
        <v>currydestroyer27</v>
      </c>
      <c r="F571" s="83">
        <f>IFERROR(AVERAGE(Data[[#This Row],[alappatjoe]:[currydestroyer27]]), "TBD")</f>
        <v>3</v>
      </c>
      <c r="G571" s="183">
        <f>IFERROR(_xlfn.STDEV.P(Data[[#This Row],[alappatjoe]:[currydestroyer27]]), "TBD")</f>
        <v>1.4142135623730951</v>
      </c>
      <c r="H571" s="184" t="s">
        <v>1290</v>
      </c>
      <c r="I571" s="185" t="s">
        <v>1291</v>
      </c>
      <c r="J571" s="22">
        <v>3</v>
      </c>
      <c r="K571" s="22">
        <v>2</v>
      </c>
      <c r="L571" s="22">
        <v>4</v>
      </c>
      <c r="M571" s="22">
        <v>5</v>
      </c>
      <c r="N571" s="22">
        <v>1</v>
      </c>
      <c r="O571" s="239"/>
      <c r="P571" s="235"/>
      <c r="Q571" s="94"/>
      <c r="R57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71" s="94">
        <v>1</v>
      </c>
      <c r="T571" s="94" t="b">
        <f>Data[[#This Row],[Day Rank]]=Data[[#This Row],[W Rank]]</f>
        <v>0</v>
      </c>
      <c r="U571" s="337"/>
    </row>
    <row r="572" spans="1:21" ht="15" customHeight="1">
      <c r="A572" s="332">
        <v>45670</v>
      </c>
      <c r="B572" s="325"/>
      <c r="C572" s="338" t="str" cm="1">
        <f t="array" ref="C572">_xlfn.LET(_xlpm.matches, _xlfn._xlws.FILTER(Data[Poster], (Data[Date]=A572)*(Data[Winner]=TRUE)), IF(ROWS(_xlpm.matches)&gt;1, "TIE", _xlpm.matches))</f>
        <v>alappatjoe</v>
      </c>
      <c r="D572" s="147">
        <f>A572</f>
        <v>45670</v>
      </c>
      <c r="E572" s="181" t="str">
        <f>$J$1</f>
        <v>alappatjoe</v>
      </c>
      <c r="F572" s="9">
        <f>IFERROR(AVERAGE(Data[[#This Row],[alappatjoe]:[currydestroyer27]]), "TBD")</f>
        <v>2.4</v>
      </c>
      <c r="G572" s="178">
        <f>IFERROR(_xlfn.STDEV.P(Data[[#This Row],[alappatjoe]:[currydestroyer27]]), "TBD")</f>
        <v>1.2</v>
      </c>
      <c r="H572" s="160" t="s">
        <v>1292</v>
      </c>
      <c r="I572" s="186" t="s">
        <v>1055</v>
      </c>
      <c r="J572" s="3">
        <v>1</v>
      </c>
      <c r="K572" s="3">
        <v>3</v>
      </c>
      <c r="L572" s="3">
        <v>4</v>
      </c>
      <c r="M572" s="3">
        <v>3</v>
      </c>
      <c r="N572" s="3">
        <v>1</v>
      </c>
      <c r="O572" s="238"/>
      <c r="P572" s="234"/>
      <c r="Q572" s="93"/>
      <c r="R5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72" s="93">
        <v>1</v>
      </c>
      <c r="T572" s="93" t="b">
        <f>Data[[#This Row],[Day Rank]]=Data[[#This Row],[W Rank]]</f>
        <v>1</v>
      </c>
      <c r="U572" s="335"/>
    </row>
    <row r="573" spans="1:21" ht="15" customHeight="1">
      <c r="A573" s="333"/>
      <c r="B573" s="326"/>
      <c r="C573" s="339"/>
      <c r="D573" s="81">
        <f>D572</f>
        <v>45670</v>
      </c>
      <c r="E573" s="140" t="str">
        <f>$K$1</f>
        <v>danram</v>
      </c>
      <c r="F573" s="8">
        <f>IFERROR(AVERAGE(Data[[#This Row],[alappatjoe]:[currydestroyer27]]), "TBD")</f>
        <v>3.2</v>
      </c>
      <c r="G573" s="177">
        <f>IFERROR(_xlfn.STDEV.P(Data[[#This Row],[alappatjoe]:[currydestroyer27]]), "TBD")</f>
        <v>1.3266499161421599</v>
      </c>
      <c r="H573" s="135" t="s">
        <v>1293</v>
      </c>
      <c r="I573" s="229" t="s">
        <v>776</v>
      </c>
      <c r="J573" s="3">
        <v>3</v>
      </c>
      <c r="K573" s="3">
        <v>1</v>
      </c>
      <c r="L573" s="3">
        <v>5</v>
      </c>
      <c r="M573" s="3">
        <v>4</v>
      </c>
      <c r="N573" s="3">
        <v>3</v>
      </c>
      <c r="O573" s="238"/>
      <c r="P573" s="234"/>
      <c r="Q573" s="93"/>
      <c r="R5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73" s="93">
        <v>1</v>
      </c>
      <c r="T573" s="93" t="b">
        <f>Data[[#This Row],[Day Rank]]=Data[[#This Row],[W Rank]]</f>
        <v>0</v>
      </c>
      <c r="U573" s="336"/>
    </row>
    <row r="574" spans="1:21" ht="15" customHeight="1">
      <c r="A574" s="333"/>
      <c r="B574" s="326"/>
      <c r="C574" s="339"/>
      <c r="D574" s="81">
        <f>D572</f>
        <v>45670</v>
      </c>
      <c r="E574" s="140" t="str">
        <f>$L$1</f>
        <v>loganworsdell</v>
      </c>
      <c r="F574" s="8">
        <f>IFERROR(AVERAGE(Data[[#This Row],[alappatjoe]:[currydestroyer27]]), "TBD")</f>
        <v>2.6</v>
      </c>
      <c r="G574" s="177">
        <f>IFERROR(_xlfn.STDEV.P(Data[[#This Row],[alappatjoe]:[currydestroyer27]]), "TBD")</f>
        <v>1.2</v>
      </c>
      <c r="H574" s="135" t="s">
        <v>1294</v>
      </c>
      <c r="I574" s="229" t="s">
        <v>1295</v>
      </c>
      <c r="J574" s="3">
        <v>4</v>
      </c>
      <c r="K574" s="3">
        <v>2</v>
      </c>
      <c r="L574" s="3">
        <v>1</v>
      </c>
      <c r="M574" s="3">
        <v>2</v>
      </c>
      <c r="N574" s="3">
        <v>4</v>
      </c>
      <c r="O574" s="238"/>
      <c r="P574" s="234"/>
      <c r="Q574" s="93"/>
      <c r="R5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74" s="93">
        <v>1</v>
      </c>
      <c r="T574" s="93" t="b">
        <f>Data[[#This Row],[Day Rank]]=Data[[#This Row],[W Rank]]</f>
        <v>0</v>
      </c>
      <c r="U574" s="336"/>
    </row>
    <row r="575" spans="1:21" ht="15" customHeight="1">
      <c r="A575" s="333"/>
      <c r="B575" s="326"/>
      <c r="C575" s="339"/>
      <c r="D575" s="81">
        <f>D572</f>
        <v>45670</v>
      </c>
      <c r="E575" s="140" t="str">
        <f>$M$1</f>
        <v>samuelbattista</v>
      </c>
      <c r="F575" s="8">
        <f>IFERROR(AVERAGE(Data[[#This Row],[alappatjoe]:[currydestroyer27]]), "TBD")</f>
        <v>2.8</v>
      </c>
      <c r="G575" s="177">
        <f>IFERROR(_xlfn.STDEV.P(Data[[#This Row],[alappatjoe]:[currydestroyer27]]), "TBD")</f>
        <v>1.4696938456699069</v>
      </c>
      <c r="H575" s="135" t="s">
        <v>1296</v>
      </c>
      <c r="I575" s="229" t="s">
        <v>235</v>
      </c>
      <c r="J575" s="3">
        <v>2</v>
      </c>
      <c r="K575" s="3">
        <v>4</v>
      </c>
      <c r="L575" s="3">
        <v>2</v>
      </c>
      <c r="M575" s="3">
        <v>1</v>
      </c>
      <c r="N575" s="3">
        <v>5</v>
      </c>
      <c r="O575" s="238"/>
      <c r="P575" s="234"/>
      <c r="Q575" s="93"/>
      <c r="R5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75" s="93">
        <v>1</v>
      </c>
      <c r="T575" s="93" t="b">
        <f>Data[[#This Row],[Day Rank]]=Data[[#This Row],[W Rank]]</f>
        <v>0</v>
      </c>
      <c r="U575" s="336"/>
    </row>
    <row r="576" spans="1:21" ht="15" customHeight="1" thickBot="1">
      <c r="A576" s="334"/>
      <c r="B576" s="327"/>
      <c r="C576" s="340"/>
      <c r="D576" s="82">
        <f>D572</f>
        <v>45670</v>
      </c>
      <c r="E576" s="182" t="str">
        <f>$N$1</f>
        <v>currydestroyer27</v>
      </c>
      <c r="F576" s="83">
        <f>IFERROR(AVERAGE(Data[[#This Row],[alappatjoe]:[currydestroyer27]]), "TBD")</f>
        <v>4</v>
      </c>
      <c r="G576" s="183">
        <f>IFERROR(_xlfn.STDEV.P(Data[[#This Row],[alappatjoe]:[currydestroyer27]]), "TBD")</f>
        <v>1.2649110640673518</v>
      </c>
      <c r="H576" s="184" t="s">
        <v>1297</v>
      </c>
      <c r="I576" s="185" t="s">
        <v>1298</v>
      </c>
      <c r="J576" s="22">
        <v>5</v>
      </c>
      <c r="K576" s="22">
        <v>5</v>
      </c>
      <c r="L576" s="22">
        <v>3</v>
      </c>
      <c r="M576" s="22">
        <v>5</v>
      </c>
      <c r="N576" s="22">
        <v>2</v>
      </c>
      <c r="O576" s="239"/>
      <c r="P576" s="235"/>
      <c r="Q576" s="94"/>
      <c r="R57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76" s="94">
        <v>1</v>
      </c>
      <c r="T576" s="94" t="b">
        <f>Data[[#This Row],[Day Rank]]=Data[[#This Row],[W Rank]]</f>
        <v>0</v>
      </c>
      <c r="U576" s="337"/>
    </row>
    <row r="577" spans="1:21" ht="15" customHeight="1">
      <c r="A577" s="332">
        <v>45671</v>
      </c>
      <c r="B577" s="325"/>
      <c r="C577" s="328" t="str" cm="1">
        <f t="array" ref="C577">_xlfn.LET(_xlpm.matches, _xlfn._xlws.FILTER(Data[Poster], (Data[Date]=A577)*(Data[Winner]=TRUE)), IF(ROWS(_xlpm.matches)&gt;1, "TIE", _xlpm.matches))</f>
        <v>danram</v>
      </c>
      <c r="D577" s="147">
        <f>A577</f>
        <v>45671</v>
      </c>
      <c r="E577" s="181" t="str">
        <f>$J$1</f>
        <v>alappatjoe</v>
      </c>
      <c r="F577" s="9">
        <f>IFERROR(AVERAGE(Data[[#This Row],[alappatjoe]:[currydestroyer27]]), "TBD")</f>
        <v>3.8</v>
      </c>
      <c r="G577" s="178">
        <f>IFERROR(_xlfn.STDEV.P(Data[[#This Row],[alappatjoe]:[currydestroyer27]]), "TBD")</f>
        <v>1.4696938456699069</v>
      </c>
      <c r="H577" s="160" t="s">
        <v>1299</v>
      </c>
      <c r="I577" s="186" t="s">
        <v>1300</v>
      </c>
      <c r="J577" s="3">
        <v>1</v>
      </c>
      <c r="K577" s="3">
        <v>4</v>
      </c>
      <c r="L577" s="3">
        <v>5</v>
      </c>
      <c r="M577" s="3">
        <v>4</v>
      </c>
      <c r="N577" s="3">
        <v>5</v>
      </c>
      <c r="O577" s="238"/>
      <c r="P577" s="234"/>
      <c r="Q577" s="93"/>
      <c r="R5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77" s="93">
        <v>1</v>
      </c>
      <c r="T577" s="93" t="b">
        <f>Data[[#This Row],[Day Rank]]=Data[[#This Row],[W Rank]]</f>
        <v>0</v>
      </c>
      <c r="U577" s="335"/>
    </row>
    <row r="578" spans="1:21" ht="15" customHeight="1">
      <c r="A578" s="333"/>
      <c r="B578" s="326"/>
      <c r="C578" s="329"/>
      <c r="D578" s="81">
        <f>D577</f>
        <v>45671</v>
      </c>
      <c r="E578" s="140" t="str">
        <f>$K$1</f>
        <v>danram</v>
      </c>
      <c r="F578" s="8">
        <f>IFERROR(AVERAGE(Data[[#This Row],[alappatjoe]:[currydestroyer27]]), "TBD")</f>
        <v>2.4</v>
      </c>
      <c r="G578" s="177">
        <f>IFERROR(_xlfn.STDEV.P(Data[[#This Row],[alappatjoe]:[currydestroyer27]]), "TBD")</f>
        <v>1.019803902718557</v>
      </c>
      <c r="H578" s="135" t="s">
        <v>1301</v>
      </c>
      <c r="I578" s="229" t="s">
        <v>1302</v>
      </c>
      <c r="J578" s="3">
        <v>2</v>
      </c>
      <c r="K578" s="3">
        <v>1</v>
      </c>
      <c r="L578" s="3">
        <v>3</v>
      </c>
      <c r="M578" s="3">
        <v>2</v>
      </c>
      <c r="N578" s="3">
        <v>4</v>
      </c>
      <c r="O578" s="238"/>
      <c r="P578" s="234"/>
      <c r="Q578" s="93"/>
      <c r="R5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78" s="93">
        <v>1</v>
      </c>
      <c r="T578" s="93" t="b">
        <f>Data[[#This Row],[Day Rank]]=Data[[#This Row],[W Rank]]</f>
        <v>1</v>
      </c>
      <c r="U578" s="336"/>
    </row>
    <row r="579" spans="1:21" ht="15" customHeight="1">
      <c r="A579" s="333"/>
      <c r="B579" s="326"/>
      <c r="C579" s="329"/>
      <c r="D579" s="81">
        <f>D577</f>
        <v>45671</v>
      </c>
      <c r="E579" s="140" t="str">
        <f>$L$1</f>
        <v>loganworsdell</v>
      </c>
      <c r="F579" s="8">
        <f>IFERROR(AVERAGE(Data[[#This Row],[alappatjoe]:[currydestroyer27]]), "TBD")</f>
        <v>2.6</v>
      </c>
      <c r="G579" s="177">
        <f>IFERROR(_xlfn.STDEV.P(Data[[#This Row],[alappatjoe]:[currydestroyer27]]), "TBD")</f>
        <v>0.8</v>
      </c>
      <c r="H579" s="135" t="s">
        <v>1303</v>
      </c>
      <c r="I579" s="229" t="s">
        <v>1304</v>
      </c>
      <c r="J579" s="3">
        <v>4</v>
      </c>
      <c r="K579" s="3">
        <v>2</v>
      </c>
      <c r="L579" s="3">
        <v>2</v>
      </c>
      <c r="M579" s="3">
        <v>3</v>
      </c>
      <c r="N579" s="3">
        <v>2</v>
      </c>
      <c r="O579" s="238"/>
      <c r="P579" s="234"/>
      <c r="Q579" s="93"/>
      <c r="R5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79" s="93">
        <v>1</v>
      </c>
      <c r="T579" s="93" t="b">
        <f>Data[[#This Row],[Day Rank]]=Data[[#This Row],[W Rank]]</f>
        <v>0</v>
      </c>
      <c r="U579" s="336"/>
    </row>
    <row r="580" spans="1:21" ht="15" customHeight="1">
      <c r="A580" s="333"/>
      <c r="B580" s="326"/>
      <c r="C580" s="329"/>
      <c r="D580" s="81">
        <f>D577</f>
        <v>45671</v>
      </c>
      <c r="E580" s="140" t="str">
        <f>$M$1</f>
        <v>samuelbattista</v>
      </c>
      <c r="F580" s="8">
        <f>IFERROR(AVERAGE(Data[[#This Row],[alappatjoe]:[currydestroyer27]]), "TBD")</f>
        <v>2.8</v>
      </c>
      <c r="G580" s="177">
        <f>IFERROR(_xlfn.STDEV.P(Data[[#This Row],[alappatjoe]:[currydestroyer27]]), "TBD")</f>
        <v>0.9797958971132712</v>
      </c>
      <c r="H580" s="135" t="s">
        <v>1305</v>
      </c>
      <c r="I580" s="229" t="s">
        <v>1110</v>
      </c>
      <c r="J580" s="3">
        <v>3</v>
      </c>
      <c r="K580" s="3">
        <v>3</v>
      </c>
      <c r="L580" s="3">
        <v>4</v>
      </c>
      <c r="M580" s="3">
        <v>1</v>
      </c>
      <c r="N580" s="3">
        <v>3</v>
      </c>
      <c r="O580" s="238"/>
      <c r="P580" s="234"/>
      <c r="Q580" s="93"/>
      <c r="R5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80" s="93">
        <v>1</v>
      </c>
      <c r="T580" s="93" t="b">
        <f>Data[[#This Row],[Day Rank]]=Data[[#This Row],[W Rank]]</f>
        <v>0</v>
      </c>
      <c r="U580" s="336"/>
    </row>
    <row r="581" spans="1:21" ht="15" customHeight="1" thickBot="1">
      <c r="A581" s="334"/>
      <c r="B581" s="327"/>
      <c r="C581" s="330"/>
      <c r="D581" s="82">
        <f>D577</f>
        <v>45671</v>
      </c>
      <c r="E581" s="182" t="str">
        <f>$N$1</f>
        <v>currydestroyer27</v>
      </c>
      <c r="F581" s="83">
        <f>IFERROR(AVERAGE(Data[[#This Row],[alappatjoe]:[currydestroyer27]]), "TBD")</f>
        <v>3.4</v>
      </c>
      <c r="G581" s="183">
        <f>IFERROR(_xlfn.STDEV.P(Data[[#This Row],[alappatjoe]:[currydestroyer27]]), "TBD")</f>
        <v>1.9595917942265424</v>
      </c>
      <c r="H581" s="184" t="s">
        <v>1306</v>
      </c>
      <c r="I581" s="185" t="s">
        <v>1307</v>
      </c>
      <c r="J581" s="22">
        <v>5</v>
      </c>
      <c r="K581" s="22">
        <v>5</v>
      </c>
      <c r="L581" s="22">
        <v>1</v>
      </c>
      <c r="M581" s="22">
        <v>5</v>
      </c>
      <c r="N581" s="22">
        <v>1</v>
      </c>
      <c r="O581" s="239"/>
      <c r="P581" s="235"/>
      <c r="Q581" s="94"/>
      <c r="R581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81" s="94">
        <v>1</v>
      </c>
      <c r="T581" s="94" t="b">
        <f>Data[[#This Row],[Day Rank]]=Data[[#This Row],[W Rank]]</f>
        <v>0</v>
      </c>
      <c r="U581" s="337"/>
    </row>
    <row r="582" spans="1:21" ht="15" customHeight="1">
      <c r="A582" s="332">
        <v>45672</v>
      </c>
      <c r="B582" s="325"/>
      <c r="C582" s="338" t="str" cm="1">
        <f t="array" ref="C582">_xlfn.LET(_xlpm.matches, _xlfn._xlws.FILTER(Data[Poster], (Data[Date]=A582)*(Data[Winner]=TRUE)), IF(ROWS(_xlpm.matches)&gt;1, "TIE", _xlpm.matches))</f>
        <v>currydestroyer27</v>
      </c>
      <c r="D582" s="147">
        <f>A582</f>
        <v>45672</v>
      </c>
      <c r="E582" s="181" t="str">
        <f>$J$1</f>
        <v>alappatjoe</v>
      </c>
      <c r="F582" s="9">
        <f>IFERROR(AVERAGE(Data[[#This Row],[alappatjoe]:[currydestroyer27]]), "TBD")</f>
        <v>3.4</v>
      </c>
      <c r="G582" s="178">
        <f>IFERROR(_xlfn.STDEV.P(Data[[#This Row],[alappatjoe]:[currydestroyer27]]), "TBD")</f>
        <v>1.6248076809271921</v>
      </c>
      <c r="H582" s="160" t="s">
        <v>1308</v>
      </c>
      <c r="I582" s="186" t="s">
        <v>122</v>
      </c>
      <c r="J582" s="3">
        <v>1</v>
      </c>
      <c r="K582" s="3">
        <v>5</v>
      </c>
      <c r="L582" s="3">
        <v>4</v>
      </c>
      <c r="M582" s="3">
        <v>5</v>
      </c>
      <c r="N582" s="3">
        <v>2</v>
      </c>
      <c r="O582" s="238"/>
      <c r="P582" s="234"/>
      <c r="Q582" s="93"/>
      <c r="R5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82" s="93">
        <v>1</v>
      </c>
      <c r="T582" s="93" t="b">
        <f>Data[[#This Row],[Day Rank]]=Data[[#This Row],[W Rank]]</f>
        <v>0</v>
      </c>
      <c r="U582" s="335"/>
    </row>
    <row r="583" spans="1:21" ht="15" customHeight="1">
      <c r="A583" s="333"/>
      <c r="B583" s="326"/>
      <c r="C583" s="339"/>
      <c r="D583" s="81">
        <f>D582</f>
        <v>45672</v>
      </c>
      <c r="E583" s="140" t="str">
        <f>$K$1</f>
        <v>danram</v>
      </c>
      <c r="F583" s="8">
        <f>IFERROR(AVERAGE(Data[[#This Row],[alappatjoe]:[currydestroyer27]]), "TBD")</f>
        <v>3.2</v>
      </c>
      <c r="G583" s="177">
        <f>IFERROR(_xlfn.STDEV.P(Data[[#This Row],[alappatjoe]:[currydestroyer27]]), "TBD")</f>
        <v>1.3266499161421599</v>
      </c>
      <c r="H583" s="135" t="s">
        <v>1309</v>
      </c>
      <c r="I583" s="229" t="s">
        <v>1310</v>
      </c>
      <c r="J583" s="3">
        <v>4</v>
      </c>
      <c r="K583" s="3">
        <v>1</v>
      </c>
      <c r="L583" s="3">
        <v>5</v>
      </c>
      <c r="M583" s="3">
        <v>3</v>
      </c>
      <c r="N583" s="3">
        <v>3</v>
      </c>
      <c r="O583" s="238"/>
      <c r="P583" s="234"/>
      <c r="Q583" s="93"/>
      <c r="R5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83" s="93">
        <v>1</v>
      </c>
      <c r="T583" s="93" t="b">
        <f>Data[[#This Row],[Day Rank]]=Data[[#This Row],[W Rank]]</f>
        <v>0</v>
      </c>
      <c r="U583" s="336"/>
    </row>
    <row r="584" spans="1:21" ht="15" customHeight="1">
      <c r="A584" s="333"/>
      <c r="B584" s="326"/>
      <c r="C584" s="339"/>
      <c r="D584" s="81">
        <f>D582</f>
        <v>45672</v>
      </c>
      <c r="E584" s="140" t="str">
        <f>$L$1</f>
        <v>loganworsdell</v>
      </c>
      <c r="F584" s="8">
        <f>IFERROR(AVERAGE(Data[[#This Row],[alappatjoe]:[currydestroyer27]]), "TBD")</f>
        <v>3.4</v>
      </c>
      <c r="G584" s="177">
        <f>IFERROR(_xlfn.STDEV.P(Data[[#This Row],[alappatjoe]:[currydestroyer27]]), "TBD")</f>
        <v>1.3564659966250536</v>
      </c>
      <c r="H584" s="135" t="s">
        <v>1311</v>
      </c>
      <c r="I584" s="229" t="s">
        <v>1312</v>
      </c>
      <c r="J584" s="3">
        <v>5</v>
      </c>
      <c r="K584" s="3">
        <v>2</v>
      </c>
      <c r="L584" s="3">
        <v>3</v>
      </c>
      <c r="M584" s="3">
        <v>2</v>
      </c>
      <c r="N584" s="3">
        <v>5</v>
      </c>
      <c r="O584" s="238"/>
      <c r="P584" s="234"/>
      <c r="Q584" s="93"/>
      <c r="R5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84" s="93">
        <v>1</v>
      </c>
      <c r="T584" s="93" t="b">
        <f>Data[[#This Row],[Day Rank]]=Data[[#This Row],[W Rank]]</f>
        <v>0</v>
      </c>
      <c r="U584" s="336"/>
    </row>
    <row r="585" spans="1:21" ht="15" customHeight="1">
      <c r="A585" s="333"/>
      <c r="B585" s="326"/>
      <c r="C585" s="339"/>
      <c r="D585" s="81">
        <f>D582</f>
        <v>45672</v>
      </c>
      <c r="E585" s="140" t="str">
        <f>$M$1</f>
        <v>samuelbattista</v>
      </c>
      <c r="F585" s="8">
        <f>IFERROR(AVERAGE(Data[[#This Row],[alappatjoe]:[currydestroyer27]]), "TBD")</f>
        <v>2.6</v>
      </c>
      <c r="G585" s="177">
        <f>IFERROR(_xlfn.STDEV.P(Data[[#This Row],[alappatjoe]:[currydestroyer27]]), "TBD")</f>
        <v>1.019803902718557</v>
      </c>
      <c r="H585" s="135" t="s">
        <v>1313</v>
      </c>
      <c r="I585" s="229" t="s">
        <v>117</v>
      </c>
      <c r="J585" s="3">
        <v>3</v>
      </c>
      <c r="K585" s="3">
        <v>3</v>
      </c>
      <c r="L585" s="3">
        <v>2</v>
      </c>
      <c r="M585" s="3">
        <v>1</v>
      </c>
      <c r="N585" s="3">
        <v>4</v>
      </c>
      <c r="O585" s="238"/>
      <c r="P585" s="234"/>
      <c r="Q585" s="93"/>
      <c r="R5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85" s="93">
        <v>1</v>
      </c>
      <c r="T585" s="93" t="b">
        <f>Data[[#This Row],[Day Rank]]=Data[[#This Row],[W Rank]]</f>
        <v>0</v>
      </c>
      <c r="U585" s="336"/>
    </row>
    <row r="586" spans="1:21" ht="15" customHeight="1" thickBot="1">
      <c r="A586" s="334"/>
      <c r="B586" s="327"/>
      <c r="C586" s="340"/>
      <c r="D586" s="82">
        <f>D582</f>
        <v>45672</v>
      </c>
      <c r="E586" s="182" t="str">
        <f>$N$1</f>
        <v>currydestroyer27</v>
      </c>
      <c r="F586" s="83">
        <f>IFERROR(AVERAGE(Data[[#This Row],[alappatjoe]:[currydestroyer27]]), "TBD")</f>
        <v>2.4</v>
      </c>
      <c r="G586" s="183">
        <f>IFERROR(_xlfn.STDEV.P(Data[[#This Row],[alappatjoe]:[currydestroyer27]]), "TBD")</f>
        <v>1.3564659966250536</v>
      </c>
      <c r="H586" s="184" t="s">
        <v>1314</v>
      </c>
      <c r="I586" s="185" t="s">
        <v>1315</v>
      </c>
      <c r="J586" s="22">
        <v>2</v>
      </c>
      <c r="K586" s="22">
        <v>4</v>
      </c>
      <c r="L586" s="22">
        <v>1</v>
      </c>
      <c r="M586" s="22">
        <v>4</v>
      </c>
      <c r="N586" s="22">
        <v>1</v>
      </c>
      <c r="O586" s="239"/>
      <c r="P586" s="235"/>
      <c r="Q586" s="94"/>
      <c r="R586" s="94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86" s="94">
        <v>1</v>
      </c>
      <c r="T586" s="94" t="b">
        <f>Data[[#This Row],[Day Rank]]=Data[[#This Row],[W Rank]]</f>
        <v>1</v>
      </c>
      <c r="U586" s="337"/>
    </row>
    <row r="587" spans="1:21" ht="15" customHeight="1">
      <c r="A587" s="332">
        <v>45673</v>
      </c>
      <c r="B587" s="325"/>
      <c r="C587" s="328" t="str" cm="1">
        <f t="array" ref="C587">_xlfn.LET(_xlpm.matches, _xlfn._xlws.FILTER(Data[Poster], (Data[Date]=A587)*(Data[Winner]=TRUE)), IF(ROWS(_xlpm.matches)&gt;1, "TIE", _xlpm.matches))</f>
        <v>danram</v>
      </c>
      <c r="D587" s="80">
        <f>A587</f>
        <v>45673</v>
      </c>
      <c r="E587" s="214" t="str">
        <f>$J$1</f>
        <v>alappatjoe</v>
      </c>
      <c r="F587" s="84">
        <f>IFERROR(AVERAGE(Data[[#This Row],[alappatjoe]:[currydestroyer27]]), "TBD")</f>
        <v>2.8</v>
      </c>
      <c r="G587" s="261">
        <f>IFERROR(_xlfn.STDEV.P(Data[[#This Row],[alappatjoe]:[currydestroyer27]]), "TBD")</f>
        <v>1.1661903789690602</v>
      </c>
      <c r="H587" s="263" t="s">
        <v>1316</v>
      </c>
      <c r="I587" s="265" t="s">
        <v>1317</v>
      </c>
      <c r="J587" s="23">
        <v>1</v>
      </c>
      <c r="K587" s="23">
        <v>2</v>
      </c>
      <c r="L587" s="23">
        <v>3</v>
      </c>
      <c r="M587" s="23">
        <v>4</v>
      </c>
      <c r="N587" s="23">
        <v>4</v>
      </c>
      <c r="O587" s="240"/>
      <c r="P587" s="233"/>
      <c r="Q587" s="92"/>
      <c r="R587" s="92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87" s="92">
        <v>1</v>
      </c>
      <c r="T587" s="92" t="b">
        <f>Data[[#This Row],[Day Rank]]=Data[[#This Row],[W Rank]]</f>
        <v>0</v>
      </c>
      <c r="U587" s="335" t="s">
        <v>1318</v>
      </c>
    </row>
    <row r="588" spans="1:21" ht="15" customHeight="1">
      <c r="A588" s="333"/>
      <c r="B588" s="326"/>
      <c r="C588" s="329"/>
      <c r="D588" s="81">
        <f>D587</f>
        <v>45673</v>
      </c>
      <c r="E588" s="140" t="str">
        <f>$K$1</f>
        <v>danram</v>
      </c>
      <c r="F588" s="8">
        <f>IFERROR(AVERAGE(Data[[#This Row],[alappatjoe]:[currydestroyer27]]), "TBD")</f>
        <v>2.4</v>
      </c>
      <c r="G588" s="177">
        <f>IFERROR(_xlfn.STDEV.P(Data[[#This Row],[alappatjoe]:[currydestroyer27]]), "TBD")</f>
        <v>1.2</v>
      </c>
      <c r="H588" s="135" t="s">
        <v>1319</v>
      </c>
      <c r="I588" s="229" t="s">
        <v>373</v>
      </c>
      <c r="J588" s="3">
        <v>3</v>
      </c>
      <c r="K588" s="3">
        <v>1</v>
      </c>
      <c r="L588" s="3">
        <v>4</v>
      </c>
      <c r="M588" s="3">
        <v>1</v>
      </c>
      <c r="N588" s="3">
        <v>3</v>
      </c>
      <c r="O588" s="238"/>
      <c r="P588" s="234"/>
      <c r="Q588" s="93"/>
      <c r="R5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88" s="93">
        <v>1</v>
      </c>
      <c r="T588" s="93" t="b">
        <f>Data[[#This Row],[Day Rank]]=Data[[#This Row],[W Rank]]</f>
        <v>1</v>
      </c>
      <c r="U588" s="336"/>
    </row>
    <row r="589" spans="1:21" ht="15" customHeight="1">
      <c r="A589" s="333"/>
      <c r="B589" s="326"/>
      <c r="C589" s="329"/>
      <c r="D589" s="81">
        <f>D587</f>
        <v>45673</v>
      </c>
      <c r="E589" s="140" t="str">
        <f>$L$1</f>
        <v>loganworsdell</v>
      </c>
      <c r="F589" s="8">
        <f>IFERROR(AVERAGE(Data[[#This Row],[alappatjoe]:[currydestroyer27]]), "TBD")</f>
        <v>2.8</v>
      </c>
      <c r="G589" s="177">
        <f>IFERROR(_xlfn.STDEV.P(Data[[#This Row],[alappatjoe]:[currydestroyer27]]), "TBD")</f>
        <v>1.4696938456699069</v>
      </c>
      <c r="H589" s="135" t="s">
        <v>1320</v>
      </c>
      <c r="I589" s="229" t="s">
        <v>1321</v>
      </c>
      <c r="J589" s="3">
        <v>2</v>
      </c>
      <c r="K589" s="3">
        <v>4</v>
      </c>
      <c r="L589" s="3">
        <v>1</v>
      </c>
      <c r="M589" s="3">
        <v>5</v>
      </c>
      <c r="N589" s="3">
        <v>2</v>
      </c>
      <c r="O589" s="238"/>
      <c r="P589" s="234"/>
      <c r="Q589" s="93"/>
      <c r="R5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89" s="93">
        <v>1</v>
      </c>
      <c r="T589" s="93" t="b">
        <f>Data[[#This Row],[Day Rank]]=Data[[#This Row],[W Rank]]</f>
        <v>0</v>
      </c>
      <c r="U589" s="336"/>
    </row>
    <row r="590" spans="1:21" ht="15" customHeight="1">
      <c r="A590" s="333"/>
      <c r="B590" s="326"/>
      <c r="C590" s="329"/>
      <c r="D590" s="81">
        <f>D587</f>
        <v>45673</v>
      </c>
      <c r="E590" s="140" t="str">
        <f>$M$1</f>
        <v>samuelbattista</v>
      </c>
      <c r="F590" s="8">
        <f>IFERROR(AVERAGE(Data[[#This Row],[alappatjoe]:[currydestroyer27]]), "TBD")</f>
        <v>4.4000000000000004</v>
      </c>
      <c r="G590" s="177">
        <f>IFERROR(_xlfn.STDEV.P(Data[[#This Row],[alappatjoe]:[currydestroyer27]]), "TBD")</f>
        <v>1.2</v>
      </c>
      <c r="H590" s="135" t="s">
        <v>1322</v>
      </c>
      <c r="I590" s="229" t="s">
        <v>1323</v>
      </c>
      <c r="J590" s="3">
        <v>5</v>
      </c>
      <c r="K590" s="3">
        <v>5</v>
      </c>
      <c r="L590" s="3">
        <v>5</v>
      </c>
      <c r="M590" s="3">
        <v>2</v>
      </c>
      <c r="N590" s="3">
        <v>5</v>
      </c>
      <c r="O590" s="238"/>
      <c r="P590" s="234"/>
      <c r="Q590" s="93"/>
      <c r="R5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90" s="93">
        <v>1</v>
      </c>
      <c r="T590" s="93" t="b">
        <f>Data[[#This Row],[Day Rank]]=Data[[#This Row],[W Rank]]</f>
        <v>0</v>
      </c>
      <c r="U590" s="336"/>
    </row>
    <row r="591" spans="1:21" ht="15" customHeight="1" thickBot="1">
      <c r="A591" s="342"/>
      <c r="B591" s="343"/>
      <c r="C591" s="330"/>
      <c r="D591" s="164">
        <f>D587</f>
        <v>45673</v>
      </c>
      <c r="E591" s="215" t="str">
        <f>$N$1</f>
        <v>currydestroyer27</v>
      </c>
      <c r="F591" s="165">
        <f>IFERROR(AVERAGE(Data[[#This Row],[alappatjoe]:[currydestroyer27]]), "TBD")</f>
        <v>2.6</v>
      </c>
      <c r="G591" s="256">
        <f>IFERROR(_xlfn.STDEV.P(Data[[#This Row],[alappatjoe]:[currydestroyer27]]), "TBD")</f>
        <v>1.019803902718557</v>
      </c>
      <c r="H591" s="227" t="s">
        <v>1324</v>
      </c>
      <c r="I591" s="257" t="s">
        <v>1325</v>
      </c>
      <c r="J591" s="166">
        <v>4</v>
      </c>
      <c r="K591" s="166">
        <v>3</v>
      </c>
      <c r="L591" s="166">
        <v>2</v>
      </c>
      <c r="M591" s="166">
        <v>3</v>
      </c>
      <c r="N591" s="166">
        <v>1</v>
      </c>
      <c r="O591" s="242"/>
      <c r="P591" s="237"/>
      <c r="Q591" s="167"/>
      <c r="R59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91" s="167">
        <v>1</v>
      </c>
      <c r="T591" s="167" t="b">
        <f>Data[[#This Row],[Day Rank]]=Data[[#This Row],[W Rank]]</f>
        <v>0</v>
      </c>
      <c r="U591" s="341"/>
    </row>
    <row r="592" spans="1:21" ht="15" customHeight="1">
      <c r="A592" s="333">
        <v>45677</v>
      </c>
      <c r="B592" s="326"/>
      <c r="C592" s="338" t="str" cm="1">
        <f t="array" ref="C592">_xlfn.LET(_xlpm.matches, _xlfn._xlws.FILTER(Data[Poster], (Data[Date]=A592)*(Data[Winner]=TRUE)), IF(ROWS(_xlpm.matches)&gt;1, "TIE", _xlpm.matches))</f>
        <v>samuelbattista</v>
      </c>
      <c r="D592" s="147">
        <f>A592</f>
        <v>45677</v>
      </c>
      <c r="E592" s="181" t="str">
        <f>$J$1</f>
        <v>alappatjoe</v>
      </c>
      <c r="F592" s="9">
        <f>IFERROR(AVERAGE(Data[[#This Row],[alappatjoe]:[currydestroyer27]]), "TBD")</f>
        <v>3.2</v>
      </c>
      <c r="G592" s="178">
        <f>IFERROR(_xlfn.STDEV.P(Data[[#This Row],[alappatjoe]:[currydestroyer27]]), "TBD")</f>
        <v>1.6</v>
      </c>
      <c r="H592" s="160" t="s">
        <v>1326</v>
      </c>
      <c r="I592" s="186" t="s">
        <v>998</v>
      </c>
      <c r="J592" s="3">
        <v>1</v>
      </c>
      <c r="K592" s="3">
        <v>3</v>
      </c>
      <c r="L592" s="3">
        <v>5</v>
      </c>
      <c r="M592" s="3">
        <v>2</v>
      </c>
      <c r="N592" s="3">
        <v>5</v>
      </c>
      <c r="O592" s="238"/>
      <c r="P592" s="234"/>
      <c r="Q592" s="93"/>
      <c r="R5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592" s="93">
        <v>1</v>
      </c>
      <c r="T592" s="93" t="b">
        <f>Data[[#This Row],[Day Rank]]=Data[[#This Row],[W Rank]]</f>
        <v>0</v>
      </c>
      <c r="U592" s="336"/>
    </row>
    <row r="593" spans="1:21" ht="15" customHeight="1">
      <c r="A593" s="333"/>
      <c r="B593" s="326"/>
      <c r="C593" s="339"/>
      <c r="D593" s="81">
        <f>D592</f>
        <v>45677</v>
      </c>
      <c r="E593" s="140" t="str">
        <f>$K$1</f>
        <v>danram</v>
      </c>
      <c r="F593" s="8">
        <f>IFERROR(AVERAGE(Data[[#This Row],[alappatjoe]:[currydestroyer27]]), "TBD")</f>
        <v>2.8</v>
      </c>
      <c r="G593" s="177">
        <f>IFERROR(_xlfn.STDEV.P(Data[[#This Row],[alappatjoe]:[currydestroyer27]]), "TBD")</f>
        <v>0.9797958971132712</v>
      </c>
      <c r="H593" s="135" t="s">
        <v>1327</v>
      </c>
      <c r="I593" s="229" t="s">
        <v>1328</v>
      </c>
      <c r="J593" s="3">
        <v>3</v>
      </c>
      <c r="K593" s="3">
        <v>1</v>
      </c>
      <c r="L593" s="3">
        <v>3</v>
      </c>
      <c r="M593" s="3">
        <v>4</v>
      </c>
      <c r="N593" s="3">
        <v>3</v>
      </c>
      <c r="O593" s="238"/>
      <c r="P593" s="234"/>
      <c r="Q593" s="93"/>
      <c r="R5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93" s="93">
        <v>1</v>
      </c>
      <c r="T593" s="93" t="b">
        <f>Data[[#This Row],[Day Rank]]=Data[[#This Row],[W Rank]]</f>
        <v>0</v>
      </c>
      <c r="U593" s="336"/>
    </row>
    <row r="594" spans="1:21" ht="15" customHeight="1">
      <c r="A594" s="333"/>
      <c r="B594" s="326"/>
      <c r="C594" s="339"/>
      <c r="D594" s="81">
        <f>D592</f>
        <v>45677</v>
      </c>
      <c r="E594" s="140" t="str">
        <f>$L$1</f>
        <v>loganworsdell</v>
      </c>
      <c r="F594" s="8">
        <f>IFERROR(AVERAGE(Data[[#This Row],[alappatjoe]:[currydestroyer27]]), "TBD")</f>
        <v>2.8</v>
      </c>
      <c r="G594" s="177">
        <f>IFERROR(_xlfn.STDEV.P(Data[[#This Row],[alappatjoe]:[currydestroyer27]]), "TBD")</f>
        <v>1.1661903789690602</v>
      </c>
      <c r="H594" s="135" t="s">
        <v>1329</v>
      </c>
      <c r="I594" s="229" t="s">
        <v>1330</v>
      </c>
      <c r="J594" s="3">
        <v>4</v>
      </c>
      <c r="K594" s="3">
        <v>4</v>
      </c>
      <c r="L594" s="3">
        <v>1</v>
      </c>
      <c r="M594" s="3">
        <v>3</v>
      </c>
      <c r="N594" s="3">
        <v>2</v>
      </c>
      <c r="O594" s="238"/>
      <c r="P594" s="234"/>
      <c r="Q594" s="93"/>
      <c r="R5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94" s="93">
        <v>1</v>
      </c>
      <c r="T594" s="93" t="b">
        <f>Data[[#This Row],[Day Rank]]=Data[[#This Row],[W Rank]]</f>
        <v>0</v>
      </c>
      <c r="U594" s="336"/>
    </row>
    <row r="595" spans="1:21" ht="15" customHeight="1">
      <c r="A595" s="333"/>
      <c r="B595" s="326"/>
      <c r="C595" s="339"/>
      <c r="D595" s="81">
        <f>D592</f>
        <v>45677</v>
      </c>
      <c r="E595" s="140" t="str">
        <f>$M$1</f>
        <v>samuelbattista</v>
      </c>
      <c r="F595" s="8">
        <f>IFERROR(AVERAGE(Data[[#This Row],[alappatjoe]:[currydestroyer27]]), "TBD")</f>
        <v>2.6</v>
      </c>
      <c r="G595" s="177">
        <f>IFERROR(_xlfn.STDEV.P(Data[[#This Row],[alappatjoe]:[currydestroyer27]]), "TBD")</f>
        <v>1.2</v>
      </c>
      <c r="H595" s="135" t="s">
        <v>1331</v>
      </c>
      <c r="I595" s="229" t="s">
        <v>1332</v>
      </c>
      <c r="J595" s="3">
        <v>2</v>
      </c>
      <c r="K595" s="3">
        <v>2</v>
      </c>
      <c r="L595" s="3">
        <v>4</v>
      </c>
      <c r="M595" s="3">
        <v>1</v>
      </c>
      <c r="N595" s="3">
        <v>4</v>
      </c>
      <c r="O595" s="238"/>
      <c r="P595" s="234"/>
      <c r="Q595" s="93"/>
      <c r="R5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95" s="93">
        <v>1</v>
      </c>
      <c r="T595" s="93" t="b">
        <f>Data[[#This Row],[Day Rank]]=Data[[#This Row],[W Rank]]</f>
        <v>1</v>
      </c>
      <c r="U595" s="336"/>
    </row>
    <row r="596" spans="1:21" ht="15" customHeight="1" thickBot="1">
      <c r="A596" s="334"/>
      <c r="B596" s="327"/>
      <c r="C596" s="340"/>
      <c r="D596" s="164">
        <f>D592</f>
        <v>45677</v>
      </c>
      <c r="E596" s="215" t="str">
        <f>$N$1</f>
        <v>currydestroyer27</v>
      </c>
      <c r="F596" s="165">
        <f>IFERROR(AVERAGE(Data[[#This Row],[alappatjoe]:[currydestroyer27]]), "TBD")</f>
        <v>3.6</v>
      </c>
      <c r="G596" s="256">
        <f>IFERROR(_xlfn.STDEV.P(Data[[#This Row],[alappatjoe]:[currydestroyer27]]), "TBD")</f>
        <v>1.7435595774162693</v>
      </c>
      <c r="H596" s="227" t="s">
        <v>1333</v>
      </c>
      <c r="I596" s="257" t="s">
        <v>1334</v>
      </c>
      <c r="J596" s="166">
        <v>5</v>
      </c>
      <c r="K596" s="166">
        <v>5</v>
      </c>
      <c r="L596" s="166">
        <v>2</v>
      </c>
      <c r="M596" s="166">
        <v>5</v>
      </c>
      <c r="N596" s="166">
        <v>1</v>
      </c>
      <c r="O596" s="242"/>
      <c r="P596" s="237"/>
      <c r="Q596" s="167"/>
      <c r="R59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596" s="167">
        <v>1</v>
      </c>
      <c r="T596" s="167" t="b">
        <f>Data[[#This Row],[Day Rank]]=Data[[#This Row],[W Rank]]</f>
        <v>0</v>
      </c>
      <c r="U596" s="337"/>
    </row>
    <row r="597" spans="1:21" ht="15" customHeight="1">
      <c r="A597" s="332">
        <v>45678</v>
      </c>
      <c r="B597" s="325"/>
      <c r="C597" s="328" t="str" cm="1">
        <f t="array" ref="C597">_xlfn.LET(_xlpm.matches, _xlfn._xlws.FILTER(Data[Poster], (Data[Date]=A597)*(Data[Winner]=TRUE)), IF(ROWS(_xlpm.matches)&gt;1, "TIE", _xlpm.matches))</f>
        <v>loganworsdell</v>
      </c>
      <c r="D597" s="147">
        <f>A597</f>
        <v>45678</v>
      </c>
      <c r="E597" s="181" t="str">
        <f>$J$1</f>
        <v>alappatjoe</v>
      </c>
      <c r="F597" s="9">
        <f>IFERROR(AVERAGE(Data[[#This Row],[alappatjoe]:[currydestroyer27]]), "TBD")</f>
        <v>3</v>
      </c>
      <c r="G597" s="178">
        <f>IFERROR(_xlfn.STDEV.P(Data[[#This Row],[alappatjoe]:[currydestroyer27]]), "TBD")</f>
        <v>1.2649110640673518</v>
      </c>
      <c r="H597" s="160" t="s">
        <v>1335</v>
      </c>
      <c r="I597" s="186" t="s">
        <v>1336</v>
      </c>
      <c r="J597" s="3">
        <v>1</v>
      </c>
      <c r="K597" s="3">
        <v>4</v>
      </c>
      <c r="L597" s="3">
        <v>4</v>
      </c>
      <c r="M597" s="3">
        <v>2</v>
      </c>
      <c r="N597" s="3">
        <v>4</v>
      </c>
      <c r="O597" s="238"/>
      <c r="P597" s="234"/>
      <c r="Q597" s="93"/>
      <c r="R5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597" s="93">
        <v>1</v>
      </c>
      <c r="T597" s="93" t="b">
        <f>Data[[#This Row],[Day Rank]]=Data[[#This Row],[W Rank]]</f>
        <v>0</v>
      </c>
      <c r="U597" s="335"/>
    </row>
    <row r="598" spans="1:21" ht="15" customHeight="1">
      <c r="A598" s="333"/>
      <c r="B598" s="326"/>
      <c r="C598" s="329"/>
      <c r="D598" s="81">
        <f>D597</f>
        <v>45678</v>
      </c>
      <c r="E598" s="140" t="str">
        <f>$K$1</f>
        <v>danram</v>
      </c>
      <c r="F598" s="8">
        <f>IFERROR(AVERAGE(Data[[#This Row],[alappatjoe]:[currydestroyer27]]), "TBD")</f>
        <v>2.6</v>
      </c>
      <c r="G598" s="177">
        <f>IFERROR(_xlfn.STDEV.P(Data[[#This Row],[alappatjoe]:[currydestroyer27]]), "TBD")</f>
        <v>1.019803902718557</v>
      </c>
      <c r="H598" s="135" t="s">
        <v>1337</v>
      </c>
      <c r="I598" s="229" t="s">
        <v>1338</v>
      </c>
      <c r="J598" s="3">
        <v>4</v>
      </c>
      <c r="K598" s="3">
        <v>1</v>
      </c>
      <c r="L598" s="3">
        <v>2</v>
      </c>
      <c r="M598" s="3">
        <v>3</v>
      </c>
      <c r="N598" s="3">
        <v>3</v>
      </c>
      <c r="O598" s="238"/>
      <c r="P598" s="234"/>
      <c r="Q598" s="93"/>
      <c r="R5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598" s="93">
        <v>1</v>
      </c>
      <c r="T598" s="93" t="b">
        <f>Data[[#This Row],[Day Rank]]=Data[[#This Row],[W Rank]]</f>
        <v>0</v>
      </c>
      <c r="U598" s="336"/>
    </row>
    <row r="599" spans="1:21" ht="15" customHeight="1">
      <c r="A599" s="333"/>
      <c r="B599" s="326"/>
      <c r="C599" s="329"/>
      <c r="D599" s="81">
        <f>D597</f>
        <v>45678</v>
      </c>
      <c r="E599" s="140" t="str">
        <f>$L$1</f>
        <v>loganworsdell</v>
      </c>
      <c r="F599" s="8">
        <f>IFERROR(AVERAGE(Data[[#This Row],[alappatjoe]:[currydestroyer27]]), "TBD")</f>
        <v>2.2000000000000002</v>
      </c>
      <c r="G599" s="177">
        <f>IFERROR(_xlfn.STDEV.P(Data[[#This Row],[alappatjoe]:[currydestroyer27]]), "TBD")</f>
        <v>0.9797958971132712</v>
      </c>
      <c r="H599" s="135" t="s">
        <v>1339</v>
      </c>
      <c r="I599" s="229" t="s">
        <v>1340</v>
      </c>
      <c r="J599" s="3">
        <v>2</v>
      </c>
      <c r="K599" s="3">
        <v>2</v>
      </c>
      <c r="L599" s="3">
        <v>1</v>
      </c>
      <c r="M599" s="3">
        <v>4</v>
      </c>
      <c r="N599" s="3">
        <v>2</v>
      </c>
      <c r="O599" s="238"/>
      <c r="P599" s="234"/>
      <c r="Q599" s="93"/>
      <c r="R5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599" s="93">
        <v>1</v>
      </c>
      <c r="T599" s="93" t="b">
        <f>Data[[#This Row],[Day Rank]]=Data[[#This Row],[W Rank]]</f>
        <v>1</v>
      </c>
      <c r="U599" s="336"/>
    </row>
    <row r="600" spans="1:21" ht="15" customHeight="1">
      <c r="A600" s="333"/>
      <c r="B600" s="326"/>
      <c r="C600" s="329"/>
      <c r="D600" s="81">
        <f>D597</f>
        <v>45678</v>
      </c>
      <c r="E600" s="140" t="str">
        <f>$M$1</f>
        <v>samuelbattista</v>
      </c>
      <c r="F600" s="8">
        <f>IFERROR(AVERAGE(Data[[#This Row],[alappatjoe]:[currydestroyer27]]), "TBD")</f>
        <v>3.8</v>
      </c>
      <c r="G600" s="177">
        <f>IFERROR(_xlfn.STDEV.P(Data[[#This Row],[alappatjoe]:[currydestroyer27]]), "TBD")</f>
        <v>1.6</v>
      </c>
      <c r="H600" s="135" t="s">
        <v>1341</v>
      </c>
      <c r="I600" s="229" t="s">
        <v>1342</v>
      </c>
      <c r="J600" s="3">
        <v>5</v>
      </c>
      <c r="K600" s="3">
        <v>3</v>
      </c>
      <c r="L600" s="3">
        <v>5</v>
      </c>
      <c r="M600" s="3">
        <v>1</v>
      </c>
      <c r="N600" s="3">
        <v>5</v>
      </c>
      <c r="O600" s="238"/>
      <c r="P600" s="234"/>
      <c r="Q600" s="93"/>
      <c r="R6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00" s="93">
        <v>1</v>
      </c>
      <c r="T600" s="93" t="b">
        <f>Data[[#This Row],[Day Rank]]=Data[[#This Row],[W Rank]]</f>
        <v>0</v>
      </c>
      <c r="U600" s="336"/>
    </row>
    <row r="601" spans="1:21" ht="15" customHeight="1" thickBot="1">
      <c r="A601" s="334"/>
      <c r="B601" s="327"/>
      <c r="C601" s="330"/>
      <c r="D601" s="164">
        <f>D597</f>
        <v>45678</v>
      </c>
      <c r="E601" s="215" t="str">
        <f>$N$1</f>
        <v>currydestroyer27</v>
      </c>
      <c r="F601" s="165">
        <f>IFERROR(AVERAGE(Data[[#This Row],[alappatjoe]:[currydestroyer27]]), "TBD")</f>
        <v>3.4</v>
      </c>
      <c r="G601" s="256">
        <f>IFERROR(_xlfn.STDEV.P(Data[[#This Row],[alappatjoe]:[currydestroyer27]]), "TBD")</f>
        <v>1.4966629547095767</v>
      </c>
      <c r="H601" s="227" t="s">
        <v>1343</v>
      </c>
      <c r="I601" s="257" t="s">
        <v>1344</v>
      </c>
      <c r="J601" s="166">
        <v>3</v>
      </c>
      <c r="K601" s="166">
        <v>5</v>
      </c>
      <c r="L601" s="166">
        <v>3</v>
      </c>
      <c r="M601" s="166">
        <v>5</v>
      </c>
      <c r="N601" s="166">
        <v>1</v>
      </c>
      <c r="O601" s="242"/>
      <c r="P601" s="237"/>
      <c r="Q601" s="167"/>
      <c r="R60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01" s="167">
        <v>1</v>
      </c>
      <c r="T601" s="167" t="b">
        <f>Data[[#This Row],[Day Rank]]=Data[[#This Row],[W Rank]]</f>
        <v>0</v>
      </c>
      <c r="U601" s="337"/>
    </row>
    <row r="602" spans="1:21" ht="15" customHeight="1">
      <c r="A602" s="332">
        <v>45679</v>
      </c>
      <c r="B602" s="325"/>
      <c r="C602" s="338" t="str" cm="1">
        <f t="array" ref="C602">_xlfn.LET(_xlpm.matches, _xlfn._xlws.FILTER(Data[Poster], (Data[Date]=A602)*(Data[Winner]=TRUE)), IF(ROWS(_xlpm.matches)&gt;1, "TIE", _xlpm.matches))</f>
        <v>loganworsdell</v>
      </c>
      <c r="D602" s="147">
        <f>A602</f>
        <v>45679</v>
      </c>
      <c r="E602" s="181" t="str">
        <f>$J$1</f>
        <v>alappatjoe</v>
      </c>
      <c r="F602" s="9">
        <f>IFERROR(AVERAGE(Data[[#This Row],[alappatjoe]:[currydestroyer27]]), "TBD")</f>
        <v>3</v>
      </c>
      <c r="G602" s="178">
        <f>IFERROR(_xlfn.STDEV.P(Data[[#This Row],[alappatjoe]:[currydestroyer27]]), "TBD")</f>
        <v>1.0954451150103321</v>
      </c>
      <c r="H602" s="160" t="s">
        <v>1345</v>
      </c>
      <c r="I602" s="186" t="s">
        <v>200</v>
      </c>
      <c r="J602" s="3">
        <v>1</v>
      </c>
      <c r="K602" s="3">
        <v>4</v>
      </c>
      <c r="L602" s="3">
        <v>4</v>
      </c>
      <c r="M602" s="3">
        <v>3</v>
      </c>
      <c r="N602" s="3">
        <v>3</v>
      </c>
      <c r="O602" s="238"/>
      <c r="P602" s="234"/>
      <c r="Q602" s="93"/>
      <c r="R6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02" s="93">
        <v>1</v>
      </c>
      <c r="T602" s="93" t="b">
        <f>Data[[#This Row],[Day Rank]]=Data[[#This Row],[W Rank]]</f>
        <v>0</v>
      </c>
      <c r="U602" s="335"/>
    </row>
    <row r="603" spans="1:21" ht="15" customHeight="1">
      <c r="A603" s="333"/>
      <c r="B603" s="326"/>
      <c r="C603" s="339"/>
      <c r="D603" s="81">
        <f>D602</f>
        <v>45679</v>
      </c>
      <c r="E603" s="140" t="str">
        <f>$K$1</f>
        <v>danram</v>
      </c>
      <c r="F603" s="8">
        <f>IFERROR(AVERAGE(Data[[#This Row],[alappatjoe]:[currydestroyer27]]), "TBD")</f>
        <v>4.2</v>
      </c>
      <c r="G603" s="177">
        <f>IFERROR(_xlfn.STDEV.P(Data[[#This Row],[alappatjoe]:[currydestroyer27]]), "TBD")</f>
        <v>0.9797958971132712</v>
      </c>
      <c r="H603" s="135" t="s">
        <v>1346</v>
      </c>
      <c r="I603" s="229" t="s">
        <v>1347</v>
      </c>
      <c r="J603" s="3">
        <v>5</v>
      </c>
      <c r="K603" s="3">
        <v>3</v>
      </c>
      <c r="L603" s="3">
        <v>3</v>
      </c>
      <c r="M603" s="3">
        <v>5</v>
      </c>
      <c r="N603" s="3">
        <v>5</v>
      </c>
      <c r="O603" s="238"/>
      <c r="P603" s="234"/>
      <c r="Q603" s="93"/>
      <c r="R6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03" s="93">
        <v>1</v>
      </c>
      <c r="T603" s="93" t="b">
        <f>Data[[#This Row],[Day Rank]]=Data[[#This Row],[W Rank]]</f>
        <v>0</v>
      </c>
      <c r="U603" s="336"/>
    </row>
    <row r="604" spans="1:21" ht="15" customHeight="1">
      <c r="A604" s="333"/>
      <c r="B604" s="326"/>
      <c r="C604" s="339"/>
      <c r="D604" s="81">
        <f>D602</f>
        <v>45679</v>
      </c>
      <c r="E604" s="140" t="str">
        <f>$L$1</f>
        <v>loganworsdell</v>
      </c>
      <c r="F604" s="8">
        <f>IFERROR(AVERAGE(Data[[#This Row],[alappatjoe]:[currydestroyer27]]), "TBD")</f>
        <v>2.2000000000000002</v>
      </c>
      <c r="G604" s="177">
        <f>IFERROR(_xlfn.STDEV.P(Data[[#This Row],[alappatjoe]:[currydestroyer27]]), "TBD")</f>
        <v>0.9797958971132712</v>
      </c>
      <c r="H604" s="135" t="s">
        <v>1348</v>
      </c>
      <c r="I604" s="229" t="s">
        <v>1349</v>
      </c>
      <c r="J604" s="3">
        <v>2</v>
      </c>
      <c r="K604" s="3">
        <v>1</v>
      </c>
      <c r="L604" s="3">
        <v>2</v>
      </c>
      <c r="M604" s="3">
        <v>2</v>
      </c>
      <c r="N604" s="3">
        <v>4</v>
      </c>
      <c r="O604" s="238"/>
      <c r="P604" s="234"/>
      <c r="Q604" s="93"/>
      <c r="R6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04" s="93">
        <v>1</v>
      </c>
      <c r="T604" s="93" t="b">
        <f>Data[[#This Row],[Day Rank]]=Data[[#This Row],[W Rank]]</f>
        <v>1</v>
      </c>
      <c r="U604" s="336"/>
    </row>
    <row r="605" spans="1:21" ht="15" customHeight="1">
      <c r="A605" s="333"/>
      <c r="B605" s="326"/>
      <c r="C605" s="339"/>
      <c r="D605" s="81">
        <f>D602</f>
        <v>45679</v>
      </c>
      <c r="E605" s="140" t="str">
        <f>$M$1</f>
        <v>samuelbattista</v>
      </c>
      <c r="F605" s="8">
        <f>IFERROR(AVERAGE(Data[[#This Row],[alappatjoe]:[currydestroyer27]]), "TBD")</f>
        <v>3.4</v>
      </c>
      <c r="G605" s="177">
        <f>IFERROR(_xlfn.STDEV.P(Data[[#This Row],[alappatjoe]:[currydestroyer27]]), "TBD")</f>
        <v>1.6248076809271921</v>
      </c>
      <c r="H605" s="135" t="s">
        <v>1350</v>
      </c>
      <c r="I605" s="229" t="s">
        <v>1351</v>
      </c>
      <c r="J605" s="3">
        <v>4</v>
      </c>
      <c r="K605" s="3">
        <v>5</v>
      </c>
      <c r="L605" s="3">
        <v>5</v>
      </c>
      <c r="M605" s="3">
        <v>1</v>
      </c>
      <c r="N605" s="3">
        <v>2</v>
      </c>
      <c r="O605" s="238"/>
      <c r="P605" s="234"/>
      <c r="Q605" s="93"/>
      <c r="R6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05" s="93">
        <v>1</v>
      </c>
      <c r="T605" s="93" t="b">
        <f>Data[[#This Row],[Day Rank]]=Data[[#This Row],[W Rank]]</f>
        <v>0</v>
      </c>
      <c r="U605" s="336"/>
    </row>
    <row r="606" spans="1:21" ht="15" customHeight="1" thickBot="1">
      <c r="A606" s="334"/>
      <c r="B606" s="327"/>
      <c r="C606" s="340"/>
      <c r="D606" s="164">
        <f>D602</f>
        <v>45679</v>
      </c>
      <c r="E606" s="215" t="str">
        <f>$N$1</f>
        <v>currydestroyer27</v>
      </c>
      <c r="F606" s="165">
        <f>IFERROR(AVERAGE(Data[[#This Row],[alappatjoe]:[currydestroyer27]]), "TBD")</f>
        <v>2.2000000000000002</v>
      </c>
      <c r="G606" s="256">
        <f>IFERROR(_xlfn.STDEV.P(Data[[#This Row],[alappatjoe]:[currydestroyer27]]), "TBD")</f>
        <v>1.1661903789690602</v>
      </c>
      <c r="H606" s="227" t="s">
        <v>1352</v>
      </c>
      <c r="I606" s="257" t="s">
        <v>1353</v>
      </c>
      <c r="J606" s="166">
        <v>3</v>
      </c>
      <c r="K606" s="166">
        <v>2</v>
      </c>
      <c r="L606" s="166">
        <v>1</v>
      </c>
      <c r="M606" s="166">
        <v>4</v>
      </c>
      <c r="N606" s="166">
        <v>1</v>
      </c>
      <c r="O606" s="242"/>
      <c r="P606" s="237"/>
      <c r="Q606" s="167"/>
      <c r="R60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06" s="167">
        <v>1</v>
      </c>
      <c r="T606" s="167" t="b">
        <f>Data[[#This Row],[Day Rank]]=Data[[#This Row],[W Rank]]</f>
        <v>0</v>
      </c>
      <c r="U606" s="337"/>
    </row>
    <row r="607" spans="1:21" ht="15" customHeight="1">
      <c r="A607" s="332">
        <v>45680</v>
      </c>
      <c r="B607" s="325"/>
      <c r="C607" s="328" t="str" cm="1">
        <f t="array" ref="C607">_xlfn.LET(_xlpm.matches, _xlfn._xlws.FILTER(Data[Poster], (Data[Date]=A607)*(Data[Winner]=TRUE)), IF(ROWS(_xlpm.matches)&gt;1, "TIE", _xlpm.matches))</f>
        <v>alappatjoe</v>
      </c>
      <c r="D607" s="147">
        <f>A607</f>
        <v>45680</v>
      </c>
      <c r="E607" s="181" t="str">
        <f>$J$1</f>
        <v>alappatjoe</v>
      </c>
      <c r="F607" s="9">
        <f>IFERROR(AVERAGE(Data[[#This Row],[alappatjoe]:[currydestroyer27]]), "TBD")</f>
        <v>1.8</v>
      </c>
      <c r="G607" s="178">
        <f>IFERROR(_xlfn.STDEV.P(Data[[#This Row],[alappatjoe]:[currydestroyer27]]), "TBD")</f>
        <v>0.74833147735478833</v>
      </c>
      <c r="H607" s="160" t="s">
        <v>1354</v>
      </c>
      <c r="I607" s="186" t="s">
        <v>1355</v>
      </c>
      <c r="J607" s="3">
        <v>1</v>
      </c>
      <c r="K607" s="3">
        <v>2</v>
      </c>
      <c r="L607" s="3">
        <v>2</v>
      </c>
      <c r="M607" s="3">
        <v>1</v>
      </c>
      <c r="N607" s="3">
        <v>3</v>
      </c>
      <c r="O607" s="238"/>
      <c r="P607" s="234"/>
      <c r="Q607" s="93"/>
      <c r="R6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07" s="93">
        <v>1</v>
      </c>
      <c r="T607" s="93" t="b">
        <f>Data[[#This Row],[Day Rank]]=Data[[#This Row],[W Rank]]</f>
        <v>1</v>
      </c>
      <c r="U607" s="335" t="s">
        <v>1356</v>
      </c>
    </row>
    <row r="608" spans="1:21" ht="15" customHeight="1">
      <c r="A608" s="333"/>
      <c r="B608" s="326"/>
      <c r="C608" s="329"/>
      <c r="D608" s="81">
        <f>D607</f>
        <v>45680</v>
      </c>
      <c r="E608" s="140" t="str">
        <f>$K$1</f>
        <v>danram</v>
      </c>
      <c r="F608" s="8">
        <f>IFERROR(AVERAGE(Data[[#This Row],[alappatjoe]:[currydestroyer27]]), "TBD")</f>
        <v>3.2</v>
      </c>
      <c r="G608" s="177">
        <f>IFERROR(_xlfn.STDEV.P(Data[[#This Row],[alappatjoe]:[currydestroyer27]]), "TBD")</f>
        <v>1.1661903789690602</v>
      </c>
      <c r="H608" s="135" t="s">
        <v>1357</v>
      </c>
      <c r="I608" s="229" t="s">
        <v>1358</v>
      </c>
      <c r="J608" s="3">
        <v>3</v>
      </c>
      <c r="K608" s="3">
        <v>1</v>
      </c>
      <c r="L608" s="3">
        <v>4</v>
      </c>
      <c r="M608" s="3">
        <v>4</v>
      </c>
      <c r="N608" s="3">
        <v>4</v>
      </c>
      <c r="O608" s="238"/>
      <c r="P608" s="234"/>
      <c r="Q608" s="93"/>
      <c r="R6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08" s="93">
        <v>1</v>
      </c>
      <c r="T608" s="93" t="b">
        <f>Data[[#This Row],[Day Rank]]=Data[[#This Row],[W Rank]]</f>
        <v>0</v>
      </c>
      <c r="U608" s="336"/>
    </row>
    <row r="609" spans="1:21" ht="15" customHeight="1">
      <c r="A609" s="333"/>
      <c r="B609" s="326"/>
      <c r="C609" s="329"/>
      <c r="D609" s="81">
        <f>D607</f>
        <v>45680</v>
      </c>
      <c r="E609" s="140" t="str">
        <f>$L$1</f>
        <v>loganworsdell</v>
      </c>
      <c r="F609" s="8">
        <f>IFERROR(AVERAGE(Data[[#This Row],[alappatjoe]:[currydestroyer27]]), "TBD")</f>
        <v>3.8</v>
      </c>
      <c r="G609" s="177">
        <f>IFERROR(_xlfn.STDEV.P(Data[[#This Row],[alappatjoe]:[currydestroyer27]]), "TBD")</f>
        <v>1.1661903789690602</v>
      </c>
      <c r="H609" s="135" t="s">
        <v>1359</v>
      </c>
      <c r="I609" s="229" t="s">
        <v>1360</v>
      </c>
      <c r="J609" s="3">
        <v>4</v>
      </c>
      <c r="K609" s="3">
        <v>3</v>
      </c>
      <c r="L609" s="3">
        <v>5</v>
      </c>
      <c r="M609" s="3">
        <v>5</v>
      </c>
      <c r="N609" s="3">
        <v>2</v>
      </c>
      <c r="O609" s="238"/>
      <c r="P609" s="234"/>
      <c r="Q609" s="93"/>
      <c r="R6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09" s="93">
        <v>1</v>
      </c>
      <c r="T609" s="93" t="b">
        <f>Data[[#This Row],[Day Rank]]=Data[[#This Row],[W Rank]]</f>
        <v>0</v>
      </c>
      <c r="U609" s="336"/>
    </row>
    <row r="610" spans="1:21" ht="15" customHeight="1">
      <c r="A610" s="333"/>
      <c r="B610" s="326"/>
      <c r="C610" s="329"/>
      <c r="D610" s="81">
        <f>D607</f>
        <v>45680</v>
      </c>
      <c r="E610" s="140" t="str">
        <f>$M$1</f>
        <v>samuelbattista</v>
      </c>
      <c r="F610" s="8">
        <f>IFERROR(AVERAGE(Data[[#This Row],[alappatjoe]:[currydestroyer27]]), "TBD")</f>
        <v>4</v>
      </c>
      <c r="G610" s="177">
        <f>IFERROR(_xlfn.STDEV.P(Data[[#This Row],[alappatjoe]:[currydestroyer27]]), "TBD")</f>
        <v>1.2649110640673518</v>
      </c>
      <c r="H610" s="264" t="s">
        <v>1361</v>
      </c>
      <c r="I610" s="266" t="s">
        <v>1362</v>
      </c>
      <c r="J610" s="3">
        <v>5</v>
      </c>
      <c r="K610" s="3">
        <v>5</v>
      </c>
      <c r="L610" s="3">
        <v>3</v>
      </c>
      <c r="M610" s="3">
        <v>2</v>
      </c>
      <c r="N610" s="3">
        <v>5</v>
      </c>
      <c r="O610" s="238"/>
      <c r="P610" s="234"/>
      <c r="Q610" s="93"/>
      <c r="R6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10" s="93">
        <v>1</v>
      </c>
      <c r="T610" s="93" t="b">
        <f>Data[[#This Row],[Day Rank]]=Data[[#This Row],[W Rank]]</f>
        <v>0</v>
      </c>
      <c r="U610" s="336"/>
    </row>
    <row r="611" spans="1:21" ht="15" customHeight="1" thickBot="1">
      <c r="A611" s="334"/>
      <c r="B611" s="327"/>
      <c r="C611" s="330"/>
      <c r="D611" s="164">
        <f>D607</f>
        <v>45680</v>
      </c>
      <c r="E611" s="215" t="str">
        <f>$N$1</f>
        <v>currydestroyer27</v>
      </c>
      <c r="F611" s="165">
        <f>IFERROR(AVERAGE(Data[[#This Row],[alappatjoe]:[currydestroyer27]]), "TBD")</f>
        <v>2.2000000000000002</v>
      </c>
      <c r="G611" s="256">
        <f>IFERROR(_xlfn.STDEV.P(Data[[#This Row],[alappatjoe]:[currydestroyer27]]), "TBD")</f>
        <v>1.1661903789690602</v>
      </c>
      <c r="H611" s="227" t="s">
        <v>1363</v>
      </c>
      <c r="I611" s="257" t="s">
        <v>1364</v>
      </c>
      <c r="J611" s="166">
        <v>2</v>
      </c>
      <c r="K611" s="166">
        <v>4</v>
      </c>
      <c r="L611" s="166">
        <v>1</v>
      </c>
      <c r="M611" s="166">
        <v>3</v>
      </c>
      <c r="N611" s="166">
        <v>1</v>
      </c>
      <c r="O611" s="242"/>
      <c r="P611" s="237"/>
      <c r="Q611" s="167"/>
      <c r="R6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11" s="167">
        <v>1</v>
      </c>
      <c r="T611" s="167" t="b">
        <f>Data[[#This Row],[Day Rank]]=Data[[#This Row],[W Rank]]</f>
        <v>0</v>
      </c>
      <c r="U611" s="337"/>
    </row>
    <row r="612" spans="1:21" ht="15" customHeight="1">
      <c r="A612" s="333">
        <v>45684</v>
      </c>
      <c r="B612" s="326"/>
      <c r="C612" s="338" t="str" cm="1">
        <f t="array" ref="C612">_xlfn.LET(_xlpm.matches, _xlfn._xlws.FILTER(Data[Poster], (Data[Date]=A612)*(Data[Winner]=TRUE)), IF(ROWS(_xlpm.matches)&gt;1, "TIE", _xlpm.matches))</f>
        <v>currydestroyer27</v>
      </c>
      <c r="D612" s="81">
        <f>A612</f>
        <v>45684</v>
      </c>
      <c r="E612" s="140" t="str">
        <f>$J$1</f>
        <v>alappatjoe</v>
      </c>
      <c r="F612" s="8">
        <f>IFERROR(AVERAGE(Data[[#This Row],[alappatjoe]:[currydestroyer27]]), "TBD")</f>
        <v>4.2</v>
      </c>
      <c r="G612" s="177">
        <f>IFERROR(_xlfn.STDEV.P(Data[[#This Row],[alappatjoe]:[currydestroyer27]]), "TBD")</f>
        <v>0.74833147735478833</v>
      </c>
      <c r="H612" s="160" t="s">
        <v>1365</v>
      </c>
      <c r="I612" s="186" t="s">
        <v>1366</v>
      </c>
      <c r="J612" s="3">
        <v>3</v>
      </c>
      <c r="K612" s="3">
        <v>4</v>
      </c>
      <c r="L612" s="3">
        <v>5</v>
      </c>
      <c r="M612" s="3">
        <v>5</v>
      </c>
      <c r="N612" s="3">
        <v>4</v>
      </c>
      <c r="O612" s="238"/>
      <c r="P612" s="234"/>
      <c r="Q612" s="93"/>
      <c r="R6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12" s="93">
        <v>1</v>
      </c>
      <c r="T612" s="93" t="b">
        <f>Data[[#This Row],[Day Rank]]=Data[[#This Row],[W Rank]]</f>
        <v>0</v>
      </c>
      <c r="U612" s="336"/>
    </row>
    <row r="613" spans="1:21" ht="15" customHeight="1">
      <c r="A613" s="333"/>
      <c r="B613" s="326"/>
      <c r="C613" s="339"/>
      <c r="D613" s="81">
        <f>D612</f>
        <v>45684</v>
      </c>
      <c r="E613" s="140" t="str">
        <f>$K$1</f>
        <v>danram</v>
      </c>
      <c r="F613" s="8">
        <f>IFERROR(AVERAGE(Data[[#This Row],[alappatjoe]:[currydestroyer27]]), "TBD")</f>
        <v>4</v>
      </c>
      <c r="G613" s="177">
        <f>IFERROR(_xlfn.STDEV.P(Data[[#This Row],[alappatjoe]:[currydestroyer27]]), "TBD")</f>
        <v>1.0954451150103321</v>
      </c>
      <c r="H613" s="135" t="s">
        <v>1367</v>
      </c>
      <c r="I613" s="229" t="s">
        <v>1368</v>
      </c>
      <c r="J613" s="3">
        <v>5</v>
      </c>
      <c r="K613" s="3">
        <v>2</v>
      </c>
      <c r="L613" s="3">
        <v>4</v>
      </c>
      <c r="M613" s="3">
        <v>4</v>
      </c>
      <c r="N613" s="3">
        <v>5</v>
      </c>
      <c r="O613" s="238"/>
      <c r="P613" s="234"/>
      <c r="Q613" s="93"/>
      <c r="R6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13" s="93">
        <v>1</v>
      </c>
      <c r="T613" s="93" t="b">
        <f>Data[[#This Row],[Day Rank]]=Data[[#This Row],[W Rank]]</f>
        <v>0</v>
      </c>
      <c r="U613" s="336"/>
    </row>
    <row r="614" spans="1:21" ht="15" customHeight="1">
      <c r="A614" s="333"/>
      <c r="B614" s="326"/>
      <c r="C614" s="339"/>
      <c r="D614" s="81">
        <f>D612</f>
        <v>45684</v>
      </c>
      <c r="E614" s="140" t="str">
        <f>$L$1</f>
        <v>loganworsdell</v>
      </c>
      <c r="F614" s="8">
        <f>IFERROR(AVERAGE(Data[[#This Row],[alappatjoe]:[currydestroyer27]]), "TBD")</f>
        <v>2.4</v>
      </c>
      <c r="G614" s="177">
        <f>IFERROR(_xlfn.STDEV.P(Data[[#This Row],[alappatjoe]:[currydestroyer27]]), "TBD")</f>
        <v>1.3564659966250536</v>
      </c>
      <c r="H614" s="135" t="s">
        <v>1369</v>
      </c>
      <c r="I614" s="229" t="s">
        <v>1370</v>
      </c>
      <c r="J614" s="3">
        <v>1</v>
      </c>
      <c r="K614" s="3">
        <v>5</v>
      </c>
      <c r="L614" s="3">
        <v>2</v>
      </c>
      <c r="M614" s="3">
        <v>2</v>
      </c>
      <c r="N614" s="3">
        <v>2</v>
      </c>
      <c r="O614" s="238"/>
      <c r="P614" s="234"/>
      <c r="Q614" s="93"/>
      <c r="R6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14" s="93">
        <v>1</v>
      </c>
      <c r="T614" s="93" t="b">
        <f>Data[[#This Row],[Day Rank]]=Data[[#This Row],[W Rank]]</f>
        <v>0</v>
      </c>
      <c r="U614" s="336"/>
    </row>
    <row r="615" spans="1:21" ht="15" customHeight="1">
      <c r="A615" s="333"/>
      <c r="B615" s="326"/>
      <c r="C615" s="339"/>
      <c r="D615" s="81">
        <f>D612</f>
        <v>45684</v>
      </c>
      <c r="E615" s="140" t="str">
        <f>$M$1</f>
        <v>samuelbattista</v>
      </c>
      <c r="F615" s="8">
        <f>IFERROR(AVERAGE(Data[[#This Row],[alappatjoe]:[currydestroyer27]]), "TBD")</f>
        <v>2.4</v>
      </c>
      <c r="G615" s="177">
        <f>IFERROR(_xlfn.STDEV.P(Data[[#This Row],[alappatjoe]:[currydestroyer27]]), "TBD")</f>
        <v>0.8</v>
      </c>
      <c r="H615" s="135" t="s">
        <v>1371</v>
      </c>
      <c r="I615" s="229" t="s">
        <v>1372</v>
      </c>
      <c r="J615" s="3">
        <v>2</v>
      </c>
      <c r="K615" s="3">
        <v>3</v>
      </c>
      <c r="L615" s="3">
        <v>3</v>
      </c>
      <c r="M615" s="3">
        <v>1</v>
      </c>
      <c r="N615" s="3">
        <v>3</v>
      </c>
      <c r="O615" s="238"/>
      <c r="P615" s="234"/>
      <c r="Q615" s="93"/>
      <c r="R6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15" s="93">
        <v>1</v>
      </c>
      <c r="T615" s="93" t="b">
        <f>Data[[#This Row],[Day Rank]]=Data[[#This Row],[W Rank]]</f>
        <v>0</v>
      </c>
      <c r="U615" s="336"/>
    </row>
    <row r="616" spans="1:21" ht="15" customHeight="1" thickBot="1">
      <c r="A616" s="334"/>
      <c r="B616" s="327"/>
      <c r="C616" s="340"/>
      <c r="D616" s="164">
        <f>D612</f>
        <v>45684</v>
      </c>
      <c r="E616" s="215" t="str">
        <f>$N$1</f>
        <v>currydestroyer27</v>
      </c>
      <c r="F616" s="165">
        <f>IFERROR(AVERAGE(Data[[#This Row],[alappatjoe]:[currydestroyer27]]), "TBD")</f>
        <v>2</v>
      </c>
      <c r="G616" s="256">
        <f>IFERROR(_xlfn.STDEV.P(Data[[#This Row],[alappatjoe]:[currydestroyer27]]), "TBD")</f>
        <v>1.2649110640673518</v>
      </c>
      <c r="H616" s="227" t="s">
        <v>1373</v>
      </c>
      <c r="I616" s="257" t="s">
        <v>415</v>
      </c>
      <c r="J616" s="166">
        <v>4</v>
      </c>
      <c r="K616" s="166">
        <v>1</v>
      </c>
      <c r="L616" s="166">
        <v>1</v>
      </c>
      <c r="M616" s="166">
        <v>3</v>
      </c>
      <c r="N616" s="166">
        <v>1</v>
      </c>
      <c r="O616" s="242"/>
      <c r="P616" s="237"/>
      <c r="Q616" s="167"/>
      <c r="R6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16" s="167">
        <v>1</v>
      </c>
      <c r="T616" s="167" t="b">
        <f>Data[[#This Row],[Day Rank]]=Data[[#This Row],[W Rank]]</f>
        <v>1</v>
      </c>
      <c r="U616" s="337"/>
    </row>
    <row r="617" spans="1:21" ht="15" customHeight="1">
      <c r="A617" s="332">
        <v>45685</v>
      </c>
      <c r="B617" s="325"/>
      <c r="C617" s="328" t="str" cm="1">
        <f t="array" ref="C617">_xlfn.LET(_xlpm.matches, _xlfn._xlws.FILTER(Data[Poster], (Data[Date]=A617)*(Data[Winner]=TRUE)), IF(ROWS(_xlpm.matches)&gt;1, "TIE", _xlpm.matches))</f>
        <v>danram</v>
      </c>
      <c r="D617" s="147">
        <f>A617</f>
        <v>45685</v>
      </c>
      <c r="E617" s="181" t="str">
        <f>$J$1</f>
        <v>alappatjoe</v>
      </c>
      <c r="F617" s="9">
        <f>IFERROR(AVERAGE(Data[[#This Row],[alappatjoe]:[currydestroyer27]]), "TBD")</f>
        <v>2.8</v>
      </c>
      <c r="G617" s="178">
        <f>IFERROR(_xlfn.STDEV.P(Data[[#This Row],[alappatjoe]:[currydestroyer27]]), "TBD")</f>
        <v>1.3266499161421599</v>
      </c>
      <c r="H617" s="160" t="s">
        <v>1374</v>
      </c>
      <c r="I617" s="186" t="s">
        <v>1375</v>
      </c>
      <c r="J617" s="3">
        <v>1</v>
      </c>
      <c r="K617" s="3">
        <v>2</v>
      </c>
      <c r="L617" s="3">
        <v>3</v>
      </c>
      <c r="M617" s="3">
        <v>5</v>
      </c>
      <c r="N617" s="3">
        <v>3</v>
      </c>
      <c r="O617" s="238"/>
      <c r="P617" s="234"/>
      <c r="Q617" s="93"/>
      <c r="R6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17" s="93">
        <v>1</v>
      </c>
      <c r="T617" s="93" t="b">
        <f>Data[[#This Row],[Day Rank]]=Data[[#This Row],[W Rank]]</f>
        <v>0</v>
      </c>
      <c r="U617" s="335"/>
    </row>
    <row r="618" spans="1:21" ht="15" customHeight="1">
      <c r="A618" s="333"/>
      <c r="B618" s="326"/>
      <c r="C618" s="329"/>
      <c r="D618" s="81">
        <f>D617</f>
        <v>45685</v>
      </c>
      <c r="E618" s="140" t="str">
        <f>$K$1</f>
        <v>danram</v>
      </c>
      <c r="F618" s="8">
        <f>IFERROR(AVERAGE(Data[[#This Row],[alappatjoe]:[currydestroyer27]]), "TBD")</f>
        <v>1.6</v>
      </c>
      <c r="G618" s="177">
        <f>IFERROR(_xlfn.STDEV.P(Data[[#This Row],[alappatjoe]:[currydestroyer27]]), "TBD")</f>
        <v>0.8</v>
      </c>
      <c r="H618" s="135" t="s">
        <v>1376</v>
      </c>
      <c r="I618" s="229" t="s">
        <v>1377</v>
      </c>
      <c r="J618" s="3">
        <v>3</v>
      </c>
      <c r="K618" s="3">
        <v>1</v>
      </c>
      <c r="L618" s="3">
        <v>1</v>
      </c>
      <c r="M618" s="3">
        <v>1</v>
      </c>
      <c r="N618" s="3">
        <v>2</v>
      </c>
      <c r="O618" s="238"/>
      <c r="P618" s="234"/>
      <c r="Q618" s="93"/>
      <c r="R6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18" s="93">
        <v>1</v>
      </c>
      <c r="T618" s="93" t="b">
        <f>Data[[#This Row],[Day Rank]]=Data[[#This Row],[W Rank]]</f>
        <v>1</v>
      </c>
      <c r="U618" s="336"/>
    </row>
    <row r="619" spans="1:21" ht="15" customHeight="1">
      <c r="A619" s="333"/>
      <c r="B619" s="326"/>
      <c r="C619" s="329"/>
      <c r="D619" s="81">
        <f>D617</f>
        <v>45685</v>
      </c>
      <c r="E619" s="140" t="str">
        <f>$L$1</f>
        <v>loganworsdell</v>
      </c>
      <c r="F619" s="8">
        <f>IFERROR(AVERAGE(Data[[#This Row],[alappatjoe]:[currydestroyer27]]), "TBD")</f>
        <v>3.2</v>
      </c>
      <c r="G619" s="177">
        <f>IFERROR(_xlfn.STDEV.P(Data[[#This Row],[alappatjoe]:[currydestroyer27]]), "TBD")</f>
        <v>1.1661903789690602</v>
      </c>
      <c r="H619" s="135" t="s">
        <v>1378</v>
      </c>
      <c r="I619" s="229" t="s">
        <v>1379</v>
      </c>
      <c r="J619" s="3">
        <v>2</v>
      </c>
      <c r="K619" s="3">
        <v>5</v>
      </c>
      <c r="L619" s="3">
        <v>2</v>
      </c>
      <c r="M619" s="3">
        <v>3</v>
      </c>
      <c r="N619" s="3">
        <v>4</v>
      </c>
      <c r="O619" s="238"/>
      <c r="P619" s="234"/>
      <c r="Q619" s="93"/>
      <c r="R6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19" s="93">
        <v>1</v>
      </c>
      <c r="T619" s="93" t="b">
        <f>Data[[#This Row],[Day Rank]]=Data[[#This Row],[W Rank]]</f>
        <v>0</v>
      </c>
      <c r="U619" s="336"/>
    </row>
    <row r="620" spans="1:21" ht="15" customHeight="1">
      <c r="A620" s="333"/>
      <c r="B620" s="326"/>
      <c r="C620" s="329"/>
      <c r="D620" s="81">
        <f>D617</f>
        <v>45685</v>
      </c>
      <c r="E620" s="140" t="str">
        <f>$M$1</f>
        <v>samuelbattista</v>
      </c>
      <c r="F620" s="8">
        <f>IFERROR(AVERAGE(Data[[#This Row],[alappatjoe]:[currydestroyer27]]), "TBD")</f>
        <v>4</v>
      </c>
      <c r="G620" s="177">
        <f>IFERROR(_xlfn.STDEV.P(Data[[#This Row],[alappatjoe]:[currydestroyer27]]), "TBD")</f>
        <v>1.0954451150103321</v>
      </c>
      <c r="H620" s="135" t="s">
        <v>1380</v>
      </c>
      <c r="I620" s="229" t="s">
        <v>1381</v>
      </c>
      <c r="J620" s="3">
        <v>4</v>
      </c>
      <c r="K620" s="3">
        <v>4</v>
      </c>
      <c r="L620" s="3">
        <v>5</v>
      </c>
      <c r="M620" s="3">
        <v>2</v>
      </c>
      <c r="N620" s="3">
        <v>5</v>
      </c>
      <c r="O620" s="238"/>
      <c r="P620" s="234"/>
      <c r="Q620" s="93"/>
      <c r="R6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20" s="93">
        <v>1</v>
      </c>
      <c r="T620" s="93" t="b">
        <f>Data[[#This Row],[Day Rank]]=Data[[#This Row],[W Rank]]</f>
        <v>0</v>
      </c>
      <c r="U620" s="336"/>
    </row>
    <row r="621" spans="1:21" ht="15" customHeight="1" thickBot="1">
      <c r="A621" s="334"/>
      <c r="B621" s="327"/>
      <c r="C621" s="330"/>
      <c r="D621" s="164">
        <f>D617</f>
        <v>45685</v>
      </c>
      <c r="E621" s="215" t="str">
        <f>$N$1</f>
        <v>currydestroyer27</v>
      </c>
      <c r="F621" s="165">
        <f>IFERROR(AVERAGE(Data[[#This Row],[alappatjoe]:[currydestroyer27]]), "TBD")</f>
        <v>3.4</v>
      </c>
      <c r="G621" s="256">
        <f>IFERROR(_xlfn.STDEV.P(Data[[#This Row],[alappatjoe]:[currydestroyer27]]), "TBD")</f>
        <v>1.3564659966250536</v>
      </c>
      <c r="H621" s="227" t="s">
        <v>1382</v>
      </c>
      <c r="I621" s="257" t="s">
        <v>1383</v>
      </c>
      <c r="J621" s="166">
        <v>5</v>
      </c>
      <c r="K621" s="166">
        <v>3</v>
      </c>
      <c r="L621" s="166">
        <v>4</v>
      </c>
      <c r="M621" s="166">
        <v>4</v>
      </c>
      <c r="N621" s="166">
        <v>1</v>
      </c>
      <c r="O621" s="242"/>
      <c r="P621" s="237"/>
      <c r="Q621" s="167"/>
      <c r="R6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21" s="167">
        <v>1</v>
      </c>
      <c r="T621" s="167" t="b">
        <f>Data[[#This Row],[Day Rank]]=Data[[#This Row],[W Rank]]</f>
        <v>0</v>
      </c>
      <c r="U621" s="337"/>
    </row>
    <row r="622" spans="1:21" ht="15" customHeight="1">
      <c r="A622" s="332">
        <v>45686</v>
      </c>
      <c r="B622" s="325"/>
      <c r="C622" s="338" t="str" cm="1">
        <f t="array" ref="C622">_xlfn.LET(_xlpm.matches, _xlfn._xlws.FILTER(Data[Poster], (Data[Date]=A622)*(Data[Winner]=TRUE)), IF(ROWS(_xlpm.matches)&gt;1, "TIE", _xlpm.matches))</f>
        <v>currydestroyer27</v>
      </c>
      <c r="D622" s="147">
        <f>A622</f>
        <v>45686</v>
      </c>
      <c r="E622" s="181" t="str">
        <f>$J$1</f>
        <v>alappatjoe</v>
      </c>
      <c r="F622" s="9">
        <f>IFERROR(AVERAGE(Data[[#This Row],[alappatjoe]:[currydestroyer27]]), "TBD")</f>
        <v>2.4</v>
      </c>
      <c r="G622" s="178">
        <f>IFERROR(_xlfn.STDEV.P(Data[[#This Row],[alappatjoe]:[currydestroyer27]]), "TBD")</f>
        <v>1.3564659966250536</v>
      </c>
      <c r="H622" s="160" t="s">
        <v>1384</v>
      </c>
      <c r="I622" s="186" t="s">
        <v>1385</v>
      </c>
      <c r="J622" s="3">
        <v>1</v>
      </c>
      <c r="K622" s="3">
        <v>4</v>
      </c>
      <c r="L622" s="3">
        <v>1</v>
      </c>
      <c r="M622" s="3">
        <v>4</v>
      </c>
      <c r="N622" s="3">
        <v>2</v>
      </c>
      <c r="O622" s="238"/>
      <c r="P622" s="234"/>
      <c r="Q622" s="93"/>
      <c r="R6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22" s="93">
        <v>1</v>
      </c>
      <c r="T622" s="93" t="b">
        <f>Data[[#This Row],[Day Rank]]=Data[[#This Row],[W Rank]]</f>
        <v>0</v>
      </c>
      <c r="U622" s="335"/>
    </row>
    <row r="623" spans="1:21" ht="15" customHeight="1">
      <c r="A623" s="333"/>
      <c r="B623" s="326"/>
      <c r="C623" s="339"/>
      <c r="D623" s="81">
        <f>D622</f>
        <v>45686</v>
      </c>
      <c r="E623" s="140" t="str">
        <f>$K$1</f>
        <v>danram</v>
      </c>
      <c r="F623" s="8">
        <f>IFERROR(AVERAGE(Data[[#This Row],[alappatjoe]:[currydestroyer27]]), "TBD")</f>
        <v>4</v>
      </c>
      <c r="G623" s="177">
        <f>IFERROR(_xlfn.STDEV.P(Data[[#This Row],[alappatjoe]:[currydestroyer27]]), "TBD")</f>
        <v>1.2649110640673518</v>
      </c>
      <c r="H623" s="135" t="s">
        <v>1386</v>
      </c>
      <c r="I623" s="229" t="s">
        <v>361</v>
      </c>
      <c r="J623" s="3">
        <v>5</v>
      </c>
      <c r="K623" s="3">
        <v>2</v>
      </c>
      <c r="L623" s="3">
        <v>5</v>
      </c>
      <c r="M623" s="3">
        <v>3</v>
      </c>
      <c r="N623" s="3">
        <v>5</v>
      </c>
      <c r="O623" s="238"/>
      <c r="P623" s="234"/>
      <c r="Q623" s="93"/>
      <c r="R6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23" s="93">
        <v>1</v>
      </c>
      <c r="T623" s="93" t="b">
        <f>Data[[#This Row],[Day Rank]]=Data[[#This Row],[W Rank]]</f>
        <v>0</v>
      </c>
      <c r="U623" s="336"/>
    </row>
    <row r="624" spans="1:21" ht="15" customHeight="1">
      <c r="A624" s="333"/>
      <c r="B624" s="326"/>
      <c r="C624" s="339"/>
      <c r="D624" s="81">
        <f>D622</f>
        <v>45686</v>
      </c>
      <c r="E624" s="140" t="str">
        <f>$L$1</f>
        <v>loganworsdell</v>
      </c>
      <c r="F624" s="8">
        <f>IFERROR(AVERAGE(Data[[#This Row],[alappatjoe]:[currydestroyer27]]), "TBD")</f>
        <v>3.6</v>
      </c>
      <c r="G624" s="177">
        <f>IFERROR(_xlfn.STDEV.P(Data[[#This Row],[alappatjoe]:[currydestroyer27]]), "TBD")</f>
        <v>1.2</v>
      </c>
      <c r="H624" s="135" t="s">
        <v>1387</v>
      </c>
      <c r="I624" s="229" t="s">
        <v>1388</v>
      </c>
      <c r="J624" s="3">
        <v>2</v>
      </c>
      <c r="K624" s="3">
        <v>5</v>
      </c>
      <c r="L624" s="3">
        <v>3</v>
      </c>
      <c r="M624" s="3">
        <v>5</v>
      </c>
      <c r="N624" s="3">
        <v>3</v>
      </c>
      <c r="O624" s="238"/>
      <c r="P624" s="234"/>
      <c r="Q624" s="93"/>
      <c r="R6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24" s="93">
        <v>1</v>
      </c>
      <c r="T624" s="93" t="b">
        <f>Data[[#This Row],[Day Rank]]=Data[[#This Row],[W Rank]]</f>
        <v>0</v>
      </c>
      <c r="U624" s="336"/>
    </row>
    <row r="625" spans="1:21" ht="15" customHeight="1">
      <c r="A625" s="333"/>
      <c r="B625" s="326"/>
      <c r="C625" s="339"/>
      <c r="D625" s="81">
        <f>D622</f>
        <v>45686</v>
      </c>
      <c r="E625" s="140" t="str">
        <f>$M$1</f>
        <v>samuelbattista</v>
      </c>
      <c r="F625" s="8">
        <f>IFERROR(AVERAGE(Data[[#This Row],[alappatjoe]:[currydestroyer27]]), "TBD")</f>
        <v>3.2</v>
      </c>
      <c r="G625" s="177">
        <f>IFERROR(_xlfn.STDEV.P(Data[[#This Row],[alappatjoe]:[currydestroyer27]]), "TBD")</f>
        <v>1.1661903789690602</v>
      </c>
      <c r="H625" s="135" t="s">
        <v>1389</v>
      </c>
      <c r="I625" s="229" t="s">
        <v>1005</v>
      </c>
      <c r="J625" s="3">
        <v>4</v>
      </c>
      <c r="K625" s="3">
        <v>3</v>
      </c>
      <c r="L625" s="3">
        <v>4</v>
      </c>
      <c r="M625" s="3">
        <v>1</v>
      </c>
      <c r="N625" s="3">
        <v>4</v>
      </c>
      <c r="O625" s="238"/>
      <c r="P625" s="234"/>
      <c r="Q625" s="93"/>
      <c r="R6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25" s="93">
        <v>1</v>
      </c>
      <c r="T625" s="93" t="b">
        <f>Data[[#This Row],[Day Rank]]=Data[[#This Row],[W Rank]]</f>
        <v>0</v>
      </c>
      <c r="U625" s="336"/>
    </row>
    <row r="626" spans="1:21" ht="15" customHeight="1" thickBot="1">
      <c r="A626" s="334"/>
      <c r="B626" s="327"/>
      <c r="C626" s="340"/>
      <c r="D626" s="164">
        <f>D622</f>
        <v>45686</v>
      </c>
      <c r="E626" s="215" t="str">
        <f>$N$1</f>
        <v>currydestroyer27</v>
      </c>
      <c r="F626" s="165">
        <f>IFERROR(AVERAGE(Data[[#This Row],[alappatjoe]:[currydestroyer27]]), "TBD")</f>
        <v>1.8</v>
      </c>
      <c r="G626" s="256">
        <f>IFERROR(_xlfn.STDEV.P(Data[[#This Row],[alappatjoe]:[currydestroyer27]]), "TBD")</f>
        <v>0.74833147735478833</v>
      </c>
      <c r="H626" s="271">
        <v>90210</v>
      </c>
      <c r="I626" s="257" t="s">
        <v>1390</v>
      </c>
      <c r="J626" s="166">
        <v>3</v>
      </c>
      <c r="K626" s="166">
        <v>1</v>
      </c>
      <c r="L626" s="166">
        <v>2</v>
      </c>
      <c r="M626" s="166">
        <v>2</v>
      </c>
      <c r="N626" s="166">
        <v>1</v>
      </c>
      <c r="O626" s="242"/>
      <c r="P626" s="237"/>
      <c r="Q626" s="167"/>
      <c r="R6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26" s="167">
        <v>1</v>
      </c>
      <c r="T626" s="167" t="b">
        <f>Data[[#This Row],[Day Rank]]=Data[[#This Row],[W Rank]]</f>
        <v>1</v>
      </c>
      <c r="U626" s="337"/>
    </row>
    <row r="627" spans="1:21" ht="15" customHeight="1">
      <c r="A627" s="332">
        <v>45687</v>
      </c>
      <c r="B627" s="325"/>
      <c r="C627" s="328" t="str" cm="1">
        <f t="array" ref="C627">_xlfn.LET(_xlpm.matches, _xlfn._xlws.FILTER(Data[Poster], (Data[Date]=A627)*(Data[Winner]=TRUE)), IF(ROWS(_xlpm.matches)&gt;1, "TIE", _xlpm.matches))</f>
        <v>samuelbattista</v>
      </c>
      <c r="D627" s="147">
        <f>A627</f>
        <v>45687</v>
      </c>
      <c r="E627" s="181" t="str">
        <f>$J$1</f>
        <v>alappatjoe</v>
      </c>
      <c r="F627" s="9">
        <f>IFERROR(AVERAGE(Data[[#This Row],[alappatjoe]:[currydestroyer27]]), "TBD")</f>
        <v>3.8</v>
      </c>
      <c r="G627" s="178">
        <f>IFERROR(_xlfn.STDEV.P(Data[[#This Row],[alappatjoe]:[currydestroyer27]]), "TBD")</f>
        <v>1.4696938456699069</v>
      </c>
      <c r="H627" s="160" t="s">
        <v>1391</v>
      </c>
      <c r="I627" s="186" t="s">
        <v>1392</v>
      </c>
      <c r="J627" s="3">
        <v>1</v>
      </c>
      <c r="K627" s="3">
        <v>5</v>
      </c>
      <c r="L627" s="3">
        <v>4</v>
      </c>
      <c r="M627" s="3">
        <v>5</v>
      </c>
      <c r="N627" s="3">
        <v>4</v>
      </c>
      <c r="O627" s="238"/>
      <c r="P627" s="234"/>
      <c r="Q627" s="93"/>
      <c r="R6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27" s="93">
        <v>1</v>
      </c>
      <c r="T627" s="93" t="b">
        <f>Data[[#This Row],[Day Rank]]=Data[[#This Row],[W Rank]]</f>
        <v>0</v>
      </c>
      <c r="U627" s="335" t="s">
        <v>1393</v>
      </c>
    </row>
    <row r="628" spans="1:21" ht="15" customHeight="1">
      <c r="A628" s="333"/>
      <c r="B628" s="326"/>
      <c r="C628" s="329"/>
      <c r="D628" s="81">
        <f>D627</f>
        <v>45687</v>
      </c>
      <c r="E628" s="140" t="str">
        <f>$K$1</f>
        <v>danram</v>
      </c>
      <c r="F628" s="8">
        <f>IFERROR(AVERAGE(Data[[#This Row],[alappatjoe]:[currydestroyer27]]), "TBD")</f>
        <v>3.6</v>
      </c>
      <c r="G628" s="177">
        <f>IFERROR(_xlfn.STDEV.P(Data[[#This Row],[alappatjoe]:[currydestroyer27]]), "TBD")</f>
        <v>1.7435595774162693</v>
      </c>
      <c r="H628" s="135" t="s">
        <v>1394</v>
      </c>
      <c r="I628" s="229" t="s">
        <v>267</v>
      </c>
      <c r="J628" s="3">
        <v>5</v>
      </c>
      <c r="K628" s="3">
        <v>1</v>
      </c>
      <c r="L628" s="3">
        <v>5</v>
      </c>
      <c r="M628" s="3">
        <v>2</v>
      </c>
      <c r="N628" s="3">
        <v>5</v>
      </c>
      <c r="O628" s="238"/>
      <c r="P628" s="234"/>
      <c r="Q628" s="93"/>
      <c r="R6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28" s="93">
        <v>1</v>
      </c>
      <c r="T628" s="93" t="b">
        <f>Data[[#This Row],[Day Rank]]=Data[[#This Row],[W Rank]]</f>
        <v>0</v>
      </c>
      <c r="U628" s="336"/>
    </row>
    <row r="629" spans="1:21" ht="15" customHeight="1">
      <c r="A629" s="333"/>
      <c r="B629" s="326"/>
      <c r="C629" s="329"/>
      <c r="D629" s="81">
        <f>D627</f>
        <v>45687</v>
      </c>
      <c r="E629" s="140" t="str">
        <f>$L$1</f>
        <v>loganworsdell</v>
      </c>
      <c r="F629" s="8">
        <f>IFERROR(AVERAGE(Data[[#This Row],[alappatjoe]:[currydestroyer27]]), "TBD")</f>
        <v>2.4</v>
      </c>
      <c r="G629" s="177">
        <f>IFERROR(_xlfn.STDEV.P(Data[[#This Row],[alappatjoe]:[currydestroyer27]]), "TBD")</f>
        <v>0.4898979485566356</v>
      </c>
      <c r="H629" s="135" t="s">
        <v>1395</v>
      </c>
      <c r="I629" s="229" t="s">
        <v>1396</v>
      </c>
      <c r="J629" s="3">
        <v>3</v>
      </c>
      <c r="K629" s="3">
        <v>2</v>
      </c>
      <c r="L629" s="3">
        <v>2</v>
      </c>
      <c r="M629" s="3">
        <v>3</v>
      </c>
      <c r="N629" s="3">
        <v>2</v>
      </c>
      <c r="O629" s="238"/>
      <c r="P629" s="234"/>
      <c r="Q629" s="93"/>
      <c r="R6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29" s="93">
        <v>1</v>
      </c>
      <c r="T629" s="93" t="b">
        <f>Data[[#This Row],[Day Rank]]=Data[[#This Row],[W Rank]]</f>
        <v>0</v>
      </c>
      <c r="U629" s="336"/>
    </row>
    <row r="630" spans="1:21" ht="15" customHeight="1">
      <c r="A630" s="333"/>
      <c r="B630" s="326"/>
      <c r="C630" s="329"/>
      <c r="D630" s="81">
        <f>D627</f>
        <v>45687</v>
      </c>
      <c r="E630" s="140" t="str">
        <f>$M$1</f>
        <v>samuelbattista</v>
      </c>
      <c r="F630" s="8">
        <f>IFERROR(AVERAGE(Data[[#This Row],[alappatjoe]:[currydestroyer27]]), "TBD")</f>
        <v>2.2000000000000002</v>
      </c>
      <c r="G630" s="177">
        <f>IFERROR(_xlfn.STDEV.P(Data[[#This Row],[alappatjoe]:[currydestroyer27]]), "TBD")</f>
        <v>1.1661903789690602</v>
      </c>
      <c r="H630" s="135" t="s">
        <v>1397</v>
      </c>
      <c r="I630" s="229" t="s">
        <v>61</v>
      </c>
      <c r="J630" s="3">
        <v>2</v>
      </c>
      <c r="K630" s="3">
        <v>4</v>
      </c>
      <c r="L630" s="3">
        <v>1</v>
      </c>
      <c r="M630" s="3">
        <v>1</v>
      </c>
      <c r="N630" s="3">
        <v>3</v>
      </c>
      <c r="O630" s="238"/>
      <c r="P630" s="234"/>
      <c r="Q630" s="93"/>
      <c r="R6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30" s="93">
        <v>1</v>
      </c>
      <c r="T630" s="93" t="b">
        <f>Data[[#This Row],[Day Rank]]=Data[[#This Row],[W Rank]]</f>
        <v>1</v>
      </c>
      <c r="U630" s="336"/>
    </row>
    <row r="631" spans="1:21" ht="15" customHeight="1" thickBot="1">
      <c r="A631" s="334"/>
      <c r="B631" s="327"/>
      <c r="C631" s="330"/>
      <c r="D631" s="164">
        <f>D627</f>
        <v>45687</v>
      </c>
      <c r="E631" s="215" t="str">
        <f>$N$1</f>
        <v>currydestroyer27</v>
      </c>
      <c r="F631" s="165">
        <f>IFERROR(AVERAGE(Data[[#This Row],[alappatjoe]:[currydestroyer27]]), "TBD")</f>
        <v>3</v>
      </c>
      <c r="G631" s="256">
        <f>IFERROR(_xlfn.STDEV.P(Data[[#This Row],[alappatjoe]:[currydestroyer27]]), "TBD")</f>
        <v>1.0954451150103321</v>
      </c>
      <c r="H631" s="227" t="s">
        <v>1398</v>
      </c>
      <c r="I631" s="257" t="s">
        <v>794</v>
      </c>
      <c r="J631" s="166">
        <v>4</v>
      </c>
      <c r="K631" s="166">
        <v>3</v>
      </c>
      <c r="L631" s="166">
        <v>3</v>
      </c>
      <c r="M631" s="166">
        <v>4</v>
      </c>
      <c r="N631" s="166">
        <v>1</v>
      </c>
      <c r="O631" s="242"/>
      <c r="P631" s="237"/>
      <c r="Q631" s="167"/>
      <c r="R63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31" s="167">
        <v>1</v>
      </c>
      <c r="T631" s="167" t="b">
        <f>Data[[#This Row],[Day Rank]]=Data[[#This Row],[W Rank]]</f>
        <v>0</v>
      </c>
      <c r="U631" s="337"/>
    </row>
    <row r="632" spans="1:21" ht="15" customHeight="1">
      <c r="A632" s="325">
        <v>45691</v>
      </c>
      <c r="B632" s="325"/>
      <c r="C632" s="338" t="str" cm="1">
        <f t="array" ref="C632">_xlfn.LET(_xlpm.matches, _xlfn._xlws.FILTER(Data[Poster], (Data[Date]=A632)*(Data[Winner]=TRUE)), IF(ROWS(_xlpm.matches)&gt;1, "TIE", _xlpm.matches))</f>
        <v>loganworsdell</v>
      </c>
      <c r="D632" s="81">
        <f>A632</f>
        <v>45691</v>
      </c>
      <c r="E632" s="140" t="str">
        <f>$J$1</f>
        <v>alappatjoe</v>
      </c>
      <c r="F632" s="8">
        <f>IFERROR(AVERAGE(Data[[#This Row],[alappatjoe]:[currydestroyer27]]), "TBD")</f>
        <v>3.4</v>
      </c>
      <c r="G632" s="177">
        <f>IFERROR(_xlfn.STDEV.P(Data[[#This Row],[alappatjoe]:[currydestroyer27]]), "TBD")</f>
        <v>1.3564659966250536</v>
      </c>
      <c r="H632" s="135" t="s">
        <v>1399</v>
      </c>
      <c r="I632" s="229" t="s">
        <v>1400</v>
      </c>
      <c r="J632" s="3">
        <v>1</v>
      </c>
      <c r="K632" s="3">
        <v>3</v>
      </c>
      <c r="L632" s="3">
        <v>4</v>
      </c>
      <c r="M632" s="3">
        <v>5</v>
      </c>
      <c r="N632" s="3">
        <v>4</v>
      </c>
      <c r="O632" s="238"/>
      <c r="P632" s="234"/>
      <c r="Q632" s="93"/>
      <c r="R6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32" s="93">
        <v>1</v>
      </c>
      <c r="T632" s="93" t="b">
        <f>Data[[#This Row],[Day Rank]]=Data[[#This Row],[W Rank]]</f>
        <v>0</v>
      </c>
      <c r="U632" s="331"/>
    </row>
    <row r="633" spans="1:21" ht="15" customHeight="1">
      <c r="A633" s="326"/>
      <c r="B633" s="326"/>
      <c r="C633" s="339"/>
      <c r="D633" s="81">
        <f>D632</f>
        <v>45691</v>
      </c>
      <c r="E633" s="140" t="str">
        <f>$K$1</f>
        <v>danram</v>
      </c>
      <c r="F633" s="8">
        <f>IFERROR(AVERAGE(Data[[#This Row],[alappatjoe]:[currydestroyer27]]), "TBD")</f>
        <v>4.5999999999999996</v>
      </c>
      <c r="G633" s="177">
        <f>IFERROR(_xlfn.STDEV.P(Data[[#This Row],[alappatjoe]:[currydestroyer27]]), "TBD")</f>
        <v>0.4898979485566356</v>
      </c>
      <c r="H633" s="135" t="s">
        <v>1401</v>
      </c>
      <c r="I633" s="229" t="s">
        <v>1402</v>
      </c>
      <c r="J633" s="3">
        <v>5</v>
      </c>
      <c r="K633" s="3">
        <v>4</v>
      </c>
      <c r="L633" s="3">
        <v>5</v>
      </c>
      <c r="M633" s="3">
        <v>4</v>
      </c>
      <c r="N633" s="3">
        <v>5</v>
      </c>
      <c r="O633" s="238"/>
      <c r="P633" s="234"/>
      <c r="Q633" s="93"/>
      <c r="R6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33" s="93">
        <v>1</v>
      </c>
      <c r="T633" s="93" t="b">
        <f>Data[[#This Row],[Day Rank]]=Data[[#This Row],[W Rank]]</f>
        <v>0</v>
      </c>
      <c r="U633" s="323"/>
    </row>
    <row r="634" spans="1:21" ht="15" customHeight="1">
      <c r="A634" s="326"/>
      <c r="B634" s="326"/>
      <c r="C634" s="339"/>
      <c r="D634" s="81">
        <f>D632</f>
        <v>45691</v>
      </c>
      <c r="E634" s="140" t="str">
        <f>$L$1</f>
        <v>loganworsdell</v>
      </c>
      <c r="F634" s="8">
        <f>IFERROR(AVERAGE(Data[[#This Row],[alappatjoe]:[currydestroyer27]]), "TBD")</f>
        <v>1.8</v>
      </c>
      <c r="G634" s="177">
        <f>IFERROR(_xlfn.STDEV.P(Data[[#This Row],[alappatjoe]:[currydestroyer27]]), "TBD")</f>
        <v>0.74833147735478833</v>
      </c>
      <c r="H634" s="135" t="s">
        <v>1403</v>
      </c>
      <c r="I634" s="229" t="s">
        <v>1404</v>
      </c>
      <c r="J634" s="3">
        <v>3</v>
      </c>
      <c r="K634" s="3">
        <v>1</v>
      </c>
      <c r="L634" s="3">
        <v>1</v>
      </c>
      <c r="M634" s="3">
        <v>2</v>
      </c>
      <c r="N634" s="3">
        <v>2</v>
      </c>
      <c r="O634" s="238"/>
      <c r="P634" s="234"/>
      <c r="Q634" s="93"/>
      <c r="R6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34" s="93">
        <v>1</v>
      </c>
      <c r="T634" s="93" t="b">
        <f>Data[[#This Row],[Day Rank]]=Data[[#This Row],[W Rank]]</f>
        <v>1</v>
      </c>
      <c r="U634" s="323"/>
    </row>
    <row r="635" spans="1:21" ht="15" customHeight="1">
      <c r="A635" s="326"/>
      <c r="B635" s="326"/>
      <c r="C635" s="339"/>
      <c r="D635" s="81">
        <f>D632</f>
        <v>45691</v>
      </c>
      <c r="E635" s="140" t="str">
        <f>$M$1</f>
        <v>samuelbattista</v>
      </c>
      <c r="F635" s="8">
        <f>IFERROR(AVERAGE(Data[[#This Row],[alappatjoe]:[currydestroyer27]]), "TBD")</f>
        <v>2.6</v>
      </c>
      <c r="G635" s="177">
        <f>IFERROR(_xlfn.STDEV.P(Data[[#This Row],[alappatjoe]:[currydestroyer27]]), "TBD")</f>
        <v>1.019803902718557</v>
      </c>
      <c r="H635" s="135" t="s">
        <v>1405</v>
      </c>
      <c r="I635" s="229" t="s">
        <v>1406</v>
      </c>
      <c r="J635" s="3">
        <v>4</v>
      </c>
      <c r="K635" s="3">
        <v>2</v>
      </c>
      <c r="L635" s="3">
        <v>3</v>
      </c>
      <c r="M635" s="3">
        <v>1</v>
      </c>
      <c r="N635" s="3">
        <v>3</v>
      </c>
      <c r="O635" s="238"/>
      <c r="P635" s="234"/>
      <c r="Q635" s="93"/>
      <c r="R6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35" s="93">
        <v>1</v>
      </c>
      <c r="T635" s="93" t="b">
        <f>Data[[#This Row],[Day Rank]]=Data[[#This Row],[W Rank]]</f>
        <v>0</v>
      </c>
      <c r="U635" s="323"/>
    </row>
    <row r="636" spans="1:21" ht="15" customHeight="1" thickBot="1">
      <c r="A636" s="327"/>
      <c r="B636" s="327"/>
      <c r="C636" s="340"/>
      <c r="D636" s="164">
        <f>D632</f>
        <v>45691</v>
      </c>
      <c r="E636" s="215" t="str">
        <f>$N$1</f>
        <v>currydestroyer27</v>
      </c>
      <c r="F636" s="165">
        <f>IFERROR(AVERAGE(Data[[#This Row],[alappatjoe]:[currydestroyer27]]), "TBD")</f>
        <v>2.6</v>
      </c>
      <c r="G636" s="256">
        <f>IFERROR(_xlfn.STDEV.P(Data[[#This Row],[alappatjoe]:[currydestroyer27]]), "TBD")</f>
        <v>1.3564659966250536</v>
      </c>
      <c r="H636" s="227" t="s">
        <v>1407</v>
      </c>
      <c r="I636" s="257" t="s">
        <v>1408</v>
      </c>
      <c r="J636" s="166">
        <v>2</v>
      </c>
      <c r="K636" s="166">
        <v>5</v>
      </c>
      <c r="L636" s="166">
        <v>2</v>
      </c>
      <c r="M636" s="166">
        <v>3</v>
      </c>
      <c r="N636" s="166">
        <v>1</v>
      </c>
      <c r="O636" s="242"/>
      <c r="P636" s="237"/>
      <c r="Q636" s="167"/>
      <c r="R63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36" s="167">
        <v>1</v>
      </c>
      <c r="T636" s="167" t="b">
        <f>Data[[#This Row],[Day Rank]]=Data[[#This Row],[W Rank]]</f>
        <v>0</v>
      </c>
      <c r="U636" s="324"/>
    </row>
    <row r="637" spans="1:21" ht="15" customHeight="1">
      <c r="A637" s="325">
        <v>45692</v>
      </c>
      <c r="B637" s="325"/>
      <c r="C637" s="328" t="str" cm="1">
        <f t="array" ref="C637">_xlfn.LET(_xlpm.matches, _xlfn._xlws.FILTER(Data[Poster], (Data[Date]=A637)*(Data[Winner]=TRUE)), IF(ROWS(_xlpm.matches)&gt;1, "TIE", _xlpm.matches))</f>
        <v>loganworsdell</v>
      </c>
      <c r="D637" s="147">
        <f>A637</f>
        <v>45692</v>
      </c>
      <c r="E637" s="181" t="str">
        <f>$J$1</f>
        <v>alappatjoe</v>
      </c>
      <c r="F637" s="9">
        <f>IFERROR(AVERAGE(Data[[#This Row],[alappatjoe]:[currydestroyer27]]), "TBD")</f>
        <v>3.4</v>
      </c>
      <c r="G637" s="178">
        <f>IFERROR(_xlfn.STDEV.P(Data[[#This Row],[alappatjoe]:[currydestroyer27]]), "TBD")</f>
        <v>1.6248076809271921</v>
      </c>
      <c r="H637" s="160" t="s">
        <v>1409</v>
      </c>
      <c r="I637" s="186" t="s">
        <v>1055</v>
      </c>
      <c r="J637" s="3">
        <v>1</v>
      </c>
      <c r="K637" s="3">
        <v>5</v>
      </c>
      <c r="L637" s="3">
        <v>4</v>
      </c>
      <c r="M637" s="3">
        <v>5</v>
      </c>
      <c r="N637" s="3">
        <v>2</v>
      </c>
      <c r="O637" s="238"/>
      <c r="P637" s="234"/>
      <c r="Q637" s="93"/>
      <c r="R6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37" s="93">
        <v>1</v>
      </c>
      <c r="T637" s="93" t="b">
        <f>Data[[#This Row],[Day Rank]]=Data[[#This Row],[W Rank]]</f>
        <v>0</v>
      </c>
      <c r="U637" s="331"/>
    </row>
    <row r="638" spans="1:21" ht="15" customHeight="1">
      <c r="A638" s="326"/>
      <c r="B638" s="326"/>
      <c r="C638" s="329"/>
      <c r="D638" s="81">
        <f>D637</f>
        <v>45692</v>
      </c>
      <c r="E638" s="140" t="str">
        <f>$K$1</f>
        <v>danram</v>
      </c>
      <c r="F638" s="8">
        <f>IFERROR(AVERAGE(Data[[#This Row],[alappatjoe]:[currydestroyer27]]), "TBD")</f>
        <v>3</v>
      </c>
      <c r="G638" s="177">
        <f>IFERROR(_xlfn.STDEV.P(Data[[#This Row],[alappatjoe]:[currydestroyer27]]), "TBD")</f>
        <v>1.4142135623730951</v>
      </c>
      <c r="H638" s="135" t="s">
        <v>1410</v>
      </c>
      <c r="I638" s="272" t="s">
        <v>1411</v>
      </c>
      <c r="J638" s="3">
        <v>5</v>
      </c>
      <c r="K638" s="3">
        <v>1</v>
      </c>
      <c r="L638" s="3">
        <v>2</v>
      </c>
      <c r="M638" s="3">
        <v>3</v>
      </c>
      <c r="N638" s="3">
        <v>4</v>
      </c>
      <c r="O638" s="238"/>
      <c r="P638" s="234"/>
      <c r="Q638" s="93"/>
      <c r="R6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38" s="93">
        <v>1</v>
      </c>
      <c r="T638" s="93" t="b">
        <f>Data[[#This Row],[Day Rank]]=Data[[#This Row],[W Rank]]</f>
        <v>0</v>
      </c>
      <c r="U638" s="323"/>
    </row>
    <row r="639" spans="1:21" ht="15" customHeight="1">
      <c r="A639" s="326"/>
      <c r="B639" s="326"/>
      <c r="C639" s="329"/>
      <c r="D639" s="81">
        <f>D637</f>
        <v>45692</v>
      </c>
      <c r="E639" s="140" t="str">
        <f>$L$1</f>
        <v>loganworsdell</v>
      </c>
      <c r="F639" s="8">
        <f>IFERROR(AVERAGE(Data[[#This Row],[alappatjoe]:[currydestroyer27]]), "TBD")</f>
        <v>2.2000000000000002</v>
      </c>
      <c r="G639" s="177">
        <f>IFERROR(_xlfn.STDEV.P(Data[[#This Row],[alappatjoe]:[currydestroyer27]]), "TBD")</f>
        <v>0.74833147735478833</v>
      </c>
      <c r="H639" s="135" t="s">
        <v>1412</v>
      </c>
      <c r="I639" s="229" t="s">
        <v>1413</v>
      </c>
      <c r="J639" s="3">
        <v>3</v>
      </c>
      <c r="K639" s="3">
        <v>2</v>
      </c>
      <c r="L639" s="3">
        <v>1</v>
      </c>
      <c r="M639" s="3">
        <v>2</v>
      </c>
      <c r="N639" s="3">
        <v>3</v>
      </c>
      <c r="O639" s="238"/>
      <c r="P639" s="234"/>
      <c r="Q639" s="93"/>
      <c r="R6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39" s="93">
        <v>1</v>
      </c>
      <c r="T639" s="93" t="b">
        <f>Data[[#This Row],[Day Rank]]=Data[[#This Row],[W Rank]]</f>
        <v>1</v>
      </c>
      <c r="U639" s="323"/>
    </row>
    <row r="640" spans="1:21" ht="15" customHeight="1">
      <c r="A640" s="326"/>
      <c r="B640" s="326"/>
      <c r="C640" s="329"/>
      <c r="D640" s="81">
        <f>D637</f>
        <v>45692</v>
      </c>
      <c r="E640" s="140" t="str">
        <f>$M$1</f>
        <v>samuelbattista</v>
      </c>
      <c r="F640" s="8">
        <f>IFERROR(AVERAGE(Data[[#This Row],[alappatjoe]:[currydestroyer27]]), "TBD")</f>
        <v>3.6</v>
      </c>
      <c r="G640" s="177">
        <f>IFERROR(_xlfn.STDEV.P(Data[[#This Row],[alappatjoe]:[currydestroyer27]]), "TBD")</f>
        <v>1.4966629547095767</v>
      </c>
      <c r="H640" s="135" t="s">
        <v>1414</v>
      </c>
      <c r="I640" s="229" t="s">
        <v>1415</v>
      </c>
      <c r="J640" s="3">
        <v>4</v>
      </c>
      <c r="K640" s="3">
        <v>3</v>
      </c>
      <c r="L640" s="3">
        <v>5</v>
      </c>
      <c r="M640" s="3">
        <v>1</v>
      </c>
      <c r="N640" s="3">
        <v>5</v>
      </c>
      <c r="O640" s="238"/>
      <c r="P640" s="234"/>
      <c r="Q640" s="93"/>
      <c r="R6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40" s="93">
        <v>1</v>
      </c>
      <c r="T640" s="93" t="b">
        <f>Data[[#This Row],[Day Rank]]=Data[[#This Row],[W Rank]]</f>
        <v>0</v>
      </c>
      <c r="U640" s="323"/>
    </row>
    <row r="641" spans="1:21" ht="15" customHeight="1" thickBot="1">
      <c r="A641" s="327"/>
      <c r="B641" s="327"/>
      <c r="C641" s="330"/>
      <c r="D641" s="164">
        <f>D637</f>
        <v>45692</v>
      </c>
      <c r="E641" s="215" t="str">
        <f>$N$1</f>
        <v>currydestroyer27</v>
      </c>
      <c r="F641" s="165">
        <f>IFERROR(AVERAGE(Data[[#This Row],[alappatjoe]:[currydestroyer27]]), "TBD")</f>
        <v>2.8</v>
      </c>
      <c r="G641" s="256">
        <f>IFERROR(_xlfn.STDEV.P(Data[[#This Row],[alappatjoe]:[currydestroyer27]]), "TBD")</f>
        <v>1.1661903789690602</v>
      </c>
      <c r="H641" s="227" t="s">
        <v>1416</v>
      </c>
      <c r="I641" s="257" t="s">
        <v>805</v>
      </c>
      <c r="J641" s="166">
        <v>2</v>
      </c>
      <c r="K641" s="166">
        <v>4</v>
      </c>
      <c r="L641" s="166">
        <v>3</v>
      </c>
      <c r="M641" s="166">
        <v>4</v>
      </c>
      <c r="N641" s="166">
        <v>1</v>
      </c>
      <c r="O641" s="242"/>
      <c r="P641" s="237"/>
      <c r="Q641" s="167"/>
      <c r="R64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41" s="167">
        <v>1</v>
      </c>
      <c r="T641" s="167" t="b">
        <f>Data[[#This Row],[Day Rank]]=Data[[#This Row],[W Rank]]</f>
        <v>0</v>
      </c>
      <c r="U641" s="324"/>
    </row>
    <row r="642" spans="1:21" ht="15" customHeight="1">
      <c r="A642" s="325">
        <v>45693</v>
      </c>
      <c r="B642" s="325"/>
      <c r="C642" s="338" t="str" cm="1">
        <f t="array" ref="C642">_xlfn.LET(_xlpm.matches, _xlfn._xlws.FILTER(Data[Poster], (Data[Date]=A642)*(Data[Winner]=TRUE)), IF(ROWS(_xlpm.matches)&gt;1, "TIE", _xlpm.matches))</f>
        <v>alappatjoe</v>
      </c>
      <c r="D642" s="147">
        <f>A642</f>
        <v>45693</v>
      </c>
      <c r="E642" s="181" t="str">
        <f>$J$1</f>
        <v>alappatjoe</v>
      </c>
      <c r="F642" s="9">
        <f>IFERROR(AVERAGE(Data[[#This Row],[alappatjoe]:[currydestroyer27]]), "TBD")</f>
        <v>1.4</v>
      </c>
      <c r="G642" s="178">
        <f>IFERROR(_xlfn.STDEV.P(Data[[#This Row],[alappatjoe]:[currydestroyer27]]), "TBD")</f>
        <v>0.4898979485566356</v>
      </c>
      <c r="H642" s="160" t="s">
        <v>1417</v>
      </c>
      <c r="I642" s="186" t="s">
        <v>265</v>
      </c>
      <c r="J642" s="3">
        <v>1</v>
      </c>
      <c r="K642" s="3">
        <v>1</v>
      </c>
      <c r="L642" s="3">
        <v>2</v>
      </c>
      <c r="M642" s="3">
        <v>1</v>
      </c>
      <c r="N642" s="3">
        <v>2</v>
      </c>
      <c r="O642" s="238"/>
      <c r="P642" s="234"/>
      <c r="Q642" s="93"/>
      <c r="R6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42" s="93">
        <v>1</v>
      </c>
      <c r="T642" s="93" t="b">
        <f>Data[[#This Row],[Day Rank]]=Data[[#This Row],[W Rank]]</f>
        <v>1</v>
      </c>
      <c r="U642" s="331"/>
    </row>
    <row r="643" spans="1:21" ht="15" customHeight="1">
      <c r="A643" s="326"/>
      <c r="B643" s="326"/>
      <c r="C643" s="339"/>
      <c r="D643" s="81">
        <f>D642</f>
        <v>45693</v>
      </c>
      <c r="E643" s="140" t="str">
        <f>$K$1</f>
        <v>danram</v>
      </c>
      <c r="F643" s="8">
        <f>IFERROR(AVERAGE(Data[[#This Row],[alappatjoe]:[currydestroyer27]]), "TBD")</f>
        <v>3.6</v>
      </c>
      <c r="G643" s="177">
        <f>IFERROR(_xlfn.STDEV.P(Data[[#This Row],[alappatjoe]:[currydestroyer27]]), "TBD")</f>
        <v>1.019803902718557</v>
      </c>
      <c r="H643" s="135" t="s">
        <v>1418</v>
      </c>
      <c r="I643" s="229" t="s">
        <v>1419</v>
      </c>
      <c r="J643" s="3">
        <v>5</v>
      </c>
      <c r="K643" s="3">
        <v>2</v>
      </c>
      <c r="L643" s="3">
        <v>4</v>
      </c>
      <c r="M643" s="3">
        <v>4</v>
      </c>
      <c r="N643" s="3">
        <v>3</v>
      </c>
      <c r="O643" s="238"/>
      <c r="P643" s="234"/>
      <c r="Q643" s="93"/>
      <c r="R6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43" s="93">
        <v>1</v>
      </c>
      <c r="T643" s="93" t="b">
        <f>Data[[#This Row],[Day Rank]]=Data[[#This Row],[W Rank]]</f>
        <v>0</v>
      </c>
      <c r="U643" s="323"/>
    </row>
    <row r="644" spans="1:21" ht="15" customHeight="1">
      <c r="A644" s="326"/>
      <c r="B644" s="326"/>
      <c r="C644" s="339"/>
      <c r="D644" s="81">
        <f>D642</f>
        <v>45693</v>
      </c>
      <c r="E644" s="140" t="str">
        <f>$L$1</f>
        <v>loganworsdell</v>
      </c>
      <c r="F644" s="8">
        <f>IFERROR(AVERAGE(Data[[#This Row],[alappatjoe]:[currydestroyer27]]), "TBD")</f>
        <v>3</v>
      </c>
      <c r="G644" s="177">
        <f>IFERROR(_xlfn.STDEV.P(Data[[#This Row],[alappatjoe]:[currydestroyer27]]), "TBD")</f>
        <v>1.0954451150103321</v>
      </c>
      <c r="H644" s="135" t="s">
        <v>1420</v>
      </c>
      <c r="I644" s="229" t="s">
        <v>1421</v>
      </c>
      <c r="J644" s="3">
        <v>3</v>
      </c>
      <c r="K644" s="3">
        <v>4</v>
      </c>
      <c r="L644" s="3">
        <v>1</v>
      </c>
      <c r="M644" s="3">
        <v>3</v>
      </c>
      <c r="N644" s="3">
        <v>4</v>
      </c>
      <c r="O644" s="238"/>
      <c r="P644" s="234"/>
      <c r="Q644" s="93"/>
      <c r="R6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44" s="93">
        <v>1</v>
      </c>
      <c r="T644" s="93" t="b">
        <f>Data[[#This Row],[Day Rank]]=Data[[#This Row],[W Rank]]</f>
        <v>0</v>
      </c>
      <c r="U644" s="323"/>
    </row>
    <row r="645" spans="1:21" ht="15" customHeight="1">
      <c r="A645" s="326"/>
      <c r="B645" s="326"/>
      <c r="C645" s="339"/>
      <c r="D645" s="81">
        <f>D642</f>
        <v>45693</v>
      </c>
      <c r="E645" s="140" t="str">
        <f>$M$1</f>
        <v>samuelbattista</v>
      </c>
      <c r="F645" s="8">
        <f>IFERROR(AVERAGE(Data[[#This Row],[alappatjoe]:[currydestroyer27]]), "TBD")</f>
        <v>4.2</v>
      </c>
      <c r="G645" s="177">
        <f>IFERROR(_xlfn.STDEV.P(Data[[#This Row],[alappatjoe]:[currydestroyer27]]), "TBD")</f>
        <v>1.1661903789690602</v>
      </c>
      <c r="H645" s="135" t="s">
        <v>1422</v>
      </c>
      <c r="I645" s="229" t="s">
        <v>899</v>
      </c>
      <c r="J645" s="3">
        <v>4</v>
      </c>
      <c r="K645" s="3">
        <v>5</v>
      </c>
      <c r="L645" s="3">
        <v>5</v>
      </c>
      <c r="M645" s="3">
        <v>2</v>
      </c>
      <c r="N645" s="3">
        <v>5</v>
      </c>
      <c r="O645" s="238"/>
      <c r="P645" s="234"/>
      <c r="Q645" s="93"/>
      <c r="R6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45" s="93">
        <v>1</v>
      </c>
      <c r="T645" s="93" t="b">
        <f>Data[[#This Row],[Day Rank]]=Data[[#This Row],[W Rank]]</f>
        <v>0</v>
      </c>
      <c r="U645" s="323"/>
    </row>
    <row r="646" spans="1:21" ht="15" customHeight="1" thickBot="1">
      <c r="A646" s="327"/>
      <c r="B646" s="327"/>
      <c r="C646" s="340"/>
      <c r="D646" s="164">
        <f>D642</f>
        <v>45693</v>
      </c>
      <c r="E646" s="215" t="str">
        <f>$N$1</f>
        <v>currydestroyer27</v>
      </c>
      <c r="F646" s="165">
        <f>IFERROR(AVERAGE(Data[[#This Row],[alappatjoe]:[currydestroyer27]]), "TBD")</f>
        <v>2.8</v>
      </c>
      <c r="G646" s="256">
        <f>IFERROR(_xlfn.STDEV.P(Data[[#This Row],[alappatjoe]:[currydestroyer27]]), "TBD")</f>
        <v>1.3266499161421599</v>
      </c>
      <c r="H646" s="273" t="s">
        <v>1423</v>
      </c>
      <c r="I646" s="257" t="s">
        <v>1424</v>
      </c>
      <c r="J646" s="166">
        <v>2</v>
      </c>
      <c r="K646" s="166">
        <v>3</v>
      </c>
      <c r="L646" s="166">
        <v>3</v>
      </c>
      <c r="M646" s="166">
        <v>5</v>
      </c>
      <c r="N646" s="166">
        <v>1</v>
      </c>
      <c r="O646" s="242"/>
      <c r="P646" s="237"/>
      <c r="Q646" s="167"/>
      <c r="R64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46" s="167">
        <v>1</v>
      </c>
      <c r="T646" s="167" t="b">
        <f>Data[[#This Row],[Day Rank]]=Data[[#This Row],[W Rank]]</f>
        <v>0</v>
      </c>
      <c r="U646" s="324"/>
    </row>
    <row r="647" spans="1:21" ht="15" customHeight="1">
      <c r="A647" s="325">
        <v>45694</v>
      </c>
      <c r="B647" s="325"/>
      <c r="C647" s="328" t="str" cm="1">
        <f t="array" ref="C647">_xlfn.LET(_xlpm.matches, _xlfn._xlws.FILTER(Data[Poster], (Data[Date]=A647)*(Data[Winner]=TRUE)), IF(ROWS(_xlpm.matches)&gt;1, "TIE", _xlpm.matches))</f>
        <v>currydestroyer27</v>
      </c>
      <c r="D647" s="147">
        <f>A647</f>
        <v>45694</v>
      </c>
      <c r="E647" s="181" t="str">
        <f>$J$1</f>
        <v>alappatjoe</v>
      </c>
      <c r="F647" s="9">
        <f>IFERROR(AVERAGE(Data[[#This Row],[alappatjoe]:[currydestroyer27]]), "TBD")</f>
        <v>3.4</v>
      </c>
      <c r="G647" s="178">
        <f>IFERROR(_xlfn.STDEV.P(Data[[#This Row],[alappatjoe]:[currydestroyer27]]), "TBD")</f>
        <v>1.6248076809271921</v>
      </c>
      <c r="H647" s="160" t="s">
        <v>1425</v>
      </c>
      <c r="I647" s="186" t="s">
        <v>1093</v>
      </c>
      <c r="J647" s="3">
        <v>1</v>
      </c>
      <c r="K647" s="3">
        <v>5</v>
      </c>
      <c r="L647" s="3">
        <v>5</v>
      </c>
      <c r="M647" s="3">
        <v>2</v>
      </c>
      <c r="N647" s="3">
        <v>4</v>
      </c>
      <c r="O647" s="238"/>
      <c r="P647" s="234"/>
      <c r="Q647" s="93"/>
      <c r="R6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47" s="93">
        <v>1</v>
      </c>
      <c r="T647" s="93" t="b">
        <f>Data[[#This Row],[Day Rank]]=Data[[#This Row],[W Rank]]</f>
        <v>0</v>
      </c>
      <c r="U647" s="331" t="s">
        <v>1426</v>
      </c>
    </row>
    <row r="648" spans="1:21" ht="15" customHeight="1">
      <c r="A648" s="326"/>
      <c r="B648" s="326"/>
      <c r="C648" s="329"/>
      <c r="D648" s="81">
        <f>D647</f>
        <v>45694</v>
      </c>
      <c r="E648" s="140" t="str">
        <f>$K$1</f>
        <v>danram</v>
      </c>
      <c r="F648" s="8">
        <f>IFERROR(AVERAGE(Data[[#This Row],[alappatjoe]:[currydestroyer27]]), "TBD")</f>
        <v>3.6</v>
      </c>
      <c r="G648" s="177">
        <f>IFERROR(_xlfn.STDEV.P(Data[[#This Row],[alappatjoe]:[currydestroyer27]]), "TBD")</f>
        <v>1.3564659966250536</v>
      </c>
      <c r="H648" s="135" t="s">
        <v>1427</v>
      </c>
      <c r="I648" s="229" t="s">
        <v>1428</v>
      </c>
      <c r="J648" s="3">
        <v>2</v>
      </c>
      <c r="K648" s="3">
        <v>2</v>
      </c>
      <c r="L648" s="3">
        <v>4</v>
      </c>
      <c r="M648" s="3">
        <v>5</v>
      </c>
      <c r="N648" s="3">
        <v>5</v>
      </c>
      <c r="O648" s="238"/>
      <c r="P648" s="234"/>
      <c r="Q648" s="93"/>
      <c r="R6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48" s="93">
        <v>1</v>
      </c>
      <c r="T648" s="93" t="b">
        <f>Data[[#This Row],[Day Rank]]=Data[[#This Row],[W Rank]]</f>
        <v>0</v>
      </c>
      <c r="U648" s="323"/>
    </row>
    <row r="649" spans="1:21" ht="15" customHeight="1">
      <c r="A649" s="326"/>
      <c r="B649" s="326"/>
      <c r="C649" s="329"/>
      <c r="D649" s="81">
        <f>D647</f>
        <v>45694</v>
      </c>
      <c r="E649" s="140" t="str">
        <f>$L$1</f>
        <v>loganworsdell</v>
      </c>
      <c r="F649" s="8">
        <f>IFERROR(AVERAGE(Data[[#This Row],[alappatjoe]:[currydestroyer27]]), "TBD")</f>
        <v>2.6</v>
      </c>
      <c r="G649" s="177">
        <f>IFERROR(_xlfn.STDEV.P(Data[[#This Row],[alappatjoe]:[currydestroyer27]]), "TBD")</f>
        <v>1.019803902718557</v>
      </c>
      <c r="H649" s="135" t="s">
        <v>1429</v>
      </c>
      <c r="I649" s="229" t="s">
        <v>1430</v>
      </c>
      <c r="J649" s="3">
        <v>3</v>
      </c>
      <c r="K649" s="113">
        <v>3</v>
      </c>
      <c r="L649" s="3">
        <v>1</v>
      </c>
      <c r="M649" s="3">
        <v>4</v>
      </c>
      <c r="N649" s="3">
        <v>2</v>
      </c>
      <c r="O649" s="238"/>
      <c r="P649" s="234"/>
      <c r="Q649" s="93"/>
      <c r="R6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49" s="93">
        <v>1</v>
      </c>
      <c r="T649" s="93" t="b">
        <f>Data[[#This Row],[Day Rank]]=Data[[#This Row],[W Rank]]</f>
        <v>0</v>
      </c>
      <c r="U649" s="323"/>
    </row>
    <row r="650" spans="1:21" ht="15" customHeight="1">
      <c r="A650" s="326"/>
      <c r="B650" s="326"/>
      <c r="C650" s="329"/>
      <c r="D650" s="81">
        <f>D647</f>
        <v>45694</v>
      </c>
      <c r="E650" s="140" t="str">
        <f>$M$1</f>
        <v>samuelbattista</v>
      </c>
      <c r="F650" s="8">
        <f>IFERROR(AVERAGE(Data[[#This Row],[alappatjoe]:[currydestroyer27]]), "TBD")</f>
        <v>3.2</v>
      </c>
      <c r="G650" s="177">
        <f>IFERROR(_xlfn.STDEV.P(Data[[#This Row],[alappatjoe]:[currydestroyer27]]), "TBD")</f>
        <v>1.3266499161421599</v>
      </c>
      <c r="H650" s="135" t="s">
        <v>1431</v>
      </c>
      <c r="I650" s="229" t="s">
        <v>1432</v>
      </c>
      <c r="J650" s="3">
        <v>5</v>
      </c>
      <c r="K650" s="101">
        <v>4</v>
      </c>
      <c r="L650" s="3">
        <v>3</v>
      </c>
      <c r="M650" s="3">
        <v>1</v>
      </c>
      <c r="N650" s="3">
        <v>3</v>
      </c>
      <c r="O650" s="238"/>
      <c r="P650" s="234"/>
      <c r="Q650" s="93"/>
      <c r="R6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50" s="93">
        <v>1</v>
      </c>
      <c r="T650" s="93" t="b">
        <f>Data[[#This Row],[Day Rank]]=Data[[#This Row],[W Rank]]</f>
        <v>0</v>
      </c>
      <c r="U650" s="323"/>
    </row>
    <row r="651" spans="1:21" ht="15" customHeight="1" thickBot="1">
      <c r="A651" s="327"/>
      <c r="B651" s="327"/>
      <c r="C651" s="330"/>
      <c r="D651" s="164">
        <f>D647</f>
        <v>45694</v>
      </c>
      <c r="E651" s="215" t="str">
        <f>$N$1</f>
        <v>currydestroyer27</v>
      </c>
      <c r="F651" s="165">
        <f>IFERROR(AVERAGE(Data[[#This Row],[alappatjoe]:[currydestroyer27]]), "TBD")</f>
        <v>2.2000000000000002</v>
      </c>
      <c r="G651" s="256">
        <f>IFERROR(_xlfn.STDEV.P(Data[[#This Row],[alappatjoe]:[currydestroyer27]]), "TBD")</f>
        <v>1.1661903789690602</v>
      </c>
      <c r="H651" s="227" t="s">
        <v>1433</v>
      </c>
      <c r="I651" s="257" t="s">
        <v>1434</v>
      </c>
      <c r="J651" s="166">
        <v>4</v>
      </c>
      <c r="K651" s="166">
        <v>1</v>
      </c>
      <c r="L651" s="166">
        <v>2</v>
      </c>
      <c r="M651" s="166">
        <v>3</v>
      </c>
      <c r="N651" s="166">
        <v>1</v>
      </c>
      <c r="O651" s="242"/>
      <c r="P651" s="237"/>
      <c r="Q651" s="167"/>
      <c r="R65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51" s="167">
        <v>1</v>
      </c>
      <c r="T651" s="167" t="b">
        <f>Data[[#This Row],[Day Rank]]=Data[[#This Row],[W Rank]]</f>
        <v>1</v>
      </c>
      <c r="U651" s="324"/>
    </row>
    <row r="652" spans="1:21" ht="15" customHeight="1">
      <c r="A652" s="325">
        <v>45698</v>
      </c>
      <c r="B652" s="325"/>
      <c r="C652" s="338" t="str" cm="1">
        <f t="array" ref="C652">_xlfn.LET(_xlpm.matches, _xlfn._xlws.FILTER(Data[Poster], (Data[Date]=A652)*(Data[Winner]=TRUE)), IF(ROWS(_xlpm.matches)&gt;1, "TIE", _xlpm.matches))</f>
        <v>samuelbattista</v>
      </c>
      <c r="D652" s="81">
        <f>A652</f>
        <v>45698</v>
      </c>
      <c r="E652" s="140" t="str">
        <f>$J$1</f>
        <v>alappatjoe</v>
      </c>
      <c r="F652" s="8">
        <f>IFERROR(AVERAGE(Data[[#This Row],[alappatjoe]:[currydestroyer27]]), "TBD")</f>
        <v>2.8</v>
      </c>
      <c r="G652" s="177">
        <f>IFERROR(_xlfn.STDEV.P(Data[[#This Row],[alappatjoe]:[currydestroyer27]]), "TBD")</f>
        <v>1.833030277982336</v>
      </c>
      <c r="H652" s="160" t="s">
        <v>1435</v>
      </c>
      <c r="I652" s="229" t="s">
        <v>1436</v>
      </c>
      <c r="J652" s="3">
        <v>1</v>
      </c>
      <c r="K652" s="3">
        <v>5</v>
      </c>
      <c r="L652" s="3">
        <v>5</v>
      </c>
      <c r="M652" s="3">
        <v>2</v>
      </c>
      <c r="N652" s="3">
        <v>1</v>
      </c>
      <c r="O652" s="238"/>
      <c r="P652" s="234"/>
      <c r="Q652" s="93"/>
      <c r="R6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52" s="93">
        <v>1</v>
      </c>
      <c r="T652" s="93" t="b">
        <f>Data[[#This Row],[Day Rank]]=Data[[#This Row],[W Rank]]</f>
        <v>0</v>
      </c>
      <c r="U652" s="331"/>
    </row>
    <row r="653" spans="1:21" ht="15" customHeight="1">
      <c r="A653" s="326"/>
      <c r="B653" s="326"/>
      <c r="C653" s="339"/>
      <c r="D653" s="81">
        <f>D652</f>
        <v>45698</v>
      </c>
      <c r="E653" s="140" t="str">
        <f>$K$1</f>
        <v>danram</v>
      </c>
      <c r="F653" s="8">
        <f>IFERROR(AVERAGE(Data[[#This Row],[alappatjoe]:[currydestroyer27]]), "TBD")</f>
        <v>3.2</v>
      </c>
      <c r="G653" s="177">
        <f>IFERROR(_xlfn.STDEV.P(Data[[#This Row],[alappatjoe]:[currydestroyer27]]), "TBD")</f>
        <v>0.74833147735478833</v>
      </c>
      <c r="H653" s="135" t="s">
        <v>1437</v>
      </c>
      <c r="I653" s="229" t="s">
        <v>616</v>
      </c>
      <c r="J653" s="3">
        <v>4</v>
      </c>
      <c r="K653" s="3">
        <v>2</v>
      </c>
      <c r="L653" s="3">
        <v>3</v>
      </c>
      <c r="M653" s="3">
        <v>4</v>
      </c>
      <c r="N653" s="3">
        <v>3</v>
      </c>
      <c r="O653" s="238"/>
      <c r="P653" s="234"/>
      <c r="Q653" s="93"/>
      <c r="R6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53" s="93">
        <v>1</v>
      </c>
      <c r="T653" s="93" t="b">
        <f>Data[[#This Row],[Day Rank]]=Data[[#This Row],[W Rank]]</f>
        <v>0</v>
      </c>
      <c r="U653" s="323"/>
    </row>
    <row r="654" spans="1:21" ht="15" customHeight="1">
      <c r="A654" s="326"/>
      <c r="B654" s="326"/>
      <c r="C654" s="339"/>
      <c r="D654" s="81">
        <f>D652</f>
        <v>45698</v>
      </c>
      <c r="E654" s="140" t="str">
        <f>$L$1</f>
        <v>loganworsdell</v>
      </c>
      <c r="F654" s="8">
        <f>IFERROR(AVERAGE(Data[[#This Row],[alappatjoe]:[currydestroyer27]]), "TBD")</f>
        <v>4.2</v>
      </c>
      <c r="G654" s="177">
        <f>IFERROR(_xlfn.STDEV.P(Data[[#This Row],[alappatjoe]:[currydestroyer27]]), "TBD")</f>
        <v>1.1661903789690602</v>
      </c>
      <c r="H654" s="135" t="s">
        <v>1438</v>
      </c>
      <c r="I654" s="229" t="s">
        <v>1439</v>
      </c>
      <c r="J654" s="3">
        <v>5</v>
      </c>
      <c r="K654" s="3">
        <v>4</v>
      </c>
      <c r="L654" s="3">
        <v>2</v>
      </c>
      <c r="M654" s="3">
        <v>5</v>
      </c>
      <c r="N654" s="3">
        <v>5</v>
      </c>
      <c r="O654" s="238"/>
      <c r="P654" s="234"/>
      <c r="Q654" s="93"/>
      <c r="R6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54" s="93">
        <v>1</v>
      </c>
      <c r="T654" s="93" t="b">
        <f>Data[[#This Row],[Day Rank]]=Data[[#This Row],[W Rank]]</f>
        <v>0</v>
      </c>
      <c r="U654" s="323"/>
    </row>
    <row r="655" spans="1:21" ht="15" customHeight="1">
      <c r="A655" s="326"/>
      <c r="B655" s="326"/>
      <c r="C655" s="339"/>
      <c r="D655" s="81">
        <f>D652</f>
        <v>45698</v>
      </c>
      <c r="E655" s="140" t="str">
        <f>$M$1</f>
        <v>samuelbattista</v>
      </c>
      <c r="F655" s="8">
        <f>IFERROR(AVERAGE(Data[[#This Row],[alappatjoe]:[currydestroyer27]]), "TBD")</f>
        <v>2</v>
      </c>
      <c r="G655" s="177">
        <f>IFERROR(_xlfn.STDEV.P(Data[[#This Row],[alappatjoe]:[currydestroyer27]]), "TBD")</f>
        <v>1.2649110640673518</v>
      </c>
      <c r="H655" s="135" t="s">
        <v>1440</v>
      </c>
      <c r="I655" s="229" t="s">
        <v>1441</v>
      </c>
      <c r="J655" s="3">
        <v>3</v>
      </c>
      <c r="K655" s="3">
        <v>1</v>
      </c>
      <c r="L655" s="3">
        <v>1</v>
      </c>
      <c r="M655" s="3">
        <v>1</v>
      </c>
      <c r="N655" s="3">
        <v>4</v>
      </c>
      <c r="O655" s="238"/>
      <c r="P655" s="234"/>
      <c r="Q655" s="93"/>
      <c r="R6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55" s="93">
        <v>1</v>
      </c>
      <c r="T655" s="93" t="b">
        <f>Data[[#This Row],[Day Rank]]=Data[[#This Row],[W Rank]]</f>
        <v>1</v>
      </c>
      <c r="U655" s="323"/>
    </row>
    <row r="656" spans="1:21" ht="15" customHeight="1" thickBot="1">
      <c r="A656" s="327"/>
      <c r="B656" s="327"/>
      <c r="C656" s="340"/>
      <c r="D656" s="164">
        <f>D652</f>
        <v>45698</v>
      </c>
      <c r="E656" s="215" t="str">
        <f>$N$1</f>
        <v>currydestroyer27</v>
      </c>
      <c r="F656" s="165">
        <f>IFERROR(AVERAGE(Data[[#This Row],[alappatjoe]:[currydestroyer27]]), "TBD")</f>
        <v>2.8</v>
      </c>
      <c r="G656" s="256">
        <f>IFERROR(_xlfn.STDEV.P(Data[[#This Row],[alappatjoe]:[currydestroyer27]]), "TBD")</f>
        <v>0.74833147735478833</v>
      </c>
      <c r="H656" s="227" t="s">
        <v>1442</v>
      </c>
      <c r="I656" s="257" t="s">
        <v>616</v>
      </c>
      <c r="J656" s="166">
        <v>2</v>
      </c>
      <c r="K656" s="166">
        <v>3</v>
      </c>
      <c r="L656" s="166">
        <v>4</v>
      </c>
      <c r="M656" s="166">
        <v>3</v>
      </c>
      <c r="N656" s="166">
        <v>2</v>
      </c>
      <c r="O656" s="242"/>
      <c r="P656" s="237"/>
      <c r="Q656" s="167"/>
      <c r="R65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56" s="167">
        <v>1</v>
      </c>
      <c r="T656" s="167" t="b">
        <f>Data[[#This Row],[Day Rank]]=Data[[#This Row],[W Rank]]</f>
        <v>0</v>
      </c>
      <c r="U656" s="324"/>
    </row>
    <row r="657" spans="1:21" ht="15" customHeight="1">
      <c r="A657" s="325">
        <v>45699</v>
      </c>
      <c r="B657" s="325"/>
      <c r="C657" s="328" t="str" cm="1">
        <f t="array" ref="C657">_xlfn.LET(_xlpm.matches, _xlfn._xlws.FILTER(Data[Poster], (Data[Date]=A657)*(Data[Winner]=TRUE)), IF(ROWS(_xlpm.matches)&gt;1, "TIE", _xlpm.matches))</f>
        <v>samuelbattista</v>
      </c>
      <c r="D657" s="147">
        <f>A657</f>
        <v>45699</v>
      </c>
      <c r="E657" s="181" t="str">
        <f>$J$1</f>
        <v>alappatjoe</v>
      </c>
      <c r="F657" s="9">
        <f>IFERROR(AVERAGE(Data[[#This Row],[alappatjoe]:[currydestroyer27]]), "TBD")</f>
        <v>3.4</v>
      </c>
      <c r="G657" s="178">
        <f>IFERROR(_xlfn.STDEV.P(Data[[#This Row],[alappatjoe]:[currydestroyer27]]), "TBD")</f>
        <v>1.6248076809271921</v>
      </c>
      <c r="H657" s="160" t="s">
        <v>1443</v>
      </c>
      <c r="I657" s="186" t="s">
        <v>1444</v>
      </c>
      <c r="J657" s="3">
        <v>1</v>
      </c>
      <c r="K657" s="3">
        <v>4</v>
      </c>
      <c r="L657" s="3">
        <v>5</v>
      </c>
      <c r="M657" s="3">
        <v>5</v>
      </c>
      <c r="N657" s="3">
        <v>2</v>
      </c>
      <c r="O657" s="238"/>
      <c r="P657" s="234"/>
      <c r="Q657" s="93"/>
      <c r="R6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57" s="93">
        <v>1</v>
      </c>
      <c r="T657" s="93" t="b">
        <f>Data[[#This Row],[Day Rank]]=Data[[#This Row],[W Rank]]</f>
        <v>0</v>
      </c>
      <c r="U657" s="331"/>
    </row>
    <row r="658" spans="1:21" ht="15" customHeight="1">
      <c r="A658" s="326"/>
      <c r="B658" s="326"/>
      <c r="C658" s="329"/>
      <c r="D658" s="81">
        <f>D657</f>
        <v>45699</v>
      </c>
      <c r="E658" s="140" t="str">
        <f>$K$1</f>
        <v>danram</v>
      </c>
      <c r="F658" s="8">
        <f>IFERROR(AVERAGE(Data[[#This Row],[alappatjoe]:[currydestroyer27]]), "TBD")</f>
        <v>2.8</v>
      </c>
      <c r="G658" s="177">
        <f>IFERROR(_xlfn.STDEV.P(Data[[#This Row],[alappatjoe]:[currydestroyer27]]), "TBD")</f>
        <v>1.1661903789690602</v>
      </c>
      <c r="H658" s="135" t="s">
        <v>1445</v>
      </c>
      <c r="I658" s="229" t="s">
        <v>1446</v>
      </c>
      <c r="J658" s="3">
        <v>4</v>
      </c>
      <c r="K658" s="3">
        <v>1</v>
      </c>
      <c r="L658" s="3">
        <v>3</v>
      </c>
      <c r="M658" s="3">
        <v>2</v>
      </c>
      <c r="N658" s="3">
        <v>4</v>
      </c>
      <c r="O658" s="238"/>
      <c r="P658" s="234"/>
      <c r="Q658" s="93"/>
      <c r="R6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58" s="93">
        <v>1</v>
      </c>
      <c r="T658" s="93" t="b">
        <f>Data[[#This Row],[Day Rank]]=Data[[#This Row],[W Rank]]</f>
        <v>0</v>
      </c>
      <c r="U658" s="323"/>
    </row>
    <row r="659" spans="1:21" ht="15" customHeight="1">
      <c r="A659" s="326"/>
      <c r="B659" s="326"/>
      <c r="C659" s="329"/>
      <c r="D659" s="81">
        <f>D657</f>
        <v>45699</v>
      </c>
      <c r="E659" s="140" t="str">
        <f>$L$1</f>
        <v>loganworsdell</v>
      </c>
      <c r="F659" s="8">
        <f>IFERROR(AVERAGE(Data[[#This Row],[alappatjoe]:[currydestroyer27]]), "TBD")</f>
        <v>3</v>
      </c>
      <c r="G659" s="177">
        <f>IFERROR(_xlfn.STDEV.P(Data[[#This Row],[alappatjoe]:[currydestroyer27]]), "TBD")</f>
        <v>1.0954451150103321</v>
      </c>
      <c r="H659" s="135" t="s">
        <v>1447</v>
      </c>
      <c r="I659" s="229" t="s">
        <v>1448</v>
      </c>
      <c r="J659" s="3">
        <v>2</v>
      </c>
      <c r="K659" s="3">
        <v>3</v>
      </c>
      <c r="L659" s="3">
        <v>2</v>
      </c>
      <c r="M659" s="3">
        <v>3</v>
      </c>
      <c r="N659" s="3">
        <v>5</v>
      </c>
      <c r="O659" s="238"/>
      <c r="P659" s="234"/>
      <c r="Q659" s="93"/>
      <c r="R6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59" s="93">
        <v>1</v>
      </c>
      <c r="T659" s="93" t="b">
        <f>Data[[#This Row],[Day Rank]]=Data[[#This Row],[W Rank]]</f>
        <v>0</v>
      </c>
      <c r="U659" s="323"/>
    </row>
    <row r="660" spans="1:21" ht="15" customHeight="1">
      <c r="A660" s="326"/>
      <c r="B660" s="326"/>
      <c r="C660" s="329"/>
      <c r="D660" s="81">
        <f>D657</f>
        <v>45699</v>
      </c>
      <c r="E660" s="140" t="str">
        <f>$M$1</f>
        <v>samuelbattista</v>
      </c>
      <c r="F660" s="8">
        <f>IFERROR(AVERAGE(Data[[#This Row],[alappatjoe]:[currydestroyer27]]), "TBD")</f>
        <v>2.4</v>
      </c>
      <c r="G660" s="177">
        <f>IFERROR(_xlfn.STDEV.P(Data[[#This Row],[alappatjoe]:[currydestroyer27]]), "TBD")</f>
        <v>1.4966629547095767</v>
      </c>
      <c r="H660" s="135" t="s">
        <v>1449</v>
      </c>
      <c r="I660" s="229" t="s">
        <v>1450</v>
      </c>
      <c r="J660" s="3">
        <v>5</v>
      </c>
      <c r="K660" s="3">
        <v>2</v>
      </c>
      <c r="L660" s="3">
        <v>1</v>
      </c>
      <c r="M660" s="3">
        <v>1</v>
      </c>
      <c r="N660" s="3">
        <v>3</v>
      </c>
      <c r="O660" s="238"/>
      <c r="P660" s="234"/>
      <c r="Q660" s="93"/>
      <c r="R6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60" s="93">
        <v>1</v>
      </c>
      <c r="T660" s="93" t="b">
        <f>Data[[#This Row],[Day Rank]]=Data[[#This Row],[W Rank]]</f>
        <v>1</v>
      </c>
      <c r="U660" s="323"/>
    </row>
    <row r="661" spans="1:21" ht="15" customHeight="1" thickBot="1">
      <c r="A661" s="327"/>
      <c r="B661" s="327"/>
      <c r="C661" s="330"/>
      <c r="D661" s="164">
        <f>D657</f>
        <v>45699</v>
      </c>
      <c r="E661" s="215" t="str">
        <f>$N$1</f>
        <v>currydestroyer27</v>
      </c>
      <c r="F661" s="165">
        <f>IFERROR(AVERAGE(Data[[#This Row],[alappatjoe]:[currydestroyer27]]), "TBD")</f>
        <v>3.4</v>
      </c>
      <c r="G661" s="256">
        <f>IFERROR(_xlfn.STDEV.P(Data[[#This Row],[alappatjoe]:[currydestroyer27]]), "TBD")</f>
        <v>1.3564659966250536</v>
      </c>
      <c r="H661" s="227" t="s">
        <v>1451</v>
      </c>
      <c r="I661" s="257" t="s">
        <v>1452</v>
      </c>
      <c r="J661" s="166">
        <v>3</v>
      </c>
      <c r="K661" s="166">
        <v>5</v>
      </c>
      <c r="L661" s="166">
        <v>4</v>
      </c>
      <c r="M661" s="166">
        <v>4</v>
      </c>
      <c r="N661" s="166">
        <v>1</v>
      </c>
      <c r="O661" s="242"/>
      <c r="P661" s="237"/>
      <c r="Q661" s="167"/>
      <c r="R66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61" s="167">
        <v>1</v>
      </c>
      <c r="T661" s="167" t="b">
        <f>Data[[#This Row],[Day Rank]]=Data[[#This Row],[W Rank]]</f>
        <v>0</v>
      </c>
      <c r="U661" s="324"/>
    </row>
    <row r="662" spans="1:21" ht="15" customHeight="1">
      <c r="A662" s="325">
        <v>45700</v>
      </c>
      <c r="B662" s="325"/>
      <c r="C662" s="338" t="str" cm="1">
        <f t="array" ref="C662">_xlfn.LET(_xlpm.matches, _xlfn._xlws.FILTER(Data[Poster], (Data[Date]=A662)*(Data[Winner]=TRUE)), IF(ROWS(_xlpm.matches)&gt;1, "TIE", _xlpm.matches))</f>
        <v>alappatjoe</v>
      </c>
      <c r="D662" s="147">
        <f>A662</f>
        <v>45700</v>
      </c>
      <c r="E662" s="181" t="str">
        <f>$J$1</f>
        <v>alappatjoe</v>
      </c>
      <c r="F662" s="9">
        <f>IFERROR(AVERAGE(Data[[#This Row],[alappatjoe]:[currydestroyer27]]), "TBD")</f>
        <v>2.4</v>
      </c>
      <c r="G662" s="178">
        <f>IFERROR(_xlfn.STDEV.P(Data[[#This Row],[alappatjoe]:[currydestroyer27]]), "TBD")</f>
        <v>1.019803902718557</v>
      </c>
      <c r="H662" s="160" t="s">
        <v>1453</v>
      </c>
      <c r="I662" s="186" t="s">
        <v>1454</v>
      </c>
      <c r="J662" s="3">
        <v>1</v>
      </c>
      <c r="K662" s="3">
        <v>3</v>
      </c>
      <c r="L662" s="3">
        <v>4</v>
      </c>
      <c r="M662" s="3">
        <v>2</v>
      </c>
      <c r="N662" s="3">
        <v>2</v>
      </c>
      <c r="O662" s="238"/>
      <c r="P662" s="234"/>
      <c r="Q662" s="93"/>
      <c r="R6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62" s="93">
        <v>1</v>
      </c>
      <c r="T662" s="93" t="b">
        <f>Data[[#This Row],[Day Rank]]=Data[[#This Row],[W Rank]]</f>
        <v>1</v>
      </c>
      <c r="U662" s="331"/>
    </row>
    <row r="663" spans="1:21" ht="15" customHeight="1">
      <c r="A663" s="326"/>
      <c r="B663" s="326"/>
      <c r="C663" s="339"/>
      <c r="D663" s="81">
        <f>D662</f>
        <v>45700</v>
      </c>
      <c r="E663" s="140" t="str">
        <f>$K$1</f>
        <v>danram</v>
      </c>
      <c r="F663" s="8">
        <f>IFERROR(AVERAGE(Data[[#This Row],[alappatjoe]:[currydestroyer27]]), "TBD")</f>
        <v>2.8</v>
      </c>
      <c r="G663" s="177">
        <f>IFERROR(_xlfn.STDEV.P(Data[[#This Row],[alappatjoe]:[currydestroyer27]]), "TBD")</f>
        <v>1.1661903789690602</v>
      </c>
      <c r="H663" s="135" t="s">
        <v>1455</v>
      </c>
      <c r="I663" s="229" t="s">
        <v>1456</v>
      </c>
      <c r="J663" s="3">
        <v>2</v>
      </c>
      <c r="K663" s="3">
        <v>2</v>
      </c>
      <c r="L663" s="3">
        <v>2</v>
      </c>
      <c r="M663" s="3">
        <v>3</v>
      </c>
      <c r="N663" s="3">
        <v>5</v>
      </c>
      <c r="O663" s="238"/>
      <c r="P663" s="234"/>
      <c r="Q663" s="93"/>
      <c r="R6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63" s="93">
        <v>1</v>
      </c>
      <c r="T663" s="93" t="b">
        <f>Data[[#This Row],[Day Rank]]=Data[[#This Row],[W Rank]]</f>
        <v>0</v>
      </c>
      <c r="U663" s="323"/>
    </row>
    <row r="664" spans="1:21" ht="15" customHeight="1">
      <c r="A664" s="326"/>
      <c r="B664" s="326"/>
      <c r="C664" s="339"/>
      <c r="D664" s="81">
        <f>D662</f>
        <v>45700</v>
      </c>
      <c r="E664" s="140" t="str">
        <f>$L$1</f>
        <v>loganworsdell</v>
      </c>
      <c r="F664" s="8">
        <f>IFERROR(AVERAGE(Data[[#This Row],[alappatjoe]:[currydestroyer27]]), "TBD")</f>
        <v>3.8</v>
      </c>
      <c r="G664" s="177">
        <f>IFERROR(_xlfn.STDEV.P(Data[[#This Row],[alappatjoe]:[currydestroyer27]]), "TBD")</f>
        <v>0.74833147735478833</v>
      </c>
      <c r="H664" s="135" t="s">
        <v>1457</v>
      </c>
      <c r="I664" s="229" t="s">
        <v>519</v>
      </c>
      <c r="J664" s="3">
        <v>3</v>
      </c>
      <c r="K664" s="3">
        <v>5</v>
      </c>
      <c r="L664" s="3">
        <v>3</v>
      </c>
      <c r="M664" s="3">
        <v>4</v>
      </c>
      <c r="N664" s="3">
        <v>4</v>
      </c>
      <c r="O664" s="238"/>
      <c r="P664" s="234"/>
      <c r="Q664" s="93"/>
      <c r="R6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64" s="93">
        <v>1</v>
      </c>
      <c r="T664" s="93" t="b">
        <f>Data[[#This Row],[Day Rank]]=Data[[#This Row],[W Rank]]</f>
        <v>0</v>
      </c>
      <c r="U664" s="323"/>
    </row>
    <row r="665" spans="1:21" ht="15" customHeight="1">
      <c r="A665" s="326"/>
      <c r="B665" s="326"/>
      <c r="C665" s="339"/>
      <c r="D665" s="81">
        <f>D662</f>
        <v>45700</v>
      </c>
      <c r="E665" s="140" t="str">
        <f>$M$1</f>
        <v>samuelbattista</v>
      </c>
      <c r="F665" s="8">
        <f>IFERROR(AVERAGE(Data[[#This Row],[alappatjoe]:[currydestroyer27]]), "TBD")</f>
        <v>3.6</v>
      </c>
      <c r="G665" s="177">
        <f>IFERROR(_xlfn.STDEV.P(Data[[#This Row],[alappatjoe]:[currydestroyer27]]), "TBD")</f>
        <v>1.4966629547095767</v>
      </c>
      <c r="H665" s="135" t="s">
        <v>1458</v>
      </c>
      <c r="I665" s="229" t="s">
        <v>1459</v>
      </c>
      <c r="J665" s="3">
        <v>5</v>
      </c>
      <c r="K665" s="3">
        <v>4</v>
      </c>
      <c r="L665" s="3">
        <v>5</v>
      </c>
      <c r="M665" s="3">
        <v>1</v>
      </c>
      <c r="N665" s="3">
        <v>3</v>
      </c>
      <c r="O665" s="238"/>
      <c r="P665" s="234"/>
      <c r="Q665" s="93"/>
      <c r="R6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65" s="93">
        <v>1</v>
      </c>
      <c r="T665" s="93" t="b">
        <f>Data[[#This Row],[Day Rank]]=Data[[#This Row],[W Rank]]</f>
        <v>0</v>
      </c>
      <c r="U665" s="323"/>
    </row>
    <row r="666" spans="1:21" ht="15" customHeight="1" thickBot="1">
      <c r="A666" s="327"/>
      <c r="B666" s="327"/>
      <c r="C666" s="340"/>
      <c r="D666" s="164">
        <f>D662</f>
        <v>45700</v>
      </c>
      <c r="E666" s="215" t="str">
        <f>$N$1</f>
        <v>currydestroyer27</v>
      </c>
      <c r="F666" s="165">
        <f>IFERROR(AVERAGE(Data[[#This Row],[alappatjoe]:[currydestroyer27]]), "TBD")</f>
        <v>2.4</v>
      </c>
      <c r="G666" s="256">
        <f>IFERROR(_xlfn.STDEV.P(Data[[#This Row],[alappatjoe]:[currydestroyer27]]), "TBD")</f>
        <v>1.7435595774162693</v>
      </c>
      <c r="H666" s="273" t="s">
        <v>1460</v>
      </c>
      <c r="I666" s="257" t="s">
        <v>1461</v>
      </c>
      <c r="J666" s="166">
        <v>4</v>
      </c>
      <c r="K666" s="166">
        <v>1</v>
      </c>
      <c r="L666" s="166">
        <v>1</v>
      </c>
      <c r="M666" s="166">
        <v>5</v>
      </c>
      <c r="N666" s="166">
        <v>1</v>
      </c>
      <c r="O666" s="242"/>
      <c r="P666" s="237"/>
      <c r="Q666" s="167"/>
      <c r="R66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66" s="167">
        <v>1</v>
      </c>
      <c r="T666" s="167" t="b">
        <f>Data[[#This Row],[Day Rank]]=Data[[#This Row],[W Rank]]</f>
        <v>0</v>
      </c>
      <c r="U666" s="324"/>
    </row>
    <row r="667" spans="1:21" ht="15" customHeight="1">
      <c r="A667" s="325">
        <v>45701</v>
      </c>
      <c r="B667" s="325"/>
      <c r="C667" s="328" t="str" cm="1">
        <f t="array" ref="C667">_xlfn.LET(_xlpm.matches, _xlfn._xlws.FILTER(Data[Poster], (Data[Date]=A667)*(Data[Winner]=TRUE)), IF(ROWS(_xlpm.matches)&gt;1, "TIE", _xlpm.matches))</f>
        <v>loganworsdell</v>
      </c>
      <c r="D667" s="147">
        <f>A667</f>
        <v>45701</v>
      </c>
      <c r="E667" s="181" t="str">
        <f>$J$1</f>
        <v>alappatjoe</v>
      </c>
      <c r="F667" s="9">
        <f>IFERROR(AVERAGE(Data[[#This Row],[alappatjoe]:[currydestroyer27]]), "TBD")</f>
        <v>3.4</v>
      </c>
      <c r="G667" s="178">
        <f>IFERROR(_xlfn.STDEV.P(Data[[#This Row],[alappatjoe]:[currydestroyer27]]), "TBD")</f>
        <v>1.3564659966250536</v>
      </c>
      <c r="H667" s="160" t="s">
        <v>1462</v>
      </c>
      <c r="I667" s="186" t="s">
        <v>1463</v>
      </c>
      <c r="J667" s="3">
        <v>1</v>
      </c>
      <c r="K667" s="3">
        <v>3</v>
      </c>
      <c r="L667" s="3">
        <v>4</v>
      </c>
      <c r="M667" s="3">
        <v>4</v>
      </c>
      <c r="N667" s="3">
        <v>5</v>
      </c>
      <c r="O667" s="238"/>
      <c r="P667" s="234"/>
      <c r="Q667" s="93"/>
      <c r="R6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67" s="93">
        <v>1</v>
      </c>
      <c r="T667" s="93" t="b">
        <f>Data[[#This Row],[Day Rank]]=Data[[#This Row],[W Rank]]</f>
        <v>0</v>
      </c>
      <c r="U667" s="331" t="s">
        <v>1464</v>
      </c>
    </row>
    <row r="668" spans="1:21" ht="15" customHeight="1">
      <c r="A668" s="326"/>
      <c r="B668" s="326"/>
      <c r="C668" s="329"/>
      <c r="D668" s="81">
        <f>D667</f>
        <v>45701</v>
      </c>
      <c r="E668" s="140" t="str">
        <f>$K$1</f>
        <v>danram</v>
      </c>
      <c r="F668" s="8">
        <f>IFERROR(AVERAGE(Data[[#This Row],[alappatjoe]:[currydestroyer27]]), "TBD")</f>
        <v>3.2</v>
      </c>
      <c r="G668" s="177">
        <f>IFERROR(_xlfn.STDEV.P(Data[[#This Row],[alappatjoe]:[currydestroyer27]]), "TBD")</f>
        <v>1.6</v>
      </c>
      <c r="H668" s="135" t="s">
        <v>1465</v>
      </c>
      <c r="I668" s="229" t="s">
        <v>1466</v>
      </c>
      <c r="J668" s="3">
        <v>5</v>
      </c>
      <c r="K668" s="3">
        <v>1</v>
      </c>
      <c r="L668" s="3">
        <v>3</v>
      </c>
      <c r="M668" s="3">
        <v>5</v>
      </c>
      <c r="N668" s="3">
        <v>2</v>
      </c>
      <c r="O668" s="238"/>
      <c r="P668" s="234"/>
      <c r="Q668" s="93"/>
      <c r="R6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68" s="93">
        <v>1</v>
      </c>
      <c r="T668" s="93" t="b">
        <f>Data[[#This Row],[Day Rank]]=Data[[#This Row],[W Rank]]</f>
        <v>0</v>
      </c>
      <c r="U668" s="323"/>
    </row>
    <row r="669" spans="1:21" ht="15" customHeight="1">
      <c r="A669" s="326"/>
      <c r="B669" s="326"/>
      <c r="C669" s="329"/>
      <c r="D669" s="81">
        <f>D667</f>
        <v>45701</v>
      </c>
      <c r="E669" s="140" t="str">
        <f>$L$1</f>
        <v>loganworsdell</v>
      </c>
      <c r="F669" s="8">
        <f>IFERROR(AVERAGE(Data[[#This Row],[alappatjoe]:[currydestroyer27]]), "TBD")</f>
        <v>2.4</v>
      </c>
      <c r="G669" s="177">
        <f>IFERROR(_xlfn.STDEV.P(Data[[#This Row],[alappatjoe]:[currydestroyer27]]), "TBD")</f>
        <v>1.019803902718557</v>
      </c>
      <c r="H669" s="135" t="s">
        <v>1467</v>
      </c>
      <c r="I669" s="229" t="s">
        <v>1468</v>
      </c>
      <c r="J669" s="3">
        <v>2</v>
      </c>
      <c r="K669" s="113">
        <v>4</v>
      </c>
      <c r="L669" s="3">
        <v>1</v>
      </c>
      <c r="M669" s="3">
        <v>2</v>
      </c>
      <c r="N669" s="3">
        <v>3</v>
      </c>
      <c r="O669" s="238"/>
      <c r="P669" s="234"/>
      <c r="Q669" s="93"/>
      <c r="R6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69" s="93">
        <v>1</v>
      </c>
      <c r="T669" s="93" t="b">
        <f>Data[[#This Row],[Day Rank]]=Data[[#This Row],[W Rank]]</f>
        <v>1</v>
      </c>
      <c r="U669" s="323"/>
    </row>
    <row r="670" spans="1:21" ht="15" customHeight="1">
      <c r="A670" s="326"/>
      <c r="B670" s="326"/>
      <c r="C670" s="329"/>
      <c r="D670" s="81">
        <f>D667</f>
        <v>45701</v>
      </c>
      <c r="E670" s="140" t="str">
        <f>$M$1</f>
        <v>samuelbattista</v>
      </c>
      <c r="F670" s="8">
        <f>IFERROR(AVERAGE(Data[[#This Row],[alappatjoe]:[currydestroyer27]]), "TBD")</f>
        <v>3.6</v>
      </c>
      <c r="G670" s="177">
        <f>IFERROR(_xlfn.STDEV.P(Data[[#This Row],[alappatjoe]:[currydestroyer27]]), "TBD")</f>
        <v>1.4966629547095767</v>
      </c>
      <c r="H670" s="135" t="s">
        <v>1469</v>
      </c>
      <c r="I670" s="229" t="s">
        <v>1470</v>
      </c>
      <c r="J670" s="3">
        <v>3</v>
      </c>
      <c r="K670" s="101">
        <v>5</v>
      </c>
      <c r="L670" s="3">
        <v>5</v>
      </c>
      <c r="M670" s="3">
        <v>1</v>
      </c>
      <c r="N670" s="3">
        <v>4</v>
      </c>
      <c r="O670" s="238"/>
      <c r="P670" s="234"/>
      <c r="Q670" s="93"/>
      <c r="R6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70" s="93">
        <v>1</v>
      </c>
      <c r="T670" s="93" t="b">
        <f>Data[[#This Row],[Day Rank]]=Data[[#This Row],[W Rank]]</f>
        <v>0</v>
      </c>
      <c r="U670" s="323"/>
    </row>
    <row r="671" spans="1:21" ht="15" customHeight="1" thickBot="1">
      <c r="A671" s="327"/>
      <c r="B671" s="327"/>
      <c r="C671" s="330"/>
      <c r="D671" s="164">
        <f>D667</f>
        <v>45701</v>
      </c>
      <c r="E671" s="215" t="str">
        <f>$N$1</f>
        <v>currydestroyer27</v>
      </c>
      <c r="F671" s="165">
        <f>IFERROR(AVERAGE(Data[[#This Row],[alappatjoe]:[currydestroyer27]]), "TBD")</f>
        <v>2.4</v>
      </c>
      <c r="G671" s="256">
        <f>IFERROR(_xlfn.STDEV.P(Data[[#This Row],[alappatjoe]:[currydestroyer27]]), "TBD")</f>
        <v>1.019803902718557</v>
      </c>
      <c r="H671" s="227" t="s">
        <v>1471</v>
      </c>
      <c r="I671" s="274" t="s">
        <v>1472</v>
      </c>
      <c r="J671" s="166">
        <v>4</v>
      </c>
      <c r="K671" s="166">
        <v>2</v>
      </c>
      <c r="L671" s="166">
        <v>2</v>
      </c>
      <c r="M671" s="166">
        <v>3</v>
      </c>
      <c r="N671" s="166">
        <v>1</v>
      </c>
      <c r="O671" s="242"/>
      <c r="P671" s="237"/>
      <c r="Q671" s="167"/>
      <c r="R67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71" s="167">
        <v>2</v>
      </c>
      <c r="T671" s="167" t="b">
        <f>Data[[#This Row],[Day Rank]]=Data[[#This Row],[W Rank]]</f>
        <v>0</v>
      </c>
      <c r="U671" s="324"/>
    </row>
    <row r="672" spans="1:21" ht="15" customHeight="1">
      <c r="A672" s="325">
        <v>45705</v>
      </c>
      <c r="B672" s="325"/>
      <c r="C672" s="338" t="str" cm="1">
        <f t="array" ref="C672">_xlfn.LET(_xlpm.matches, _xlfn._xlws.FILTER(Data[Poster], (Data[Date]=A672)*(Data[Winner]=TRUE)), IF(ROWS(_xlpm.matches)&gt;1, "TIE", _xlpm.matches))</f>
        <v>danram</v>
      </c>
      <c r="D672" s="81">
        <f>A672</f>
        <v>45705</v>
      </c>
      <c r="E672" s="140" t="str">
        <f>$J$1</f>
        <v>alappatjoe</v>
      </c>
      <c r="F672" s="8">
        <f>IFERROR(AVERAGE(Data[[#This Row],[alappatjoe]:[currydestroyer27]]), "TBD")</f>
        <v>3</v>
      </c>
      <c r="G672" s="177">
        <f>IFERROR(_xlfn.STDEV.P(Data[[#This Row],[alappatjoe]:[currydestroyer27]]), "TBD")</f>
        <v>1.7888543819998317</v>
      </c>
      <c r="H672" s="135" t="s">
        <v>1473</v>
      </c>
      <c r="I672" s="229" t="s">
        <v>1152</v>
      </c>
      <c r="J672" s="3">
        <v>1</v>
      </c>
      <c r="K672" s="3">
        <v>5</v>
      </c>
      <c r="L672" s="3">
        <v>5</v>
      </c>
      <c r="M672" s="3">
        <v>1</v>
      </c>
      <c r="N672" s="3">
        <v>3</v>
      </c>
      <c r="O672" s="238"/>
      <c r="P672" s="234"/>
      <c r="Q672" s="93"/>
      <c r="R6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72" s="93">
        <v>1</v>
      </c>
      <c r="T672" s="93" t="b">
        <f>Data[[#This Row],[Day Rank]]=Data[[#This Row],[W Rank]]</f>
        <v>0</v>
      </c>
      <c r="U672" s="331"/>
    </row>
    <row r="673" spans="1:21" ht="15" customHeight="1">
      <c r="A673" s="326"/>
      <c r="B673" s="326"/>
      <c r="C673" s="339"/>
      <c r="D673" s="81">
        <f>D672</f>
        <v>45705</v>
      </c>
      <c r="E673" s="140" t="str">
        <f>$K$1</f>
        <v>danram</v>
      </c>
      <c r="F673" s="8">
        <f>IFERROR(AVERAGE(Data[[#This Row],[alappatjoe]:[currydestroyer27]]), "TBD")</f>
        <v>2.4</v>
      </c>
      <c r="G673" s="177">
        <f>IFERROR(_xlfn.STDEV.P(Data[[#This Row],[alappatjoe]:[currydestroyer27]]), "TBD")</f>
        <v>1.3564659966250536</v>
      </c>
      <c r="H673" s="135" t="s">
        <v>1474</v>
      </c>
      <c r="I673" s="229" t="s">
        <v>1475</v>
      </c>
      <c r="J673" s="3">
        <v>2</v>
      </c>
      <c r="K673" s="3">
        <v>1</v>
      </c>
      <c r="L673" s="3">
        <v>2</v>
      </c>
      <c r="M673" s="3">
        <v>5</v>
      </c>
      <c r="N673" s="3">
        <v>2</v>
      </c>
      <c r="O673" s="238"/>
      <c r="P673" s="234"/>
      <c r="Q673" s="93"/>
      <c r="R6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73" s="93">
        <v>1</v>
      </c>
      <c r="T673" s="93" t="b">
        <f>Data[[#This Row],[Day Rank]]=Data[[#This Row],[W Rank]]</f>
        <v>1</v>
      </c>
      <c r="U673" s="323"/>
    </row>
    <row r="674" spans="1:21" ht="15" customHeight="1">
      <c r="A674" s="326"/>
      <c r="B674" s="326"/>
      <c r="C674" s="339"/>
      <c r="D674" s="81">
        <f>D672</f>
        <v>45705</v>
      </c>
      <c r="E674" s="140" t="str">
        <f>$L$1</f>
        <v>loganworsdell</v>
      </c>
      <c r="F674" s="8">
        <f>IFERROR(AVERAGE(Data[[#This Row],[alappatjoe]:[currydestroyer27]]), "TBD")</f>
        <v>3</v>
      </c>
      <c r="G674" s="177">
        <f>IFERROR(_xlfn.STDEV.P(Data[[#This Row],[alappatjoe]:[currydestroyer27]]), "TBD")</f>
        <v>1.0954451150103321</v>
      </c>
      <c r="H674" s="135" t="s">
        <v>1476</v>
      </c>
      <c r="I674" s="229" t="s">
        <v>1477</v>
      </c>
      <c r="J674" s="3">
        <v>4</v>
      </c>
      <c r="K674" s="3">
        <v>3</v>
      </c>
      <c r="L674" s="3">
        <v>1</v>
      </c>
      <c r="M674" s="3">
        <v>3</v>
      </c>
      <c r="N674" s="3">
        <v>4</v>
      </c>
      <c r="O674" s="238"/>
      <c r="P674" s="234"/>
      <c r="Q674" s="93"/>
      <c r="R6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74" s="93">
        <v>1</v>
      </c>
      <c r="T674" s="93" t="b">
        <f>Data[[#This Row],[Day Rank]]=Data[[#This Row],[W Rank]]</f>
        <v>0</v>
      </c>
      <c r="U674" s="323"/>
    </row>
    <row r="675" spans="1:21" ht="15" customHeight="1">
      <c r="A675" s="326"/>
      <c r="B675" s="326"/>
      <c r="C675" s="339"/>
      <c r="D675" s="81">
        <f>D672</f>
        <v>45705</v>
      </c>
      <c r="E675" s="140" t="str">
        <f>$M$1</f>
        <v>samuelbattista</v>
      </c>
      <c r="F675" s="8">
        <f>IFERROR(AVERAGE(Data[[#This Row],[alappatjoe]:[currydestroyer27]]), "TBD")</f>
        <v>4</v>
      </c>
      <c r="G675" s="177">
        <f>IFERROR(_xlfn.STDEV.P(Data[[#This Row],[alappatjoe]:[currydestroyer27]]), "TBD")</f>
        <v>1.0954451150103321</v>
      </c>
      <c r="H675" s="135" t="s">
        <v>1478</v>
      </c>
      <c r="I675" s="229" t="s">
        <v>1479</v>
      </c>
      <c r="J675" s="3">
        <v>5</v>
      </c>
      <c r="K675" s="3">
        <v>4</v>
      </c>
      <c r="L675" s="3">
        <v>4</v>
      </c>
      <c r="M675" s="3">
        <v>2</v>
      </c>
      <c r="N675" s="3">
        <v>5</v>
      </c>
      <c r="O675" s="238"/>
      <c r="P675" s="234"/>
      <c r="Q675" s="93"/>
      <c r="R6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75" s="93">
        <v>1</v>
      </c>
      <c r="T675" s="93" t="b">
        <f>Data[[#This Row],[Day Rank]]=Data[[#This Row],[W Rank]]</f>
        <v>0</v>
      </c>
      <c r="U675" s="323"/>
    </row>
    <row r="676" spans="1:21" ht="15" customHeight="1" thickBot="1">
      <c r="A676" s="327"/>
      <c r="B676" s="327"/>
      <c r="C676" s="340"/>
      <c r="D676" s="164">
        <f>D672</f>
        <v>45705</v>
      </c>
      <c r="E676" s="215" t="str">
        <f>$N$1</f>
        <v>currydestroyer27</v>
      </c>
      <c r="F676" s="165">
        <f>IFERROR(AVERAGE(Data[[#This Row],[alappatjoe]:[currydestroyer27]]), "TBD")</f>
        <v>2.6</v>
      </c>
      <c r="G676" s="256">
        <f>IFERROR(_xlfn.STDEV.P(Data[[#This Row],[alappatjoe]:[currydestroyer27]]), "TBD")</f>
        <v>1.019803902718557</v>
      </c>
      <c r="H676" s="227" t="s">
        <v>1480</v>
      </c>
      <c r="I676" s="257" t="s">
        <v>1475</v>
      </c>
      <c r="J676" s="166">
        <v>3</v>
      </c>
      <c r="K676" s="166">
        <v>2</v>
      </c>
      <c r="L676" s="166">
        <v>3</v>
      </c>
      <c r="M676" s="166">
        <v>4</v>
      </c>
      <c r="N676" s="166">
        <v>1</v>
      </c>
      <c r="O676" s="242"/>
      <c r="P676" s="237"/>
      <c r="Q676" s="167"/>
      <c r="R67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76" s="167">
        <v>1</v>
      </c>
      <c r="T676" s="167" t="b">
        <f>Data[[#This Row],[Day Rank]]=Data[[#This Row],[W Rank]]</f>
        <v>0</v>
      </c>
      <c r="U676" s="324"/>
    </row>
    <row r="677" spans="1:21" ht="15" customHeight="1">
      <c r="A677" s="325">
        <v>45706</v>
      </c>
      <c r="B677" s="325"/>
      <c r="C677" s="328" t="str" cm="1">
        <f t="array" ref="C677">_xlfn.LET(_xlpm.matches, _xlfn._xlws.FILTER(Data[Poster], (Data[Date]=A677)*(Data[Winner]=TRUE)), IF(ROWS(_xlpm.matches)&gt;1, "TIE", _xlpm.matches))</f>
        <v>currydestroyer27</v>
      </c>
      <c r="D677" s="147">
        <f>A677</f>
        <v>45706</v>
      </c>
      <c r="E677" s="181" t="str">
        <f>$J$1</f>
        <v>alappatjoe</v>
      </c>
      <c r="F677" s="9">
        <f>IFERROR(AVERAGE(Data[[#This Row],[alappatjoe]:[currydestroyer27]]), "TBD")</f>
        <v>3.8</v>
      </c>
      <c r="G677" s="178">
        <f>IFERROR(_xlfn.STDEV.P(Data[[#This Row],[alappatjoe]:[currydestroyer27]]), "TBD")</f>
        <v>0.9797958971132712</v>
      </c>
      <c r="H677" s="160" t="s">
        <v>1481</v>
      </c>
      <c r="I677" s="186" t="s">
        <v>1482</v>
      </c>
      <c r="J677" s="3">
        <v>2</v>
      </c>
      <c r="K677" s="3">
        <v>5</v>
      </c>
      <c r="L677" s="3">
        <v>4</v>
      </c>
      <c r="M677" s="3">
        <v>4</v>
      </c>
      <c r="N677" s="3">
        <v>4</v>
      </c>
      <c r="O677" s="238"/>
      <c r="P677" s="234"/>
      <c r="Q677" s="93"/>
      <c r="R6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77" s="93">
        <v>1</v>
      </c>
      <c r="T677" s="93" t="b">
        <f>Data[[#This Row],[Day Rank]]=Data[[#This Row],[W Rank]]</f>
        <v>0</v>
      </c>
      <c r="U677" s="331"/>
    </row>
    <row r="678" spans="1:21" ht="15" customHeight="1">
      <c r="A678" s="326"/>
      <c r="B678" s="326"/>
      <c r="C678" s="329"/>
      <c r="D678" s="81">
        <f>D677</f>
        <v>45706</v>
      </c>
      <c r="E678" s="140" t="str">
        <f>$K$1</f>
        <v>danram</v>
      </c>
      <c r="F678" s="8">
        <f>IFERROR(AVERAGE(Data[[#This Row],[alappatjoe]:[currydestroyer27]]), "TBD")</f>
        <v>4.4000000000000004</v>
      </c>
      <c r="G678" s="177">
        <f>IFERROR(_xlfn.STDEV.P(Data[[#This Row],[alappatjoe]:[currydestroyer27]]), "TBD")</f>
        <v>1.2</v>
      </c>
      <c r="H678" s="135" t="s">
        <v>1483</v>
      </c>
      <c r="I678" s="229" t="s">
        <v>1484</v>
      </c>
      <c r="J678" s="3">
        <v>5</v>
      </c>
      <c r="K678" s="3">
        <v>2</v>
      </c>
      <c r="L678" s="3">
        <v>5</v>
      </c>
      <c r="M678" s="3">
        <v>5</v>
      </c>
      <c r="N678" s="3">
        <v>5</v>
      </c>
      <c r="O678" s="238"/>
      <c r="P678" s="234"/>
      <c r="Q678" s="93"/>
      <c r="R6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78" s="93">
        <v>1</v>
      </c>
      <c r="T678" s="93" t="b">
        <f>Data[[#This Row],[Day Rank]]=Data[[#This Row],[W Rank]]</f>
        <v>0</v>
      </c>
      <c r="U678" s="323"/>
    </row>
    <row r="679" spans="1:21" ht="15" customHeight="1">
      <c r="A679" s="326"/>
      <c r="B679" s="326"/>
      <c r="C679" s="329"/>
      <c r="D679" s="81">
        <f>D677</f>
        <v>45706</v>
      </c>
      <c r="E679" s="140" t="str">
        <f>$L$1</f>
        <v>loganworsdell</v>
      </c>
      <c r="F679" s="8">
        <f>IFERROR(AVERAGE(Data[[#This Row],[alappatjoe]:[currydestroyer27]]), "TBD")</f>
        <v>2.4</v>
      </c>
      <c r="G679" s="177">
        <f>IFERROR(_xlfn.STDEV.P(Data[[#This Row],[alappatjoe]:[currydestroyer27]]), "TBD")</f>
        <v>1.019803902718557</v>
      </c>
      <c r="H679" s="135" t="s">
        <v>1485</v>
      </c>
      <c r="I679" s="229" t="s">
        <v>1486</v>
      </c>
      <c r="J679" s="3">
        <v>3</v>
      </c>
      <c r="K679" s="3">
        <v>4</v>
      </c>
      <c r="L679" s="3">
        <v>1</v>
      </c>
      <c r="M679" s="3">
        <v>2</v>
      </c>
      <c r="N679" s="3">
        <v>2</v>
      </c>
      <c r="O679" s="238"/>
      <c r="P679" s="234"/>
      <c r="Q679" s="93"/>
      <c r="R6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79" s="93">
        <v>1</v>
      </c>
      <c r="T679" s="93" t="b">
        <f>Data[[#This Row],[Day Rank]]=Data[[#This Row],[W Rank]]</f>
        <v>0</v>
      </c>
      <c r="U679" s="323"/>
    </row>
    <row r="680" spans="1:21" ht="15" customHeight="1">
      <c r="A680" s="326"/>
      <c r="B680" s="326"/>
      <c r="C680" s="329"/>
      <c r="D680" s="81">
        <f>D677</f>
        <v>45706</v>
      </c>
      <c r="E680" s="140" t="str">
        <f>$M$1</f>
        <v>samuelbattista</v>
      </c>
      <c r="F680" s="8">
        <f>IFERROR(AVERAGE(Data[[#This Row],[alappatjoe]:[currydestroyer27]]), "TBD")</f>
        <v>2.6</v>
      </c>
      <c r="G680" s="177">
        <f>IFERROR(_xlfn.STDEV.P(Data[[#This Row],[alappatjoe]:[currydestroyer27]]), "TBD")</f>
        <v>1.019803902718557</v>
      </c>
      <c r="H680" s="135" t="s">
        <v>1487</v>
      </c>
      <c r="I680" s="229" t="s">
        <v>1488</v>
      </c>
      <c r="J680" s="3">
        <v>4</v>
      </c>
      <c r="K680" s="3">
        <v>3</v>
      </c>
      <c r="L680" s="3">
        <v>2</v>
      </c>
      <c r="M680" s="3">
        <v>1</v>
      </c>
      <c r="N680" s="3">
        <v>3</v>
      </c>
      <c r="O680" s="238"/>
      <c r="P680" s="234"/>
      <c r="Q680" s="93"/>
      <c r="R6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80" s="93">
        <v>1</v>
      </c>
      <c r="T680" s="93" t="b">
        <f>Data[[#This Row],[Day Rank]]=Data[[#This Row],[W Rank]]</f>
        <v>0</v>
      </c>
      <c r="U680" s="323"/>
    </row>
    <row r="681" spans="1:21" ht="15" customHeight="1" thickBot="1">
      <c r="A681" s="327"/>
      <c r="B681" s="327"/>
      <c r="C681" s="330"/>
      <c r="D681" s="164">
        <f>D677</f>
        <v>45706</v>
      </c>
      <c r="E681" s="215" t="str">
        <f>$N$1</f>
        <v>currydestroyer27</v>
      </c>
      <c r="F681" s="165">
        <f>IFERROR(AVERAGE(Data[[#This Row],[alappatjoe]:[currydestroyer27]]), "TBD")</f>
        <v>1.8</v>
      </c>
      <c r="G681" s="256">
        <f>IFERROR(_xlfn.STDEV.P(Data[[#This Row],[alappatjoe]:[currydestroyer27]]), "TBD")</f>
        <v>0.9797958971132712</v>
      </c>
      <c r="H681" s="227" t="s">
        <v>1489</v>
      </c>
      <c r="I681" s="257" t="s">
        <v>1490</v>
      </c>
      <c r="J681" s="166">
        <v>1</v>
      </c>
      <c r="K681" s="166">
        <v>1</v>
      </c>
      <c r="L681" s="166">
        <v>3</v>
      </c>
      <c r="M681" s="166">
        <v>3</v>
      </c>
      <c r="N681" s="166">
        <v>1</v>
      </c>
      <c r="O681" s="242"/>
      <c r="P681" s="237"/>
      <c r="Q681" s="167"/>
      <c r="R68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81" s="167">
        <v>1</v>
      </c>
      <c r="T681" s="167" t="b">
        <f>Data[[#This Row],[Day Rank]]=Data[[#This Row],[W Rank]]</f>
        <v>1</v>
      </c>
      <c r="U681" s="324"/>
    </row>
    <row r="682" spans="1:21" ht="15" customHeight="1">
      <c r="A682" s="325">
        <v>45707</v>
      </c>
      <c r="B682" s="325"/>
      <c r="C682" s="338" t="str" cm="1">
        <f t="array" ref="C682">_xlfn.LET(_xlpm.matches, _xlfn._xlws.FILTER(Data[Poster], (Data[Date]=A682)*(Data[Winner]=TRUE)), IF(ROWS(_xlpm.matches)&gt;1, "TIE", _xlpm.matches))</f>
        <v>alappatjoe</v>
      </c>
      <c r="D682" s="147">
        <f>A682</f>
        <v>45707</v>
      </c>
      <c r="E682" s="181" t="str">
        <f>$J$1</f>
        <v>alappatjoe</v>
      </c>
      <c r="F682" s="9">
        <f>IFERROR(AVERAGE(Data[[#This Row],[alappatjoe]:[currydestroyer27]]), "TBD")</f>
        <v>1.8</v>
      </c>
      <c r="G682" s="178">
        <f>IFERROR(_xlfn.STDEV.P(Data[[#This Row],[alappatjoe]:[currydestroyer27]]), "TBD")</f>
        <v>0.9797958971132712</v>
      </c>
      <c r="H682" s="160" t="s">
        <v>1491</v>
      </c>
      <c r="I682" s="186" t="s">
        <v>1492</v>
      </c>
      <c r="J682" s="3">
        <v>1</v>
      </c>
      <c r="K682" s="3">
        <v>3</v>
      </c>
      <c r="L682" s="3">
        <v>1</v>
      </c>
      <c r="M682" s="3">
        <v>1</v>
      </c>
      <c r="N682" s="3">
        <v>3</v>
      </c>
      <c r="O682" s="238"/>
      <c r="P682" s="234"/>
      <c r="Q682" s="93"/>
      <c r="R6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82" s="93">
        <v>1</v>
      </c>
      <c r="T682" s="93" t="b">
        <f>Data[[#This Row],[Day Rank]]=Data[[#This Row],[W Rank]]</f>
        <v>1</v>
      </c>
      <c r="U682" s="331"/>
    </row>
    <row r="683" spans="1:21" ht="15" customHeight="1">
      <c r="A683" s="326"/>
      <c r="B683" s="326"/>
      <c r="C683" s="339"/>
      <c r="D683" s="81">
        <f>D682</f>
        <v>45707</v>
      </c>
      <c r="E683" s="140" t="str">
        <f>$K$1</f>
        <v>danram</v>
      </c>
      <c r="F683" s="8">
        <f>IFERROR(AVERAGE(Data[[#This Row],[alappatjoe]:[currydestroyer27]]), "TBD")</f>
        <v>2</v>
      </c>
      <c r="G683" s="177">
        <f>IFERROR(_xlfn.STDEV.P(Data[[#This Row],[alappatjoe]:[currydestroyer27]]), "TBD")</f>
        <v>0.63245553203367588</v>
      </c>
      <c r="H683" s="135" t="s">
        <v>1493</v>
      </c>
      <c r="I683" s="229" t="s">
        <v>1494</v>
      </c>
      <c r="J683" s="3">
        <v>3</v>
      </c>
      <c r="K683" s="3">
        <v>1</v>
      </c>
      <c r="L683" s="3">
        <v>2</v>
      </c>
      <c r="M683" s="3">
        <v>2</v>
      </c>
      <c r="N683" s="3">
        <v>2</v>
      </c>
      <c r="O683" s="238"/>
      <c r="P683" s="234"/>
      <c r="Q683" s="93"/>
      <c r="R6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83" s="93">
        <v>1</v>
      </c>
      <c r="T683" s="93" t="b">
        <f>Data[[#This Row],[Day Rank]]=Data[[#This Row],[W Rank]]</f>
        <v>0</v>
      </c>
      <c r="U683" s="323"/>
    </row>
    <row r="684" spans="1:21" ht="15" customHeight="1">
      <c r="A684" s="326"/>
      <c r="B684" s="326"/>
      <c r="C684" s="339"/>
      <c r="D684" s="81">
        <f>D682</f>
        <v>45707</v>
      </c>
      <c r="E684" s="140" t="str">
        <f>$L$1</f>
        <v>loganworsdell</v>
      </c>
      <c r="F684" s="8">
        <f>IFERROR(AVERAGE(Data[[#This Row],[alappatjoe]:[currydestroyer27]]), "TBD")</f>
        <v>4.2</v>
      </c>
      <c r="G684" s="177">
        <f>IFERROR(_xlfn.STDEV.P(Data[[#This Row],[alappatjoe]:[currydestroyer27]]), "TBD")</f>
        <v>0.74833147735478833</v>
      </c>
      <c r="H684" s="135" t="s">
        <v>1495</v>
      </c>
      <c r="I684" s="229" t="s">
        <v>1496</v>
      </c>
      <c r="J684" s="3">
        <v>5</v>
      </c>
      <c r="K684" s="3">
        <v>4</v>
      </c>
      <c r="L684" s="3">
        <v>3</v>
      </c>
      <c r="M684" s="3">
        <v>5</v>
      </c>
      <c r="N684" s="3">
        <v>4</v>
      </c>
      <c r="O684" s="238"/>
      <c r="P684" s="234"/>
      <c r="Q684" s="93"/>
      <c r="R6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84" s="93">
        <v>1</v>
      </c>
      <c r="T684" s="93" t="b">
        <f>Data[[#This Row],[Day Rank]]=Data[[#This Row],[W Rank]]</f>
        <v>0</v>
      </c>
      <c r="U684" s="323"/>
    </row>
    <row r="685" spans="1:21" ht="15" customHeight="1">
      <c r="A685" s="326"/>
      <c r="B685" s="326"/>
      <c r="C685" s="339"/>
      <c r="D685" s="81">
        <f>D682</f>
        <v>45707</v>
      </c>
      <c r="E685" s="140" t="str">
        <f>$M$1</f>
        <v>samuelbattista</v>
      </c>
      <c r="F685" s="8">
        <f>IFERROR(AVERAGE(Data[[#This Row],[alappatjoe]:[currydestroyer27]]), "TBD")</f>
        <v>4</v>
      </c>
      <c r="G685" s="177">
        <f>IFERROR(_xlfn.STDEV.P(Data[[#This Row],[alappatjoe]:[currydestroyer27]]), "TBD")</f>
        <v>1.2649110640673518</v>
      </c>
      <c r="H685" s="135" t="s">
        <v>1497</v>
      </c>
      <c r="I685" s="229" t="s">
        <v>1498</v>
      </c>
      <c r="J685" s="3">
        <v>2</v>
      </c>
      <c r="K685" s="3">
        <v>5</v>
      </c>
      <c r="L685" s="3">
        <v>5</v>
      </c>
      <c r="M685" s="3">
        <v>3</v>
      </c>
      <c r="N685" s="3">
        <v>5</v>
      </c>
      <c r="O685" s="238"/>
      <c r="P685" s="234"/>
      <c r="Q685" s="93"/>
      <c r="R6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85" s="93">
        <v>1</v>
      </c>
      <c r="T685" s="93" t="b">
        <f>Data[[#This Row],[Day Rank]]=Data[[#This Row],[W Rank]]</f>
        <v>0</v>
      </c>
      <c r="U685" s="323"/>
    </row>
    <row r="686" spans="1:21" ht="15" customHeight="1" thickBot="1">
      <c r="A686" s="327"/>
      <c r="B686" s="327"/>
      <c r="C686" s="340"/>
      <c r="D686" s="164">
        <f>D682</f>
        <v>45707</v>
      </c>
      <c r="E686" s="215" t="str">
        <f>$N$1</f>
        <v>currydestroyer27</v>
      </c>
      <c r="F686" s="165">
        <f>IFERROR(AVERAGE(Data[[#This Row],[alappatjoe]:[currydestroyer27]]), "TBD")</f>
        <v>3</v>
      </c>
      <c r="G686" s="256">
        <f>IFERROR(_xlfn.STDEV.P(Data[[#This Row],[alappatjoe]:[currydestroyer27]]), "TBD")</f>
        <v>1.2649110640673518</v>
      </c>
      <c r="H686" s="273" t="s">
        <v>1499</v>
      </c>
      <c r="I686" s="257" t="s">
        <v>1500</v>
      </c>
      <c r="J686" s="166">
        <v>4</v>
      </c>
      <c r="K686" s="166">
        <v>2</v>
      </c>
      <c r="L686" s="166">
        <v>4</v>
      </c>
      <c r="M686" s="166">
        <v>4</v>
      </c>
      <c r="N686" s="166">
        <v>1</v>
      </c>
      <c r="O686" s="242"/>
      <c r="P686" s="237"/>
      <c r="Q686" s="167"/>
      <c r="R68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86" s="167">
        <v>1</v>
      </c>
      <c r="T686" s="167" t="b">
        <f>Data[[#This Row],[Day Rank]]=Data[[#This Row],[W Rank]]</f>
        <v>0</v>
      </c>
      <c r="U686" s="324"/>
    </row>
    <row r="687" spans="1:21" ht="15" customHeight="1">
      <c r="A687" s="325">
        <v>45708</v>
      </c>
      <c r="B687" s="325"/>
      <c r="C687" s="328" t="str" cm="1">
        <f t="array" ref="C687">_xlfn.LET(_xlpm.matches, _xlfn._xlws.FILTER(Data[Poster], (Data[Date]=A687)*(Data[Winner]=TRUE)), IF(ROWS(_xlpm.matches)&gt;1, "TIE", _xlpm.matches))</f>
        <v>currydestroyer27</v>
      </c>
      <c r="D687" s="147">
        <f>A687</f>
        <v>45708</v>
      </c>
      <c r="E687" s="181" t="str">
        <f>$J$1</f>
        <v>alappatjoe</v>
      </c>
      <c r="F687" s="9">
        <f>IFERROR(AVERAGE(Data[[#This Row],[alappatjoe]:[currydestroyer27]]), "TBD")</f>
        <v>3.6</v>
      </c>
      <c r="G687" s="178">
        <f>IFERROR(_xlfn.STDEV.P(Data[[#This Row],[alappatjoe]:[currydestroyer27]]), "TBD")</f>
        <v>1.7435595774162693</v>
      </c>
      <c r="H687" s="160" t="s">
        <v>1501</v>
      </c>
      <c r="I687" s="186" t="s">
        <v>1502</v>
      </c>
      <c r="J687" s="3">
        <v>1</v>
      </c>
      <c r="K687" s="3">
        <v>5</v>
      </c>
      <c r="L687" s="3">
        <v>5</v>
      </c>
      <c r="M687" s="3">
        <v>5</v>
      </c>
      <c r="N687" s="3">
        <v>2</v>
      </c>
      <c r="O687" s="238"/>
      <c r="P687" s="234"/>
      <c r="Q687" s="93"/>
      <c r="R6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87" s="93">
        <v>1</v>
      </c>
      <c r="T687" s="93" t="b">
        <f>Data[[#This Row],[Day Rank]]=Data[[#This Row],[W Rank]]</f>
        <v>0</v>
      </c>
      <c r="U687" s="331" t="s">
        <v>1503</v>
      </c>
    </row>
    <row r="688" spans="1:21" ht="15" customHeight="1">
      <c r="A688" s="326"/>
      <c r="B688" s="326"/>
      <c r="C688" s="329"/>
      <c r="D688" s="81">
        <f>D687</f>
        <v>45708</v>
      </c>
      <c r="E688" s="140" t="str">
        <f>$K$1</f>
        <v>danram</v>
      </c>
      <c r="F688" s="8">
        <f>IFERROR(AVERAGE(Data[[#This Row],[alappatjoe]:[currydestroyer27]]), "TBD")</f>
        <v>3.6</v>
      </c>
      <c r="G688" s="177">
        <f>IFERROR(_xlfn.STDEV.P(Data[[#This Row],[alappatjoe]:[currydestroyer27]]), "TBD")</f>
        <v>0.4898979485566356</v>
      </c>
      <c r="H688" s="135" t="s">
        <v>1504</v>
      </c>
      <c r="I688" s="229" t="s">
        <v>1505</v>
      </c>
      <c r="J688" s="3">
        <v>3</v>
      </c>
      <c r="K688" s="3">
        <v>3</v>
      </c>
      <c r="L688" s="3">
        <v>4</v>
      </c>
      <c r="M688" s="3">
        <v>4</v>
      </c>
      <c r="N688" s="3">
        <v>4</v>
      </c>
      <c r="O688" s="238"/>
      <c r="P688" s="234"/>
      <c r="Q688" s="93"/>
      <c r="R6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88" s="93">
        <v>1</v>
      </c>
      <c r="T688" s="93" t="b">
        <f>Data[[#This Row],[Day Rank]]=Data[[#This Row],[W Rank]]</f>
        <v>0</v>
      </c>
      <c r="U688" s="323"/>
    </row>
    <row r="689" spans="1:21" ht="15" customHeight="1">
      <c r="A689" s="326"/>
      <c r="B689" s="326"/>
      <c r="C689" s="329"/>
      <c r="D689" s="81">
        <f>D687</f>
        <v>45708</v>
      </c>
      <c r="E689" s="140" t="str">
        <f>$L$1</f>
        <v>loganworsdell</v>
      </c>
      <c r="F689" s="8">
        <f>IFERROR(AVERAGE(Data[[#This Row],[alappatjoe]:[currydestroyer27]]), "TBD")</f>
        <v>3</v>
      </c>
      <c r="G689" s="177">
        <f>IFERROR(_xlfn.STDEV.P(Data[[#This Row],[alappatjoe]:[currydestroyer27]]), "TBD")</f>
        <v>1.2649110640673518</v>
      </c>
      <c r="H689" s="135" t="s">
        <v>1506</v>
      </c>
      <c r="I689" s="229" t="s">
        <v>1507</v>
      </c>
      <c r="J689" s="3">
        <v>2</v>
      </c>
      <c r="K689" s="113">
        <v>4</v>
      </c>
      <c r="L689" s="3">
        <v>2</v>
      </c>
      <c r="M689" s="3">
        <v>2</v>
      </c>
      <c r="N689" s="3">
        <v>5</v>
      </c>
      <c r="O689" s="238"/>
      <c r="P689" s="234"/>
      <c r="Q689" s="93"/>
      <c r="R6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89" s="93">
        <v>1</v>
      </c>
      <c r="T689" s="93" t="b">
        <f>Data[[#This Row],[Day Rank]]=Data[[#This Row],[W Rank]]</f>
        <v>0</v>
      </c>
      <c r="U689" s="323"/>
    </row>
    <row r="690" spans="1:21" ht="15" customHeight="1">
      <c r="A690" s="326"/>
      <c r="B690" s="326"/>
      <c r="C690" s="329"/>
      <c r="D690" s="81">
        <f>D687</f>
        <v>45708</v>
      </c>
      <c r="E690" s="140" t="str">
        <f>$M$1</f>
        <v>samuelbattista</v>
      </c>
      <c r="F690" s="8">
        <f>IFERROR(AVERAGE(Data[[#This Row],[alappatjoe]:[currydestroyer27]]), "TBD")</f>
        <v>2.8</v>
      </c>
      <c r="G690" s="177">
        <f>IFERROR(_xlfn.STDEV.P(Data[[#This Row],[alappatjoe]:[currydestroyer27]]), "TBD")</f>
        <v>1.3266499161421599</v>
      </c>
      <c r="H690" s="135" t="s">
        <v>1508</v>
      </c>
      <c r="I690" s="229" t="s">
        <v>1509</v>
      </c>
      <c r="J690" s="3">
        <v>5</v>
      </c>
      <c r="K690" s="101">
        <v>2</v>
      </c>
      <c r="L690" s="3">
        <v>3</v>
      </c>
      <c r="M690" s="3">
        <v>1</v>
      </c>
      <c r="N690" s="3">
        <v>3</v>
      </c>
      <c r="O690" s="238"/>
      <c r="P690" s="234"/>
      <c r="Q690" s="93"/>
      <c r="R6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690" s="93">
        <v>1</v>
      </c>
      <c r="T690" s="93" t="b">
        <f>Data[[#This Row],[Day Rank]]=Data[[#This Row],[W Rank]]</f>
        <v>0</v>
      </c>
      <c r="U690" s="323"/>
    </row>
    <row r="691" spans="1:21" ht="15" customHeight="1" thickBot="1">
      <c r="A691" s="327"/>
      <c r="B691" s="327"/>
      <c r="C691" s="330"/>
      <c r="D691" s="164">
        <f>D687</f>
        <v>45708</v>
      </c>
      <c r="E691" s="215" t="str">
        <f>$N$1</f>
        <v>currydestroyer27</v>
      </c>
      <c r="F691" s="165">
        <f>IFERROR(AVERAGE(Data[[#This Row],[alappatjoe]:[currydestroyer27]]), "TBD")</f>
        <v>2</v>
      </c>
      <c r="G691" s="256">
        <f>IFERROR(_xlfn.STDEV.P(Data[[#This Row],[alappatjoe]:[currydestroyer27]]), "TBD")</f>
        <v>1.2649110640673518</v>
      </c>
      <c r="H691" s="227" t="s">
        <v>1510</v>
      </c>
      <c r="I691" s="257" t="s">
        <v>1120</v>
      </c>
      <c r="J691" s="166">
        <v>4</v>
      </c>
      <c r="K691" s="166">
        <v>1</v>
      </c>
      <c r="L691" s="166">
        <v>1</v>
      </c>
      <c r="M691" s="166">
        <v>3</v>
      </c>
      <c r="N691" s="166">
        <v>1</v>
      </c>
      <c r="O691" s="242"/>
      <c r="P691" s="237"/>
      <c r="Q691" s="167"/>
      <c r="R69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91" s="167">
        <v>1</v>
      </c>
      <c r="T691" s="167" t="b">
        <f>Data[[#This Row],[Day Rank]]=Data[[#This Row],[W Rank]]</f>
        <v>1</v>
      </c>
      <c r="U691" s="324"/>
    </row>
    <row r="692" spans="1:21" ht="15" customHeight="1">
      <c r="A692" s="325">
        <v>45712</v>
      </c>
      <c r="B692" s="325"/>
      <c r="C692" s="338" t="str" cm="1">
        <f t="array" ref="C692">_xlfn.LET(_xlpm.matches, _xlfn._xlws.FILTER(Data[Poster], (Data[Date]=A692)*(Data[Winner]=TRUE)), IF(ROWS(_xlpm.matches)&gt;1, "TIE", _xlpm.matches))</f>
        <v>samuelbattista</v>
      </c>
      <c r="D692" s="147">
        <f>A692</f>
        <v>45712</v>
      </c>
      <c r="E692" s="181" t="str">
        <f>$J$1</f>
        <v>alappatjoe</v>
      </c>
      <c r="F692" s="9">
        <f>IFERROR(AVERAGE(Data[[#This Row],[alappatjoe]:[currydestroyer27]]), "TBD")</f>
        <v>3</v>
      </c>
      <c r="G692" s="178">
        <f>IFERROR(_xlfn.STDEV.P(Data[[#This Row],[alappatjoe]:[currydestroyer27]]), "TBD")</f>
        <v>1.2649110640673518</v>
      </c>
      <c r="H692" s="160" t="s">
        <v>1511</v>
      </c>
      <c r="I692" s="186" t="s">
        <v>1512</v>
      </c>
      <c r="J692" s="3">
        <v>1</v>
      </c>
      <c r="K692" s="3">
        <v>4</v>
      </c>
      <c r="L692" s="3">
        <v>2</v>
      </c>
      <c r="M692" s="3">
        <v>4</v>
      </c>
      <c r="N692" s="3">
        <v>4</v>
      </c>
      <c r="O692" s="238"/>
      <c r="P692" s="234"/>
      <c r="Q692" s="93"/>
      <c r="R6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92" s="93">
        <v>1</v>
      </c>
      <c r="T692" s="93" t="b">
        <f>Data[[#This Row],[Day Rank]]=Data[[#This Row],[W Rank]]</f>
        <v>0</v>
      </c>
      <c r="U692" s="331"/>
    </row>
    <row r="693" spans="1:21" ht="15" customHeight="1">
      <c r="A693" s="326"/>
      <c r="B693" s="326"/>
      <c r="C693" s="339"/>
      <c r="D693" s="81">
        <f>D692</f>
        <v>45712</v>
      </c>
      <c r="E693" s="140" t="str">
        <f>$K$1</f>
        <v>danram</v>
      </c>
      <c r="F693" s="8">
        <f>IFERROR(AVERAGE(Data[[#This Row],[alappatjoe]:[currydestroyer27]]), "TBD")</f>
        <v>3.8</v>
      </c>
      <c r="G693" s="177">
        <f>IFERROR(_xlfn.STDEV.P(Data[[#This Row],[alappatjoe]:[currydestroyer27]]), "TBD")</f>
        <v>1.6</v>
      </c>
      <c r="H693" s="135" t="s">
        <v>1513</v>
      </c>
      <c r="I693" s="229" t="s">
        <v>664</v>
      </c>
      <c r="J693" s="3">
        <v>5</v>
      </c>
      <c r="K693" s="3">
        <v>1</v>
      </c>
      <c r="L693" s="3">
        <v>5</v>
      </c>
      <c r="M693" s="3">
        <v>5</v>
      </c>
      <c r="N693" s="3">
        <v>3</v>
      </c>
      <c r="O693" s="238"/>
      <c r="P693" s="234"/>
      <c r="Q693" s="93"/>
      <c r="R6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93" s="93">
        <v>1</v>
      </c>
      <c r="T693" s="93" t="b">
        <f>Data[[#This Row],[Day Rank]]=Data[[#This Row],[W Rank]]</f>
        <v>0</v>
      </c>
      <c r="U693" s="323"/>
    </row>
    <row r="694" spans="1:21" ht="15" customHeight="1">
      <c r="A694" s="326"/>
      <c r="B694" s="326"/>
      <c r="C694" s="339"/>
      <c r="D694" s="81">
        <f>D692</f>
        <v>45712</v>
      </c>
      <c r="E694" s="140" t="str">
        <f>$L$1</f>
        <v>loganworsdell</v>
      </c>
      <c r="F694" s="8">
        <f>IFERROR(AVERAGE(Data[[#This Row],[alappatjoe]:[currydestroyer27]]), "TBD")</f>
        <v>3.8</v>
      </c>
      <c r="G694" s="177">
        <f>IFERROR(_xlfn.STDEV.P(Data[[#This Row],[alappatjoe]:[currydestroyer27]]), "TBD")</f>
        <v>1.1661903789690602</v>
      </c>
      <c r="H694" s="135" t="s">
        <v>1514</v>
      </c>
      <c r="I694" s="229" t="s">
        <v>1515</v>
      </c>
      <c r="J694" s="3">
        <v>4</v>
      </c>
      <c r="K694" s="113">
        <v>5</v>
      </c>
      <c r="L694" s="3">
        <v>3</v>
      </c>
      <c r="M694" s="3">
        <v>2</v>
      </c>
      <c r="N694" s="3">
        <v>5</v>
      </c>
      <c r="O694" s="238"/>
      <c r="P694" s="234"/>
      <c r="Q694" s="93"/>
      <c r="R6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94" s="93">
        <v>1</v>
      </c>
      <c r="T694" s="93" t="b">
        <f>Data[[#This Row],[Day Rank]]=Data[[#This Row],[W Rank]]</f>
        <v>0</v>
      </c>
      <c r="U694" s="323"/>
    </row>
    <row r="695" spans="1:21" ht="15" customHeight="1">
      <c r="A695" s="326"/>
      <c r="B695" s="326"/>
      <c r="C695" s="339"/>
      <c r="D695" s="81">
        <f>D692</f>
        <v>45712</v>
      </c>
      <c r="E695" s="140" t="str">
        <f>$M$1</f>
        <v>samuelbattista</v>
      </c>
      <c r="F695" s="8">
        <f>IFERROR(AVERAGE(Data[[#This Row],[alappatjoe]:[currydestroyer27]]), "TBD")</f>
        <v>2.2000000000000002</v>
      </c>
      <c r="G695" s="177">
        <f>IFERROR(_xlfn.STDEV.P(Data[[#This Row],[alappatjoe]:[currydestroyer27]]), "TBD")</f>
        <v>0.9797958971132712</v>
      </c>
      <c r="H695" s="135" t="s">
        <v>1516</v>
      </c>
      <c r="I695" s="229" t="s">
        <v>122</v>
      </c>
      <c r="J695" s="3">
        <v>2</v>
      </c>
      <c r="K695" s="101">
        <v>2</v>
      </c>
      <c r="L695" s="3">
        <v>4</v>
      </c>
      <c r="M695" s="3">
        <v>1</v>
      </c>
      <c r="N695" s="3">
        <v>2</v>
      </c>
      <c r="O695" s="238"/>
      <c r="P695" s="234"/>
      <c r="Q695" s="93"/>
      <c r="R6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95" s="93">
        <v>1</v>
      </c>
      <c r="T695" s="93" t="b">
        <f>Data[[#This Row],[Day Rank]]=Data[[#This Row],[W Rank]]</f>
        <v>1</v>
      </c>
      <c r="U695" s="323"/>
    </row>
    <row r="696" spans="1:21" ht="15" customHeight="1" thickBot="1">
      <c r="A696" s="327"/>
      <c r="B696" s="327"/>
      <c r="C696" s="340"/>
      <c r="D696" s="164">
        <f>D692</f>
        <v>45712</v>
      </c>
      <c r="E696" s="215" t="str">
        <f>$N$1</f>
        <v>currydestroyer27</v>
      </c>
      <c r="F696" s="165">
        <f>IFERROR(AVERAGE(Data[[#This Row],[alappatjoe]:[currydestroyer27]]), "TBD")</f>
        <v>2.2000000000000002</v>
      </c>
      <c r="G696" s="256">
        <f>IFERROR(_xlfn.STDEV.P(Data[[#This Row],[alappatjoe]:[currydestroyer27]]), "TBD")</f>
        <v>0.9797958971132712</v>
      </c>
      <c r="H696" s="227" t="s">
        <v>1517</v>
      </c>
      <c r="I696" s="257" t="s">
        <v>1518</v>
      </c>
      <c r="J696" s="166">
        <v>3</v>
      </c>
      <c r="K696" s="166">
        <v>3</v>
      </c>
      <c r="L696" s="166">
        <v>1</v>
      </c>
      <c r="M696" s="166">
        <v>3</v>
      </c>
      <c r="N696" s="166">
        <v>1</v>
      </c>
      <c r="O696" s="242"/>
      <c r="P696" s="237"/>
      <c r="Q696" s="167"/>
      <c r="R69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696" s="167">
        <v>2</v>
      </c>
      <c r="T696" s="167" t="b">
        <f>Data[[#This Row],[Day Rank]]=Data[[#This Row],[W Rank]]</f>
        <v>0</v>
      </c>
      <c r="U696" s="324"/>
    </row>
    <row r="697" spans="1:21" ht="15" customHeight="1">
      <c r="A697" s="325">
        <v>45713</v>
      </c>
      <c r="B697" s="325"/>
      <c r="C697" s="328" t="str" cm="1">
        <f t="array" ref="C697">_xlfn.LET(_xlpm.matches, _xlfn._xlws.FILTER(Data[Poster], (Data[Date]=A697)*(Data[Winner]=TRUE)), IF(ROWS(_xlpm.matches)&gt;1, "TIE", _xlpm.matches))</f>
        <v>currydestroyer27</v>
      </c>
      <c r="D697" s="147">
        <f>A697</f>
        <v>45713</v>
      </c>
      <c r="E697" s="181" t="str">
        <f>$J$1</f>
        <v>alappatjoe</v>
      </c>
      <c r="F697" s="9">
        <f>IFERROR(AVERAGE(Data[[#This Row],[alappatjoe]:[currydestroyer27]]), "TBD")</f>
        <v>4</v>
      </c>
      <c r="G697" s="178">
        <f>IFERROR(_xlfn.STDEV.P(Data[[#This Row],[alappatjoe]:[currydestroyer27]]), "TBD")</f>
        <v>1.5491933384829668</v>
      </c>
      <c r="H697" s="160" t="s">
        <v>1519</v>
      </c>
      <c r="I697" s="186" t="s">
        <v>1237</v>
      </c>
      <c r="J697" s="3">
        <v>1</v>
      </c>
      <c r="K697" s="3">
        <v>5</v>
      </c>
      <c r="L697" s="3">
        <v>4</v>
      </c>
      <c r="M697" s="3">
        <v>5</v>
      </c>
      <c r="N697" s="3">
        <v>5</v>
      </c>
      <c r="O697" s="238"/>
      <c r="P697" s="234"/>
      <c r="Q697" s="93"/>
      <c r="R6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697" s="93">
        <v>1</v>
      </c>
      <c r="T697" s="93" t="b">
        <f>Data[[#This Row],[Day Rank]]=Data[[#This Row],[W Rank]]</f>
        <v>0</v>
      </c>
      <c r="U697" s="331"/>
    </row>
    <row r="698" spans="1:21" ht="15" customHeight="1">
      <c r="A698" s="326"/>
      <c r="B698" s="326"/>
      <c r="C698" s="329"/>
      <c r="D698" s="81">
        <f>D697</f>
        <v>45713</v>
      </c>
      <c r="E698" s="140" t="str">
        <f>$K$1</f>
        <v>danram</v>
      </c>
      <c r="F698" s="8">
        <f>IFERROR(AVERAGE(Data[[#This Row],[alappatjoe]:[currydestroyer27]]), "TBD")</f>
        <v>3.4</v>
      </c>
      <c r="G698" s="177">
        <f>IFERROR(_xlfn.STDEV.P(Data[[#This Row],[alappatjoe]:[currydestroyer27]]), "TBD")</f>
        <v>1.019803902718557</v>
      </c>
      <c r="H698" s="135" t="s">
        <v>1520</v>
      </c>
      <c r="I698" s="229" t="s">
        <v>1521</v>
      </c>
      <c r="J698" s="3">
        <v>4</v>
      </c>
      <c r="K698" s="3">
        <v>2</v>
      </c>
      <c r="L698" s="3">
        <v>5</v>
      </c>
      <c r="M698" s="3">
        <v>3</v>
      </c>
      <c r="N698" s="3">
        <v>3</v>
      </c>
      <c r="O698" s="238"/>
      <c r="P698" s="234"/>
      <c r="Q698" s="93"/>
      <c r="R6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698" s="93">
        <v>1</v>
      </c>
      <c r="T698" s="93" t="b">
        <f>Data[[#This Row],[Day Rank]]=Data[[#This Row],[W Rank]]</f>
        <v>0</v>
      </c>
      <c r="U698" s="323"/>
    </row>
    <row r="699" spans="1:21" ht="15" customHeight="1">
      <c r="A699" s="326"/>
      <c r="B699" s="326"/>
      <c r="C699" s="329"/>
      <c r="D699" s="81">
        <f>D697</f>
        <v>45713</v>
      </c>
      <c r="E699" s="140" t="str">
        <f>$L$1</f>
        <v>loganworsdell</v>
      </c>
      <c r="F699" s="8">
        <f>IFERROR(AVERAGE(Data[[#This Row],[alappatjoe]:[currydestroyer27]]), "TBD")</f>
        <v>3.2</v>
      </c>
      <c r="G699" s="177">
        <f>IFERROR(_xlfn.STDEV.P(Data[[#This Row],[alappatjoe]:[currydestroyer27]]), "TBD")</f>
        <v>1.4696938456699069</v>
      </c>
      <c r="H699" s="135" t="s">
        <v>1522</v>
      </c>
      <c r="I699" s="229" t="s">
        <v>1523</v>
      </c>
      <c r="J699" s="3">
        <v>5</v>
      </c>
      <c r="K699" s="113">
        <v>4</v>
      </c>
      <c r="L699" s="3">
        <v>1</v>
      </c>
      <c r="M699" s="3">
        <v>4</v>
      </c>
      <c r="N699" s="3">
        <v>2</v>
      </c>
      <c r="O699" s="238"/>
      <c r="P699" s="234"/>
      <c r="Q699" s="93"/>
      <c r="R6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699" s="93">
        <v>1</v>
      </c>
      <c r="T699" s="93" t="b">
        <f>Data[[#This Row],[Day Rank]]=Data[[#This Row],[W Rank]]</f>
        <v>0</v>
      </c>
      <c r="U699" s="323"/>
    </row>
    <row r="700" spans="1:21" ht="15" customHeight="1">
      <c r="A700" s="326"/>
      <c r="B700" s="326"/>
      <c r="C700" s="329"/>
      <c r="D700" s="81">
        <f>D697</f>
        <v>45713</v>
      </c>
      <c r="E700" s="140" t="str">
        <f>$M$1</f>
        <v>samuelbattista</v>
      </c>
      <c r="F700" s="8">
        <f>IFERROR(AVERAGE(Data[[#This Row],[alappatjoe]:[currydestroyer27]]), "TBD")</f>
        <v>2.2000000000000002</v>
      </c>
      <c r="G700" s="177">
        <f>IFERROR(_xlfn.STDEV.P(Data[[#This Row],[alappatjoe]:[currydestroyer27]]), "TBD")</f>
        <v>1.1661903789690602</v>
      </c>
      <c r="H700" s="135" t="s">
        <v>1524</v>
      </c>
      <c r="I700" s="229" t="s">
        <v>1525</v>
      </c>
      <c r="J700" s="3">
        <v>2</v>
      </c>
      <c r="K700" s="101">
        <v>1</v>
      </c>
      <c r="L700" s="3">
        <v>3</v>
      </c>
      <c r="M700" s="3">
        <v>1</v>
      </c>
      <c r="N700" s="3">
        <v>4</v>
      </c>
      <c r="O700" s="238"/>
      <c r="P700" s="234"/>
      <c r="Q700" s="93"/>
      <c r="R7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00" s="93">
        <v>1</v>
      </c>
      <c r="T700" s="93" t="b">
        <f>Data[[#This Row],[Day Rank]]=Data[[#This Row],[W Rank]]</f>
        <v>0</v>
      </c>
      <c r="U700" s="323"/>
    </row>
    <row r="701" spans="1:21" ht="15" customHeight="1" thickBot="1">
      <c r="A701" s="327"/>
      <c r="B701" s="327"/>
      <c r="C701" s="330"/>
      <c r="D701" s="164">
        <f>D697</f>
        <v>45713</v>
      </c>
      <c r="E701" s="215" t="str">
        <f>$N$1</f>
        <v>currydestroyer27</v>
      </c>
      <c r="F701" s="165">
        <f>IFERROR(AVERAGE(Data[[#This Row],[alappatjoe]:[currydestroyer27]]), "TBD")</f>
        <v>2.2000000000000002</v>
      </c>
      <c r="G701" s="256">
        <f>IFERROR(_xlfn.STDEV.P(Data[[#This Row],[alappatjoe]:[currydestroyer27]]), "TBD")</f>
        <v>0.74833147735478833</v>
      </c>
      <c r="H701" s="227" t="s">
        <v>1511</v>
      </c>
      <c r="I701" s="257" t="s">
        <v>1526</v>
      </c>
      <c r="J701" s="166">
        <v>3</v>
      </c>
      <c r="K701" s="166">
        <v>3</v>
      </c>
      <c r="L701" s="166">
        <v>2</v>
      </c>
      <c r="M701" s="166">
        <v>2</v>
      </c>
      <c r="N701" s="166">
        <v>1</v>
      </c>
      <c r="O701" s="242"/>
      <c r="P701" s="237"/>
      <c r="Q701" s="167"/>
      <c r="R70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01" s="167">
        <v>1</v>
      </c>
      <c r="T701" s="167" t="b">
        <f>Data[[#This Row],[Day Rank]]=Data[[#This Row],[W Rank]]</f>
        <v>1</v>
      </c>
      <c r="U701" s="324"/>
    </row>
    <row r="702" spans="1:21" ht="15" customHeight="1">
      <c r="A702" s="325">
        <v>45714</v>
      </c>
      <c r="B702" s="325"/>
      <c r="C702" s="338" t="str" cm="1">
        <f t="array" ref="C702">_xlfn.LET(_xlpm.matches, _xlfn._xlws.FILTER(Data[Poster], (Data[Date]=A702)*(Data[Winner]=TRUE)), IF(ROWS(_xlpm.matches)&gt;1, "TIE", _xlpm.matches))</f>
        <v>alappatjoe</v>
      </c>
      <c r="D702" s="147">
        <f>A702</f>
        <v>45714</v>
      </c>
      <c r="E702" s="181" t="str">
        <f>$J$1</f>
        <v>alappatjoe</v>
      </c>
      <c r="F702" s="9">
        <f>IFERROR(AVERAGE(Data[[#This Row],[alappatjoe]:[currydestroyer27]]), "TBD")</f>
        <v>2.2000000000000002</v>
      </c>
      <c r="G702" s="178">
        <f>IFERROR(_xlfn.STDEV.P(Data[[#This Row],[alappatjoe]:[currydestroyer27]]), "TBD")</f>
        <v>1.6</v>
      </c>
      <c r="H702" s="160" t="s">
        <v>1527</v>
      </c>
      <c r="I702" s="186" t="s">
        <v>1528</v>
      </c>
      <c r="J702" s="3">
        <v>1</v>
      </c>
      <c r="K702" s="3">
        <v>5</v>
      </c>
      <c r="L702" s="3">
        <v>1</v>
      </c>
      <c r="M702" s="3">
        <v>3</v>
      </c>
      <c r="N702" s="3">
        <v>1</v>
      </c>
      <c r="O702" s="238"/>
      <c r="P702" s="234"/>
      <c r="Q702" s="93"/>
      <c r="R7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02" s="93">
        <v>1</v>
      </c>
      <c r="T702" s="93" t="b">
        <f>Data[[#This Row],[Day Rank]]=Data[[#This Row],[W Rank]]</f>
        <v>1</v>
      </c>
      <c r="U702" s="331"/>
    </row>
    <row r="703" spans="1:21" ht="15" customHeight="1">
      <c r="A703" s="326"/>
      <c r="B703" s="326"/>
      <c r="C703" s="339"/>
      <c r="D703" s="81">
        <f>D702</f>
        <v>45714</v>
      </c>
      <c r="E703" s="140" t="str">
        <f>$K$1</f>
        <v>danram</v>
      </c>
      <c r="F703" s="8">
        <f>IFERROR(AVERAGE(Data[[#This Row],[alappatjoe]:[currydestroyer27]]), "TBD")</f>
        <v>3.4</v>
      </c>
      <c r="G703" s="177">
        <f>IFERROR(_xlfn.STDEV.P(Data[[#This Row],[alappatjoe]:[currydestroyer27]]), "TBD")</f>
        <v>1.3564659966250536</v>
      </c>
      <c r="H703" s="135" t="s">
        <v>1529</v>
      </c>
      <c r="I703" s="229" t="s">
        <v>1530</v>
      </c>
      <c r="J703" s="3">
        <v>3</v>
      </c>
      <c r="K703" s="3">
        <v>1</v>
      </c>
      <c r="L703" s="3">
        <v>5</v>
      </c>
      <c r="M703" s="3">
        <v>4</v>
      </c>
      <c r="N703" s="3">
        <v>4</v>
      </c>
      <c r="O703" s="238"/>
      <c r="P703" s="234"/>
      <c r="Q703" s="93"/>
      <c r="R7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03" s="93">
        <v>1</v>
      </c>
      <c r="T703" s="93" t="b">
        <f>Data[[#This Row],[Day Rank]]=Data[[#This Row],[W Rank]]</f>
        <v>0</v>
      </c>
      <c r="U703" s="323"/>
    </row>
    <row r="704" spans="1:21" ht="15" customHeight="1">
      <c r="A704" s="326"/>
      <c r="B704" s="326"/>
      <c r="C704" s="339"/>
      <c r="D704" s="81">
        <f>D702</f>
        <v>45714</v>
      </c>
      <c r="E704" s="140" t="str">
        <f>$L$1</f>
        <v>loganworsdell</v>
      </c>
      <c r="F704" s="8">
        <f>IFERROR(AVERAGE(Data[[#This Row],[alappatjoe]:[currydestroyer27]]), "TBD")</f>
        <v>3.6</v>
      </c>
      <c r="G704" s="177">
        <f>IFERROR(_xlfn.STDEV.P(Data[[#This Row],[alappatjoe]:[currydestroyer27]]), "TBD")</f>
        <v>1.019803902718557</v>
      </c>
      <c r="H704" s="135" t="s">
        <v>1531</v>
      </c>
      <c r="I704" s="229" t="s">
        <v>1532</v>
      </c>
      <c r="J704" s="3">
        <v>4</v>
      </c>
      <c r="K704" s="3">
        <v>4</v>
      </c>
      <c r="L704" s="3">
        <v>3</v>
      </c>
      <c r="M704" s="3">
        <v>2</v>
      </c>
      <c r="N704" s="3">
        <v>5</v>
      </c>
      <c r="O704" s="238"/>
      <c r="P704" s="234"/>
      <c r="Q704" s="93"/>
      <c r="R7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04" s="93">
        <v>1</v>
      </c>
      <c r="T704" s="93" t="b">
        <f>Data[[#This Row],[Day Rank]]=Data[[#This Row],[W Rank]]</f>
        <v>0</v>
      </c>
      <c r="U704" s="323"/>
    </row>
    <row r="705" spans="1:21" ht="15" customHeight="1">
      <c r="A705" s="326"/>
      <c r="B705" s="326"/>
      <c r="C705" s="339"/>
      <c r="D705" s="81">
        <f>D702</f>
        <v>45714</v>
      </c>
      <c r="E705" s="140" t="str">
        <f>$M$1</f>
        <v>samuelbattista</v>
      </c>
      <c r="F705" s="8">
        <f>IFERROR(AVERAGE(Data[[#This Row],[alappatjoe]:[currydestroyer27]]), "TBD")</f>
        <v>3.2</v>
      </c>
      <c r="G705" s="177">
        <f>IFERROR(_xlfn.STDEV.P(Data[[#This Row],[alappatjoe]:[currydestroyer27]]), "TBD")</f>
        <v>1.3266499161421599</v>
      </c>
      <c r="H705" s="135" t="s">
        <v>1533</v>
      </c>
      <c r="I705" s="229" t="s">
        <v>1534</v>
      </c>
      <c r="J705" s="3">
        <v>5</v>
      </c>
      <c r="K705" s="101">
        <v>3</v>
      </c>
      <c r="L705" s="3">
        <v>4</v>
      </c>
      <c r="M705" s="3">
        <v>1</v>
      </c>
      <c r="N705" s="3">
        <v>3</v>
      </c>
      <c r="O705" s="238"/>
      <c r="P705" s="234"/>
      <c r="Q705" s="93"/>
      <c r="R7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05" s="93">
        <v>1</v>
      </c>
      <c r="T705" s="93" t="b">
        <f>Data[[#This Row],[Day Rank]]=Data[[#This Row],[W Rank]]</f>
        <v>0</v>
      </c>
      <c r="U705" s="323"/>
    </row>
    <row r="706" spans="1:21" ht="15" customHeight="1" thickBot="1">
      <c r="A706" s="327"/>
      <c r="B706" s="327"/>
      <c r="C706" s="340"/>
      <c r="D706" s="164">
        <f>D702</f>
        <v>45714</v>
      </c>
      <c r="E706" s="215" t="str">
        <f>$N$1</f>
        <v>currydestroyer27</v>
      </c>
      <c r="F706" s="165">
        <f>IFERROR(AVERAGE(Data[[#This Row],[alappatjoe]:[currydestroyer27]]), "TBD")</f>
        <v>2.6</v>
      </c>
      <c r="G706" s="256">
        <f>IFERROR(_xlfn.STDEV.P(Data[[#This Row],[alappatjoe]:[currydestroyer27]]), "TBD")</f>
        <v>1.2</v>
      </c>
      <c r="H706" s="227" t="s">
        <v>1535</v>
      </c>
      <c r="I706" s="257" t="s">
        <v>1536</v>
      </c>
      <c r="J706" s="166">
        <v>2</v>
      </c>
      <c r="K706" s="166">
        <v>2</v>
      </c>
      <c r="L706" s="166">
        <v>2</v>
      </c>
      <c r="M706" s="166">
        <v>5</v>
      </c>
      <c r="N706" s="166">
        <v>2</v>
      </c>
      <c r="O706" s="242"/>
      <c r="P706" s="237"/>
      <c r="Q706" s="167"/>
      <c r="R70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06" s="167">
        <v>1</v>
      </c>
      <c r="T706" s="167" t="b">
        <f>Data[[#This Row],[Day Rank]]=Data[[#This Row],[W Rank]]</f>
        <v>0</v>
      </c>
      <c r="U706" s="324"/>
    </row>
    <row r="707" spans="1:21" ht="15" customHeight="1">
      <c r="A707" s="325">
        <v>45715</v>
      </c>
      <c r="B707" s="325"/>
      <c r="C707" s="328" t="str" cm="1">
        <f t="array" ref="C707">_xlfn.LET(_xlpm.matches, _xlfn._xlws.FILTER(Data[Poster], (Data[Date]=A707)*(Data[Winner]=TRUE)), IF(ROWS(_xlpm.matches)&gt;1, "TIE", _xlpm.matches))</f>
        <v>loganworsdell</v>
      </c>
      <c r="D707" s="147">
        <f>A707</f>
        <v>45715</v>
      </c>
      <c r="E707" s="181" t="str">
        <f>$J$1</f>
        <v>alappatjoe</v>
      </c>
      <c r="F707" s="9">
        <f>IFERROR(AVERAGE(Data[[#This Row],[alappatjoe]:[currydestroyer27]]), "TBD")</f>
        <v>3.2</v>
      </c>
      <c r="G707" s="178">
        <f>IFERROR(_xlfn.STDEV.P(Data[[#This Row],[alappatjoe]:[currydestroyer27]]), "TBD")</f>
        <v>1.1661903789690602</v>
      </c>
      <c r="H707" s="160" t="s">
        <v>1537</v>
      </c>
      <c r="I707" s="186" t="s">
        <v>1364</v>
      </c>
      <c r="J707" s="3">
        <v>1</v>
      </c>
      <c r="K707" s="3">
        <v>4</v>
      </c>
      <c r="L707" s="3">
        <v>3</v>
      </c>
      <c r="M707" s="3">
        <v>4</v>
      </c>
      <c r="N707" s="3">
        <v>4</v>
      </c>
      <c r="O707" s="238"/>
      <c r="P707" s="234"/>
      <c r="Q707" s="93"/>
      <c r="R7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07" s="93">
        <v>1</v>
      </c>
      <c r="T707" s="93" t="b">
        <f>Data[[#This Row],[Day Rank]]=Data[[#This Row],[W Rank]]</f>
        <v>0</v>
      </c>
      <c r="U707" s="331" t="s">
        <v>1538</v>
      </c>
    </row>
    <row r="708" spans="1:21" ht="15" customHeight="1">
      <c r="A708" s="326"/>
      <c r="B708" s="326"/>
      <c r="C708" s="329"/>
      <c r="D708" s="81">
        <f>D707</f>
        <v>45715</v>
      </c>
      <c r="E708" s="140" t="str">
        <f>$K$1</f>
        <v>danram</v>
      </c>
      <c r="F708" s="8">
        <f>IFERROR(AVERAGE(Data[[#This Row],[alappatjoe]:[currydestroyer27]]), "TBD")</f>
        <v>4.2</v>
      </c>
      <c r="G708" s="177">
        <f>IFERROR(_xlfn.STDEV.P(Data[[#This Row],[alappatjoe]:[currydestroyer27]]), "TBD")</f>
        <v>1.6</v>
      </c>
      <c r="H708" s="135" t="s">
        <v>1539</v>
      </c>
      <c r="I708" s="229" t="s">
        <v>616</v>
      </c>
      <c r="J708" s="3">
        <v>5</v>
      </c>
      <c r="K708" s="3">
        <v>1</v>
      </c>
      <c r="L708" s="3">
        <v>5</v>
      </c>
      <c r="M708" s="3">
        <v>5</v>
      </c>
      <c r="N708" s="3">
        <v>5</v>
      </c>
      <c r="O708" s="238"/>
      <c r="P708" s="234"/>
      <c r="Q708" s="93"/>
      <c r="R7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08" s="93">
        <v>1</v>
      </c>
      <c r="T708" s="93" t="b">
        <f>Data[[#This Row],[Day Rank]]=Data[[#This Row],[W Rank]]</f>
        <v>0</v>
      </c>
      <c r="U708" s="323"/>
    </row>
    <row r="709" spans="1:21" ht="15" customHeight="1">
      <c r="A709" s="326"/>
      <c r="B709" s="326"/>
      <c r="C709" s="329"/>
      <c r="D709" s="81">
        <f>D707</f>
        <v>45715</v>
      </c>
      <c r="E709" s="140" t="str">
        <f>$L$1</f>
        <v>loganworsdell</v>
      </c>
      <c r="F709" s="8">
        <f>IFERROR(AVERAGE(Data[[#This Row],[alappatjoe]:[currydestroyer27]]), "TBD")</f>
        <v>2.2000000000000002</v>
      </c>
      <c r="G709" s="177">
        <f>IFERROR(_xlfn.STDEV.P(Data[[#This Row],[alappatjoe]:[currydestroyer27]]), "TBD")</f>
        <v>0.9797958971132712</v>
      </c>
      <c r="H709" s="135" t="s">
        <v>1540</v>
      </c>
      <c r="I709" s="229" t="s">
        <v>1541</v>
      </c>
      <c r="J709" s="3">
        <v>3</v>
      </c>
      <c r="K709" s="113">
        <v>3</v>
      </c>
      <c r="L709" s="3">
        <v>1</v>
      </c>
      <c r="M709" s="3">
        <v>3</v>
      </c>
      <c r="N709" s="3">
        <v>1</v>
      </c>
      <c r="O709" s="238"/>
      <c r="P709" s="234"/>
      <c r="Q709" s="93"/>
      <c r="R7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09" s="93">
        <v>1</v>
      </c>
      <c r="T709" s="93" t="b">
        <f>Data[[#This Row],[Day Rank]]=Data[[#This Row],[W Rank]]</f>
        <v>1</v>
      </c>
      <c r="U709" s="323"/>
    </row>
    <row r="710" spans="1:21" ht="15" customHeight="1">
      <c r="A710" s="326"/>
      <c r="B710" s="326"/>
      <c r="C710" s="329"/>
      <c r="D710" s="81">
        <f>D707</f>
        <v>45715</v>
      </c>
      <c r="E710" s="140" t="str">
        <f>$M$1</f>
        <v>samuelbattista</v>
      </c>
      <c r="F710" s="8">
        <f>IFERROR(AVERAGE(Data[[#This Row],[alappatjoe]:[currydestroyer27]]), "TBD")</f>
        <v>2.6</v>
      </c>
      <c r="G710" s="177">
        <f>IFERROR(_xlfn.STDEV.P(Data[[#This Row],[alappatjoe]:[currydestroyer27]]), "TBD")</f>
        <v>1.3564659966250536</v>
      </c>
      <c r="H710" s="135" t="s">
        <v>1542</v>
      </c>
      <c r="I710" s="229" t="s">
        <v>1543</v>
      </c>
      <c r="J710" s="3">
        <v>2</v>
      </c>
      <c r="K710" s="101">
        <v>5</v>
      </c>
      <c r="L710" s="3">
        <v>2</v>
      </c>
      <c r="M710" s="3">
        <v>1</v>
      </c>
      <c r="N710" s="3">
        <v>3</v>
      </c>
      <c r="O710" s="238"/>
      <c r="P710" s="234"/>
      <c r="Q710" s="93"/>
      <c r="R7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10" s="93">
        <v>1</v>
      </c>
      <c r="T710" s="93" t="b">
        <f>Data[[#This Row],[Day Rank]]=Data[[#This Row],[W Rank]]</f>
        <v>0</v>
      </c>
      <c r="U710" s="323"/>
    </row>
    <row r="711" spans="1:21" ht="15" customHeight="1" thickBot="1">
      <c r="A711" s="327"/>
      <c r="B711" s="327"/>
      <c r="C711" s="330"/>
      <c r="D711" s="164">
        <f>D707</f>
        <v>45715</v>
      </c>
      <c r="E711" s="215" t="str">
        <f>$N$1</f>
        <v>currydestroyer27</v>
      </c>
      <c r="F711" s="165">
        <f>IFERROR(AVERAGE(Data[[#This Row],[alappatjoe]:[currydestroyer27]]), "TBD")</f>
        <v>2.8</v>
      </c>
      <c r="G711" s="256">
        <f>IFERROR(_xlfn.STDEV.P(Data[[#This Row],[alappatjoe]:[currydestroyer27]]), "TBD")</f>
        <v>0.9797958971132712</v>
      </c>
      <c r="H711" s="227" t="s">
        <v>1544</v>
      </c>
      <c r="I711" s="257" t="s">
        <v>616</v>
      </c>
      <c r="J711" s="166">
        <v>4</v>
      </c>
      <c r="K711" s="166">
        <v>2</v>
      </c>
      <c r="L711" s="166">
        <v>4</v>
      </c>
      <c r="M711" s="166">
        <v>2</v>
      </c>
      <c r="N711" s="166">
        <v>2</v>
      </c>
      <c r="O711" s="242"/>
      <c r="P711" s="237"/>
      <c r="Q711" s="167"/>
      <c r="R7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11" s="167">
        <v>1</v>
      </c>
      <c r="T711" s="167" t="b">
        <f>Data[[#This Row],[Day Rank]]=Data[[#This Row],[W Rank]]</f>
        <v>0</v>
      </c>
      <c r="U711" s="324"/>
    </row>
    <row r="712" spans="1:21" ht="15" customHeight="1">
      <c r="A712" s="325">
        <v>45719</v>
      </c>
      <c r="B712" s="325"/>
      <c r="C712" s="338" t="str" cm="1">
        <f t="array" ref="C712">_xlfn.LET(_xlpm.matches, _xlfn._xlws.FILTER(Data[Poster], (Data[Date]=A712)*(Data[Winner]=TRUE)), IF(ROWS(_xlpm.matches)&gt;1, "TIE", _xlpm.matches))</f>
        <v>currydestroyer27</v>
      </c>
      <c r="D712" s="147">
        <f>A712</f>
        <v>45719</v>
      </c>
      <c r="E712" s="181" t="str">
        <f>$J$1</f>
        <v>alappatjoe</v>
      </c>
      <c r="F712" s="9">
        <f>IFERROR(AVERAGE(Data[[#This Row],[alappatjoe]:[currydestroyer27]]), "TBD")</f>
        <v>3.6</v>
      </c>
      <c r="G712" s="178">
        <f>IFERROR(_xlfn.STDEV.P(Data[[#This Row],[alappatjoe]:[currydestroyer27]]), "TBD")</f>
        <v>1.7435595774162693</v>
      </c>
      <c r="H712" s="160" t="s">
        <v>1545</v>
      </c>
      <c r="I712" s="186" t="s">
        <v>1546</v>
      </c>
      <c r="J712" s="3">
        <v>1</v>
      </c>
      <c r="K712" s="3">
        <v>5</v>
      </c>
      <c r="L712" s="3">
        <v>5</v>
      </c>
      <c r="M712" s="3">
        <v>5</v>
      </c>
      <c r="N712" s="3">
        <v>2</v>
      </c>
      <c r="O712" s="238"/>
      <c r="P712" s="234"/>
      <c r="Q712" s="93"/>
      <c r="R7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12" s="93">
        <v>1</v>
      </c>
      <c r="T712" s="93" t="b">
        <f>Data[[#This Row],[Day Rank]]=Data[[#This Row],[W Rank]]</f>
        <v>0</v>
      </c>
      <c r="U712" s="331"/>
    </row>
    <row r="713" spans="1:21" ht="15" customHeight="1">
      <c r="A713" s="326"/>
      <c r="B713" s="326"/>
      <c r="C713" s="339"/>
      <c r="D713" s="81">
        <f>D712</f>
        <v>45719</v>
      </c>
      <c r="E713" s="140" t="str">
        <f>$K$1</f>
        <v>danram</v>
      </c>
      <c r="F713" s="8">
        <f>IFERROR(AVERAGE(Data[[#This Row],[alappatjoe]:[currydestroyer27]]), "TBD")</f>
        <v>3.2</v>
      </c>
      <c r="G713" s="177">
        <f>IFERROR(_xlfn.STDEV.P(Data[[#This Row],[alappatjoe]:[currydestroyer27]]), "TBD")</f>
        <v>1.1661903789690602</v>
      </c>
      <c r="H713" s="135" t="s">
        <v>1547</v>
      </c>
      <c r="I713" s="229" t="s">
        <v>1548</v>
      </c>
      <c r="J713" s="3">
        <v>2</v>
      </c>
      <c r="K713" s="3">
        <v>2</v>
      </c>
      <c r="L713" s="3">
        <v>4</v>
      </c>
      <c r="M713" s="3">
        <v>3</v>
      </c>
      <c r="N713" s="3">
        <v>5</v>
      </c>
      <c r="O713" s="238"/>
      <c r="P713" s="234"/>
      <c r="Q713" s="93"/>
      <c r="R7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13" s="93">
        <v>1</v>
      </c>
      <c r="T713" s="93" t="b">
        <f>Data[[#This Row],[Day Rank]]=Data[[#This Row],[W Rank]]</f>
        <v>0</v>
      </c>
      <c r="U713" s="323"/>
    </row>
    <row r="714" spans="1:21" ht="15" customHeight="1">
      <c r="A714" s="326"/>
      <c r="B714" s="326"/>
      <c r="C714" s="339"/>
      <c r="D714" s="81">
        <f>D712</f>
        <v>45719</v>
      </c>
      <c r="E714" s="140" t="str">
        <f>$L$1</f>
        <v>loganworsdell</v>
      </c>
      <c r="F714" s="8">
        <f>IFERROR(AVERAGE(Data[[#This Row],[alappatjoe]:[currydestroyer27]]), "TBD")</f>
        <v>3</v>
      </c>
      <c r="G714" s="177">
        <f>IFERROR(_xlfn.STDEV.P(Data[[#This Row],[alappatjoe]:[currydestroyer27]]), "TBD")</f>
        <v>1.0954451150103321</v>
      </c>
      <c r="H714" s="135" t="s">
        <v>1549</v>
      </c>
      <c r="I714" s="229" t="s">
        <v>1550</v>
      </c>
      <c r="J714" s="3">
        <v>3</v>
      </c>
      <c r="K714" s="113">
        <v>1</v>
      </c>
      <c r="L714" s="3">
        <v>3</v>
      </c>
      <c r="M714" s="3">
        <v>4</v>
      </c>
      <c r="N714" s="3">
        <v>4</v>
      </c>
      <c r="O714" s="238"/>
      <c r="P714" s="234"/>
      <c r="Q714" s="93"/>
      <c r="R7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14" s="93">
        <v>1</v>
      </c>
      <c r="T714" s="93" t="b">
        <f>Data[[#This Row],[Day Rank]]=Data[[#This Row],[W Rank]]</f>
        <v>0</v>
      </c>
      <c r="U714" s="323"/>
    </row>
    <row r="715" spans="1:21" ht="15" customHeight="1">
      <c r="A715" s="326"/>
      <c r="B715" s="326"/>
      <c r="C715" s="339"/>
      <c r="D715" s="81">
        <f>D712</f>
        <v>45719</v>
      </c>
      <c r="E715" s="140" t="str">
        <f>$M$1</f>
        <v>samuelbattista</v>
      </c>
      <c r="F715" s="8">
        <f>IFERROR(AVERAGE(Data[[#This Row],[alappatjoe]:[currydestroyer27]]), "TBD")</f>
        <v>2.8</v>
      </c>
      <c r="G715" s="177">
        <f>IFERROR(_xlfn.STDEV.P(Data[[#This Row],[alappatjoe]:[currydestroyer27]]), "TBD")</f>
        <v>1.1661903789690602</v>
      </c>
      <c r="H715" s="135" t="s">
        <v>1551</v>
      </c>
      <c r="I715" s="229" t="s">
        <v>1552</v>
      </c>
      <c r="J715" s="3">
        <v>4</v>
      </c>
      <c r="K715" s="101">
        <v>4</v>
      </c>
      <c r="L715" s="3">
        <v>1</v>
      </c>
      <c r="M715" s="3">
        <v>2</v>
      </c>
      <c r="N715" s="3">
        <v>3</v>
      </c>
      <c r="O715" s="238"/>
      <c r="P715" s="234"/>
      <c r="Q715" s="93"/>
      <c r="R7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15" s="93">
        <v>1</v>
      </c>
      <c r="T715" s="93" t="b">
        <f>Data[[#This Row],[Day Rank]]=Data[[#This Row],[W Rank]]</f>
        <v>0</v>
      </c>
      <c r="U715" s="323"/>
    </row>
    <row r="716" spans="1:21" ht="15" customHeight="1" thickBot="1">
      <c r="A716" s="327"/>
      <c r="B716" s="327"/>
      <c r="C716" s="340"/>
      <c r="D716" s="164">
        <f>D712</f>
        <v>45719</v>
      </c>
      <c r="E716" s="215" t="str">
        <f>$N$1</f>
        <v>currydestroyer27</v>
      </c>
      <c r="F716" s="165">
        <f>IFERROR(AVERAGE(Data[[#This Row],[alappatjoe]:[currydestroyer27]]), "TBD")</f>
        <v>2.4</v>
      </c>
      <c r="G716" s="256">
        <f>IFERROR(_xlfn.STDEV.P(Data[[#This Row],[alappatjoe]:[currydestroyer27]]), "TBD")</f>
        <v>1.4966629547095767</v>
      </c>
      <c r="H716" s="227" t="s">
        <v>1553</v>
      </c>
      <c r="I716" s="257" t="s">
        <v>1554</v>
      </c>
      <c r="J716" s="166">
        <v>5</v>
      </c>
      <c r="K716" s="166">
        <v>3</v>
      </c>
      <c r="L716" s="166">
        <v>2</v>
      </c>
      <c r="M716" s="166">
        <v>1</v>
      </c>
      <c r="N716" s="166">
        <v>1</v>
      </c>
      <c r="O716" s="242"/>
      <c r="P716" s="237"/>
      <c r="Q716" s="167"/>
      <c r="R7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16" s="167">
        <v>1</v>
      </c>
      <c r="T716" s="167" t="b">
        <f>Data[[#This Row],[Day Rank]]=Data[[#This Row],[W Rank]]</f>
        <v>1</v>
      </c>
      <c r="U716" s="324"/>
    </row>
    <row r="717" spans="1:21" ht="15" customHeight="1">
      <c r="A717" s="325">
        <v>45720</v>
      </c>
      <c r="B717" s="325"/>
      <c r="C717" s="328" t="str" cm="1">
        <f t="array" ref="C717">_xlfn.LET(_xlpm.matches, _xlfn._xlws.FILTER(Data[Poster], (Data[Date]=A717)*(Data[Winner]=TRUE)), IF(ROWS(_xlpm.matches)&gt;1, "TIE", _xlpm.matches))</f>
        <v>currydestroyer27</v>
      </c>
      <c r="D717" s="147">
        <f>A717</f>
        <v>45720</v>
      </c>
      <c r="E717" s="181" t="str">
        <f>$J$1</f>
        <v>alappatjoe</v>
      </c>
      <c r="F717" s="9">
        <f>IFERROR(AVERAGE(Data[[#This Row],[alappatjoe]:[currydestroyer27]]), "TBD")</f>
        <v>3.6</v>
      </c>
      <c r="G717" s="178">
        <f>IFERROR(_xlfn.STDEV.P(Data[[#This Row],[alappatjoe]:[currydestroyer27]]), "TBD")</f>
        <v>1.4966629547095767</v>
      </c>
      <c r="H717" s="160" t="s">
        <v>1555</v>
      </c>
      <c r="I717" s="186" t="s">
        <v>504</v>
      </c>
      <c r="J717" s="3">
        <v>1</v>
      </c>
      <c r="K717" s="3">
        <v>4</v>
      </c>
      <c r="L717" s="3">
        <v>5</v>
      </c>
      <c r="M717" s="3">
        <v>5</v>
      </c>
      <c r="N717" s="3">
        <v>3</v>
      </c>
      <c r="O717" s="238"/>
      <c r="P717" s="234"/>
      <c r="Q717" s="93"/>
      <c r="R7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17" s="93">
        <v>1</v>
      </c>
      <c r="T717" s="93" t="b">
        <f>Data[[#This Row],[Day Rank]]=Data[[#This Row],[W Rank]]</f>
        <v>0</v>
      </c>
      <c r="U717" s="331"/>
    </row>
    <row r="718" spans="1:21" ht="15" customHeight="1">
      <c r="A718" s="326"/>
      <c r="B718" s="326"/>
      <c r="C718" s="329"/>
      <c r="D718" s="81">
        <f>D717</f>
        <v>45720</v>
      </c>
      <c r="E718" s="140" t="str">
        <f>$K$1</f>
        <v>danram</v>
      </c>
      <c r="F718" s="8">
        <f>IFERROR(AVERAGE(Data[[#This Row],[alappatjoe]:[currydestroyer27]]), "TBD")</f>
        <v>2.6</v>
      </c>
      <c r="G718" s="177">
        <f>IFERROR(_xlfn.STDEV.P(Data[[#This Row],[alappatjoe]:[currydestroyer27]]), "TBD")</f>
        <v>1.2</v>
      </c>
      <c r="H718" s="135" t="s">
        <v>1556</v>
      </c>
      <c r="I718" s="229" t="s">
        <v>1557</v>
      </c>
      <c r="J718" s="3">
        <v>4</v>
      </c>
      <c r="K718" s="3">
        <v>1</v>
      </c>
      <c r="L718" s="3">
        <v>2</v>
      </c>
      <c r="M718" s="3">
        <v>4</v>
      </c>
      <c r="N718" s="3">
        <v>2</v>
      </c>
      <c r="O718" s="238"/>
      <c r="P718" s="234"/>
      <c r="Q718" s="93"/>
      <c r="R7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18" s="93">
        <v>1</v>
      </c>
      <c r="T718" s="93" t="b">
        <f>Data[[#This Row],[Day Rank]]=Data[[#This Row],[W Rank]]</f>
        <v>0</v>
      </c>
      <c r="U718" s="323"/>
    </row>
    <row r="719" spans="1:21" ht="15" customHeight="1">
      <c r="A719" s="326"/>
      <c r="B719" s="326"/>
      <c r="C719" s="329"/>
      <c r="D719" s="81">
        <f>D717</f>
        <v>45720</v>
      </c>
      <c r="E719" s="140" t="str">
        <f>$L$1</f>
        <v>loganworsdell</v>
      </c>
      <c r="F719" s="8">
        <f>IFERROR(AVERAGE(Data[[#This Row],[alappatjoe]:[currydestroyer27]]), "TBD")</f>
        <v>3.8</v>
      </c>
      <c r="G719" s="177">
        <f>IFERROR(_xlfn.STDEV.P(Data[[#This Row],[alappatjoe]:[currydestroyer27]]), "TBD")</f>
        <v>1.6</v>
      </c>
      <c r="H719" s="135" t="s">
        <v>1558</v>
      </c>
      <c r="I719" s="229" t="s">
        <v>1559</v>
      </c>
      <c r="J719" s="3">
        <v>5</v>
      </c>
      <c r="K719" s="113">
        <v>5</v>
      </c>
      <c r="L719" s="3">
        <v>1</v>
      </c>
      <c r="M719" s="3">
        <v>3</v>
      </c>
      <c r="N719" s="3">
        <v>5</v>
      </c>
      <c r="O719" s="238"/>
      <c r="P719" s="234"/>
      <c r="Q719" s="93"/>
      <c r="R7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19" s="93">
        <v>1</v>
      </c>
      <c r="T719" s="93" t="b">
        <f>Data[[#This Row],[Day Rank]]=Data[[#This Row],[W Rank]]</f>
        <v>0</v>
      </c>
      <c r="U719" s="323"/>
    </row>
    <row r="720" spans="1:21" ht="15" customHeight="1">
      <c r="A720" s="326"/>
      <c r="B720" s="326"/>
      <c r="C720" s="329"/>
      <c r="D720" s="81">
        <f>D717</f>
        <v>45720</v>
      </c>
      <c r="E720" s="140" t="str">
        <f>$M$1</f>
        <v>samuelbattista</v>
      </c>
      <c r="F720" s="8">
        <f>IFERROR(AVERAGE(Data[[#This Row],[alappatjoe]:[currydestroyer27]]), "TBD")</f>
        <v>3.2</v>
      </c>
      <c r="G720" s="177">
        <f>IFERROR(_xlfn.STDEV.P(Data[[#This Row],[alappatjoe]:[currydestroyer27]]), "TBD")</f>
        <v>0.74833147735478833</v>
      </c>
      <c r="H720" s="135" t="s">
        <v>1560</v>
      </c>
      <c r="I720" s="229" t="s">
        <v>1561</v>
      </c>
      <c r="J720" s="3">
        <v>3</v>
      </c>
      <c r="K720" s="101">
        <v>3</v>
      </c>
      <c r="L720" s="3">
        <v>4</v>
      </c>
      <c r="M720" s="3">
        <v>2</v>
      </c>
      <c r="N720" s="3">
        <v>4</v>
      </c>
      <c r="O720" s="238"/>
      <c r="P720" s="234"/>
      <c r="Q720" s="93"/>
      <c r="R7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20" s="93">
        <v>1</v>
      </c>
      <c r="T720" s="93" t="b">
        <f>Data[[#This Row],[Day Rank]]=Data[[#This Row],[W Rank]]</f>
        <v>0</v>
      </c>
      <c r="U720" s="323"/>
    </row>
    <row r="721" spans="1:21" ht="15" customHeight="1" thickBot="1">
      <c r="A721" s="327"/>
      <c r="B721" s="327"/>
      <c r="C721" s="330"/>
      <c r="D721" s="164">
        <f>D717</f>
        <v>45720</v>
      </c>
      <c r="E721" s="215" t="str">
        <f>$N$1</f>
        <v>currydestroyer27</v>
      </c>
      <c r="F721" s="165">
        <f>IFERROR(AVERAGE(Data[[#This Row],[alappatjoe]:[currydestroyer27]]), "TBD")</f>
        <v>1.8</v>
      </c>
      <c r="G721" s="256">
        <f>IFERROR(_xlfn.STDEV.P(Data[[#This Row],[alappatjoe]:[currydestroyer27]]), "TBD")</f>
        <v>0.74833147735478833</v>
      </c>
      <c r="H721" s="227" t="s">
        <v>1562</v>
      </c>
      <c r="I721" s="257" t="s">
        <v>1317</v>
      </c>
      <c r="J721" s="166">
        <v>2</v>
      </c>
      <c r="K721" s="166">
        <v>2</v>
      </c>
      <c r="L721" s="166">
        <v>3</v>
      </c>
      <c r="M721" s="166">
        <v>1</v>
      </c>
      <c r="N721" s="166">
        <v>1</v>
      </c>
      <c r="O721" s="242"/>
      <c r="P721" s="237"/>
      <c r="Q721" s="167"/>
      <c r="R7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21" s="167">
        <v>1</v>
      </c>
      <c r="T721" s="167" t="b">
        <f>Data[[#This Row],[Day Rank]]=Data[[#This Row],[W Rank]]</f>
        <v>1</v>
      </c>
      <c r="U721" s="324"/>
    </row>
    <row r="722" spans="1:21" ht="15" customHeight="1">
      <c r="A722" s="325">
        <v>45721</v>
      </c>
      <c r="B722" s="325"/>
      <c r="C722" s="338" t="str" cm="1">
        <f t="array" ref="C722">_xlfn.LET(_xlpm.matches, _xlfn._xlws.FILTER(Data[Poster], (Data[Date]=A722)*(Data[Winner]=TRUE)), IF(ROWS(_xlpm.matches)&gt;1, "TIE", _xlpm.matches))</f>
        <v>danram</v>
      </c>
      <c r="D722" s="147">
        <f>A722</f>
        <v>45721</v>
      </c>
      <c r="E722" s="181" t="str">
        <f>$J$1</f>
        <v>alappatjoe</v>
      </c>
      <c r="F722" s="9">
        <f>IFERROR(AVERAGE(Data[[#This Row],[alappatjoe]:[currydestroyer27]]), "TBD")</f>
        <v>3.6</v>
      </c>
      <c r="G722" s="178">
        <f>IFERROR(_xlfn.STDEV.P(Data[[#This Row],[alappatjoe]:[currydestroyer27]]), "TBD")</f>
        <v>1.4966629547095767</v>
      </c>
      <c r="H722" s="160" t="s">
        <v>1563</v>
      </c>
      <c r="I722" s="186" t="s">
        <v>1564</v>
      </c>
      <c r="J722" s="3">
        <v>1</v>
      </c>
      <c r="K722" s="3">
        <v>5</v>
      </c>
      <c r="L722" s="3">
        <v>5</v>
      </c>
      <c r="M722" s="3">
        <v>3</v>
      </c>
      <c r="N722" s="3">
        <v>4</v>
      </c>
      <c r="O722" s="238"/>
      <c r="P722" s="234"/>
      <c r="Q722" s="93"/>
      <c r="R7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22" s="93">
        <v>1</v>
      </c>
      <c r="T722" s="93" t="b">
        <f>Data[[#This Row],[Day Rank]]=Data[[#This Row],[W Rank]]</f>
        <v>0</v>
      </c>
      <c r="U722" s="331"/>
    </row>
    <row r="723" spans="1:21" ht="15" customHeight="1">
      <c r="A723" s="326"/>
      <c r="B723" s="326"/>
      <c r="C723" s="339"/>
      <c r="D723" s="81">
        <f>D722</f>
        <v>45721</v>
      </c>
      <c r="E723" s="140" t="str">
        <f>$K$1</f>
        <v>danram</v>
      </c>
      <c r="F723" s="8">
        <f>IFERROR(AVERAGE(Data[[#This Row],[alappatjoe]:[currydestroyer27]]), "TBD")</f>
        <v>2.6</v>
      </c>
      <c r="G723" s="177">
        <f>IFERROR(_xlfn.STDEV.P(Data[[#This Row],[alappatjoe]:[currydestroyer27]]), "TBD")</f>
        <v>1.3564659966250536</v>
      </c>
      <c r="H723" s="135" t="s">
        <v>1565</v>
      </c>
      <c r="I723" s="229" t="s">
        <v>1120</v>
      </c>
      <c r="J723" s="3">
        <v>4</v>
      </c>
      <c r="K723" s="3">
        <v>1</v>
      </c>
      <c r="L723" s="3">
        <v>4</v>
      </c>
      <c r="M723" s="3">
        <v>1</v>
      </c>
      <c r="N723" s="3">
        <v>3</v>
      </c>
      <c r="O723" s="238"/>
      <c r="P723" s="234"/>
      <c r="Q723" s="93"/>
      <c r="R7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23" s="93">
        <v>1</v>
      </c>
      <c r="T723" s="93" t="b">
        <f>Data[[#This Row],[Day Rank]]=Data[[#This Row],[W Rank]]</f>
        <v>1</v>
      </c>
      <c r="U723" s="323"/>
    </row>
    <row r="724" spans="1:21" ht="15" customHeight="1">
      <c r="A724" s="326"/>
      <c r="B724" s="326"/>
      <c r="C724" s="339"/>
      <c r="D724" s="81">
        <f>D722</f>
        <v>45721</v>
      </c>
      <c r="E724" s="140" t="str">
        <f>$L$1</f>
        <v>loganworsdell</v>
      </c>
      <c r="F724" s="8">
        <f>IFERROR(AVERAGE(Data[[#This Row],[alappatjoe]:[currydestroyer27]]), "TBD")</f>
        <v>3</v>
      </c>
      <c r="G724" s="177">
        <f>IFERROR(_xlfn.STDEV.P(Data[[#This Row],[alappatjoe]:[currydestroyer27]]), "TBD")</f>
        <v>1.2649110640673518</v>
      </c>
      <c r="H724" s="135" t="s">
        <v>1566</v>
      </c>
      <c r="I724" s="229" t="s">
        <v>1567</v>
      </c>
      <c r="J724" s="3">
        <v>5</v>
      </c>
      <c r="K724" s="113">
        <v>2</v>
      </c>
      <c r="L724" s="3">
        <v>2</v>
      </c>
      <c r="M724" s="3">
        <v>4</v>
      </c>
      <c r="N724" s="3">
        <v>2</v>
      </c>
      <c r="O724" s="238"/>
      <c r="P724" s="234"/>
      <c r="Q724" s="93"/>
      <c r="R7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24" s="93">
        <v>1</v>
      </c>
      <c r="T724" s="93" t="b">
        <f>Data[[#This Row],[Day Rank]]=Data[[#This Row],[W Rank]]</f>
        <v>0</v>
      </c>
      <c r="U724" s="323"/>
    </row>
    <row r="725" spans="1:21" ht="15" customHeight="1">
      <c r="A725" s="326"/>
      <c r="B725" s="326"/>
      <c r="C725" s="339"/>
      <c r="D725" s="81">
        <f>D722</f>
        <v>45721</v>
      </c>
      <c r="E725" s="140" t="str">
        <f>$M$1</f>
        <v>samuelbattista</v>
      </c>
      <c r="F725" s="8">
        <f>IFERROR(AVERAGE(Data[[#This Row],[alappatjoe]:[currydestroyer27]]), "TBD")</f>
        <v>2.8</v>
      </c>
      <c r="G725" s="177">
        <f>IFERROR(_xlfn.STDEV.P(Data[[#This Row],[alappatjoe]:[currydestroyer27]]), "TBD")</f>
        <v>1.3266499161421599</v>
      </c>
      <c r="H725" s="135" t="s">
        <v>1568</v>
      </c>
      <c r="I725" s="229" t="s">
        <v>1569</v>
      </c>
      <c r="J725" s="3">
        <v>3</v>
      </c>
      <c r="K725" s="101">
        <v>3</v>
      </c>
      <c r="L725" s="3">
        <v>1</v>
      </c>
      <c r="M725" s="3">
        <v>2</v>
      </c>
      <c r="N725" s="3">
        <v>5</v>
      </c>
      <c r="O725" s="238"/>
      <c r="P725" s="234"/>
      <c r="Q725" s="93"/>
      <c r="R7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25" s="93">
        <v>1</v>
      </c>
      <c r="T725" s="93" t="b">
        <f>Data[[#This Row],[Day Rank]]=Data[[#This Row],[W Rank]]</f>
        <v>0</v>
      </c>
      <c r="U725" s="323"/>
    </row>
    <row r="726" spans="1:21" ht="15" customHeight="1" thickBot="1">
      <c r="A726" s="327"/>
      <c r="B726" s="327"/>
      <c r="C726" s="340"/>
      <c r="D726" s="164">
        <f>D722</f>
        <v>45721</v>
      </c>
      <c r="E726" s="215" t="str">
        <f>$N$1</f>
        <v>currydestroyer27</v>
      </c>
      <c r="F726" s="165">
        <f>IFERROR(AVERAGE(Data[[#This Row],[alappatjoe]:[currydestroyer27]]), "TBD")</f>
        <v>3</v>
      </c>
      <c r="G726" s="256">
        <f>IFERROR(_xlfn.STDEV.P(Data[[#This Row],[alappatjoe]:[currydestroyer27]]), "TBD")</f>
        <v>1.4142135623730951</v>
      </c>
      <c r="H726" s="227" t="s">
        <v>1570</v>
      </c>
      <c r="I726" s="257" t="s">
        <v>1571</v>
      </c>
      <c r="J726" s="166">
        <v>2</v>
      </c>
      <c r="K726" s="166">
        <v>4</v>
      </c>
      <c r="L726" s="166">
        <v>3</v>
      </c>
      <c r="M726" s="166">
        <v>5</v>
      </c>
      <c r="N726" s="166">
        <v>1</v>
      </c>
      <c r="O726" s="242"/>
      <c r="P726" s="237"/>
      <c r="Q726" s="167"/>
      <c r="R7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26" s="167">
        <v>1</v>
      </c>
      <c r="T726" s="167" t="b">
        <f>Data[[#This Row],[Day Rank]]=Data[[#This Row],[W Rank]]</f>
        <v>0</v>
      </c>
      <c r="U726" s="324"/>
    </row>
    <row r="727" spans="1:21" ht="15" customHeight="1">
      <c r="A727" s="325">
        <v>45722</v>
      </c>
      <c r="B727" s="325"/>
      <c r="C727" s="328" t="str" cm="1">
        <f t="array" ref="C727">_xlfn.LET(_xlpm.matches, _xlfn._xlws.FILTER(Data[Poster], (Data[Date]=A727)*(Data[Winner]=TRUE)), IF(ROWS(_xlpm.matches)&gt;1, "TIE", _xlpm.matches))</f>
        <v>samuelbattista</v>
      </c>
      <c r="D727" s="147">
        <f>A727</f>
        <v>45722</v>
      </c>
      <c r="E727" s="181" t="str">
        <f>$J$1</f>
        <v>alappatjoe</v>
      </c>
      <c r="F727" s="9">
        <f>IFERROR(AVERAGE(Data[[#This Row],[alappatjoe]:[currydestroyer27]]), "TBD")</f>
        <v>3.2</v>
      </c>
      <c r="G727" s="178">
        <f>IFERROR(_xlfn.STDEV.P(Data[[#This Row],[alappatjoe]:[currydestroyer27]]), "TBD")</f>
        <v>1.1661903789690602</v>
      </c>
      <c r="H727" s="160" t="s">
        <v>1572</v>
      </c>
      <c r="I727" s="186" t="s">
        <v>1573</v>
      </c>
      <c r="J727" s="3">
        <v>1</v>
      </c>
      <c r="K727" s="3">
        <v>4</v>
      </c>
      <c r="L727" s="3">
        <v>3</v>
      </c>
      <c r="M727" s="3">
        <v>4</v>
      </c>
      <c r="N727" s="3">
        <v>4</v>
      </c>
      <c r="O727" s="238"/>
      <c r="P727" s="234"/>
      <c r="Q727" s="93"/>
      <c r="R7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27" s="93">
        <v>1</v>
      </c>
      <c r="T727" s="93" t="b">
        <f>Data[[#This Row],[Day Rank]]=Data[[#This Row],[W Rank]]</f>
        <v>0</v>
      </c>
      <c r="U727" s="331" t="s">
        <v>1574</v>
      </c>
    </row>
    <row r="728" spans="1:21" ht="15" customHeight="1">
      <c r="A728" s="326"/>
      <c r="B728" s="326"/>
      <c r="C728" s="329"/>
      <c r="D728" s="81">
        <f>D727</f>
        <v>45722</v>
      </c>
      <c r="E728" s="140" t="str">
        <f>$K$1</f>
        <v>danram</v>
      </c>
      <c r="F728" s="8">
        <f>IFERROR(AVERAGE(Data[[#This Row],[alappatjoe]:[currydestroyer27]]), "TBD")</f>
        <v>3.4</v>
      </c>
      <c r="G728" s="177">
        <f>IFERROR(_xlfn.STDEV.P(Data[[#This Row],[alappatjoe]:[currydestroyer27]]), "TBD")</f>
        <v>1.019803902718557</v>
      </c>
      <c r="H728" s="135" t="s">
        <v>1575</v>
      </c>
      <c r="I728" s="229" t="s">
        <v>1576</v>
      </c>
      <c r="J728" s="3">
        <v>5</v>
      </c>
      <c r="K728" s="3">
        <v>2</v>
      </c>
      <c r="L728" s="3">
        <v>4</v>
      </c>
      <c r="M728" s="3">
        <v>3</v>
      </c>
      <c r="N728" s="3">
        <v>3</v>
      </c>
      <c r="O728" s="238"/>
      <c r="P728" s="234"/>
      <c r="Q728" s="93"/>
      <c r="R7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28" s="93">
        <v>1</v>
      </c>
      <c r="T728" s="93" t="b">
        <f>Data[[#This Row],[Day Rank]]=Data[[#This Row],[W Rank]]</f>
        <v>0</v>
      </c>
      <c r="U728" s="323"/>
    </row>
    <row r="729" spans="1:21" ht="15" customHeight="1">
      <c r="A729" s="326"/>
      <c r="B729" s="326"/>
      <c r="C729" s="329"/>
      <c r="D729" s="81">
        <f>D727</f>
        <v>45722</v>
      </c>
      <c r="E729" s="140" t="str">
        <f>$L$1</f>
        <v>loganworsdell</v>
      </c>
      <c r="F729" s="8">
        <f>IFERROR(AVERAGE(Data[[#This Row],[alappatjoe]:[currydestroyer27]]), "TBD")</f>
        <v>4</v>
      </c>
      <c r="G729" s="177">
        <f>IFERROR(_xlfn.STDEV.P(Data[[#This Row],[alappatjoe]:[currydestroyer27]]), "TBD")</f>
        <v>1.5491933384829668</v>
      </c>
      <c r="H729" s="135" t="s">
        <v>1577</v>
      </c>
      <c r="I729" s="229" t="s">
        <v>1578</v>
      </c>
      <c r="J729" s="3">
        <v>4</v>
      </c>
      <c r="K729" s="113">
        <v>5</v>
      </c>
      <c r="L729" s="3">
        <v>1</v>
      </c>
      <c r="M729" s="3">
        <v>5</v>
      </c>
      <c r="N729" s="3">
        <v>5</v>
      </c>
      <c r="O729" s="238"/>
      <c r="P729" s="234"/>
      <c r="Q729" s="93"/>
      <c r="R7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29" s="93">
        <v>1</v>
      </c>
      <c r="T729" s="93" t="b">
        <f>Data[[#This Row],[Day Rank]]=Data[[#This Row],[W Rank]]</f>
        <v>0</v>
      </c>
      <c r="U729" s="323"/>
    </row>
    <row r="730" spans="1:21" ht="15" customHeight="1">
      <c r="A730" s="326"/>
      <c r="B730" s="326"/>
      <c r="C730" s="329"/>
      <c r="D730" s="81">
        <f>D727</f>
        <v>45722</v>
      </c>
      <c r="E730" s="140" t="str">
        <f>$M$1</f>
        <v>samuelbattista</v>
      </c>
      <c r="F730" s="8">
        <f>IFERROR(AVERAGE(Data[[#This Row],[alappatjoe]:[currydestroyer27]]), "TBD")</f>
        <v>2</v>
      </c>
      <c r="G730" s="177">
        <f>IFERROR(_xlfn.STDEV.P(Data[[#This Row],[alappatjoe]:[currydestroyer27]]), "TBD")</f>
        <v>0.63245553203367588</v>
      </c>
      <c r="H730" s="135" t="s">
        <v>1579</v>
      </c>
      <c r="I730" s="229" t="s">
        <v>1580</v>
      </c>
      <c r="J730" s="3">
        <v>2</v>
      </c>
      <c r="K730" s="101">
        <v>3</v>
      </c>
      <c r="L730" s="3">
        <v>2</v>
      </c>
      <c r="M730" s="3">
        <v>1</v>
      </c>
      <c r="N730" s="3">
        <v>2</v>
      </c>
      <c r="O730" s="238"/>
      <c r="P730" s="234"/>
      <c r="Q730" s="93"/>
      <c r="R7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30" s="93">
        <v>1</v>
      </c>
      <c r="T730" s="93" t="b">
        <f>Data[[#This Row],[Day Rank]]=Data[[#This Row],[W Rank]]</f>
        <v>1</v>
      </c>
      <c r="U730" s="323"/>
    </row>
    <row r="731" spans="1:21" ht="15" customHeight="1" thickBot="1">
      <c r="A731" s="327"/>
      <c r="B731" s="327"/>
      <c r="C731" s="330"/>
      <c r="D731" s="164">
        <f>D727</f>
        <v>45722</v>
      </c>
      <c r="E731" s="215" t="str">
        <f>$N$1</f>
        <v>currydestroyer27</v>
      </c>
      <c r="F731" s="165">
        <f>IFERROR(AVERAGE(Data[[#This Row],[alappatjoe]:[currydestroyer27]]), "TBD")</f>
        <v>2.4</v>
      </c>
      <c r="G731" s="256">
        <f>IFERROR(_xlfn.STDEV.P(Data[[#This Row],[alappatjoe]:[currydestroyer27]]), "TBD")</f>
        <v>1.4966629547095767</v>
      </c>
      <c r="H731" s="227" t="s">
        <v>1581</v>
      </c>
      <c r="I731" s="257" t="s">
        <v>1191</v>
      </c>
      <c r="J731" s="166">
        <v>3</v>
      </c>
      <c r="K731" s="166">
        <v>1</v>
      </c>
      <c r="L731" s="166">
        <v>5</v>
      </c>
      <c r="M731" s="166">
        <v>2</v>
      </c>
      <c r="N731" s="166">
        <v>1</v>
      </c>
      <c r="O731" s="242"/>
      <c r="P731" s="237"/>
      <c r="Q731" s="167"/>
      <c r="R73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31" s="167">
        <v>1</v>
      </c>
      <c r="T731" s="167" t="b">
        <f>Data[[#This Row],[Day Rank]]=Data[[#This Row],[W Rank]]</f>
        <v>0</v>
      </c>
      <c r="U731" s="324"/>
    </row>
    <row r="732" spans="1:21" ht="15" customHeight="1">
      <c r="A732" s="325">
        <v>45726</v>
      </c>
      <c r="B732" s="325"/>
      <c r="C732" s="338" t="str" cm="1">
        <f t="array" ref="C732">_xlfn.LET(_xlpm.matches, _xlfn._xlws.FILTER(Data[Poster], (Data[Date]=A732)*(Data[Winner]=TRUE)), IF(ROWS(_xlpm.matches)&gt;1, "TIE", _xlpm.matches))</f>
        <v>alappatjoe</v>
      </c>
      <c r="D732" s="147">
        <f>A732</f>
        <v>45726</v>
      </c>
      <c r="E732" s="181" t="str">
        <f>$J$1</f>
        <v>alappatjoe</v>
      </c>
      <c r="F732" s="9">
        <f>IFERROR(AVERAGE(Data[[#This Row],[alappatjoe]:[currydestroyer27]]), "TBD")</f>
        <v>1.8</v>
      </c>
      <c r="G732" s="178">
        <f>IFERROR(_xlfn.STDEV.P(Data[[#This Row],[alappatjoe]:[currydestroyer27]]), "TBD")</f>
        <v>0.74833147735478833</v>
      </c>
      <c r="H732" s="160" t="s">
        <v>1582</v>
      </c>
      <c r="I732" s="186" t="s">
        <v>1583</v>
      </c>
      <c r="J732" s="3">
        <v>1</v>
      </c>
      <c r="K732" s="3">
        <v>1</v>
      </c>
      <c r="L732" s="3">
        <v>3</v>
      </c>
      <c r="M732" s="3">
        <v>2</v>
      </c>
      <c r="N732" s="3">
        <v>2</v>
      </c>
      <c r="O732" s="238"/>
      <c r="P732" s="234"/>
      <c r="Q732" s="93"/>
      <c r="R7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32" s="93">
        <v>1</v>
      </c>
      <c r="T732" s="93" t="b">
        <f>Data[[#This Row],[Day Rank]]=Data[[#This Row],[W Rank]]</f>
        <v>1</v>
      </c>
      <c r="U732" s="331"/>
    </row>
    <row r="733" spans="1:21" ht="15" customHeight="1">
      <c r="A733" s="326"/>
      <c r="B733" s="326"/>
      <c r="C733" s="339"/>
      <c r="D733" s="81">
        <f>D732</f>
        <v>45726</v>
      </c>
      <c r="E733" s="140" t="str">
        <f>$K$1</f>
        <v>danram</v>
      </c>
      <c r="F733" s="8">
        <f>IFERROR(AVERAGE(Data[[#This Row],[alappatjoe]:[currydestroyer27]]), "TBD")</f>
        <v>3.4</v>
      </c>
      <c r="G733" s="177">
        <f>IFERROR(_xlfn.STDEV.P(Data[[#This Row],[alappatjoe]:[currydestroyer27]]), "TBD")</f>
        <v>0.8</v>
      </c>
      <c r="H733" s="135" t="s">
        <v>1584</v>
      </c>
      <c r="I733" s="229" t="s">
        <v>1585</v>
      </c>
      <c r="J733" s="3">
        <v>4</v>
      </c>
      <c r="K733" s="3">
        <v>2</v>
      </c>
      <c r="L733" s="3">
        <v>4</v>
      </c>
      <c r="M733" s="3">
        <v>4</v>
      </c>
      <c r="N733" s="3">
        <v>3</v>
      </c>
      <c r="O733" s="238"/>
      <c r="P733" s="234"/>
      <c r="Q733" s="93"/>
      <c r="R7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33" s="93">
        <v>1</v>
      </c>
      <c r="T733" s="93" t="b">
        <f>Data[[#This Row],[Day Rank]]=Data[[#This Row],[W Rank]]</f>
        <v>0</v>
      </c>
      <c r="U733" s="323"/>
    </row>
    <row r="734" spans="1:21" ht="15" customHeight="1">
      <c r="A734" s="326"/>
      <c r="B734" s="326"/>
      <c r="C734" s="339"/>
      <c r="D734" s="81">
        <f>D732</f>
        <v>45726</v>
      </c>
      <c r="E734" s="140" t="str">
        <f>$L$1</f>
        <v>loganworsdell</v>
      </c>
      <c r="F734" s="8">
        <f>IFERROR(AVERAGE(Data[[#This Row],[alappatjoe]:[currydestroyer27]]), "TBD")</f>
        <v>3.4</v>
      </c>
      <c r="G734" s="177">
        <f>IFERROR(_xlfn.STDEV.P(Data[[#This Row],[alappatjoe]:[currydestroyer27]]), "TBD")</f>
        <v>1.4966629547095767</v>
      </c>
      <c r="H734" s="135" t="s">
        <v>1586</v>
      </c>
      <c r="I734" s="229" t="s">
        <v>1587</v>
      </c>
      <c r="J734" s="3">
        <v>3</v>
      </c>
      <c r="K734" s="113">
        <v>3</v>
      </c>
      <c r="L734" s="3">
        <v>1</v>
      </c>
      <c r="M734" s="3">
        <v>5</v>
      </c>
      <c r="N734" s="3">
        <v>5</v>
      </c>
      <c r="O734" s="238"/>
      <c r="P734" s="234"/>
      <c r="Q734" s="93"/>
      <c r="R7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34" s="93">
        <v>1</v>
      </c>
      <c r="T734" s="93" t="b">
        <f>Data[[#This Row],[Day Rank]]=Data[[#This Row],[W Rank]]</f>
        <v>0</v>
      </c>
      <c r="U734" s="323"/>
    </row>
    <row r="735" spans="1:21" ht="15" customHeight="1">
      <c r="A735" s="326"/>
      <c r="B735" s="326"/>
      <c r="C735" s="339"/>
      <c r="D735" s="81">
        <f>D732</f>
        <v>45726</v>
      </c>
      <c r="E735" s="140" t="str">
        <f>$M$1</f>
        <v>samuelbattista</v>
      </c>
      <c r="F735" s="8">
        <f>IFERROR(AVERAGE(Data[[#This Row],[alappatjoe]:[currydestroyer27]]), "TBD")</f>
        <v>4</v>
      </c>
      <c r="G735" s="177">
        <f>IFERROR(_xlfn.STDEV.P(Data[[#This Row],[alappatjoe]:[currydestroyer27]]), "TBD")</f>
        <v>1.5491933384829668</v>
      </c>
      <c r="H735" s="135" t="s">
        <v>1588</v>
      </c>
      <c r="I735" s="229" t="s">
        <v>1589</v>
      </c>
      <c r="J735" s="3">
        <v>5</v>
      </c>
      <c r="K735" s="101">
        <v>5</v>
      </c>
      <c r="L735" s="3">
        <v>5</v>
      </c>
      <c r="M735" s="3">
        <v>1</v>
      </c>
      <c r="N735" s="3">
        <v>4</v>
      </c>
      <c r="O735" s="238"/>
      <c r="P735" s="234"/>
      <c r="Q735" s="93"/>
      <c r="R7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35" s="93">
        <v>1</v>
      </c>
      <c r="T735" s="93" t="b">
        <f>Data[[#This Row],[Day Rank]]=Data[[#This Row],[W Rank]]</f>
        <v>0</v>
      </c>
      <c r="U735" s="323"/>
    </row>
    <row r="736" spans="1:21" ht="15" customHeight="1" thickBot="1">
      <c r="A736" s="327"/>
      <c r="B736" s="327"/>
      <c r="C736" s="340"/>
      <c r="D736" s="164">
        <f>D732</f>
        <v>45726</v>
      </c>
      <c r="E736" s="215" t="str">
        <f>$N$1</f>
        <v>currydestroyer27</v>
      </c>
      <c r="F736" s="228">
        <f>IFERROR(AVERAGE(Data[[#This Row],[alappatjoe]:[currydestroyer27]]), "TBD")</f>
        <v>2.4</v>
      </c>
      <c r="G736" s="256">
        <f>IFERROR(_xlfn.STDEV.P(Data[[#This Row],[alappatjoe]:[currydestroyer27]]), "TBD")</f>
        <v>1.019803902718557</v>
      </c>
      <c r="H736" s="227" t="s">
        <v>1590</v>
      </c>
      <c r="I736" s="257" t="s">
        <v>1591</v>
      </c>
      <c r="J736" s="166">
        <v>2</v>
      </c>
      <c r="K736" s="166">
        <v>4</v>
      </c>
      <c r="L736" s="166">
        <v>2</v>
      </c>
      <c r="M736" s="166">
        <v>3</v>
      </c>
      <c r="N736" s="166">
        <v>1</v>
      </c>
      <c r="O736" s="242"/>
      <c r="P736" s="237"/>
      <c r="Q736" s="167"/>
      <c r="R73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36" s="167">
        <v>1</v>
      </c>
      <c r="T736" s="167" t="b">
        <f>Data[[#This Row],[Day Rank]]=Data[[#This Row],[W Rank]]</f>
        <v>0</v>
      </c>
      <c r="U736" s="324"/>
    </row>
    <row r="737" spans="1:21" ht="15" customHeight="1">
      <c r="A737" s="325">
        <v>45727</v>
      </c>
      <c r="B737" s="325"/>
      <c r="C737" s="328" t="str" cm="1">
        <f t="array" ref="C737">_xlfn.LET(_xlpm.matches, _xlfn._xlws.FILTER(Data[Poster], (Data[Date]=A737)*(Data[Winner]=TRUE)), IF(ROWS(_xlpm.matches)&gt;1, "TIE", _xlpm.matches))</f>
        <v>currydestroyer27</v>
      </c>
      <c r="D737" s="147">
        <f>A737</f>
        <v>45727</v>
      </c>
      <c r="E737" s="181" t="str">
        <f>$J$1</f>
        <v>alappatjoe</v>
      </c>
      <c r="F737" s="9">
        <f>IFERROR(AVERAGE(Data[[#This Row],[alappatjoe]:[currydestroyer27]]), "TBD")</f>
        <v>3.8</v>
      </c>
      <c r="G737" s="178">
        <f>IFERROR(_xlfn.STDEV.P(Data[[#This Row],[alappatjoe]:[currydestroyer27]]), "TBD")</f>
        <v>1.6</v>
      </c>
      <c r="H737" s="160" t="s">
        <v>1592</v>
      </c>
      <c r="I737" s="186" t="s">
        <v>1593</v>
      </c>
      <c r="J737" s="3">
        <v>1</v>
      </c>
      <c r="K737" s="3">
        <v>5</v>
      </c>
      <c r="L737" s="3">
        <v>5</v>
      </c>
      <c r="M737" s="3">
        <v>3</v>
      </c>
      <c r="N737" s="3">
        <v>5</v>
      </c>
      <c r="O737" s="238"/>
      <c r="P737" s="234"/>
      <c r="Q737" s="93"/>
      <c r="R7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37" s="93">
        <v>1</v>
      </c>
      <c r="T737" s="93" t="b">
        <f>Data[[#This Row],[Day Rank]]=Data[[#This Row],[W Rank]]</f>
        <v>0</v>
      </c>
      <c r="U737" s="331"/>
    </row>
    <row r="738" spans="1:21" ht="15" customHeight="1">
      <c r="A738" s="326"/>
      <c r="B738" s="326"/>
      <c r="C738" s="329"/>
      <c r="D738" s="81">
        <f>D737</f>
        <v>45727</v>
      </c>
      <c r="E738" s="140" t="str">
        <f>$K$1</f>
        <v>danram</v>
      </c>
      <c r="F738" s="8">
        <f>IFERROR(AVERAGE(Data[[#This Row],[alappatjoe]:[currydestroyer27]]), "TBD")</f>
        <v>3.2</v>
      </c>
      <c r="G738" s="177">
        <f>IFERROR(_xlfn.STDEV.P(Data[[#This Row],[alappatjoe]:[currydestroyer27]]), "TBD")</f>
        <v>1.4696938456699069</v>
      </c>
      <c r="H738" s="135" t="s">
        <v>1594</v>
      </c>
      <c r="I738" s="229" t="s">
        <v>653</v>
      </c>
      <c r="J738" s="3">
        <v>4</v>
      </c>
      <c r="K738" s="3">
        <v>1</v>
      </c>
      <c r="L738" s="3">
        <v>4</v>
      </c>
      <c r="M738" s="3">
        <v>5</v>
      </c>
      <c r="N738" s="3">
        <v>2</v>
      </c>
      <c r="O738" s="238"/>
      <c r="P738" s="234"/>
      <c r="Q738" s="93"/>
      <c r="R7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38" s="93">
        <v>1</v>
      </c>
      <c r="T738" s="93" t="b">
        <f>Data[[#This Row],[Day Rank]]=Data[[#This Row],[W Rank]]</f>
        <v>0</v>
      </c>
      <c r="U738" s="323"/>
    </row>
    <row r="739" spans="1:21" ht="15" customHeight="1">
      <c r="A739" s="326"/>
      <c r="B739" s="326"/>
      <c r="C739" s="329"/>
      <c r="D739" s="81">
        <f>D737</f>
        <v>45727</v>
      </c>
      <c r="E739" s="140" t="str">
        <f>$L$1</f>
        <v>loganworsdell</v>
      </c>
      <c r="F739" s="8">
        <f>IFERROR(AVERAGE(Data[[#This Row],[alappatjoe]:[currydestroyer27]]), "TBD")</f>
        <v>2.4</v>
      </c>
      <c r="G739" s="177">
        <f>IFERROR(_xlfn.STDEV.P(Data[[#This Row],[alappatjoe]:[currydestroyer27]]), "TBD")</f>
        <v>1.019803902718557</v>
      </c>
      <c r="H739" s="135" t="s">
        <v>1595</v>
      </c>
      <c r="I739" s="229" t="s">
        <v>1596</v>
      </c>
      <c r="J739" s="3">
        <v>2</v>
      </c>
      <c r="K739" s="113">
        <v>2</v>
      </c>
      <c r="L739" s="3">
        <v>1</v>
      </c>
      <c r="M739" s="3">
        <v>4</v>
      </c>
      <c r="N739" s="3">
        <v>3</v>
      </c>
      <c r="O739" s="238"/>
      <c r="P739" s="234"/>
      <c r="Q739" s="93"/>
      <c r="R7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39" s="93">
        <v>1</v>
      </c>
      <c r="T739" s="93" t="b">
        <f>Data[[#This Row],[Day Rank]]=Data[[#This Row],[W Rank]]</f>
        <v>0</v>
      </c>
      <c r="U739" s="323"/>
    </row>
    <row r="740" spans="1:21" ht="15" customHeight="1">
      <c r="A740" s="326"/>
      <c r="B740" s="326"/>
      <c r="C740" s="329"/>
      <c r="D740" s="81">
        <f>D737</f>
        <v>45727</v>
      </c>
      <c r="E740" s="140" t="str">
        <f>$M$1</f>
        <v>samuelbattista</v>
      </c>
      <c r="F740" s="8">
        <f>IFERROR(AVERAGE(Data[[#This Row],[alappatjoe]:[currydestroyer27]]), "TBD")</f>
        <v>3.2</v>
      </c>
      <c r="G740" s="177">
        <f>IFERROR(_xlfn.STDEV.P(Data[[#This Row],[alappatjoe]:[currydestroyer27]]), "TBD")</f>
        <v>1.4696938456699069</v>
      </c>
      <c r="H740" s="135" t="s">
        <v>1597</v>
      </c>
      <c r="I740" s="229" t="s">
        <v>1598</v>
      </c>
      <c r="J740" s="3">
        <v>5</v>
      </c>
      <c r="K740" s="101">
        <v>4</v>
      </c>
      <c r="L740" s="3">
        <v>2</v>
      </c>
      <c r="M740" s="3">
        <v>1</v>
      </c>
      <c r="N740" s="3">
        <v>4</v>
      </c>
      <c r="O740" s="238"/>
      <c r="P740" s="234"/>
      <c r="Q740" s="93"/>
      <c r="R7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40" s="93">
        <v>1</v>
      </c>
      <c r="T740" s="93" t="b">
        <f>Data[[#This Row],[Day Rank]]=Data[[#This Row],[W Rank]]</f>
        <v>0</v>
      </c>
      <c r="U740" s="323"/>
    </row>
    <row r="741" spans="1:21" ht="15" customHeight="1" thickBot="1">
      <c r="A741" s="327"/>
      <c r="B741" s="327"/>
      <c r="C741" s="330"/>
      <c r="D741" s="164">
        <f>D737</f>
        <v>45727</v>
      </c>
      <c r="E741" s="215" t="str">
        <f>$N$1</f>
        <v>currydestroyer27</v>
      </c>
      <c r="F741" s="165">
        <f>IFERROR(AVERAGE(Data[[#This Row],[alappatjoe]:[currydestroyer27]]), "TBD")</f>
        <v>2.4</v>
      </c>
      <c r="G741" s="256">
        <f>IFERROR(_xlfn.STDEV.P(Data[[#This Row],[alappatjoe]:[currydestroyer27]]), "TBD")</f>
        <v>0.8</v>
      </c>
      <c r="H741" s="227" t="s">
        <v>1599</v>
      </c>
      <c r="I741" s="257" t="s">
        <v>1600</v>
      </c>
      <c r="J741" s="166">
        <v>3</v>
      </c>
      <c r="K741" s="166">
        <v>3</v>
      </c>
      <c r="L741" s="166">
        <v>3</v>
      </c>
      <c r="M741" s="166">
        <v>2</v>
      </c>
      <c r="N741" s="166">
        <v>1</v>
      </c>
      <c r="O741" s="242"/>
      <c r="P741" s="237"/>
      <c r="Q741" s="167"/>
      <c r="R74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41" s="167">
        <v>1</v>
      </c>
      <c r="T741" s="167" t="b">
        <f>Data[[#This Row],[Day Rank]]=Data[[#This Row],[W Rank]]</f>
        <v>1</v>
      </c>
      <c r="U741" s="324"/>
    </row>
    <row r="742" spans="1:21" ht="15" customHeight="1">
      <c r="A742" s="325">
        <v>45728</v>
      </c>
      <c r="B742" s="325"/>
      <c r="C742" s="338" t="str" cm="1">
        <f t="array" ref="C742">_xlfn.LET(_xlpm.matches, _xlfn._xlws.FILTER(Data[Poster], (Data[Date]=A742)*(Data[Winner]=TRUE)), IF(ROWS(_xlpm.matches)&gt;1, "TIE", _xlpm.matches))</f>
        <v>alappatjoe</v>
      </c>
      <c r="D742" s="147">
        <f>A742</f>
        <v>45728</v>
      </c>
      <c r="E742" s="181" t="str">
        <f>$J$1</f>
        <v>alappatjoe</v>
      </c>
      <c r="F742" s="9">
        <f>IFERROR(AVERAGE(Data[[#This Row],[alappatjoe]:[currydestroyer27]]), "TBD")</f>
        <v>2.2000000000000002</v>
      </c>
      <c r="G742" s="178">
        <f>IFERROR(_xlfn.STDEV.P(Data[[#This Row],[alappatjoe]:[currydestroyer27]]), "TBD")</f>
        <v>0.9797958971132712</v>
      </c>
      <c r="H742" s="160" t="s">
        <v>1601</v>
      </c>
      <c r="I742" s="186" t="s">
        <v>1602</v>
      </c>
      <c r="J742" s="3">
        <v>1</v>
      </c>
      <c r="K742" s="3">
        <v>2</v>
      </c>
      <c r="L742" s="3">
        <v>2</v>
      </c>
      <c r="M742" s="3">
        <v>4</v>
      </c>
      <c r="N742" s="3">
        <v>2</v>
      </c>
      <c r="O742" s="238"/>
      <c r="P742" s="234"/>
      <c r="Q742" s="93"/>
      <c r="R7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42" s="93">
        <v>1</v>
      </c>
      <c r="T742" s="93" t="b">
        <f>Data[[#This Row],[Day Rank]]=Data[[#This Row],[W Rank]]</f>
        <v>1</v>
      </c>
      <c r="U742" s="331"/>
    </row>
    <row r="743" spans="1:21" ht="15" customHeight="1">
      <c r="A743" s="326"/>
      <c r="B743" s="326"/>
      <c r="C743" s="339"/>
      <c r="D743" s="81">
        <f>D742</f>
        <v>45728</v>
      </c>
      <c r="E743" s="140" t="str">
        <f>$K$1</f>
        <v>danram</v>
      </c>
      <c r="F743" s="8">
        <f>IFERROR(AVERAGE(Data[[#This Row],[alappatjoe]:[currydestroyer27]]), "TBD")</f>
        <v>4</v>
      </c>
      <c r="G743" s="177">
        <f>IFERROR(_xlfn.STDEV.P(Data[[#This Row],[alappatjoe]:[currydestroyer27]]), "TBD")</f>
        <v>0.89442719099991586</v>
      </c>
      <c r="H743" s="135" t="s">
        <v>1603</v>
      </c>
      <c r="I743" s="229" t="s">
        <v>1604</v>
      </c>
      <c r="J743" s="3">
        <v>5</v>
      </c>
      <c r="K743" s="3">
        <v>3</v>
      </c>
      <c r="L743" s="3">
        <v>4</v>
      </c>
      <c r="M743" s="3">
        <v>5</v>
      </c>
      <c r="N743" s="3">
        <v>3</v>
      </c>
      <c r="O743" s="238"/>
      <c r="P743" s="234"/>
      <c r="Q743" s="93"/>
      <c r="R7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43" s="93">
        <v>1</v>
      </c>
      <c r="T743" s="93" t="b">
        <f>Data[[#This Row],[Day Rank]]=Data[[#This Row],[W Rank]]</f>
        <v>0</v>
      </c>
      <c r="U743" s="323"/>
    </row>
    <row r="744" spans="1:21" ht="15" customHeight="1">
      <c r="A744" s="326"/>
      <c r="B744" s="326"/>
      <c r="C744" s="339"/>
      <c r="D744" s="81">
        <f>D742</f>
        <v>45728</v>
      </c>
      <c r="E744" s="140" t="str">
        <f>$L$1</f>
        <v>loganworsdell</v>
      </c>
      <c r="F744" s="8">
        <f>IFERROR(AVERAGE(Data[[#This Row],[alappatjoe]:[currydestroyer27]]), "TBD")</f>
        <v>3.2</v>
      </c>
      <c r="G744" s="177">
        <f>IFERROR(_xlfn.STDEV.P(Data[[#This Row],[alappatjoe]:[currydestroyer27]]), "TBD")</f>
        <v>1.4696938456699069</v>
      </c>
      <c r="H744" s="135" t="s">
        <v>1605</v>
      </c>
      <c r="I744" s="229" t="s">
        <v>1606</v>
      </c>
      <c r="J744" s="3">
        <v>4</v>
      </c>
      <c r="K744" s="113">
        <v>4</v>
      </c>
      <c r="L744" s="3">
        <v>1</v>
      </c>
      <c r="M744" s="3">
        <v>2</v>
      </c>
      <c r="N744" s="3">
        <v>5</v>
      </c>
      <c r="O744" s="238"/>
      <c r="P744" s="234"/>
      <c r="Q744" s="93"/>
      <c r="R7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44" s="93">
        <v>1</v>
      </c>
      <c r="T744" s="93" t="b">
        <f>Data[[#This Row],[Day Rank]]=Data[[#This Row],[W Rank]]</f>
        <v>0</v>
      </c>
      <c r="U744" s="323"/>
    </row>
    <row r="745" spans="1:21" ht="15" customHeight="1">
      <c r="A745" s="326"/>
      <c r="B745" s="326"/>
      <c r="C745" s="339"/>
      <c r="D745" s="81">
        <f>D742</f>
        <v>45728</v>
      </c>
      <c r="E745" s="140" t="str">
        <f>$M$1</f>
        <v>samuelbattista</v>
      </c>
      <c r="F745" s="8">
        <f>IFERROR(AVERAGE(Data[[#This Row],[alappatjoe]:[currydestroyer27]]), "TBD")</f>
        <v>3.4</v>
      </c>
      <c r="G745" s="177">
        <f>IFERROR(_xlfn.STDEV.P(Data[[#This Row],[alappatjoe]:[currydestroyer27]]), "TBD")</f>
        <v>1.6248076809271921</v>
      </c>
      <c r="H745" s="135" t="s">
        <v>1607</v>
      </c>
      <c r="I745" s="229" t="s">
        <v>574</v>
      </c>
      <c r="J745" s="3">
        <v>2</v>
      </c>
      <c r="K745" s="101">
        <v>5</v>
      </c>
      <c r="L745" s="3">
        <v>5</v>
      </c>
      <c r="M745" s="3">
        <v>1</v>
      </c>
      <c r="N745" s="3">
        <v>4</v>
      </c>
      <c r="O745" s="238"/>
      <c r="P745" s="234"/>
      <c r="Q745" s="93"/>
      <c r="R7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45" s="93">
        <v>1</v>
      </c>
      <c r="T745" s="93" t="b">
        <f>Data[[#This Row],[Day Rank]]=Data[[#This Row],[W Rank]]</f>
        <v>0</v>
      </c>
      <c r="U745" s="323"/>
    </row>
    <row r="746" spans="1:21" ht="15" customHeight="1" thickBot="1">
      <c r="A746" s="327"/>
      <c r="B746" s="327"/>
      <c r="C746" s="340"/>
      <c r="D746" s="164">
        <f>D742</f>
        <v>45728</v>
      </c>
      <c r="E746" s="215" t="str">
        <f>$N$1</f>
        <v>currydestroyer27</v>
      </c>
      <c r="F746" s="165">
        <f>IFERROR(AVERAGE(Data[[#This Row],[alappatjoe]:[currydestroyer27]]), "TBD")</f>
        <v>2.2000000000000002</v>
      </c>
      <c r="G746" s="256">
        <f>IFERROR(_xlfn.STDEV.P(Data[[#This Row],[alappatjoe]:[currydestroyer27]]), "TBD")</f>
        <v>0.9797958971132712</v>
      </c>
      <c r="H746" s="227" t="s">
        <v>1608</v>
      </c>
      <c r="I746" s="257" t="s">
        <v>1609</v>
      </c>
      <c r="J746" s="166">
        <v>3</v>
      </c>
      <c r="K746" s="166">
        <v>1</v>
      </c>
      <c r="L746" s="166">
        <v>3</v>
      </c>
      <c r="M746" s="166">
        <v>3</v>
      </c>
      <c r="N746" s="166">
        <v>1</v>
      </c>
      <c r="O746" s="242"/>
      <c r="P746" s="237"/>
      <c r="Q746" s="167"/>
      <c r="R74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46" s="167">
        <v>2</v>
      </c>
      <c r="T746" s="167" t="b">
        <f>Data[[#This Row],[Day Rank]]=Data[[#This Row],[W Rank]]</f>
        <v>0</v>
      </c>
      <c r="U746" s="324"/>
    </row>
    <row r="747" spans="1:21" ht="15" customHeight="1">
      <c r="A747" s="325">
        <v>45729</v>
      </c>
      <c r="B747" s="325"/>
      <c r="C747" s="328" t="str" cm="1">
        <f t="array" ref="C747">_xlfn.LET(_xlpm.matches, _xlfn._xlws.FILTER(Data[Poster], (Data[Date]=A747)*(Data[Winner]=TRUE)), IF(ROWS(_xlpm.matches)&gt;1, "TIE", _xlpm.matches))</f>
        <v>danram</v>
      </c>
      <c r="D747" s="147">
        <f>A747</f>
        <v>45729</v>
      </c>
      <c r="E747" s="181" t="str">
        <f>$J$1</f>
        <v>alappatjoe</v>
      </c>
      <c r="F747" s="9">
        <f>IFERROR(AVERAGE(Data[[#This Row],[alappatjoe]:[currydestroyer27]]), "TBD")</f>
        <v>4</v>
      </c>
      <c r="G747" s="178">
        <f>IFERROR(_xlfn.STDEV.P(Data[[#This Row],[alappatjoe]:[currydestroyer27]]), "TBD")</f>
        <v>1.5491933384829668</v>
      </c>
      <c r="H747" s="160" t="s">
        <v>1610</v>
      </c>
      <c r="I747" s="186" t="s">
        <v>252</v>
      </c>
      <c r="J747" s="3">
        <v>1</v>
      </c>
      <c r="K747" s="3">
        <v>5</v>
      </c>
      <c r="L747" s="3">
        <v>5</v>
      </c>
      <c r="M747" s="3">
        <v>4</v>
      </c>
      <c r="N747" s="3">
        <v>5</v>
      </c>
      <c r="O747" s="238"/>
      <c r="P747" s="234"/>
      <c r="Q747" s="93"/>
      <c r="R7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47" s="93">
        <v>1</v>
      </c>
      <c r="T747" s="93" t="b">
        <f>Data[[#This Row],[Day Rank]]=Data[[#This Row],[W Rank]]</f>
        <v>0</v>
      </c>
      <c r="U747" s="331" t="s">
        <v>1611</v>
      </c>
    </row>
    <row r="748" spans="1:21" ht="15" customHeight="1">
      <c r="A748" s="326"/>
      <c r="B748" s="326"/>
      <c r="C748" s="329"/>
      <c r="D748" s="81">
        <f>D747</f>
        <v>45729</v>
      </c>
      <c r="E748" s="140" t="str">
        <f>$K$1</f>
        <v>danram</v>
      </c>
      <c r="F748" s="8">
        <f>IFERROR(AVERAGE(Data[[#This Row],[alappatjoe]:[currydestroyer27]]), "TBD")</f>
        <v>2.2000000000000002</v>
      </c>
      <c r="G748" s="177">
        <f>IFERROR(_xlfn.STDEV.P(Data[[#This Row],[alappatjoe]:[currydestroyer27]]), "TBD")</f>
        <v>0.74833147735478833</v>
      </c>
      <c r="H748" s="135" t="s">
        <v>1612</v>
      </c>
      <c r="I748" s="229" t="s">
        <v>1613</v>
      </c>
      <c r="J748" s="3">
        <v>3</v>
      </c>
      <c r="K748" s="3">
        <v>1</v>
      </c>
      <c r="L748" s="3">
        <v>2</v>
      </c>
      <c r="M748" s="3">
        <v>3</v>
      </c>
      <c r="N748" s="3">
        <v>2</v>
      </c>
      <c r="O748" s="238"/>
      <c r="P748" s="234"/>
      <c r="Q748" s="93"/>
      <c r="R7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48" s="93">
        <v>1</v>
      </c>
      <c r="T748" s="93" t="b">
        <f>Data[[#This Row],[Day Rank]]=Data[[#This Row],[W Rank]]</f>
        <v>1</v>
      </c>
      <c r="U748" s="323"/>
    </row>
    <row r="749" spans="1:21" ht="15" customHeight="1">
      <c r="A749" s="326"/>
      <c r="B749" s="326"/>
      <c r="C749" s="329"/>
      <c r="D749" s="81">
        <f>D747</f>
        <v>45729</v>
      </c>
      <c r="E749" s="140" t="str">
        <f>$L$1</f>
        <v>loganworsdell</v>
      </c>
      <c r="F749" s="8">
        <f>IFERROR(AVERAGE(Data[[#This Row],[alappatjoe]:[currydestroyer27]]), "TBD")</f>
        <v>3</v>
      </c>
      <c r="G749" s="177">
        <f>IFERROR(_xlfn.STDEV.P(Data[[#This Row],[alappatjoe]:[currydestroyer27]]), "TBD")</f>
        <v>0.89442719099991586</v>
      </c>
      <c r="H749" s="135" t="s">
        <v>1614</v>
      </c>
      <c r="I749" s="229" t="s">
        <v>1615</v>
      </c>
      <c r="J749" s="3">
        <v>4</v>
      </c>
      <c r="K749" s="113">
        <v>2</v>
      </c>
      <c r="L749" s="3">
        <v>3</v>
      </c>
      <c r="M749" s="3">
        <v>2</v>
      </c>
      <c r="N749" s="3">
        <v>4</v>
      </c>
      <c r="O749" s="238"/>
      <c r="P749" s="234"/>
      <c r="Q749" s="93"/>
      <c r="R7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49" s="93">
        <v>1</v>
      </c>
      <c r="T749" s="93" t="b">
        <f>Data[[#This Row],[Day Rank]]=Data[[#This Row],[W Rank]]</f>
        <v>0</v>
      </c>
      <c r="U749" s="323"/>
    </row>
    <row r="750" spans="1:21" ht="15" customHeight="1">
      <c r="A750" s="326"/>
      <c r="B750" s="326"/>
      <c r="C750" s="329"/>
      <c r="D750" s="81">
        <f>D747</f>
        <v>45729</v>
      </c>
      <c r="E750" s="140" t="str">
        <f>$M$1</f>
        <v>samuelbattista</v>
      </c>
      <c r="F750" s="8">
        <f>IFERROR(AVERAGE(Data[[#This Row],[alappatjoe]:[currydestroyer27]]), "TBD")</f>
        <v>3.4</v>
      </c>
      <c r="G750" s="177">
        <f>IFERROR(_xlfn.STDEV.P(Data[[#This Row],[alappatjoe]:[currydestroyer27]]), "TBD")</f>
        <v>1.3564659966250536</v>
      </c>
      <c r="H750" s="135" t="s">
        <v>1616</v>
      </c>
      <c r="I750" s="229" t="s">
        <v>1617</v>
      </c>
      <c r="J750" s="3">
        <v>5</v>
      </c>
      <c r="K750" s="101">
        <v>4</v>
      </c>
      <c r="L750" s="3">
        <v>4</v>
      </c>
      <c r="M750" s="3">
        <v>1</v>
      </c>
      <c r="N750" s="3">
        <v>3</v>
      </c>
      <c r="O750" s="238"/>
      <c r="P750" s="234"/>
      <c r="Q750" s="93"/>
      <c r="R7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50" s="93">
        <v>1</v>
      </c>
      <c r="T750" s="93" t="b">
        <f>Data[[#This Row],[Day Rank]]=Data[[#This Row],[W Rank]]</f>
        <v>0</v>
      </c>
      <c r="U750" s="323"/>
    </row>
    <row r="751" spans="1:21" ht="15" customHeight="1" thickBot="1">
      <c r="A751" s="327"/>
      <c r="B751" s="327"/>
      <c r="C751" s="330"/>
      <c r="D751" s="164">
        <f>D747</f>
        <v>45729</v>
      </c>
      <c r="E751" s="215" t="str">
        <f>$N$1</f>
        <v>currydestroyer27</v>
      </c>
      <c r="F751" s="165">
        <f>IFERROR(AVERAGE(Data[[#This Row],[alappatjoe]:[currydestroyer27]]), "TBD")</f>
        <v>2.4</v>
      </c>
      <c r="G751" s="256">
        <f>IFERROR(_xlfn.STDEV.P(Data[[#This Row],[alappatjoe]:[currydestroyer27]]), "TBD")</f>
        <v>1.4966629547095767</v>
      </c>
      <c r="H751" s="227" t="s">
        <v>1618</v>
      </c>
      <c r="I751" s="257" t="s">
        <v>1619</v>
      </c>
      <c r="J751" s="166">
        <v>2</v>
      </c>
      <c r="K751" s="166">
        <v>3</v>
      </c>
      <c r="L751" s="166">
        <v>1</v>
      </c>
      <c r="M751" s="166">
        <v>5</v>
      </c>
      <c r="N751" s="166">
        <v>1</v>
      </c>
      <c r="O751" s="242"/>
      <c r="P751" s="237"/>
      <c r="Q751" s="167"/>
      <c r="R75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51" s="167">
        <v>1</v>
      </c>
      <c r="T751" s="167" t="b">
        <f>Data[[#This Row],[Day Rank]]=Data[[#This Row],[W Rank]]</f>
        <v>0</v>
      </c>
      <c r="U751" s="324"/>
    </row>
    <row r="752" spans="1:21" ht="15" customHeight="1">
      <c r="A752" s="325">
        <v>45733</v>
      </c>
      <c r="B752" s="325"/>
      <c r="C752" s="338" t="str" cm="1">
        <f t="array" ref="C752">_xlfn.LET(_xlpm.matches, _xlfn._xlws.FILTER(Data[Poster], (Data[Date]=A752)*(Data[Winner]=TRUE)), IF(ROWS(_xlpm.matches)&gt;1, "TIE", _xlpm.matches))</f>
        <v>danram</v>
      </c>
      <c r="D752" s="81">
        <f>A752</f>
        <v>45733</v>
      </c>
      <c r="E752" s="140" t="str">
        <f>$J$1</f>
        <v>alappatjoe</v>
      </c>
      <c r="F752" s="8">
        <f>IFERROR(AVERAGE(Data[[#This Row],[alappatjoe]:[currydestroyer27]]), "TBD")</f>
        <v>3.4</v>
      </c>
      <c r="G752" s="177">
        <f>IFERROR(_xlfn.STDEV.P(Data[[#This Row],[alappatjoe]:[currydestroyer27]]), "TBD")</f>
        <v>1.3564659966250536</v>
      </c>
      <c r="H752" s="135" t="s">
        <v>1620</v>
      </c>
      <c r="I752" s="229" t="s">
        <v>1621</v>
      </c>
      <c r="J752" s="3">
        <v>1</v>
      </c>
      <c r="K752" s="3">
        <v>3</v>
      </c>
      <c r="L752" s="3">
        <v>5</v>
      </c>
      <c r="M752" s="3">
        <v>4</v>
      </c>
      <c r="N752" s="3">
        <v>4</v>
      </c>
      <c r="O752" s="238"/>
      <c r="P752" s="234"/>
      <c r="Q752" s="93"/>
      <c r="R7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52" s="93">
        <v>1</v>
      </c>
      <c r="T752" s="93" t="b">
        <f>Data[[#This Row],[Day Rank]]=Data[[#This Row],[W Rank]]</f>
        <v>0</v>
      </c>
      <c r="U752" s="331"/>
    </row>
    <row r="753" spans="1:21" ht="15" customHeight="1">
      <c r="A753" s="326"/>
      <c r="B753" s="326"/>
      <c r="C753" s="339"/>
      <c r="D753" s="81">
        <f>D752</f>
        <v>45733</v>
      </c>
      <c r="E753" s="140" t="str">
        <f>$K$1</f>
        <v>danram</v>
      </c>
      <c r="F753" s="8">
        <f>IFERROR(AVERAGE(Data[[#This Row],[alappatjoe]:[currydestroyer27]]), "TBD")</f>
        <v>2</v>
      </c>
      <c r="G753" s="177">
        <f>IFERROR(_xlfn.STDEV.P(Data[[#This Row],[alappatjoe]:[currydestroyer27]]), "TBD")</f>
        <v>0.89442719099991586</v>
      </c>
      <c r="H753" s="135" t="s">
        <v>1622</v>
      </c>
      <c r="I753" s="229" t="s">
        <v>1061</v>
      </c>
      <c r="J753" s="3">
        <v>3</v>
      </c>
      <c r="K753" s="3">
        <v>1</v>
      </c>
      <c r="L753" s="3">
        <v>1</v>
      </c>
      <c r="M753" s="3">
        <v>2</v>
      </c>
      <c r="N753" s="3">
        <v>3</v>
      </c>
      <c r="O753" s="238"/>
      <c r="P753" s="234"/>
      <c r="Q753" s="93"/>
      <c r="R7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53" s="93">
        <v>1</v>
      </c>
      <c r="T753" s="93" t="b">
        <f>Data[[#This Row],[Day Rank]]=Data[[#This Row],[W Rank]]</f>
        <v>1</v>
      </c>
      <c r="U753" s="323"/>
    </row>
    <row r="754" spans="1:21" ht="15" customHeight="1">
      <c r="A754" s="326"/>
      <c r="B754" s="326"/>
      <c r="C754" s="339"/>
      <c r="D754" s="81">
        <f>D752</f>
        <v>45733</v>
      </c>
      <c r="E754" s="140" t="str">
        <f>$L$1</f>
        <v>loganworsdell</v>
      </c>
      <c r="F754" s="8">
        <f>IFERROR(AVERAGE(Data[[#This Row],[alappatjoe]:[currydestroyer27]]), "TBD")</f>
        <v>2.6</v>
      </c>
      <c r="G754" s="177">
        <f>IFERROR(_xlfn.STDEV.P(Data[[#This Row],[alappatjoe]:[currydestroyer27]]), "TBD")</f>
        <v>0.8</v>
      </c>
      <c r="H754" s="135" t="s">
        <v>1623</v>
      </c>
      <c r="I754" s="229" t="s">
        <v>1624</v>
      </c>
      <c r="J754" s="3">
        <v>4</v>
      </c>
      <c r="K754" s="113">
        <v>2</v>
      </c>
      <c r="L754" s="3">
        <v>2</v>
      </c>
      <c r="M754" s="3">
        <v>3</v>
      </c>
      <c r="N754" s="3">
        <v>2</v>
      </c>
      <c r="O754" s="238"/>
      <c r="P754" s="234"/>
      <c r="Q754" s="93"/>
      <c r="R7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54" s="93">
        <v>1</v>
      </c>
      <c r="T754" s="93" t="b">
        <f>Data[[#This Row],[Day Rank]]=Data[[#This Row],[W Rank]]</f>
        <v>0</v>
      </c>
      <c r="U754" s="323"/>
    </row>
    <row r="755" spans="1:21" ht="15" customHeight="1">
      <c r="A755" s="326"/>
      <c r="B755" s="326"/>
      <c r="C755" s="339"/>
      <c r="D755" s="81">
        <f>D752</f>
        <v>45733</v>
      </c>
      <c r="E755" s="140" t="str">
        <f>$M$1</f>
        <v>samuelbattista</v>
      </c>
      <c r="F755" s="8">
        <f>IFERROR(AVERAGE(Data[[#This Row],[alappatjoe]:[currydestroyer27]]), "TBD")</f>
        <v>3</v>
      </c>
      <c r="G755" s="177">
        <f>IFERROR(_xlfn.STDEV.P(Data[[#This Row],[alappatjoe]:[currydestroyer27]]), "TBD")</f>
        <v>1.4142135623730951</v>
      </c>
      <c r="H755" s="135" t="s">
        <v>1625</v>
      </c>
      <c r="I755" s="229" t="s">
        <v>1626</v>
      </c>
      <c r="J755" s="3">
        <v>2</v>
      </c>
      <c r="K755" s="101">
        <v>4</v>
      </c>
      <c r="L755" s="3">
        <v>3</v>
      </c>
      <c r="M755" s="3">
        <v>1</v>
      </c>
      <c r="N755" s="3">
        <v>5</v>
      </c>
      <c r="O755" s="238"/>
      <c r="P755" s="234"/>
      <c r="Q755" s="93"/>
      <c r="R7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55" s="93">
        <v>1</v>
      </c>
      <c r="T755" s="93" t="b">
        <f>Data[[#This Row],[Day Rank]]=Data[[#This Row],[W Rank]]</f>
        <v>0</v>
      </c>
      <c r="U755" s="323"/>
    </row>
    <row r="756" spans="1:21" ht="15" customHeight="1" thickBot="1">
      <c r="A756" s="327"/>
      <c r="B756" s="327"/>
      <c r="C756" s="340"/>
      <c r="D756" s="164">
        <f>D752</f>
        <v>45733</v>
      </c>
      <c r="E756" s="215" t="str">
        <f>$N$1</f>
        <v>currydestroyer27</v>
      </c>
      <c r="F756" s="165">
        <f>IFERROR(AVERAGE(Data[[#This Row],[alappatjoe]:[currydestroyer27]]), "TBD")</f>
        <v>4</v>
      </c>
      <c r="G756" s="256">
        <f>IFERROR(_xlfn.STDEV.P(Data[[#This Row],[alappatjoe]:[currydestroyer27]]), "TBD")</f>
        <v>1.5491933384829668</v>
      </c>
      <c r="H756" s="227" t="s">
        <v>1627</v>
      </c>
      <c r="I756" s="257" t="s">
        <v>1628</v>
      </c>
      <c r="J756" s="166">
        <v>5</v>
      </c>
      <c r="K756" s="166">
        <v>5</v>
      </c>
      <c r="L756" s="166">
        <v>4</v>
      </c>
      <c r="M756" s="166">
        <v>5</v>
      </c>
      <c r="N756" s="166">
        <v>1</v>
      </c>
      <c r="O756" s="242"/>
      <c r="P756" s="237"/>
      <c r="Q756" s="167"/>
      <c r="R75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56" s="167">
        <v>1</v>
      </c>
      <c r="T756" s="167" t="b">
        <f>Data[[#This Row],[Day Rank]]=Data[[#This Row],[W Rank]]</f>
        <v>0</v>
      </c>
      <c r="U756" s="324"/>
    </row>
    <row r="757" spans="1:21" ht="15" customHeight="1">
      <c r="A757" s="325">
        <v>45734</v>
      </c>
      <c r="B757" s="325"/>
      <c r="C757" s="328" t="str" cm="1">
        <f t="array" ref="C757">_xlfn.LET(_xlpm.matches, _xlfn._xlws.FILTER(Data[Poster], (Data[Date]=A757)*(Data[Winner]=TRUE)), IF(ROWS(_xlpm.matches)&gt;1, "TIE", _xlpm.matches))</f>
        <v>currydestroyer27</v>
      </c>
      <c r="D757" s="147">
        <f>A757</f>
        <v>45734</v>
      </c>
      <c r="E757" s="181" t="str">
        <f>$J$1</f>
        <v>alappatjoe</v>
      </c>
      <c r="F757" s="9">
        <f>IFERROR(AVERAGE(Data[[#This Row],[alappatjoe]:[currydestroyer27]]), "TBD")</f>
        <v>3.2</v>
      </c>
      <c r="G757" s="178">
        <f>IFERROR(_xlfn.STDEV.P(Data[[#This Row],[alappatjoe]:[currydestroyer27]]), "TBD")</f>
        <v>1.3266499161421599</v>
      </c>
      <c r="H757" s="160" t="s">
        <v>1629</v>
      </c>
      <c r="I757" s="186" t="s">
        <v>1630</v>
      </c>
      <c r="J757" s="3">
        <v>1</v>
      </c>
      <c r="K757" s="3">
        <v>4</v>
      </c>
      <c r="L757" s="3">
        <v>3</v>
      </c>
      <c r="M757" s="3">
        <v>5</v>
      </c>
      <c r="N757" s="3">
        <v>3</v>
      </c>
      <c r="O757" s="238"/>
      <c r="P757" s="234"/>
      <c r="Q757" s="93"/>
      <c r="R7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57" s="93">
        <v>1</v>
      </c>
      <c r="T757" s="93" t="b">
        <f>Data[[#This Row],[Day Rank]]=Data[[#This Row],[W Rank]]</f>
        <v>0</v>
      </c>
      <c r="U757" s="331"/>
    </row>
    <row r="758" spans="1:21" ht="15" customHeight="1">
      <c r="A758" s="326"/>
      <c r="B758" s="326"/>
      <c r="C758" s="329"/>
      <c r="D758" s="81">
        <f>D757</f>
        <v>45734</v>
      </c>
      <c r="E758" s="140" t="str">
        <f>$K$1</f>
        <v>danram</v>
      </c>
      <c r="F758" s="8">
        <f>IFERROR(AVERAGE(Data[[#This Row],[alappatjoe]:[currydestroyer27]]), "TBD")</f>
        <v>3</v>
      </c>
      <c r="G758" s="177">
        <f>IFERROR(_xlfn.STDEV.P(Data[[#This Row],[alappatjoe]:[currydestroyer27]]), "TBD")</f>
        <v>1.4142135623730951</v>
      </c>
      <c r="H758" s="135" t="s">
        <v>1631</v>
      </c>
      <c r="I758" s="229" t="s">
        <v>582</v>
      </c>
      <c r="J758" s="3">
        <v>5</v>
      </c>
      <c r="K758" s="3">
        <v>1</v>
      </c>
      <c r="L758" s="3">
        <v>4</v>
      </c>
      <c r="M758" s="3">
        <v>3</v>
      </c>
      <c r="N758" s="3">
        <v>2</v>
      </c>
      <c r="O758" s="238"/>
      <c r="P758" s="234"/>
      <c r="Q758" s="93"/>
      <c r="R7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58" s="93">
        <v>1</v>
      </c>
      <c r="T758" s="93" t="b">
        <f>Data[[#This Row],[Day Rank]]=Data[[#This Row],[W Rank]]</f>
        <v>0</v>
      </c>
      <c r="U758" s="323"/>
    </row>
    <row r="759" spans="1:21" ht="15" customHeight="1">
      <c r="A759" s="326"/>
      <c r="B759" s="326"/>
      <c r="C759" s="329"/>
      <c r="D759" s="81">
        <f>D757</f>
        <v>45734</v>
      </c>
      <c r="E759" s="140" t="str">
        <f>$L$1</f>
        <v>loganworsdell</v>
      </c>
      <c r="F759" s="8">
        <f>IFERROR(AVERAGE(Data[[#This Row],[alappatjoe]:[currydestroyer27]]), "TBD")</f>
        <v>2.6</v>
      </c>
      <c r="G759" s="177">
        <f>IFERROR(_xlfn.STDEV.P(Data[[#This Row],[alappatjoe]:[currydestroyer27]]), "TBD")</f>
        <v>1.2</v>
      </c>
      <c r="H759" s="135" t="s">
        <v>1632</v>
      </c>
      <c r="I759" s="229" t="s">
        <v>1633</v>
      </c>
      <c r="J759" s="3">
        <v>4</v>
      </c>
      <c r="K759" s="113">
        <v>2</v>
      </c>
      <c r="L759" s="3">
        <v>1</v>
      </c>
      <c r="M759" s="3">
        <v>2</v>
      </c>
      <c r="N759" s="3">
        <v>4</v>
      </c>
      <c r="O759" s="238"/>
      <c r="P759" s="234"/>
      <c r="Q759" s="93"/>
      <c r="R7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59" s="93">
        <v>1</v>
      </c>
      <c r="T759" s="93" t="b">
        <f>Data[[#This Row],[Day Rank]]=Data[[#This Row],[W Rank]]</f>
        <v>0</v>
      </c>
      <c r="U759" s="323"/>
    </row>
    <row r="760" spans="1:21" ht="15" customHeight="1">
      <c r="A760" s="326"/>
      <c r="B760" s="326"/>
      <c r="C760" s="329"/>
      <c r="D760" s="81">
        <f>D757</f>
        <v>45734</v>
      </c>
      <c r="E760" s="140" t="str">
        <f>$M$1</f>
        <v>samuelbattista</v>
      </c>
      <c r="F760" s="8">
        <f>IFERROR(AVERAGE(Data[[#This Row],[alappatjoe]:[currydestroyer27]]), "TBD")</f>
        <v>3.8</v>
      </c>
      <c r="G760" s="177">
        <f>IFERROR(_xlfn.STDEV.P(Data[[#This Row],[alappatjoe]:[currydestroyer27]]), "TBD")</f>
        <v>1.6</v>
      </c>
      <c r="H760" s="135" t="s">
        <v>1634</v>
      </c>
      <c r="I760" s="229" t="s">
        <v>117</v>
      </c>
      <c r="J760" s="3">
        <v>3</v>
      </c>
      <c r="K760" s="101">
        <v>5</v>
      </c>
      <c r="L760" s="3">
        <v>5</v>
      </c>
      <c r="M760" s="3">
        <v>1</v>
      </c>
      <c r="N760" s="3">
        <v>5</v>
      </c>
      <c r="O760" s="238"/>
      <c r="P760" s="234"/>
      <c r="Q760" s="93"/>
      <c r="R7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60" s="93">
        <v>1</v>
      </c>
      <c r="T760" s="93" t="b">
        <f>Data[[#This Row],[Day Rank]]=Data[[#This Row],[W Rank]]</f>
        <v>0</v>
      </c>
      <c r="U760" s="323"/>
    </row>
    <row r="761" spans="1:21" ht="15" customHeight="1" thickBot="1">
      <c r="A761" s="327"/>
      <c r="B761" s="327"/>
      <c r="C761" s="330"/>
      <c r="D761" s="164">
        <f>D757</f>
        <v>45734</v>
      </c>
      <c r="E761" s="215" t="str">
        <f>$N$1</f>
        <v>currydestroyer27</v>
      </c>
      <c r="F761" s="165">
        <f>IFERROR(AVERAGE(Data[[#This Row],[alappatjoe]:[currydestroyer27]]), "TBD")</f>
        <v>2.4</v>
      </c>
      <c r="G761" s="256">
        <f>IFERROR(_xlfn.STDEV.P(Data[[#This Row],[alappatjoe]:[currydestroyer27]]), "TBD")</f>
        <v>1.019803902718557</v>
      </c>
      <c r="H761" s="227" t="s">
        <v>1635</v>
      </c>
      <c r="I761" s="257" t="s">
        <v>1171</v>
      </c>
      <c r="J761" s="166">
        <v>2</v>
      </c>
      <c r="K761" s="166">
        <v>3</v>
      </c>
      <c r="L761" s="166">
        <v>2</v>
      </c>
      <c r="M761" s="166">
        <v>4</v>
      </c>
      <c r="N761" s="166">
        <v>1</v>
      </c>
      <c r="O761" s="242"/>
      <c r="P761" s="237"/>
      <c r="Q761" s="167"/>
      <c r="R76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61" s="167">
        <v>1</v>
      </c>
      <c r="T761" s="167" t="b">
        <f>Data[[#This Row],[Day Rank]]=Data[[#This Row],[W Rank]]</f>
        <v>1</v>
      </c>
      <c r="U761" s="324"/>
    </row>
    <row r="762" spans="1:21" ht="15" customHeight="1">
      <c r="A762" s="325">
        <v>45735</v>
      </c>
      <c r="B762" s="325"/>
      <c r="C762" s="338" t="str" cm="1">
        <f t="array" ref="C762">_xlfn.LET(_xlpm.matches, _xlfn._xlws.FILTER(Data[Poster], (Data[Date]=A762)*(Data[Winner]=TRUE)), IF(ROWS(_xlpm.matches)&gt;1, "TIE", _xlpm.matches))</f>
        <v>currydestroyer27</v>
      </c>
      <c r="D762" s="147">
        <f>A762</f>
        <v>45735</v>
      </c>
      <c r="E762" s="181" t="str">
        <f>$J$1</f>
        <v>alappatjoe</v>
      </c>
      <c r="F762" s="9">
        <f>IFERROR(AVERAGE(Data[[#This Row],[alappatjoe]:[currydestroyer27]]), "TBD")</f>
        <v>3.6</v>
      </c>
      <c r="G762" s="178">
        <f>IFERROR(_xlfn.STDEV.P(Data[[#This Row],[alappatjoe]:[currydestroyer27]]), "TBD")</f>
        <v>1.3564659966250536</v>
      </c>
      <c r="H762" s="160" t="s">
        <v>1636</v>
      </c>
      <c r="I762" s="186" t="s">
        <v>1637</v>
      </c>
      <c r="J762" s="3">
        <v>1</v>
      </c>
      <c r="K762" s="3">
        <v>4</v>
      </c>
      <c r="L762" s="3">
        <v>4</v>
      </c>
      <c r="M762" s="3">
        <v>5</v>
      </c>
      <c r="N762" s="3">
        <v>4</v>
      </c>
      <c r="O762" s="238"/>
      <c r="P762" s="234"/>
      <c r="Q762" s="93"/>
      <c r="R7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62" s="93">
        <v>1</v>
      </c>
      <c r="T762" s="93" t="b">
        <f>Data[[#This Row],[Day Rank]]=Data[[#This Row],[W Rank]]</f>
        <v>0</v>
      </c>
      <c r="U762" s="331"/>
    </row>
    <row r="763" spans="1:21" ht="15" customHeight="1">
      <c r="A763" s="326"/>
      <c r="B763" s="326"/>
      <c r="C763" s="339"/>
      <c r="D763" s="81">
        <f>D762</f>
        <v>45735</v>
      </c>
      <c r="E763" s="140" t="str">
        <f>$K$1</f>
        <v>danram</v>
      </c>
      <c r="F763" s="8">
        <f>IFERROR(AVERAGE(Data[[#This Row],[alappatjoe]:[currydestroyer27]]), "TBD")</f>
        <v>3.2</v>
      </c>
      <c r="G763" s="177">
        <f>IFERROR(_xlfn.STDEV.P(Data[[#This Row],[alappatjoe]:[currydestroyer27]]), "TBD")</f>
        <v>1.4696938456699069</v>
      </c>
      <c r="H763" s="135" t="s">
        <v>1638</v>
      </c>
      <c r="I763" s="229" t="s">
        <v>616</v>
      </c>
      <c r="J763" s="3">
        <v>4</v>
      </c>
      <c r="K763" s="3">
        <v>1</v>
      </c>
      <c r="L763" s="3">
        <v>5</v>
      </c>
      <c r="M763" s="3">
        <v>4</v>
      </c>
      <c r="N763" s="3">
        <v>2</v>
      </c>
      <c r="O763" s="238"/>
      <c r="P763" s="234"/>
      <c r="Q763" s="93"/>
      <c r="R7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63" s="93">
        <v>1</v>
      </c>
      <c r="T763" s="93" t="b">
        <f>Data[[#This Row],[Day Rank]]=Data[[#This Row],[W Rank]]</f>
        <v>0</v>
      </c>
      <c r="U763" s="323"/>
    </row>
    <row r="764" spans="1:21" ht="15" customHeight="1">
      <c r="A764" s="326"/>
      <c r="B764" s="326"/>
      <c r="C764" s="339"/>
      <c r="D764" s="81">
        <f>D762</f>
        <v>45735</v>
      </c>
      <c r="E764" s="140" t="str">
        <f>$L$1</f>
        <v>loganworsdell</v>
      </c>
      <c r="F764" s="8">
        <f>IFERROR(AVERAGE(Data[[#This Row],[alappatjoe]:[currydestroyer27]]), "TBD")</f>
        <v>3.2</v>
      </c>
      <c r="G764" s="177">
        <f>IFERROR(_xlfn.STDEV.P(Data[[#This Row],[alappatjoe]:[currydestroyer27]]), "TBD")</f>
        <v>1.6</v>
      </c>
      <c r="H764" s="135" t="s">
        <v>1639</v>
      </c>
      <c r="I764" s="229" t="s">
        <v>1295</v>
      </c>
      <c r="J764" s="3">
        <v>5</v>
      </c>
      <c r="K764" s="113">
        <v>2</v>
      </c>
      <c r="L764" s="3">
        <v>1</v>
      </c>
      <c r="M764" s="3">
        <v>3</v>
      </c>
      <c r="N764" s="3">
        <v>5</v>
      </c>
      <c r="O764" s="238"/>
      <c r="P764" s="234"/>
      <c r="Q764" s="93"/>
      <c r="R7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64" s="93">
        <v>1</v>
      </c>
      <c r="T764" s="93" t="b">
        <f>Data[[#This Row],[Day Rank]]=Data[[#This Row],[W Rank]]</f>
        <v>0</v>
      </c>
      <c r="U764" s="323"/>
    </row>
    <row r="765" spans="1:21" ht="15" customHeight="1">
      <c r="A765" s="326"/>
      <c r="B765" s="326"/>
      <c r="C765" s="339"/>
      <c r="D765" s="81">
        <f>D762</f>
        <v>45735</v>
      </c>
      <c r="E765" s="140" t="str">
        <f>$M$1</f>
        <v>samuelbattista</v>
      </c>
      <c r="F765" s="8">
        <f>IFERROR(AVERAGE(Data[[#This Row],[alappatjoe]:[currydestroyer27]]), "TBD")</f>
        <v>2.8</v>
      </c>
      <c r="G765" s="177">
        <f>IFERROR(_xlfn.STDEV.P(Data[[#This Row],[alappatjoe]:[currydestroyer27]]), "TBD")</f>
        <v>1.3266499161421599</v>
      </c>
      <c r="H765" s="135" t="s">
        <v>1640</v>
      </c>
      <c r="I765" s="229" t="s">
        <v>1543</v>
      </c>
      <c r="J765" s="3">
        <v>3</v>
      </c>
      <c r="K765" s="101">
        <v>5</v>
      </c>
      <c r="L765" s="3">
        <v>2</v>
      </c>
      <c r="M765" s="3">
        <v>1</v>
      </c>
      <c r="N765" s="3">
        <v>3</v>
      </c>
      <c r="O765" s="238"/>
      <c r="P765" s="234"/>
      <c r="Q765" s="93"/>
      <c r="R7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65" s="93">
        <v>1</v>
      </c>
      <c r="T765" s="93" t="b">
        <f>Data[[#This Row],[Day Rank]]=Data[[#This Row],[W Rank]]</f>
        <v>0</v>
      </c>
      <c r="U765" s="323"/>
    </row>
    <row r="766" spans="1:21" ht="15" customHeight="1" thickBot="1">
      <c r="A766" s="327"/>
      <c r="B766" s="327"/>
      <c r="C766" s="340"/>
      <c r="D766" s="164">
        <f>D762</f>
        <v>45735</v>
      </c>
      <c r="E766" s="215" t="str">
        <f>$N$1</f>
        <v>currydestroyer27</v>
      </c>
      <c r="F766" s="165">
        <f>IFERROR(AVERAGE(Data[[#This Row],[alappatjoe]:[currydestroyer27]]), "TBD")</f>
        <v>2.2000000000000002</v>
      </c>
      <c r="G766" s="256">
        <f>IFERROR(_xlfn.STDEV.P(Data[[#This Row],[alappatjoe]:[currydestroyer27]]), "TBD")</f>
        <v>0.74833147735478833</v>
      </c>
      <c r="H766" s="227" t="s">
        <v>1641</v>
      </c>
      <c r="I766" s="257" t="s">
        <v>1591</v>
      </c>
      <c r="J766" s="166">
        <v>2</v>
      </c>
      <c r="K766" s="166">
        <v>3</v>
      </c>
      <c r="L766" s="166">
        <v>3</v>
      </c>
      <c r="M766" s="166">
        <v>2</v>
      </c>
      <c r="N766" s="166">
        <v>1</v>
      </c>
      <c r="O766" s="242"/>
      <c r="P766" s="237"/>
      <c r="Q766" s="167"/>
      <c r="R76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66" s="167">
        <v>1</v>
      </c>
      <c r="T766" s="167" t="b">
        <f>Data[[#This Row],[Day Rank]]=Data[[#This Row],[W Rank]]</f>
        <v>1</v>
      </c>
      <c r="U766" s="324"/>
    </row>
    <row r="767" spans="1:21" ht="15" customHeight="1">
      <c r="A767" s="325">
        <v>45736</v>
      </c>
      <c r="B767" s="325"/>
      <c r="C767" s="328" t="str" cm="1">
        <f t="array" ref="C767">_xlfn.LET(_xlpm.matches, _xlfn._xlws.FILTER(Data[Poster], (Data[Date]=A767)*(Data[Winner]=TRUE)), IF(ROWS(_xlpm.matches)&gt;1, "TIE", _xlpm.matches))</f>
        <v>currydestroyer27</v>
      </c>
      <c r="D767" s="147">
        <f>A767</f>
        <v>45736</v>
      </c>
      <c r="E767" s="181" t="str">
        <f>$J$1</f>
        <v>alappatjoe</v>
      </c>
      <c r="F767" s="9">
        <f>IFERROR(AVERAGE(Data[[#This Row],[alappatjoe]:[currydestroyer27]]), "TBD")</f>
        <v>2.8</v>
      </c>
      <c r="G767" s="178">
        <f>IFERROR(_xlfn.STDEV.P(Data[[#This Row],[alappatjoe]:[currydestroyer27]]), "TBD")</f>
        <v>0.9797958971132712</v>
      </c>
      <c r="H767" s="160" t="s">
        <v>1642</v>
      </c>
      <c r="I767" s="186" t="s">
        <v>1643</v>
      </c>
      <c r="J767" s="3">
        <v>1</v>
      </c>
      <c r="K767" s="3">
        <v>3</v>
      </c>
      <c r="L767" s="3">
        <v>4</v>
      </c>
      <c r="M767" s="3">
        <v>3</v>
      </c>
      <c r="N767" s="3">
        <v>3</v>
      </c>
      <c r="O767" s="238"/>
      <c r="P767" s="234"/>
      <c r="Q767" s="93"/>
      <c r="R7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67" s="93">
        <v>1</v>
      </c>
      <c r="T767" s="93" t="b">
        <f>Data[[#This Row],[Day Rank]]=Data[[#This Row],[W Rank]]</f>
        <v>0</v>
      </c>
      <c r="U767" s="331" t="s">
        <v>1644</v>
      </c>
    </row>
    <row r="768" spans="1:21" ht="15" customHeight="1">
      <c r="A768" s="326"/>
      <c r="B768" s="326"/>
      <c r="C768" s="329"/>
      <c r="D768" s="81">
        <f>D767</f>
        <v>45736</v>
      </c>
      <c r="E768" s="140" t="str">
        <f>$K$1</f>
        <v>danram</v>
      </c>
      <c r="F768" s="8">
        <f>IFERROR(AVERAGE(Data[[#This Row],[alappatjoe]:[currydestroyer27]]), "TBD")</f>
        <v>2</v>
      </c>
      <c r="G768" s="177">
        <f>IFERROR(_xlfn.STDEV.P(Data[[#This Row],[alappatjoe]:[currydestroyer27]]), "TBD")</f>
        <v>1.0954451150103321</v>
      </c>
      <c r="H768" s="135" t="s">
        <v>1645</v>
      </c>
      <c r="I768" s="229" t="s">
        <v>1646</v>
      </c>
      <c r="J768" s="3">
        <v>2</v>
      </c>
      <c r="K768" s="3">
        <v>1</v>
      </c>
      <c r="L768" s="3">
        <v>1</v>
      </c>
      <c r="M768" s="3">
        <v>4</v>
      </c>
      <c r="N768" s="3">
        <v>2</v>
      </c>
      <c r="O768" s="238"/>
      <c r="P768" s="234"/>
      <c r="Q768" s="93"/>
      <c r="R7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68" s="93">
        <v>1</v>
      </c>
      <c r="T768" s="93" t="b">
        <f>Data[[#This Row],[Day Rank]]=Data[[#This Row],[W Rank]]</f>
        <v>0</v>
      </c>
      <c r="U768" s="323"/>
    </row>
    <row r="769" spans="1:21" ht="15" customHeight="1">
      <c r="A769" s="326"/>
      <c r="B769" s="326"/>
      <c r="C769" s="329"/>
      <c r="D769" s="81">
        <f>D767</f>
        <v>45736</v>
      </c>
      <c r="E769" s="140" t="str">
        <f>$L$1</f>
        <v>loganworsdell</v>
      </c>
      <c r="F769" s="8">
        <f>IFERROR(AVERAGE(Data[[#This Row],[alappatjoe]:[currydestroyer27]]), "TBD")</f>
        <v>5</v>
      </c>
      <c r="G769" s="177">
        <f>IFERROR(_xlfn.STDEV.P(Data[[#This Row],[alappatjoe]:[currydestroyer27]]), "TBD")</f>
        <v>0</v>
      </c>
      <c r="H769" s="135" t="s">
        <v>1647</v>
      </c>
      <c r="I769" s="229" t="s">
        <v>1648</v>
      </c>
      <c r="J769" s="3">
        <v>5</v>
      </c>
      <c r="K769" s="113">
        <v>5</v>
      </c>
      <c r="L769" s="3">
        <v>5</v>
      </c>
      <c r="M769" s="3">
        <v>5</v>
      </c>
      <c r="N769" s="3">
        <v>5</v>
      </c>
      <c r="O769" s="238"/>
      <c r="P769" s="234"/>
      <c r="Q769" s="93"/>
      <c r="R7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69" s="93">
        <v>1</v>
      </c>
      <c r="T769" s="93" t="b">
        <f>Data[[#This Row],[Day Rank]]=Data[[#This Row],[W Rank]]</f>
        <v>0</v>
      </c>
      <c r="U769" s="323"/>
    </row>
    <row r="770" spans="1:21" ht="15" customHeight="1">
      <c r="A770" s="326"/>
      <c r="B770" s="326"/>
      <c r="C770" s="329"/>
      <c r="D770" s="81">
        <f>D767</f>
        <v>45736</v>
      </c>
      <c r="E770" s="140" t="str">
        <f>$M$1</f>
        <v>samuelbattista</v>
      </c>
      <c r="F770" s="8">
        <f>IFERROR(AVERAGE(Data[[#This Row],[alappatjoe]:[currydestroyer27]]), "TBD")</f>
        <v>3.2</v>
      </c>
      <c r="G770" s="177">
        <f>IFERROR(_xlfn.STDEV.P(Data[[#This Row],[alappatjoe]:[currydestroyer27]]), "TBD")</f>
        <v>1.1661903789690602</v>
      </c>
      <c r="H770" s="135" t="s">
        <v>1649</v>
      </c>
      <c r="I770" s="229" t="s">
        <v>195</v>
      </c>
      <c r="J770" s="3">
        <v>4</v>
      </c>
      <c r="K770" s="101">
        <v>4</v>
      </c>
      <c r="L770" s="3">
        <v>3</v>
      </c>
      <c r="M770" s="3">
        <v>1</v>
      </c>
      <c r="N770" s="3">
        <v>4</v>
      </c>
      <c r="O770" s="238"/>
      <c r="P770" s="234"/>
      <c r="Q770" s="93"/>
      <c r="R7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70" s="93">
        <v>1</v>
      </c>
      <c r="T770" s="93" t="b">
        <f>Data[[#This Row],[Day Rank]]=Data[[#This Row],[W Rank]]</f>
        <v>0</v>
      </c>
      <c r="U770" s="323"/>
    </row>
    <row r="771" spans="1:21" ht="15" customHeight="1" thickBot="1">
      <c r="A771" s="327"/>
      <c r="B771" s="327"/>
      <c r="C771" s="330"/>
      <c r="D771" s="164">
        <f>D767</f>
        <v>45736</v>
      </c>
      <c r="E771" s="215" t="str">
        <f>$N$1</f>
        <v>currydestroyer27</v>
      </c>
      <c r="F771" s="165">
        <f>IFERROR(AVERAGE(Data[[#This Row],[alappatjoe]:[currydestroyer27]]), "TBD")</f>
        <v>2</v>
      </c>
      <c r="G771" s="256">
        <f>IFERROR(_xlfn.STDEV.P(Data[[#This Row],[alappatjoe]:[currydestroyer27]]), "TBD")</f>
        <v>0.63245553203367588</v>
      </c>
      <c r="H771" s="227" t="s">
        <v>1650</v>
      </c>
      <c r="I771" s="257" t="s">
        <v>1651</v>
      </c>
      <c r="J771" s="166">
        <v>3</v>
      </c>
      <c r="K771" s="166">
        <v>2</v>
      </c>
      <c r="L771" s="166">
        <v>2</v>
      </c>
      <c r="M771" s="166">
        <v>2</v>
      </c>
      <c r="N771" s="166">
        <v>1</v>
      </c>
      <c r="O771" s="242"/>
      <c r="P771" s="237"/>
      <c r="Q771" s="167"/>
      <c r="R77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71" s="167">
        <v>1</v>
      </c>
      <c r="T771" s="167" t="b">
        <f>Data[[#This Row],[Day Rank]]=Data[[#This Row],[W Rank]]</f>
        <v>1</v>
      </c>
      <c r="U771" s="324"/>
    </row>
    <row r="772" spans="1:21" ht="15" customHeight="1">
      <c r="A772" s="325">
        <v>45740</v>
      </c>
      <c r="B772" s="325"/>
      <c r="C772" s="338" t="str" cm="1">
        <f t="array" ref="C772">_xlfn.LET(_xlpm.matches, _xlfn._xlws.FILTER(Data[Poster], (Data[Date]=A772)*(Data[Winner]=TRUE)), IF(ROWS(_xlpm.matches)&gt;1, "TIE", _xlpm.matches))</f>
        <v>alappatjoe</v>
      </c>
      <c r="D772" s="147">
        <f>A772</f>
        <v>45740</v>
      </c>
      <c r="E772" s="181" t="str">
        <f>$J$1</f>
        <v>alappatjoe</v>
      </c>
      <c r="F772" s="9">
        <f>IFERROR(AVERAGE(Data[[#This Row],[alappatjoe]:[currydestroyer27]]), "TBD")</f>
        <v>2.4</v>
      </c>
      <c r="G772" s="178">
        <f>IFERROR(_xlfn.STDEV.P(Data[[#This Row],[alappatjoe]:[currydestroyer27]]), "TBD")</f>
        <v>1.3564659966250536</v>
      </c>
      <c r="H772" s="160" t="s">
        <v>1652</v>
      </c>
      <c r="I772" s="186" t="s">
        <v>747</v>
      </c>
      <c r="J772" s="3">
        <v>1</v>
      </c>
      <c r="K772" s="3">
        <v>2</v>
      </c>
      <c r="L772" s="3">
        <v>5</v>
      </c>
      <c r="M772" s="3">
        <v>2</v>
      </c>
      <c r="N772" s="3">
        <v>2</v>
      </c>
      <c r="O772" s="238"/>
      <c r="P772" s="234"/>
      <c r="Q772" s="93"/>
      <c r="R7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72" s="93">
        <v>1</v>
      </c>
      <c r="T772" s="93" t="b">
        <f>Data[[#This Row],[Day Rank]]=Data[[#This Row],[W Rank]]</f>
        <v>1</v>
      </c>
      <c r="U772" s="331"/>
    </row>
    <row r="773" spans="1:21" ht="15" customHeight="1">
      <c r="A773" s="326"/>
      <c r="B773" s="326"/>
      <c r="C773" s="339"/>
      <c r="D773" s="81">
        <f>D772</f>
        <v>45740</v>
      </c>
      <c r="E773" s="140" t="str">
        <f>$K$1</f>
        <v>danram</v>
      </c>
      <c r="F773" s="8">
        <f>IFERROR(AVERAGE(Data[[#This Row],[alappatjoe]:[currydestroyer27]]), "TBD")</f>
        <v>2.6</v>
      </c>
      <c r="G773" s="177">
        <f>IFERROR(_xlfn.STDEV.P(Data[[#This Row],[alappatjoe]:[currydestroyer27]]), "TBD")</f>
        <v>1.019803902718557</v>
      </c>
      <c r="H773" s="135" t="s">
        <v>1653</v>
      </c>
      <c r="I773" s="229" t="s">
        <v>1654</v>
      </c>
      <c r="J773" s="3">
        <v>3</v>
      </c>
      <c r="K773" s="3">
        <v>1</v>
      </c>
      <c r="L773" s="3">
        <v>2</v>
      </c>
      <c r="M773" s="3">
        <v>4</v>
      </c>
      <c r="N773" s="3">
        <v>3</v>
      </c>
      <c r="O773" s="238"/>
      <c r="P773" s="234"/>
      <c r="Q773" s="93"/>
      <c r="R7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73" s="93">
        <v>1</v>
      </c>
      <c r="T773" s="93" t="b">
        <f>Data[[#This Row],[Day Rank]]=Data[[#This Row],[W Rank]]</f>
        <v>0</v>
      </c>
      <c r="U773" s="323"/>
    </row>
    <row r="774" spans="1:21" ht="15" customHeight="1">
      <c r="A774" s="326"/>
      <c r="B774" s="326"/>
      <c r="C774" s="339"/>
      <c r="D774" s="81">
        <f>D772</f>
        <v>45740</v>
      </c>
      <c r="E774" s="140" t="str">
        <f>$L$1</f>
        <v>loganworsdell</v>
      </c>
      <c r="F774" s="8">
        <f>IFERROR(AVERAGE(Data[[#This Row],[alappatjoe]:[currydestroyer27]]), "TBD")</f>
        <v>4</v>
      </c>
      <c r="G774" s="177">
        <f>IFERROR(_xlfn.STDEV.P(Data[[#This Row],[alappatjoe]:[currydestroyer27]]), "TBD")</f>
        <v>0.63245553203367588</v>
      </c>
      <c r="H774" s="135" t="s">
        <v>1655</v>
      </c>
      <c r="I774" s="229" t="s">
        <v>1656</v>
      </c>
      <c r="J774" s="3">
        <v>5</v>
      </c>
      <c r="K774" s="113">
        <v>4</v>
      </c>
      <c r="L774" s="3">
        <v>4</v>
      </c>
      <c r="M774" s="3">
        <v>3</v>
      </c>
      <c r="N774" s="3">
        <v>4</v>
      </c>
      <c r="O774" s="238"/>
      <c r="P774" s="234"/>
      <c r="Q774" s="93"/>
      <c r="R7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74" s="93">
        <v>1</v>
      </c>
      <c r="T774" s="93" t="b">
        <f>Data[[#This Row],[Day Rank]]=Data[[#This Row],[W Rank]]</f>
        <v>0</v>
      </c>
      <c r="U774" s="323"/>
    </row>
    <row r="775" spans="1:21" ht="15" customHeight="1">
      <c r="A775" s="326"/>
      <c r="B775" s="326"/>
      <c r="C775" s="339"/>
      <c r="D775" s="81">
        <f>D772</f>
        <v>45740</v>
      </c>
      <c r="E775" s="140" t="str">
        <f>$M$1</f>
        <v>samuelbattista</v>
      </c>
      <c r="F775" s="8">
        <f>IFERROR(AVERAGE(Data[[#This Row],[alappatjoe]:[currydestroyer27]]), "TBD")</f>
        <v>3.2</v>
      </c>
      <c r="G775" s="177">
        <f>IFERROR(_xlfn.STDEV.P(Data[[#This Row],[alappatjoe]:[currydestroyer27]]), "TBD")</f>
        <v>1.833030277982336</v>
      </c>
      <c r="H775" s="135" t="s">
        <v>1657</v>
      </c>
      <c r="I775" s="229" t="s">
        <v>1658</v>
      </c>
      <c r="J775" s="3">
        <v>4</v>
      </c>
      <c r="K775" s="101">
        <v>5</v>
      </c>
      <c r="L775" s="3">
        <v>1</v>
      </c>
      <c r="M775" s="3">
        <v>1</v>
      </c>
      <c r="N775" s="3">
        <v>5</v>
      </c>
      <c r="O775" s="238"/>
      <c r="P775" s="234"/>
      <c r="Q775" s="93"/>
      <c r="R7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75" s="93">
        <v>1</v>
      </c>
      <c r="T775" s="93" t="b">
        <f>Data[[#This Row],[Day Rank]]=Data[[#This Row],[W Rank]]</f>
        <v>0</v>
      </c>
      <c r="U775" s="323"/>
    </row>
    <row r="776" spans="1:21" ht="15" customHeight="1" thickBot="1">
      <c r="A776" s="327"/>
      <c r="B776" s="327"/>
      <c r="C776" s="340"/>
      <c r="D776" s="164">
        <f>D772</f>
        <v>45740</v>
      </c>
      <c r="E776" s="215" t="str">
        <f>$N$1</f>
        <v>currydestroyer27</v>
      </c>
      <c r="F776" s="165">
        <f>IFERROR(AVERAGE(Data[[#This Row],[alappatjoe]:[currydestroyer27]]), "TBD")</f>
        <v>2.8</v>
      </c>
      <c r="G776" s="256">
        <f>IFERROR(_xlfn.STDEV.P(Data[[#This Row],[alappatjoe]:[currydestroyer27]]), "TBD")</f>
        <v>1.3266499161421599</v>
      </c>
      <c r="H776" s="227" t="s">
        <v>1659</v>
      </c>
      <c r="I776" s="257" t="s">
        <v>616</v>
      </c>
      <c r="J776" s="166">
        <v>2</v>
      </c>
      <c r="K776" s="166">
        <v>3</v>
      </c>
      <c r="L776" s="166">
        <v>3</v>
      </c>
      <c r="M776" s="166">
        <v>5</v>
      </c>
      <c r="N776" s="166">
        <v>1</v>
      </c>
      <c r="O776" s="242"/>
      <c r="P776" s="237"/>
      <c r="Q776" s="167"/>
      <c r="R77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76" s="167">
        <v>1</v>
      </c>
      <c r="T776" s="93" t="b">
        <f>Data[[#This Row],[Day Rank]]=Data[[#This Row],[W Rank]]</f>
        <v>0</v>
      </c>
      <c r="U776" s="324"/>
    </row>
    <row r="777" spans="1:21" ht="15" customHeight="1">
      <c r="A777" s="325">
        <v>45741</v>
      </c>
      <c r="B777" s="325"/>
      <c r="C777" s="328" t="str" cm="1">
        <f t="array" ref="C777">_xlfn.LET(_xlpm.matches, _xlfn._xlws.FILTER(Data[Poster], (Data[Date]=A777)*(Data[Winner]=TRUE)), IF(ROWS(_xlpm.matches)&gt;1, "TIE", _xlpm.matches))</f>
        <v>loganworsdell</v>
      </c>
      <c r="D777" s="147">
        <f>A777</f>
        <v>45741</v>
      </c>
      <c r="E777" s="181" t="str">
        <f>$J$1</f>
        <v>alappatjoe</v>
      </c>
      <c r="F777" s="9">
        <f>IFERROR(AVERAGE(Data[[#This Row],[alappatjoe]:[currydestroyer27]]), "TBD")</f>
        <v>2.6</v>
      </c>
      <c r="G777" s="178">
        <f>IFERROR(_xlfn.STDEV.P(Data[[#This Row],[alappatjoe]:[currydestroyer27]]), "TBD")</f>
        <v>1.2</v>
      </c>
      <c r="H777" s="160" t="s">
        <v>1660</v>
      </c>
      <c r="I777" s="186" t="s">
        <v>1661</v>
      </c>
      <c r="J777" s="3">
        <v>1</v>
      </c>
      <c r="K777" s="3">
        <v>4</v>
      </c>
      <c r="L777" s="3">
        <v>4</v>
      </c>
      <c r="M777" s="3">
        <v>2</v>
      </c>
      <c r="N777" s="3">
        <v>2</v>
      </c>
      <c r="O777" s="238"/>
      <c r="P777" s="234"/>
      <c r="Q777" s="93"/>
      <c r="R7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77" s="93">
        <v>1</v>
      </c>
      <c r="T777" s="93" t="b">
        <f>Data[[#This Row],[Day Rank]]=Data[[#This Row],[W Rank]]</f>
        <v>0</v>
      </c>
      <c r="U777" s="331"/>
    </row>
    <row r="778" spans="1:21" ht="15" customHeight="1">
      <c r="A778" s="326"/>
      <c r="B778" s="326"/>
      <c r="C778" s="329"/>
      <c r="D778" s="81">
        <f>D777</f>
        <v>45741</v>
      </c>
      <c r="E778" s="140" t="str">
        <f>$K$1</f>
        <v>danram</v>
      </c>
      <c r="F778" s="8">
        <f>IFERROR(AVERAGE(Data[[#This Row],[alappatjoe]:[currydestroyer27]]), "TBD")</f>
        <v>4.4000000000000004</v>
      </c>
      <c r="G778" s="177">
        <f>IFERROR(_xlfn.STDEV.P(Data[[#This Row],[alappatjoe]:[currydestroyer27]]), "TBD")</f>
        <v>1.2</v>
      </c>
      <c r="H778" s="135" t="s">
        <v>1662</v>
      </c>
      <c r="I778" s="229" t="s">
        <v>1663</v>
      </c>
      <c r="J778" s="3">
        <v>5</v>
      </c>
      <c r="K778" s="3">
        <v>2</v>
      </c>
      <c r="L778" s="3">
        <v>5</v>
      </c>
      <c r="M778" s="3">
        <v>5</v>
      </c>
      <c r="N778" s="3">
        <v>5</v>
      </c>
      <c r="O778" s="238"/>
      <c r="P778" s="234"/>
      <c r="Q778" s="93"/>
      <c r="R7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78" s="93">
        <v>1</v>
      </c>
      <c r="T778" s="93" t="b">
        <f>Data[[#This Row],[Day Rank]]=Data[[#This Row],[W Rank]]</f>
        <v>0</v>
      </c>
      <c r="U778" s="323"/>
    </row>
    <row r="779" spans="1:21" ht="15" customHeight="1">
      <c r="A779" s="326"/>
      <c r="B779" s="326"/>
      <c r="C779" s="329"/>
      <c r="D779" s="81">
        <f>D777</f>
        <v>45741</v>
      </c>
      <c r="E779" s="140" t="str">
        <f>$L$1</f>
        <v>loganworsdell</v>
      </c>
      <c r="F779" s="8">
        <f>IFERROR(AVERAGE(Data[[#This Row],[alappatjoe]:[currydestroyer27]]), "TBD")</f>
        <v>2.2000000000000002</v>
      </c>
      <c r="G779" s="177">
        <f>IFERROR(_xlfn.STDEV.P(Data[[#This Row],[alappatjoe]:[currydestroyer27]]), "TBD")</f>
        <v>1.1661903789690602</v>
      </c>
      <c r="H779" s="135" t="s">
        <v>1664</v>
      </c>
      <c r="I779" s="229" t="s">
        <v>803</v>
      </c>
      <c r="J779" s="3">
        <v>2</v>
      </c>
      <c r="K779" s="113">
        <v>1</v>
      </c>
      <c r="L779" s="3">
        <v>1</v>
      </c>
      <c r="M779" s="3">
        <v>3</v>
      </c>
      <c r="N779" s="3">
        <v>4</v>
      </c>
      <c r="O779" s="238"/>
      <c r="P779" s="234"/>
      <c r="Q779" s="93"/>
      <c r="R7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79" s="93">
        <v>1</v>
      </c>
      <c r="T779" s="93" t="b">
        <f>Data[[#This Row],[Day Rank]]=Data[[#This Row],[W Rank]]</f>
        <v>1</v>
      </c>
      <c r="U779" s="323"/>
    </row>
    <row r="780" spans="1:21" ht="15" customHeight="1">
      <c r="A780" s="326"/>
      <c r="B780" s="326"/>
      <c r="C780" s="329"/>
      <c r="D780" s="81">
        <f>D777</f>
        <v>45741</v>
      </c>
      <c r="E780" s="140" t="str">
        <f>$M$1</f>
        <v>samuelbattista</v>
      </c>
      <c r="F780" s="8">
        <f>IFERROR(AVERAGE(Data[[#This Row],[alappatjoe]:[currydestroyer27]]), "TBD")</f>
        <v>3</v>
      </c>
      <c r="G780" s="177">
        <f>IFERROR(_xlfn.STDEV.P(Data[[#This Row],[alappatjoe]:[currydestroyer27]]), "TBD")</f>
        <v>1.2649110640673518</v>
      </c>
      <c r="H780" s="135" t="s">
        <v>1665</v>
      </c>
      <c r="I780" s="229" t="s">
        <v>1666</v>
      </c>
      <c r="J780" s="3">
        <v>3</v>
      </c>
      <c r="K780" s="101">
        <v>5</v>
      </c>
      <c r="L780" s="3">
        <v>3</v>
      </c>
      <c r="M780" s="3">
        <v>1</v>
      </c>
      <c r="N780" s="3">
        <v>3</v>
      </c>
      <c r="O780" s="238"/>
      <c r="P780" s="234"/>
      <c r="Q780" s="93"/>
      <c r="R7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80" s="93">
        <v>1</v>
      </c>
      <c r="T780" s="93" t="b">
        <f>Data[[#This Row],[Day Rank]]=Data[[#This Row],[W Rank]]</f>
        <v>0</v>
      </c>
      <c r="U780" s="323"/>
    </row>
    <row r="781" spans="1:21" ht="15" customHeight="1" thickBot="1">
      <c r="A781" s="327"/>
      <c r="B781" s="327"/>
      <c r="C781" s="330"/>
      <c r="D781" s="164">
        <f>D777</f>
        <v>45741</v>
      </c>
      <c r="E781" s="215" t="str">
        <f>$N$1</f>
        <v>currydestroyer27</v>
      </c>
      <c r="F781" s="165">
        <f>IFERROR(AVERAGE(Data[[#This Row],[alappatjoe]:[currydestroyer27]]), "TBD")</f>
        <v>2.8</v>
      </c>
      <c r="G781" s="256">
        <f>IFERROR(_xlfn.STDEV.P(Data[[#This Row],[alappatjoe]:[currydestroyer27]]), "TBD")</f>
        <v>1.1661903789690602</v>
      </c>
      <c r="H781" s="227" t="s">
        <v>1667</v>
      </c>
      <c r="I781" s="257" t="s">
        <v>1668</v>
      </c>
      <c r="J781" s="166">
        <v>4</v>
      </c>
      <c r="K781" s="166">
        <v>3</v>
      </c>
      <c r="L781" s="166">
        <v>2</v>
      </c>
      <c r="M781" s="166">
        <v>4</v>
      </c>
      <c r="N781" s="166">
        <v>1</v>
      </c>
      <c r="O781" s="242"/>
      <c r="P781" s="237"/>
      <c r="Q781" s="167"/>
      <c r="R78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81" s="167">
        <v>1</v>
      </c>
      <c r="T781" s="93" t="b">
        <f>Data[[#This Row],[Day Rank]]=Data[[#This Row],[W Rank]]</f>
        <v>0</v>
      </c>
      <c r="U781" s="324"/>
    </row>
    <row r="782" spans="1:21" ht="15" customHeight="1">
      <c r="A782" s="325">
        <v>45742</v>
      </c>
      <c r="B782" s="325"/>
      <c r="C782" s="338" t="str" cm="1">
        <f t="array" ref="C782">_xlfn.LET(_xlpm.matches, _xlfn._xlws.FILTER(Data[Poster], (Data[Date]=A782)*(Data[Winner]=TRUE)), IF(ROWS(_xlpm.matches)&gt;1, "TIE", _xlpm.matches))</f>
        <v>samuelbattista</v>
      </c>
      <c r="D782" s="147">
        <f>A782</f>
        <v>45742</v>
      </c>
      <c r="E782" s="181" t="str">
        <f>$J$1</f>
        <v>alappatjoe</v>
      </c>
      <c r="F782" s="9">
        <f>IFERROR(AVERAGE(Data[[#This Row],[alappatjoe]:[currydestroyer27]]), "TBD")</f>
        <v>3.2</v>
      </c>
      <c r="G782" s="178">
        <f>IFERROR(_xlfn.STDEV.P(Data[[#This Row],[alappatjoe]:[currydestroyer27]]), "TBD")</f>
        <v>1.3266499161421599</v>
      </c>
      <c r="H782" s="160" t="s">
        <v>1669</v>
      </c>
      <c r="I782" s="186" t="s">
        <v>1593</v>
      </c>
      <c r="J782" s="3">
        <v>1</v>
      </c>
      <c r="K782" s="3">
        <v>5</v>
      </c>
      <c r="L782" s="3">
        <v>4</v>
      </c>
      <c r="M782" s="3">
        <v>3</v>
      </c>
      <c r="N782" s="3">
        <v>3</v>
      </c>
      <c r="O782" s="238"/>
      <c r="P782" s="234"/>
      <c r="Q782" s="93"/>
      <c r="R7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82" s="93">
        <v>1</v>
      </c>
      <c r="T782" s="93" t="b">
        <f>Data[[#This Row],[Day Rank]]=Data[[#This Row],[W Rank]]</f>
        <v>0</v>
      </c>
      <c r="U782" s="331"/>
    </row>
    <row r="783" spans="1:21" ht="15" customHeight="1">
      <c r="A783" s="326"/>
      <c r="B783" s="326"/>
      <c r="C783" s="339"/>
      <c r="D783" s="81">
        <f>D782</f>
        <v>45742</v>
      </c>
      <c r="E783" s="140" t="str">
        <f>$K$1</f>
        <v>danram</v>
      </c>
      <c r="F783" s="8">
        <f>IFERROR(AVERAGE(Data[[#This Row],[alappatjoe]:[currydestroyer27]]), "TBD")</f>
        <v>4.2</v>
      </c>
      <c r="G783" s="177">
        <f>IFERROR(_xlfn.STDEV.P(Data[[#This Row],[alappatjoe]:[currydestroyer27]]), "TBD")</f>
        <v>1.1661903789690602</v>
      </c>
      <c r="H783" s="135" t="s">
        <v>1670</v>
      </c>
      <c r="I783" s="229" t="s">
        <v>1671</v>
      </c>
      <c r="J783" s="3">
        <v>5</v>
      </c>
      <c r="K783" s="3">
        <v>2</v>
      </c>
      <c r="L783" s="3">
        <v>5</v>
      </c>
      <c r="M783" s="3">
        <v>5</v>
      </c>
      <c r="N783" s="3">
        <v>4</v>
      </c>
      <c r="O783" s="238"/>
      <c r="P783" s="234"/>
      <c r="Q783" s="93"/>
      <c r="R7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83" s="93">
        <v>1</v>
      </c>
      <c r="T783" s="93" t="b">
        <f>Data[[#This Row],[Day Rank]]=Data[[#This Row],[W Rank]]</f>
        <v>0</v>
      </c>
      <c r="U783" s="323"/>
    </row>
    <row r="784" spans="1:21" ht="15" customHeight="1">
      <c r="A784" s="326"/>
      <c r="B784" s="326"/>
      <c r="C784" s="339"/>
      <c r="D784" s="81">
        <f>D782</f>
        <v>45742</v>
      </c>
      <c r="E784" s="140" t="str">
        <f>$L$1</f>
        <v>loganworsdell</v>
      </c>
      <c r="F784" s="8">
        <f>IFERROR(AVERAGE(Data[[#This Row],[alappatjoe]:[currydestroyer27]]), "TBD")</f>
        <v>3.4</v>
      </c>
      <c r="G784" s="177">
        <f>IFERROR(_xlfn.STDEV.P(Data[[#This Row],[alappatjoe]:[currydestroyer27]]), "TBD")</f>
        <v>1.3564659966250536</v>
      </c>
      <c r="H784" s="135" t="s">
        <v>1672</v>
      </c>
      <c r="I784" s="229" t="s">
        <v>1673</v>
      </c>
      <c r="J784" s="3">
        <v>3</v>
      </c>
      <c r="K784" s="113">
        <v>4</v>
      </c>
      <c r="L784" s="3">
        <v>1</v>
      </c>
      <c r="M784" s="3">
        <v>4</v>
      </c>
      <c r="N784" s="3">
        <v>5</v>
      </c>
      <c r="O784" s="238"/>
      <c r="P784" s="234"/>
      <c r="Q784" s="93"/>
      <c r="R7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84" s="93">
        <v>1</v>
      </c>
      <c r="T784" s="93" t="b">
        <f>Data[[#This Row],[Day Rank]]=Data[[#This Row],[W Rank]]</f>
        <v>0</v>
      </c>
      <c r="U784" s="323"/>
    </row>
    <row r="785" spans="1:21" ht="15" customHeight="1">
      <c r="A785" s="326"/>
      <c r="B785" s="326"/>
      <c r="C785" s="339"/>
      <c r="D785" s="81">
        <f>D782</f>
        <v>45742</v>
      </c>
      <c r="E785" s="140" t="str">
        <f>$M$1</f>
        <v>samuelbattista</v>
      </c>
      <c r="F785" s="8">
        <f>IFERROR(AVERAGE(Data[[#This Row],[alappatjoe]:[currydestroyer27]]), "TBD")</f>
        <v>1.6</v>
      </c>
      <c r="G785" s="177">
        <f>IFERROR(_xlfn.STDEV.P(Data[[#This Row],[alappatjoe]:[currydestroyer27]]), "TBD")</f>
        <v>0.4898979485566356</v>
      </c>
      <c r="H785" s="135" t="s">
        <v>1674</v>
      </c>
      <c r="I785" s="229" t="s">
        <v>1675</v>
      </c>
      <c r="J785" s="3">
        <v>2</v>
      </c>
      <c r="K785" s="101">
        <v>1</v>
      </c>
      <c r="L785" s="3">
        <v>2</v>
      </c>
      <c r="M785" s="3">
        <v>1</v>
      </c>
      <c r="N785" s="3">
        <v>2</v>
      </c>
      <c r="O785" s="238"/>
      <c r="P785" s="234"/>
      <c r="Q785" s="93"/>
      <c r="R7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85" s="93">
        <v>1</v>
      </c>
      <c r="T785" s="93" t="b">
        <f>Data[[#This Row],[Day Rank]]=Data[[#This Row],[W Rank]]</f>
        <v>1</v>
      </c>
      <c r="U785" s="323"/>
    </row>
    <row r="786" spans="1:21" ht="15" customHeight="1" thickBot="1">
      <c r="A786" s="327"/>
      <c r="B786" s="327"/>
      <c r="C786" s="340"/>
      <c r="D786" s="164">
        <f>D782</f>
        <v>45742</v>
      </c>
      <c r="E786" s="215" t="str">
        <f>$N$1</f>
        <v>currydestroyer27</v>
      </c>
      <c r="F786" s="165">
        <f>IFERROR(AVERAGE(Data[[#This Row],[alappatjoe]:[currydestroyer27]]), "TBD")</f>
        <v>2.6</v>
      </c>
      <c r="G786" s="256">
        <f>IFERROR(_xlfn.STDEV.P(Data[[#This Row],[alappatjoe]:[currydestroyer27]]), "TBD")</f>
        <v>1.019803902718557</v>
      </c>
      <c r="H786" s="227" t="s">
        <v>1676</v>
      </c>
      <c r="I786" s="257" t="s">
        <v>1677</v>
      </c>
      <c r="J786" s="166">
        <v>4</v>
      </c>
      <c r="K786" s="166">
        <v>3</v>
      </c>
      <c r="L786" s="166">
        <v>3</v>
      </c>
      <c r="M786" s="166">
        <v>2</v>
      </c>
      <c r="N786" s="166">
        <v>1</v>
      </c>
      <c r="O786" s="242"/>
      <c r="P786" s="237"/>
      <c r="Q786" s="167"/>
      <c r="R78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86" s="167">
        <v>1</v>
      </c>
      <c r="T786" s="93" t="b">
        <f>Data[[#This Row],[Day Rank]]=Data[[#This Row],[W Rank]]</f>
        <v>0</v>
      </c>
      <c r="U786" s="324"/>
    </row>
    <row r="787" spans="1:21" ht="15" customHeight="1">
      <c r="A787" s="325">
        <v>45743</v>
      </c>
      <c r="B787" s="325"/>
      <c r="C787" s="328" t="str" cm="1">
        <f t="array" ref="C787">_xlfn.LET(_xlpm.matches, _xlfn._xlws.FILTER(Data[Poster], (Data[Date]=A787)*(Data[Winner]=TRUE)), IF(ROWS(_xlpm.matches)&gt;1, "TIE", _xlpm.matches))</f>
        <v>alappatjoe</v>
      </c>
      <c r="D787" s="147">
        <f>A787</f>
        <v>45743</v>
      </c>
      <c r="E787" s="181" t="str">
        <f>$J$1</f>
        <v>alappatjoe</v>
      </c>
      <c r="F787" s="9">
        <f>IFERROR(AVERAGE(Data[[#This Row],[alappatjoe]:[currydestroyer27]]), "TBD")</f>
        <v>2</v>
      </c>
      <c r="G787" s="178">
        <f>IFERROR(_xlfn.STDEV.P(Data[[#This Row],[alappatjoe]:[currydestroyer27]]), "TBD")</f>
        <v>0.89442719099991586</v>
      </c>
      <c r="H787" s="160" t="s">
        <v>1678</v>
      </c>
      <c r="I787" s="186" t="s">
        <v>1679</v>
      </c>
      <c r="J787" s="3">
        <v>1</v>
      </c>
      <c r="K787" s="3">
        <v>3</v>
      </c>
      <c r="L787" s="3">
        <v>1</v>
      </c>
      <c r="M787" s="3">
        <v>2</v>
      </c>
      <c r="N787" s="3">
        <v>3</v>
      </c>
      <c r="O787" s="238"/>
      <c r="P787" s="234"/>
      <c r="Q787" s="93"/>
      <c r="R7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87" s="93">
        <v>1</v>
      </c>
      <c r="T787" s="93" t="b">
        <f>Data[[#This Row],[Day Rank]]=Data[[#This Row],[W Rank]]</f>
        <v>1</v>
      </c>
      <c r="U787" s="331" t="s">
        <v>1680</v>
      </c>
    </row>
    <row r="788" spans="1:21" ht="15" customHeight="1">
      <c r="A788" s="326"/>
      <c r="B788" s="326"/>
      <c r="C788" s="329"/>
      <c r="D788" s="81">
        <f>D787</f>
        <v>45743</v>
      </c>
      <c r="E788" s="140" t="str">
        <f>$K$1</f>
        <v>danram</v>
      </c>
      <c r="F788" s="8">
        <f>IFERROR(AVERAGE(Data[[#This Row],[alappatjoe]:[currydestroyer27]]), "TBD")</f>
        <v>2.6</v>
      </c>
      <c r="G788" s="177">
        <f>IFERROR(_xlfn.STDEV.P(Data[[#This Row],[alappatjoe]:[currydestroyer27]]), "TBD")</f>
        <v>1.2</v>
      </c>
      <c r="H788" s="135" t="s">
        <v>1681</v>
      </c>
      <c r="I788" s="229" t="s">
        <v>1682</v>
      </c>
      <c r="J788" s="3">
        <v>2</v>
      </c>
      <c r="K788" s="3">
        <v>1</v>
      </c>
      <c r="L788" s="3">
        <v>4</v>
      </c>
      <c r="M788" s="3">
        <v>4</v>
      </c>
      <c r="N788" s="3">
        <v>2</v>
      </c>
      <c r="O788" s="238"/>
      <c r="P788" s="234"/>
      <c r="Q788" s="93"/>
      <c r="R7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88" s="93">
        <v>1</v>
      </c>
      <c r="T788" s="93" t="b">
        <f>Data[[#This Row],[Day Rank]]=Data[[#This Row],[W Rank]]</f>
        <v>0</v>
      </c>
      <c r="U788" s="323"/>
    </row>
    <row r="789" spans="1:21" ht="15" customHeight="1">
      <c r="A789" s="326"/>
      <c r="B789" s="326"/>
      <c r="C789" s="329"/>
      <c r="D789" s="81">
        <f>D787</f>
        <v>45743</v>
      </c>
      <c r="E789" s="140" t="str">
        <f>$L$1</f>
        <v>loganworsdell</v>
      </c>
      <c r="F789" s="8">
        <f>IFERROR(AVERAGE(Data[[#This Row],[alappatjoe]:[currydestroyer27]]), "TBD")</f>
        <v>4.4000000000000004</v>
      </c>
      <c r="G789" s="177">
        <f>IFERROR(_xlfn.STDEV.P(Data[[#This Row],[alappatjoe]:[currydestroyer27]]), "TBD")</f>
        <v>1.2</v>
      </c>
      <c r="H789" s="135" t="s">
        <v>1683</v>
      </c>
      <c r="I789" s="229" t="s">
        <v>1684</v>
      </c>
      <c r="J789" s="3">
        <v>5</v>
      </c>
      <c r="K789" s="113">
        <v>5</v>
      </c>
      <c r="L789" s="3">
        <v>2</v>
      </c>
      <c r="M789" s="3">
        <v>5</v>
      </c>
      <c r="N789" s="3">
        <v>5</v>
      </c>
      <c r="O789" s="238"/>
      <c r="P789" s="234"/>
      <c r="Q789" s="93"/>
      <c r="R7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89" s="93">
        <v>1</v>
      </c>
      <c r="T789" s="93" t="b">
        <f>Data[[#This Row],[Day Rank]]=Data[[#This Row],[W Rank]]</f>
        <v>0</v>
      </c>
      <c r="U789" s="323"/>
    </row>
    <row r="790" spans="1:21" ht="15" customHeight="1">
      <c r="A790" s="326"/>
      <c r="B790" s="326"/>
      <c r="C790" s="329"/>
      <c r="D790" s="81">
        <f>D787</f>
        <v>45743</v>
      </c>
      <c r="E790" s="140" t="str">
        <f>$M$1</f>
        <v>samuelbattista</v>
      </c>
      <c r="F790" s="8">
        <f>IFERROR(AVERAGE(Data[[#This Row],[alappatjoe]:[currydestroyer27]]), "TBD")</f>
        <v>3.2</v>
      </c>
      <c r="G790" s="177">
        <f>IFERROR(_xlfn.STDEV.P(Data[[#This Row],[alappatjoe]:[currydestroyer27]]), "TBD")</f>
        <v>1.1661903789690602</v>
      </c>
      <c r="H790" s="135" t="s">
        <v>1685</v>
      </c>
      <c r="I790" s="229" t="s">
        <v>1686</v>
      </c>
      <c r="J790" s="3">
        <v>4</v>
      </c>
      <c r="K790" s="101">
        <v>4</v>
      </c>
      <c r="L790" s="3">
        <v>3</v>
      </c>
      <c r="M790" s="3">
        <v>1</v>
      </c>
      <c r="N790" s="3">
        <v>4</v>
      </c>
      <c r="O790" s="238"/>
      <c r="P790" s="234"/>
      <c r="Q790" s="93"/>
      <c r="R7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90" s="93">
        <v>1</v>
      </c>
      <c r="T790" s="93" t="b">
        <f>Data[[#This Row],[Day Rank]]=Data[[#This Row],[W Rank]]</f>
        <v>0</v>
      </c>
      <c r="U790" s="323"/>
    </row>
    <row r="791" spans="1:21" ht="15" customHeight="1" thickBot="1">
      <c r="A791" s="327"/>
      <c r="B791" s="327"/>
      <c r="C791" s="330"/>
      <c r="D791" s="164">
        <f>D787</f>
        <v>45743</v>
      </c>
      <c r="E791" s="215" t="str">
        <f>$N$1</f>
        <v>currydestroyer27</v>
      </c>
      <c r="F791" s="165">
        <f>IFERROR(AVERAGE(Data[[#This Row],[alappatjoe]:[currydestroyer27]]), "TBD")</f>
        <v>2.8</v>
      </c>
      <c r="G791" s="256">
        <f>IFERROR(_xlfn.STDEV.P(Data[[#This Row],[alappatjoe]:[currydestroyer27]]), "TBD")</f>
        <v>1.3266499161421599</v>
      </c>
      <c r="H791" s="227" t="s">
        <v>1687</v>
      </c>
      <c r="I791" s="257" t="s">
        <v>1688</v>
      </c>
      <c r="J791" s="166">
        <v>3</v>
      </c>
      <c r="K791" s="166">
        <v>2</v>
      </c>
      <c r="L791" s="166">
        <v>5</v>
      </c>
      <c r="M791" s="166">
        <v>3</v>
      </c>
      <c r="N791" s="166">
        <v>1</v>
      </c>
      <c r="O791" s="242"/>
      <c r="P791" s="237"/>
      <c r="Q791" s="167"/>
      <c r="R79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91" s="167">
        <v>1</v>
      </c>
      <c r="T791" s="93" t="b">
        <f>Data[[#This Row],[Day Rank]]=Data[[#This Row],[W Rank]]</f>
        <v>0</v>
      </c>
      <c r="U791" s="324"/>
    </row>
    <row r="792" spans="1:21" ht="15" customHeight="1">
      <c r="A792" s="325">
        <v>45747</v>
      </c>
      <c r="B792" s="325"/>
      <c r="C792" s="338" t="str" cm="1">
        <f t="array" ref="C792">_xlfn.LET(_xlpm.matches, _xlfn._xlws.FILTER(Data[Poster], (Data[Date]=A792)*(Data[Winner]=TRUE)), IF(ROWS(_xlpm.matches)&gt;1, "TIE", _xlpm.matches))</f>
        <v>alappatjoe</v>
      </c>
      <c r="D792" s="147">
        <f>A792</f>
        <v>45747</v>
      </c>
      <c r="E792" s="181" t="str">
        <f>$J$1</f>
        <v>alappatjoe</v>
      </c>
      <c r="F792" s="9">
        <f>IFERROR(AVERAGE(Data[[#This Row],[alappatjoe]:[currydestroyer27]]), "TBD")</f>
        <v>2</v>
      </c>
      <c r="G792" s="178">
        <f>IFERROR(_xlfn.STDEV.P(Data[[#This Row],[alappatjoe]:[currydestroyer27]]), "TBD")</f>
        <v>1.2649110640673518</v>
      </c>
      <c r="H792" s="160" t="s">
        <v>1689</v>
      </c>
      <c r="I792" s="186" t="s">
        <v>504</v>
      </c>
      <c r="J792" s="3">
        <v>1</v>
      </c>
      <c r="K792" s="3">
        <v>4</v>
      </c>
      <c r="L792" s="3">
        <v>1</v>
      </c>
      <c r="M792" s="3">
        <v>1</v>
      </c>
      <c r="N792" s="3">
        <v>3</v>
      </c>
      <c r="O792" s="238"/>
      <c r="P792" s="234"/>
      <c r="Q792" s="93"/>
      <c r="R7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92" s="93">
        <v>1</v>
      </c>
      <c r="T792" s="93" t="b">
        <f>Data[[#This Row],[Day Rank]]=Data[[#This Row],[W Rank]]</f>
        <v>1</v>
      </c>
      <c r="U792" s="331"/>
    </row>
    <row r="793" spans="1:21" ht="15" customHeight="1">
      <c r="A793" s="326"/>
      <c r="B793" s="326"/>
      <c r="C793" s="339"/>
      <c r="D793" s="81">
        <f>D792</f>
        <v>45747</v>
      </c>
      <c r="E793" s="140" t="str">
        <f>$K$1</f>
        <v>danram</v>
      </c>
      <c r="F793" s="8">
        <f>IFERROR(AVERAGE(Data[[#This Row],[alappatjoe]:[currydestroyer27]]), "TBD")</f>
        <v>3.6</v>
      </c>
      <c r="G793" s="177">
        <f>IFERROR(_xlfn.STDEV.P(Data[[#This Row],[alappatjoe]:[currydestroyer27]]), "TBD")</f>
        <v>1.3564659966250536</v>
      </c>
      <c r="H793" s="135" t="s">
        <v>1690</v>
      </c>
      <c r="I793" s="229" t="s">
        <v>1691</v>
      </c>
      <c r="J793" s="3">
        <v>4</v>
      </c>
      <c r="K793" s="3">
        <v>1</v>
      </c>
      <c r="L793" s="3">
        <v>5</v>
      </c>
      <c r="M793" s="3">
        <v>4</v>
      </c>
      <c r="N793" s="3">
        <v>4</v>
      </c>
      <c r="O793" s="238"/>
      <c r="P793" s="234"/>
      <c r="Q793" s="93"/>
      <c r="R7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93" s="93">
        <v>1</v>
      </c>
      <c r="T793" s="93" t="b">
        <f>Data[[#This Row],[Day Rank]]=Data[[#This Row],[W Rank]]</f>
        <v>0</v>
      </c>
      <c r="U793" s="323"/>
    </row>
    <row r="794" spans="1:21" ht="15" customHeight="1">
      <c r="A794" s="326"/>
      <c r="B794" s="326"/>
      <c r="C794" s="339"/>
      <c r="D794" s="81">
        <f>D792</f>
        <v>45747</v>
      </c>
      <c r="E794" s="140" t="str">
        <f>$L$1</f>
        <v>loganworsdell</v>
      </c>
      <c r="F794" s="8">
        <f>IFERROR(AVERAGE(Data[[#This Row],[alappatjoe]:[currydestroyer27]]), "TBD")</f>
        <v>2.4</v>
      </c>
      <c r="G794" s="177">
        <f>IFERROR(_xlfn.STDEV.P(Data[[#This Row],[alappatjoe]:[currydestroyer27]]), "TBD")</f>
        <v>0.4898979485566356</v>
      </c>
      <c r="H794" s="135" t="s">
        <v>1692</v>
      </c>
      <c r="I794" s="229" t="s">
        <v>1693</v>
      </c>
      <c r="J794" s="3">
        <v>3</v>
      </c>
      <c r="K794" s="113">
        <v>2</v>
      </c>
      <c r="L794" s="3">
        <v>2</v>
      </c>
      <c r="M794" s="3">
        <v>3</v>
      </c>
      <c r="N794" s="3">
        <v>2</v>
      </c>
      <c r="O794" s="238"/>
      <c r="P794" s="234"/>
      <c r="Q794" s="93"/>
      <c r="R7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794" s="93">
        <v>1</v>
      </c>
      <c r="T794" s="93" t="b">
        <f>Data[[#This Row],[Day Rank]]=Data[[#This Row],[W Rank]]</f>
        <v>0</v>
      </c>
      <c r="U794" s="323"/>
    </row>
    <row r="795" spans="1:21" ht="15" customHeight="1">
      <c r="A795" s="326"/>
      <c r="B795" s="326"/>
      <c r="C795" s="339"/>
      <c r="D795" s="81">
        <f>D792</f>
        <v>45747</v>
      </c>
      <c r="E795" s="140" t="str">
        <f>$M$1</f>
        <v>samuelbattista</v>
      </c>
      <c r="F795" s="8">
        <f>IFERROR(AVERAGE(Data[[#This Row],[alappatjoe]:[currydestroyer27]]), "TBD")</f>
        <v>4.2</v>
      </c>
      <c r="G795" s="177">
        <f>IFERROR(_xlfn.STDEV.P(Data[[#This Row],[alappatjoe]:[currydestroyer27]]), "TBD")</f>
        <v>1.1661903789690602</v>
      </c>
      <c r="H795" s="135" t="s">
        <v>1694</v>
      </c>
      <c r="I795" s="229" t="s">
        <v>1695</v>
      </c>
      <c r="J795" s="3">
        <v>5</v>
      </c>
      <c r="K795" s="101">
        <v>5</v>
      </c>
      <c r="L795" s="3">
        <v>4</v>
      </c>
      <c r="M795" s="3">
        <v>2</v>
      </c>
      <c r="N795" s="3">
        <v>5</v>
      </c>
      <c r="O795" s="238"/>
      <c r="P795" s="234"/>
      <c r="Q795" s="93"/>
      <c r="R7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95" s="93">
        <v>1</v>
      </c>
      <c r="T795" s="93" t="b">
        <f>Data[[#This Row],[Day Rank]]=Data[[#This Row],[W Rank]]</f>
        <v>0</v>
      </c>
      <c r="U795" s="323"/>
    </row>
    <row r="796" spans="1:21" ht="15" customHeight="1" thickBot="1">
      <c r="A796" s="327"/>
      <c r="B796" s="327"/>
      <c r="C796" s="340"/>
      <c r="D796" s="164">
        <f>D792</f>
        <v>45747</v>
      </c>
      <c r="E796" s="215" t="str">
        <f>$N$1</f>
        <v>currydestroyer27</v>
      </c>
      <c r="F796" s="165">
        <f>IFERROR(AVERAGE(Data[[#This Row],[alappatjoe]:[currydestroyer27]]), "TBD")</f>
        <v>2.8</v>
      </c>
      <c r="G796" s="256">
        <f>IFERROR(_xlfn.STDEV.P(Data[[#This Row],[alappatjoe]:[currydestroyer27]]), "TBD")</f>
        <v>1.3266499161421599</v>
      </c>
      <c r="H796" s="227" t="s">
        <v>1696</v>
      </c>
      <c r="I796" s="257" t="s">
        <v>1697</v>
      </c>
      <c r="J796" s="166">
        <v>2</v>
      </c>
      <c r="K796" s="166">
        <v>3</v>
      </c>
      <c r="L796" s="166">
        <v>3</v>
      </c>
      <c r="M796" s="166">
        <v>5</v>
      </c>
      <c r="N796" s="166">
        <v>1</v>
      </c>
      <c r="O796" s="242"/>
      <c r="P796" s="237"/>
      <c r="Q796" s="167"/>
      <c r="R79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796" s="167">
        <v>1</v>
      </c>
      <c r="T796" s="167" t="b">
        <f>Data[[#This Row],[Day Rank]]=Data[[#This Row],[W Rank]]</f>
        <v>0</v>
      </c>
      <c r="U796" s="324"/>
    </row>
    <row r="797" spans="1:21" ht="15" customHeight="1">
      <c r="A797" s="325">
        <v>45748</v>
      </c>
      <c r="B797" s="325"/>
      <c r="C797" s="328" t="str" cm="1">
        <f t="array" ref="C797">_xlfn.LET(_xlpm.matches, _xlfn._xlws.FILTER(Data[Poster], (Data[Date]=A797)*(Data[Winner]=TRUE)), IF(ROWS(_xlpm.matches)&gt;1, "TIE", _xlpm.matches))</f>
        <v>alappatjoe</v>
      </c>
      <c r="D797" s="147">
        <f>A797</f>
        <v>45748</v>
      </c>
      <c r="E797" s="181" t="str">
        <f>$J$1</f>
        <v>alappatjoe</v>
      </c>
      <c r="F797" s="9">
        <f>IFERROR(AVERAGE(Data[[#This Row],[alappatjoe]:[currydestroyer27]]), "TBD")</f>
        <v>2.2000000000000002</v>
      </c>
      <c r="G797" s="178">
        <f>IFERROR(_xlfn.STDEV.P(Data[[#This Row],[alappatjoe]:[currydestroyer27]]), "TBD")</f>
        <v>0.74833147735478833</v>
      </c>
      <c r="H797" s="160" t="s">
        <v>1698</v>
      </c>
      <c r="I797" s="186" t="s">
        <v>1699</v>
      </c>
      <c r="J797" s="3">
        <v>1</v>
      </c>
      <c r="K797" s="3">
        <v>2</v>
      </c>
      <c r="L797" s="3">
        <v>3</v>
      </c>
      <c r="M797" s="3">
        <v>2</v>
      </c>
      <c r="N797" s="3">
        <v>3</v>
      </c>
      <c r="O797" s="238"/>
      <c r="P797" s="234"/>
      <c r="Q797" s="93"/>
      <c r="R7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797" s="93">
        <v>1</v>
      </c>
      <c r="T797" s="93" t="b">
        <f>Data[[#This Row],[Day Rank]]=Data[[#This Row],[W Rank]]</f>
        <v>1</v>
      </c>
      <c r="U797" s="331"/>
    </row>
    <row r="798" spans="1:21" ht="15" customHeight="1">
      <c r="A798" s="326"/>
      <c r="B798" s="326"/>
      <c r="C798" s="329"/>
      <c r="D798" s="81">
        <f>D797</f>
        <v>45748</v>
      </c>
      <c r="E798" s="140" t="str">
        <f>$K$1</f>
        <v>danram</v>
      </c>
      <c r="F798" s="8">
        <f>IFERROR(AVERAGE(Data[[#This Row],[alappatjoe]:[currydestroyer27]]), "TBD")</f>
        <v>3.2</v>
      </c>
      <c r="G798" s="177">
        <f>IFERROR(_xlfn.STDEV.P(Data[[#This Row],[alappatjoe]:[currydestroyer27]]), "TBD")</f>
        <v>1.4696938456699069</v>
      </c>
      <c r="H798" s="135" t="s">
        <v>1700</v>
      </c>
      <c r="I798" s="229" t="s">
        <v>1701</v>
      </c>
      <c r="J798" s="3">
        <v>4</v>
      </c>
      <c r="K798" s="3">
        <v>1</v>
      </c>
      <c r="L798" s="3">
        <v>2</v>
      </c>
      <c r="M798" s="3">
        <v>5</v>
      </c>
      <c r="N798" s="3">
        <v>4</v>
      </c>
      <c r="O798" s="238"/>
      <c r="P798" s="234"/>
      <c r="Q798" s="93"/>
      <c r="R7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798" s="93">
        <v>1</v>
      </c>
      <c r="T798" s="93" t="b">
        <f>Data[[#This Row],[Day Rank]]=Data[[#This Row],[W Rank]]</f>
        <v>0</v>
      </c>
      <c r="U798" s="323"/>
    </row>
    <row r="799" spans="1:21" ht="15" customHeight="1">
      <c r="A799" s="326"/>
      <c r="B799" s="326"/>
      <c r="C799" s="329"/>
      <c r="D799" s="81">
        <f>D797</f>
        <v>45748</v>
      </c>
      <c r="E799" s="140" t="str">
        <f>$L$1</f>
        <v>loganworsdell</v>
      </c>
      <c r="F799" s="8">
        <f>IFERROR(AVERAGE(Data[[#This Row],[alappatjoe]:[currydestroyer27]]), "TBD")</f>
        <v>4.8</v>
      </c>
      <c r="G799" s="177">
        <f>IFERROR(_xlfn.STDEV.P(Data[[#This Row],[alappatjoe]:[currydestroyer27]]), "TBD")</f>
        <v>0.39999999999999997</v>
      </c>
      <c r="H799" s="135" t="s">
        <v>1702</v>
      </c>
      <c r="I799" s="229" t="s">
        <v>1703</v>
      </c>
      <c r="J799" s="3">
        <v>5</v>
      </c>
      <c r="K799" s="113">
        <v>5</v>
      </c>
      <c r="L799" s="3">
        <v>5</v>
      </c>
      <c r="M799" s="3">
        <v>4</v>
      </c>
      <c r="N799" s="3">
        <v>5</v>
      </c>
      <c r="O799" s="238"/>
      <c r="P799" s="234"/>
      <c r="Q799" s="93"/>
      <c r="R7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799" s="93">
        <v>1</v>
      </c>
      <c r="T799" s="93" t="b">
        <f>Data[[#This Row],[Day Rank]]=Data[[#This Row],[W Rank]]</f>
        <v>0</v>
      </c>
      <c r="U799" s="323"/>
    </row>
    <row r="800" spans="1:21" ht="15" customHeight="1">
      <c r="A800" s="326"/>
      <c r="B800" s="326"/>
      <c r="C800" s="329"/>
      <c r="D800" s="81">
        <f>D797</f>
        <v>45748</v>
      </c>
      <c r="E800" s="140" t="str">
        <f>$M$1</f>
        <v>samuelbattista</v>
      </c>
      <c r="F800" s="8">
        <f>IFERROR(AVERAGE(Data[[#This Row],[alappatjoe]:[currydestroyer27]]), "TBD")</f>
        <v>2.6</v>
      </c>
      <c r="G800" s="177">
        <f>IFERROR(_xlfn.STDEV.P(Data[[#This Row],[alappatjoe]:[currydestroyer27]]), "TBD")</f>
        <v>1.2</v>
      </c>
      <c r="H800" s="135" t="s">
        <v>1704</v>
      </c>
      <c r="I800" s="229" t="s">
        <v>1705</v>
      </c>
      <c r="J800" s="3">
        <v>2</v>
      </c>
      <c r="K800" s="101">
        <v>4</v>
      </c>
      <c r="L800" s="3">
        <v>4</v>
      </c>
      <c r="M800" s="3">
        <v>1</v>
      </c>
      <c r="N800" s="3">
        <v>2</v>
      </c>
      <c r="O800" s="238"/>
      <c r="P800" s="234"/>
      <c r="Q800" s="93"/>
      <c r="R8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00" s="93">
        <v>1</v>
      </c>
      <c r="T800" s="93" t="b">
        <f>Data[[#This Row],[Day Rank]]=Data[[#This Row],[W Rank]]</f>
        <v>0</v>
      </c>
      <c r="U800" s="323"/>
    </row>
    <row r="801" spans="1:21" ht="15" customHeight="1" thickBot="1">
      <c r="A801" s="327"/>
      <c r="B801" s="327"/>
      <c r="C801" s="330"/>
      <c r="D801" s="164">
        <f>D797</f>
        <v>45748</v>
      </c>
      <c r="E801" s="215" t="str">
        <f>$N$1</f>
        <v>currydestroyer27</v>
      </c>
      <c r="F801" s="165">
        <f>IFERROR(AVERAGE(Data[[#This Row],[alappatjoe]:[currydestroyer27]]), "TBD")</f>
        <v>2.2000000000000002</v>
      </c>
      <c r="G801" s="256">
        <f>IFERROR(_xlfn.STDEV.P(Data[[#This Row],[alappatjoe]:[currydestroyer27]]), "TBD")</f>
        <v>0.9797958971132712</v>
      </c>
      <c r="H801" s="227" t="s">
        <v>1706</v>
      </c>
      <c r="I801" s="257" t="s">
        <v>1707</v>
      </c>
      <c r="J801" s="166">
        <v>3</v>
      </c>
      <c r="K801" s="166">
        <v>3</v>
      </c>
      <c r="L801" s="166">
        <v>1</v>
      </c>
      <c r="M801" s="166">
        <v>3</v>
      </c>
      <c r="N801" s="166">
        <v>1</v>
      </c>
      <c r="O801" s="242"/>
      <c r="P801" s="237"/>
      <c r="Q801" s="167"/>
      <c r="R80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01" s="167">
        <v>1</v>
      </c>
      <c r="T801" s="167" t="b">
        <f>Data[[#This Row],[Day Rank]]=Data[[#This Row],[W Rank]]</f>
        <v>0</v>
      </c>
      <c r="U801" s="324"/>
    </row>
    <row r="802" spans="1:21" ht="15" customHeight="1">
      <c r="A802" s="325">
        <v>45749</v>
      </c>
      <c r="B802" s="325"/>
      <c r="C802" s="338" t="str" cm="1">
        <f t="array" ref="C802">_xlfn.LET(_xlpm.matches, _xlfn._xlws.FILTER(Data[Poster], (Data[Date]=A802)*(Data[Winner]=TRUE)), IF(ROWS(_xlpm.matches)&gt;1, "TIE", _xlpm.matches))</f>
        <v>currydestroyer27</v>
      </c>
      <c r="D802" s="147">
        <f>A802</f>
        <v>45749</v>
      </c>
      <c r="E802" s="181" t="str">
        <f>$J$1</f>
        <v>alappatjoe</v>
      </c>
      <c r="F802" s="9">
        <f>IFERROR(AVERAGE(Data[[#This Row],[alappatjoe]:[currydestroyer27]]), "TBD")</f>
        <v>4.4000000000000004</v>
      </c>
      <c r="G802" s="178">
        <f>IFERROR(_xlfn.STDEV.P(Data[[#This Row],[alappatjoe]:[currydestroyer27]]), "TBD")</f>
        <v>1.2</v>
      </c>
      <c r="H802" s="160" t="s">
        <v>1708</v>
      </c>
      <c r="I802" s="186" t="s">
        <v>1661</v>
      </c>
      <c r="J802" s="3">
        <v>2</v>
      </c>
      <c r="K802" s="3">
        <v>5</v>
      </c>
      <c r="L802" s="3">
        <v>5</v>
      </c>
      <c r="M802" s="3">
        <v>5</v>
      </c>
      <c r="N802" s="3">
        <v>5</v>
      </c>
      <c r="O802" s="238"/>
      <c r="P802" s="234"/>
      <c r="Q802" s="93"/>
      <c r="R8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02" s="93">
        <v>1</v>
      </c>
      <c r="T802" s="93" t="b">
        <f>Data[[#This Row],[Day Rank]]=Data[[#This Row],[W Rank]]</f>
        <v>0</v>
      </c>
      <c r="U802" s="331"/>
    </row>
    <row r="803" spans="1:21" ht="15" customHeight="1">
      <c r="A803" s="326"/>
      <c r="B803" s="326"/>
      <c r="C803" s="339"/>
      <c r="D803" s="81">
        <f>D802</f>
        <v>45749</v>
      </c>
      <c r="E803" s="140" t="str">
        <f>$K$1</f>
        <v>danram</v>
      </c>
      <c r="F803" s="8">
        <f>IFERROR(AVERAGE(Data[[#This Row],[alappatjoe]:[currydestroyer27]]), "TBD")</f>
        <v>2.6</v>
      </c>
      <c r="G803" s="177">
        <f>IFERROR(_xlfn.STDEV.P(Data[[#This Row],[alappatjoe]:[currydestroyer27]]), "TBD")</f>
        <v>1.3564659966250536</v>
      </c>
      <c r="H803" s="135" t="s">
        <v>1709</v>
      </c>
      <c r="I803" s="229" t="s">
        <v>1710</v>
      </c>
      <c r="J803" s="3">
        <v>5</v>
      </c>
      <c r="K803" s="3">
        <v>1</v>
      </c>
      <c r="L803" s="3">
        <v>2</v>
      </c>
      <c r="M803" s="3">
        <v>2</v>
      </c>
      <c r="N803" s="3">
        <v>3</v>
      </c>
      <c r="O803" s="238"/>
      <c r="P803" s="234"/>
      <c r="Q803" s="93"/>
      <c r="R8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03" s="93">
        <v>1</v>
      </c>
      <c r="T803" s="93" t="b">
        <f>Data[[#This Row],[Day Rank]]=Data[[#This Row],[W Rank]]</f>
        <v>0</v>
      </c>
      <c r="U803" s="323"/>
    </row>
    <row r="804" spans="1:21" ht="15" customHeight="1">
      <c r="A804" s="326"/>
      <c r="B804" s="326"/>
      <c r="C804" s="339"/>
      <c r="D804" s="81">
        <f>D802</f>
        <v>45749</v>
      </c>
      <c r="E804" s="140" t="str">
        <f>$L$1</f>
        <v>loganworsdell</v>
      </c>
      <c r="F804" s="8">
        <f>IFERROR(AVERAGE(Data[[#This Row],[alappatjoe]:[currydestroyer27]]), "TBD")</f>
        <v>2.8</v>
      </c>
      <c r="G804" s="177">
        <f>IFERROR(_xlfn.STDEV.P(Data[[#This Row],[alappatjoe]:[currydestroyer27]]), "TBD")</f>
        <v>0.9797958971132712</v>
      </c>
      <c r="H804" s="135" t="s">
        <v>1711</v>
      </c>
      <c r="I804" s="229" t="s">
        <v>1712</v>
      </c>
      <c r="J804" s="3">
        <v>3</v>
      </c>
      <c r="K804" s="113">
        <v>3</v>
      </c>
      <c r="L804" s="3">
        <v>1</v>
      </c>
      <c r="M804" s="3">
        <v>3</v>
      </c>
      <c r="N804" s="3">
        <v>4</v>
      </c>
      <c r="O804" s="238"/>
      <c r="P804" s="234"/>
      <c r="Q804" s="93"/>
      <c r="R8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04" s="93">
        <v>1</v>
      </c>
      <c r="T804" s="93" t="b">
        <f>Data[[#This Row],[Day Rank]]=Data[[#This Row],[W Rank]]</f>
        <v>0</v>
      </c>
      <c r="U804" s="323"/>
    </row>
    <row r="805" spans="1:21" ht="15" customHeight="1">
      <c r="A805" s="326"/>
      <c r="B805" s="326"/>
      <c r="C805" s="339"/>
      <c r="D805" s="81">
        <f>D802</f>
        <v>45749</v>
      </c>
      <c r="E805" s="140" t="str">
        <f>$M$1</f>
        <v>samuelbattista</v>
      </c>
      <c r="F805" s="8">
        <f>IFERROR(AVERAGE(Data[[#This Row],[alappatjoe]:[currydestroyer27]]), "TBD")</f>
        <v>3</v>
      </c>
      <c r="G805" s="177">
        <f>IFERROR(_xlfn.STDEV.P(Data[[#This Row],[alappatjoe]:[currydestroyer27]]), "TBD")</f>
        <v>1.2649110640673518</v>
      </c>
      <c r="H805" s="135" t="s">
        <v>1713</v>
      </c>
      <c r="I805" s="229" t="s">
        <v>1714</v>
      </c>
      <c r="J805" s="3">
        <v>4</v>
      </c>
      <c r="K805" s="101">
        <v>4</v>
      </c>
      <c r="L805" s="3">
        <v>4</v>
      </c>
      <c r="M805" s="3">
        <v>1</v>
      </c>
      <c r="N805" s="3">
        <v>2</v>
      </c>
      <c r="O805" s="238"/>
      <c r="P805" s="234"/>
      <c r="Q805" s="93"/>
      <c r="R8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05" s="93">
        <v>1</v>
      </c>
      <c r="T805" s="93" t="b">
        <f>Data[[#This Row],[Day Rank]]=Data[[#This Row],[W Rank]]</f>
        <v>0</v>
      </c>
      <c r="U805" s="323"/>
    </row>
    <row r="806" spans="1:21" ht="15" customHeight="1" thickBot="1">
      <c r="A806" s="327"/>
      <c r="B806" s="327"/>
      <c r="C806" s="340"/>
      <c r="D806" s="164">
        <f>D802</f>
        <v>45749</v>
      </c>
      <c r="E806" s="215" t="str">
        <f>$N$1</f>
        <v>currydestroyer27</v>
      </c>
      <c r="F806" s="165">
        <f>IFERROR(AVERAGE(Data[[#This Row],[alappatjoe]:[currydestroyer27]]), "TBD")</f>
        <v>2.2000000000000002</v>
      </c>
      <c r="G806" s="256">
        <f>IFERROR(_xlfn.STDEV.P(Data[[#This Row],[alappatjoe]:[currydestroyer27]]), "TBD")</f>
        <v>1.1661903789690602</v>
      </c>
      <c r="H806" s="227" t="s">
        <v>1715</v>
      </c>
      <c r="I806" s="257" t="s">
        <v>1716</v>
      </c>
      <c r="J806" s="166">
        <v>1</v>
      </c>
      <c r="K806" s="166">
        <v>2</v>
      </c>
      <c r="L806" s="166">
        <v>3</v>
      </c>
      <c r="M806" s="166">
        <v>4</v>
      </c>
      <c r="N806" s="166">
        <v>1</v>
      </c>
      <c r="O806" s="242"/>
      <c r="P806" s="237"/>
      <c r="Q806" s="167"/>
      <c r="R80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06" s="167">
        <v>1</v>
      </c>
      <c r="T806" s="167" t="b">
        <f>Data[[#This Row],[Day Rank]]=Data[[#This Row],[W Rank]]</f>
        <v>1</v>
      </c>
      <c r="U806" s="324"/>
    </row>
    <row r="807" spans="1:21" ht="15" customHeight="1">
      <c r="A807" s="325">
        <v>45750</v>
      </c>
      <c r="B807" s="325"/>
      <c r="C807" s="328" t="str" cm="1">
        <f t="array" ref="C807">_xlfn.LET(_xlpm.matches, _xlfn._xlws.FILTER(Data[Poster], (Data[Date]=A807)*(Data[Winner]=TRUE)), IF(ROWS(_xlpm.matches)&gt;1, "TIE", _xlpm.matches))</f>
        <v>danram</v>
      </c>
      <c r="D807" s="147">
        <f>A807</f>
        <v>45750</v>
      </c>
      <c r="E807" s="181" t="str">
        <f>$J$1</f>
        <v>alappatjoe</v>
      </c>
      <c r="F807" s="9">
        <f>IFERROR(AVERAGE(Data[[#This Row],[alappatjoe]:[currydestroyer27]]), "TBD")</f>
        <v>3</v>
      </c>
      <c r="G807" s="178">
        <f>IFERROR(_xlfn.STDEV.P(Data[[#This Row],[alappatjoe]:[currydestroyer27]]), "TBD")</f>
        <v>1.4142135623730951</v>
      </c>
      <c r="H807" s="160" t="s">
        <v>1717</v>
      </c>
      <c r="I807" s="186" t="s">
        <v>1718</v>
      </c>
      <c r="J807" s="3">
        <v>1</v>
      </c>
      <c r="K807" s="3">
        <v>2</v>
      </c>
      <c r="L807" s="3">
        <v>5</v>
      </c>
      <c r="M807" s="3">
        <v>4</v>
      </c>
      <c r="N807" s="3">
        <v>3</v>
      </c>
      <c r="O807" s="238"/>
      <c r="P807" s="234"/>
      <c r="Q807" s="93"/>
      <c r="R8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07" s="93">
        <v>1</v>
      </c>
      <c r="T807" s="93" t="b">
        <f>Data[[#This Row],[Day Rank]]=Data[[#This Row],[W Rank]]</f>
        <v>0</v>
      </c>
      <c r="U807" s="331" t="s">
        <v>1719</v>
      </c>
    </row>
    <row r="808" spans="1:21" ht="15" customHeight="1">
      <c r="A808" s="326"/>
      <c r="B808" s="326"/>
      <c r="C808" s="329"/>
      <c r="D808" s="81">
        <f>D807</f>
        <v>45750</v>
      </c>
      <c r="E808" s="140" t="str">
        <f>$K$1</f>
        <v>danram</v>
      </c>
      <c r="F808" s="8">
        <f>IFERROR(AVERAGE(Data[[#This Row],[alappatjoe]:[currydestroyer27]]), "TBD")</f>
        <v>2.4</v>
      </c>
      <c r="G808" s="177">
        <f>IFERROR(_xlfn.STDEV.P(Data[[#This Row],[alappatjoe]:[currydestroyer27]]), "TBD")</f>
        <v>1.4966629547095767</v>
      </c>
      <c r="H808" s="135" t="s">
        <v>1720</v>
      </c>
      <c r="I808" s="229" t="s">
        <v>1110</v>
      </c>
      <c r="J808" s="3">
        <v>3</v>
      </c>
      <c r="K808" s="3">
        <v>1</v>
      </c>
      <c r="L808" s="3">
        <v>2</v>
      </c>
      <c r="M808" s="3">
        <v>1</v>
      </c>
      <c r="N808" s="3">
        <v>5</v>
      </c>
      <c r="O808" s="238"/>
      <c r="P808" s="234"/>
      <c r="Q808" s="93"/>
      <c r="R8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08" s="93">
        <v>1</v>
      </c>
      <c r="T808" s="93" t="b">
        <f>Data[[#This Row],[Day Rank]]=Data[[#This Row],[W Rank]]</f>
        <v>1</v>
      </c>
      <c r="U808" s="323"/>
    </row>
    <row r="809" spans="1:21" ht="15" customHeight="1">
      <c r="A809" s="326"/>
      <c r="B809" s="326"/>
      <c r="C809" s="329"/>
      <c r="D809" s="81">
        <f>D807</f>
        <v>45750</v>
      </c>
      <c r="E809" s="140" t="str">
        <f>$L$1</f>
        <v>loganworsdell</v>
      </c>
      <c r="F809" s="8">
        <f>IFERROR(AVERAGE(Data[[#This Row],[alappatjoe]:[currydestroyer27]]), "TBD")</f>
        <v>3.4</v>
      </c>
      <c r="G809" s="177">
        <f>IFERROR(_xlfn.STDEV.P(Data[[#This Row],[alappatjoe]:[currydestroyer27]]), "TBD")</f>
        <v>1.6248076809271921</v>
      </c>
      <c r="H809" s="135" t="s">
        <v>1721</v>
      </c>
      <c r="I809" s="229" t="s">
        <v>1112</v>
      </c>
      <c r="J809" s="3">
        <v>5</v>
      </c>
      <c r="K809" s="113">
        <v>4</v>
      </c>
      <c r="L809" s="3">
        <v>1</v>
      </c>
      <c r="M809" s="3">
        <v>5</v>
      </c>
      <c r="N809" s="3">
        <v>2</v>
      </c>
      <c r="O809" s="238"/>
      <c r="P809" s="234"/>
      <c r="Q809" s="93"/>
      <c r="R8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09" s="93">
        <v>1</v>
      </c>
      <c r="T809" s="93" t="b">
        <f>Data[[#This Row],[Day Rank]]=Data[[#This Row],[W Rank]]</f>
        <v>0</v>
      </c>
      <c r="U809" s="323"/>
    </row>
    <row r="810" spans="1:21" ht="15" customHeight="1">
      <c r="A810" s="326"/>
      <c r="B810" s="326"/>
      <c r="C810" s="329"/>
      <c r="D810" s="81">
        <f>D807</f>
        <v>45750</v>
      </c>
      <c r="E810" s="140" t="str">
        <f>$M$1</f>
        <v>samuelbattista</v>
      </c>
      <c r="F810" s="8">
        <f>IFERROR(AVERAGE(Data[[#This Row],[alappatjoe]:[currydestroyer27]]), "TBD")</f>
        <v>2.8</v>
      </c>
      <c r="G810" s="177">
        <f>IFERROR(_xlfn.STDEV.P(Data[[#This Row],[alappatjoe]:[currydestroyer27]]), "TBD")</f>
        <v>0.74833147735478833</v>
      </c>
      <c r="H810" s="245" t="s">
        <v>1722</v>
      </c>
      <c r="I810" s="229" t="s">
        <v>1110</v>
      </c>
      <c r="J810" s="3">
        <v>2</v>
      </c>
      <c r="K810" s="101">
        <v>3</v>
      </c>
      <c r="L810" s="3">
        <v>3</v>
      </c>
      <c r="M810" s="3">
        <v>2</v>
      </c>
      <c r="N810" s="3">
        <v>4</v>
      </c>
      <c r="O810" s="238"/>
      <c r="P810" s="234"/>
      <c r="Q810" s="93"/>
      <c r="R8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10" s="93">
        <v>1</v>
      </c>
      <c r="T810" s="93" t="b">
        <f>Data[[#This Row],[Day Rank]]=Data[[#This Row],[W Rank]]</f>
        <v>0</v>
      </c>
      <c r="U810" s="323"/>
    </row>
    <row r="811" spans="1:21" ht="15" customHeight="1" thickBot="1">
      <c r="A811" s="327"/>
      <c r="B811" s="327"/>
      <c r="C811" s="330"/>
      <c r="D811" s="164">
        <f>D807</f>
        <v>45750</v>
      </c>
      <c r="E811" s="215" t="str">
        <f>$N$1</f>
        <v>currydestroyer27</v>
      </c>
      <c r="F811" s="165">
        <f>IFERROR(AVERAGE(Data[[#This Row],[alappatjoe]:[currydestroyer27]]), "TBD")</f>
        <v>3.4</v>
      </c>
      <c r="G811" s="256">
        <f>IFERROR(_xlfn.STDEV.P(Data[[#This Row],[alappatjoe]:[currydestroyer27]]), "TBD")</f>
        <v>1.3564659966250536</v>
      </c>
      <c r="H811" s="227" t="s">
        <v>1723</v>
      </c>
      <c r="I811" s="257" t="s">
        <v>1724</v>
      </c>
      <c r="J811" s="166">
        <v>4</v>
      </c>
      <c r="K811" s="166">
        <v>5</v>
      </c>
      <c r="L811" s="166">
        <v>4</v>
      </c>
      <c r="M811" s="166">
        <v>3</v>
      </c>
      <c r="N811" s="166">
        <v>1</v>
      </c>
      <c r="O811" s="242"/>
      <c r="P811" s="237"/>
      <c r="Q811" s="167"/>
      <c r="R8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11" s="167">
        <v>1</v>
      </c>
      <c r="T811" s="167" t="b">
        <f>Data[[#This Row],[Day Rank]]=Data[[#This Row],[W Rank]]</f>
        <v>0</v>
      </c>
      <c r="U811" s="324"/>
    </row>
    <row r="812" spans="1:21" ht="15" customHeight="1">
      <c r="A812" s="325">
        <v>45754</v>
      </c>
      <c r="B812" s="325"/>
      <c r="C812" s="338" t="str" cm="1">
        <f t="array" ref="C812">_xlfn.LET(_xlpm.matches, _xlfn._xlws.FILTER(Data[Poster], (Data[Date]=A812)*(Data[Winner]=TRUE)), IF(ROWS(_xlpm.matches)&gt;1, "TIE", _xlpm.matches))</f>
        <v>samuelbattista</v>
      </c>
      <c r="D812" s="147">
        <f>A812</f>
        <v>45754</v>
      </c>
      <c r="E812" s="181" t="str">
        <f>$J$1</f>
        <v>alappatjoe</v>
      </c>
      <c r="F812" s="9">
        <f>IFERROR(AVERAGE(Data[[#This Row],[alappatjoe]:[currydestroyer27]]), "TBD")</f>
        <v>3</v>
      </c>
      <c r="G812" s="178">
        <f>IFERROR(_xlfn.STDEV.P(Data[[#This Row],[alappatjoe]:[currydestroyer27]]), "TBD")</f>
        <v>1.4142135623730951</v>
      </c>
      <c r="H812" s="160" t="s">
        <v>1725</v>
      </c>
      <c r="I812" s="186" t="s">
        <v>1726</v>
      </c>
      <c r="J812" s="3">
        <v>1</v>
      </c>
      <c r="K812" s="3">
        <v>3</v>
      </c>
      <c r="L812" s="3">
        <v>5</v>
      </c>
      <c r="M812" s="3">
        <v>4</v>
      </c>
      <c r="N812" s="3">
        <v>2</v>
      </c>
      <c r="O812" s="238">
        <v>1435962</v>
      </c>
      <c r="P812" s="234"/>
      <c r="Q812" s="93"/>
      <c r="R8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12" s="93">
        <v>1</v>
      </c>
      <c r="T812" s="93" t="b">
        <f>Data[[#This Row],[Day Rank]]=Data[[#This Row],[W Rank]]</f>
        <v>0</v>
      </c>
      <c r="U812" s="331"/>
    </row>
    <row r="813" spans="1:21" ht="15" customHeight="1">
      <c r="A813" s="326"/>
      <c r="B813" s="326"/>
      <c r="C813" s="339"/>
      <c r="D813" s="81">
        <f>D812</f>
        <v>45754</v>
      </c>
      <c r="E813" s="140" t="str">
        <f>$K$1</f>
        <v>danram</v>
      </c>
      <c r="F813" s="8">
        <f>IFERROR(AVERAGE(Data[[#This Row],[alappatjoe]:[currydestroyer27]]), "TBD")</f>
        <v>3</v>
      </c>
      <c r="G813" s="177">
        <f>IFERROR(_xlfn.STDEV.P(Data[[#This Row],[alappatjoe]:[currydestroyer27]]), "TBD")</f>
        <v>1.4142135623730951</v>
      </c>
      <c r="H813" s="135" t="s">
        <v>1727</v>
      </c>
      <c r="I813" s="229" t="s">
        <v>778</v>
      </c>
      <c r="J813" s="3">
        <v>2</v>
      </c>
      <c r="K813" s="3">
        <v>1</v>
      </c>
      <c r="L813" s="3">
        <v>4</v>
      </c>
      <c r="M813" s="3">
        <v>5</v>
      </c>
      <c r="N813" s="3">
        <v>3</v>
      </c>
      <c r="O813" s="238">
        <v>1592019468</v>
      </c>
      <c r="P813" s="234"/>
      <c r="Q813" s="93"/>
      <c r="R8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13" s="93">
        <v>1</v>
      </c>
      <c r="T813" s="93" t="b">
        <f>Data[[#This Row],[Day Rank]]=Data[[#This Row],[W Rank]]</f>
        <v>0</v>
      </c>
      <c r="U813" s="323"/>
    </row>
    <row r="814" spans="1:21" ht="15" customHeight="1">
      <c r="A814" s="326"/>
      <c r="B814" s="326"/>
      <c r="C814" s="339"/>
      <c r="D814" s="81">
        <f>D812</f>
        <v>45754</v>
      </c>
      <c r="E814" s="140" t="str">
        <f>$L$1</f>
        <v>loganworsdell</v>
      </c>
      <c r="F814" s="8">
        <f>IFERROR(AVERAGE(Data[[#This Row],[alappatjoe]:[currydestroyer27]]), "TBD")</f>
        <v>3.8</v>
      </c>
      <c r="G814" s="177">
        <f>IFERROR(_xlfn.STDEV.P(Data[[#This Row],[alappatjoe]:[currydestroyer27]]), "TBD")</f>
        <v>1.6</v>
      </c>
      <c r="H814" s="135" t="s">
        <v>1728</v>
      </c>
      <c r="I814" s="229" t="s">
        <v>973</v>
      </c>
      <c r="J814" s="3">
        <v>5</v>
      </c>
      <c r="K814" s="113">
        <v>5</v>
      </c>
      <c r="L814" s="3">
        <v>1</v>
      </c>
      <c r="M814" s="3">
        <v>3</v>
      </c>
      <c r="N814" s="3">
        <v>5</v>
      </c>
      <c r="O814" s="238">
        <v>1585318</v>
      </c>
      <c r="P814" s="234"/>
      <c r="Q814" s="93"/>
      <c r="R8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14" s="93">
        <v>1</v>
      </c>
      <c r="T814" s="93" t="b">
        <f>Data[[#This Row],[Day Rank]]=Data[[#This Row],[W Rank]]</f>
        <v>0</v>
      </c>
      <c r="U814" s="323"/>
    </row>
    <row r="815" spans="1:21" ht="15" customHeight="1">
      <c r="A815" s="326"/>
      <c r="B815" s="326"/>
      <c r="C815" s="339"/>
      <c r="D815" s="81">
        <f>D812</f>
        <v>45754</v>
      </c>
      <c r="E815" s="140" t="str">
        <f>$M$1</f>
        <v>samuelbattista</v>
      </c>
      <c r="F815" s="8">
        <f>IFERROR(AVERAGE(Data[[#This Row],[alappatjoe]:[currydestroyer27]]), "TBD")</f>
        <v>2.6</v>
      </c>
      <c r="G815" s="177">
        <f>IFERROR(_xlfn.STDEV.P(Data[[#This Row],[alappatjoe]:[currydestroyer27]]), "TBD")</f>
        <v>1.019803902718557</v>
      </c>
      <c r="H815" s="245" t="s">
        <v>1729</v>
      </c>
      <c r="I815" s="229" t="s">
        <v>1730</v>
      </c>
      <c r="J815" s="3">
        <v>3</v>
      </c>
      <c r="K815" s="101">
        <v>2</v>
      </c>
      <c r="L815" s="3">
        <v>3</v>
      </c>
      <c r="M815" s="3">
        <v>1</v>
      </c>
      <c r="N815" s="3">
        <v>4</v>
      </c>
      <c r="O815" s="238">
        <v>3966022</v>
      </c>
      <c r="P815" s="234"/>
      <c r="Q815" s="93"/>
      <c r="R8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15" s="93">
        <v>1</v>
      </c>
      <c r="T815" s="93" t="b">
        <f>Data[[#This Row],[Day Rank]]=Data[[#This Row],[W Rank]]</f>
        <v>1</v>
      </c>
      <c r="U815" s="323"/>
    </row>
    <row r="816" spans="1:21" ht="15" customHeight="1" thickBot="1">
      <c r="A816" s="327"/>
      <c r="B816" s="327"/>
      <c r="C816" s="340"/>
      <c r="D816" s="164">
        <f>D812</f>
        <v>45754</v>
      </c>
      <c r="E816" s="215" t="str">
        <f>$N$1</f>
        <v>currydestroyer27</v>
      </c>
      <c r="F816" s="165">
        <f>IFERROR(AVERAGE(Data[[#This Row],[alappatjoe]:[currydestroyer27]]), "TBD")</f>
        <v>2.6</v>
      </c>
      <c r="G816" s="256">
        <f>IFERROR(_xlfn.STDEV.P(Data[[#This Row],[alappatjoe]:[currydestroyer27]]), "TBD")</f>
        <v>1.2</v>
      </c>
      <c r="H816" s="227" t="s">
        <v>1731</v>
      </c>
      <c r="I816" s="257" t="s">
        <v>1732</v>
      </c>
      <c r="J816" s="166">
        <v>4</v>
      </c>
      <c r="K816" s="166">
        <v>4</v>
      </c>
      <c r="L816" s="166">
        <v>2</v>
      </c>
      <c r="M816" s="166">
        <v>2</v>
      </c>
      <c r="N816" s="166">
        <v>1</v>
      </c>
      <c r="O816" s="242">
        <v>14086453</v>
      </c>
      <c r="P816" s="237"/>
      <c r="Q816" s="167"/>
      <c r="R8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16" s="167">
        <v>1</v>
      </c>
      <c r="T816" s="167" t="b">
        <f>Data[[#This Row],[Day Rank]]=Data[[#This Row],[W Rank]]</f>
        <v>0</v>
      </c>
      <c r="U816" s="324"/>
    </row>
    <row r="817" spans="1:21" ht="15" customHeight="1">
      <c r="A817" s="325">
        <v>45755</v>
      </c>
      <c r="B817" s="325"/>
      <c r="C817" s="328" t="str" cm="1">
        <f t="array" ref="C817">_xlfn.LET(_xlpm.matches, _xlfn._xlws.FILTER(Data[Poster], (Data[Date]=A817)*(Data[Winner]=TRUE)), IF(ROWS(_xlpm.matches)&gt;1, "TIE", _xlpm.matches))</f>
        <v>alappatjoe</v>
      </c>
      <c r="D817" s="147">
        <f>A817</f>
        <v>45755</v>
      </c>
      <c r="E817" s="181" t="str">
        <f>$J$1</f>
        <v>alappatjoe</v>
      </c>
      <c r="F817" s="9">
        <f>IFERROR(AVERAGE(Data[[#This Row],[alappatjoe]:[currydestroyer27]]), "TBD")</f>
        <v>2.4</v>
      </c>
      <c r="G817" s="178">
        <f>IFERROR(_xlfn.STDEV.P(Data[[#This Row],[alappatjoe]:[currydestroyer27]]), "TBD")</f>
        <v>1.019803902718557</v>
      </c>
      <c r="H817" s="160" t="s">
        <v>1733</v>
      </c>
      <c r="I817" s="186" t="s">
        <v>1734</v>
      </c>
      <c r="J817" s="3">
        <v>1</v>
      </c>
      <c r="K817" s="3">
        <v>2</v>
      </c>
      <c r="L817" s="3">
        <v>3</v>
      </c>
      <c r="M817" s="3">
        <v>2</v>
      </c>
      <c r="N817" s="3">
        <v>4</v>
      </c>
      <c r="O817" s="238">
        <v>642584172</v>
      </c>
      <c r="P817" s="234"/>
      <c r="Q817" s="93"/>
      <c r="R8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17" s="93">
        <v>1</v>
      </c>
      <c r="T817" s="93" t="b">
        <f>Data[[#This Row],[Day Rank]]=Data[[#This Row],[W Rank]]</f>
        <v>1</v>
      </c>
      <c r="U817" s="331"/>
    </row>
    <row r="818" spans="1:21" ht="15" customHeight="1">
      <c r="A818" s="326"/>
      <c r="B818" s="326"/>
      <c r="C818" s="329"/>
      <c r="D818" s="81">
        <f>D817</f>
        <v>45755</v>
      </c>
      <c r="E818" s="140" t="str">
        <f>$K$1</f>
        <v>danram</v>
      </c>
      <c r="F818" s="8">
        <f>IFERROR(AVERAGE(Data[[#This Row],[alappatjoe]:[currydestroyer27]]), "TBD")</f>
        <v>2.6</v>
      </c>
      <c r="G818" s="177">
        <f>IFERROR(_xlfn.STDEV.P(Data[[#This Row],[alappatjoe]:[currydestroyer27]]), "TBD")</f>
        <v>1.019803902718557</v>
      </c>
      <c r="H818" s="135" t="s">
        <v>1735</v>
      </c>
      <c r="I818" s="229" t="s">
        <v>1736</v>
      </c>
      <c r="J818" s="3">
        <v>3</v>
      </c>
      <c r="K818" s="3">
        <v>1</v>
      </c>
      <c r="L818" s="3">
        <v>4</v>
      </c>
      <c r="M818" s="3">
        <v>3</v>
      </c>
      <c r="N818" s="3">
        <v>2</v>
      </c>
      <c r="O818" s="238">
        <v>111839628</v>
      </c>
      <c r="P818" s="234"/>
      <c r="Q818" s="93"/>
      <c r="R8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18" s="93">
        <v>1</v>
      </c>
      <c r="T818" s="93" t="b">
        <f>Data[[#This Row],[Day Rank]]=Data[[#This Row],[W Rank]]</f>
        <v>0</v>
      </c>
      <c r="U818" s="323"/>
    </row>
    <row r="819" spans="1:21" ht="15" customHeight="1">
      <c r="A819" s="326"/>
      <c r="B819" s="326"/>
      <c r="C819" s="329"/>
      <c r="D819" s="81">
        <f>D817</f>
        <v>45755</v>
      </c>
      <c r="E819" s="140" t="str">
        <f>$L$1</f>
        <v>loganworsdell</v>
      </c>
      <c r="F819" s="8">
        <f>IFERROR(AVERAGE(Data[[#This Row],[alappatjoe]:[currydestroyer27]]), "TBD")</f>
        <v>3.6</v>
      </c>
      <c r="G819" s="177">
        <f>IFERROR(_xlfn.STDEV.P(Data[[#This Row],[alappatjoe]:[currydestroyer27]]), "TBD")</f>
        <v>1.4966629547095767</v>
      </c>
      <c r="H819" s="135" t="s">
        <v>1737</v>
      </c>
      <c r="I819" s="229" t="s">
        <v>1738</v>
      </c>
      <c r="J819" s="3">
        <v>4</v>
      </c>
      <c r="K819" s="113">
        <v>5</v>
      </c>
      <c r="L819" s="3">
        <v>1</v>
      </c>
      <c r="M819" s="3">
        <v>5</v>
      </c>
      <c r="N819" s="3">
        <v>3</v>
      </c>
      <c r="O819" s="238">
        <v>2888388</v>
      </c>
      <c r="P819" s="234"/>
      <c r="Q819" s="93"/>
      <c r="R8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19" s="93">
        <v>1</v>
      </c>
      <c r="T819" s="93" t="b">
        <f>Data[[#This Row],[Day Rank]]=Data[[#This Row],[W Rank]]</f>
        <v>0</v>
      </c>
      <c r="U819" s="323"/>
    </row>
    <row r="820" spans="1:21" ht="15" customHeight="1">
      <c r="A820" s="326"/>
      <c r="B820" s="326"/>
      <c r="C820" s="329"/>
      <c r="D820" s="81">
        <f>D817</f>
        <v>45755</v>
      </c>
      <c r="E820" s="140" t="str">
        <f>$M$1</f>
        <v>samuelbattista</v>
      </c>
      <c r="F820" s="8">
        <f>IFERROR(AVERAGE(Data[[#This Row],[alappatjoe]:[currydestroyer27]]), "TBD")</f>
        <v>3.8</v>
      </c>
      <c r="G820" s="177">
        <f>IFERROR(_xlfn.STDEV.P(Data[[#This Row],[alappatjoe]:[currydestroyer27]]), "TBD")</f>
        <v>1.6</v>
      </c>
      <c r="H820" s="245" t="s">
        <v>1739</v>
      </c>
      <c r="I820" s="229" t="s">
        <v>1740</v>
      </c>
      <c r="J820" s="3">
        <v>5</v>
      </c>
      <c r="K820" s="101">
        <v>3</v>
      </c>
      <c r="L820" s="3">
        <v>5</v>
      </c>
      <c r="M820" s="3">
        <v>1</v>
      </c>
      <c r="N820" s="3">
        <v>5</v>
      </c>
      <c r="O820" s="238">
        <v>543746</v>
      </c>
      <c r="P820" s="234"/>
      <c r="Q820" s="93"/>
      <c r="R8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20" s="93">
        <v>1</v>
      </c>
      <c r="T820" s="93" t="b">
        <f>Data[[#This Row],[Day Rank]]=Data[[#This Row],[W Rank]]</f>
        <v>0</v>
      </c>
      <c r="U820" s="323"/>
    </row>
    <row r="821" spans="1:21" ht="15" customHeight="1" thickBot="1">
      <c r="A821" s="327"/>
      <c r="B821" s="327"/>
      <c r="C821" s="330"/>
      <c r="D821" s="164">
        <f>D817</f>
        <v>45755</v>
      </c>
      <c r="E821" s="215" t="str">
        <f>$N$1</f>
        <v>currydestroyer27</v>
      </c>
      <c r="F821" s="165">
        <f>IFERROR(AVERAGE(Data[[#This Row],[alappatjoe]:[currydestroyer27]]), "TBD")</f>
        <v>2.6</v>
      </c>
      <c r="G821" s="256">
        <f>IFERROR(_xlfn.STDEV.P(Data[[#This Row],[alappatjoe]:[currydestroyer27]]), "TBD")</f>
        <v>1.2</v>
      </c>
      <c r="H821" s="227" t="s">
        <v>1741</v>
      </c>
      <c r="I821" s="257" t="s">
        <v>1742</v>
      </c>
      <c r="J821" s="166">
        <v>2</v>
      </c>
      <c r="K821" s="166">
        <v>4</v>
      </c>
      <c r="L821" s="166">
        <v>2</v>
      </c>
      <c r="M821" s="166">
        <v>4</v>
      </c>
      <c r="N821" s="166">
        <v>1</v>
      </c>
      <c r="O821" s="242">
        <v>999958066</v>
      </c>
      <c r="P821" s="237"/>
      <c r="Q821" s="167"/>
      <c r="R8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21" s="167">
        <v>1</v>
      </c>
      <c r="T821" s="167" t="b">
        <f>Data[[#This Row],[Day Rank]]=Data[[#This Row],[W Rank]]</f>
        <v>0</v>
      </c>
      <c r="U821" s="324"/>
    </row>
    <row r="822" spans="1:21" ht="15" customHeight="1">
      <c r="A822" s="325">
        <v>45756</v>
      </c>
      <c r="B822" s="325"/>
      <c r="C822" s="338" t="str" cm="1">
        <f t="array" ref="C822">_xlfn.LET(_xlpm.matches, _xlfn._xlws.FILTER(Data[Poster], (Data[Date]=A822)*(Data[Winner]=TRUE)), IF(ROWS(_xlpm.matches)&gt;1, "TIE", _xlpm.matches))</f>
        <v>danram</v>
      </c>
      <c r="D822" s="147">
        <f>A822</f>
        <v>45756</v>
      </c>
      <c r="E822" s="181" t="str">
        <f>$J$1</f>
        <v>alappatjoe</v>
      </c>
      <c r="F822" s="9">
        <f>IFERROR(AVERAGE(Data[[#This Row],[alappatjoe]:[currydestroyer27]]), "TBD")</f>
        <v>3.8</v>
      </c>
      <c r="G822" s="178">
        <f>IFERROR(_xlfn.STDEV.P(Data[[#This Row],[alappatjoe]:[currydestroyer27]]), "TBD")</f>
        <v>1.6</v>
      </c>
      <c r="H822" s="160" t="s">
        <v>1743</v>
      </c>
      <c r="I822" s="186" t="s">
        <v>260</v>
      </c>
      <c r="J822" s="3">
        <v>1</v>
      </c>
      <c r="K822" s="3">
        <v>5</v>
      </c>
      <c r="L822" s="3">
        <v>5</v>
      </c>
      <c r="M822" s="3">
        <v>3</v>
      </c>
      <c r="N822" s="3">
        <v>5</v>
      </c>
      <c r="O822" s="238">
        <v>10466714</v>
      </c>
      <c r="P822" s="234"/>
      <c r="Q822" s="93"/>
      <c r="R8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22" s="93">
        <v>1</v>
      </c>
      <c r="T822" s="93" t="b">
        <f>Data[[#This Row],[Day Rank]]=Data[[#This Row],[W Rank]]</f>
        <v>0</v>
      </c>
      <c r="U822" s="331"/>
    </row>
    <row r="823" spans="1:21" ht="15" customHeight="1">
      <c r="A823" s="326"/>
      <c r="B823" s="326"/>
      <c r="C823" s="339"/>
      <c r="D823" s="81">
        <f>D822</f>
        <v>45756</v>
      </c>
      <c r="E823" s="140" t="str">
        <f>$K$1</f>
        <v>danram</v>
      </c>
      <c r="F823" s="8">
        <f>IFERROR(AVERAGE(Data[[#This Row],[alappatjoe]:[currydestroyer27]]), "TBD")</f>
        <v>2</v>
      </c>
      <c r="G823" s="177">
        <f>IFERROR(_xlfn.STDEV.P(Data[[#This Row],[alappatjoe]:[currydestroyer27]]), "TBD")</f>
        <v>0.63245553203367588</v>
      </c>
      <c r="H823" s="135" t="s">
        <v>1744</v>
      </c>
      <c r="I823" s="229" t="s">
        <v>1072</v>
      </c>
      <c r="J823" s="3">
        <v>3</v>
      </c>
      <c r="K823" s="3">
        <v>1</v>
      </c>
      <c r="L823" s="3">
        <v>2</v>
      </c>
      <c r="M823" s="3">
        <v>2</v>
      </c>
      <c r="N823" s="3">
        <v>2</v>
      </c>
      <c r="O823" s="238">
        <v>180158581</v>
      </c>
      <c r="P823" s="234"/>
      <c r="Q823" s="93"/>
      <c r="R8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23" s="93">
        <v>1</v>
      </c>
      <c r="T823" s="93" t="b">
        <f>Data[[#This Row],[Day Rank]]=Data[[#This Row],[W Rank]]</f>
        <v>1</v>
      </c>
      <c r="U823" s="323"/>
    </row>
    <row r="824" spans="1:21" ht="15" customHeight="1">
      <c r="A824" s="326"/>
      <c r="B824" s="326"/>
      <c r="C824" s="339"/>
      <c r="D824" s="81">
        <f>D822</f>
        <v>45756</v>
      </c>
      <c r="E824" s="140" t="str">
        <f>$L$1</f>
        <v>loganworsdell</v>
      </c>
      <c r="F824" s="8">
        <f>IFERROR(AVERAGE(Data[[#This Row],[alappatjoe]:[currydestroyer27]]), "TBD")</f>
        <v>2.6</v>
      </c>
      <c r="G824" s="177">
        <f>IFERROR(_xlfn.STDEV.P(Data[[#This Row],[alappatjoe]:[currydestroyer27]]), "TBD")</f>
        <v>1.2</v>
      </c>
      <c r="H824" s="135" t="s">
        <v>1745</v>
      </c>
      <c r="I824" s="229" t="s">
        <v>1746</v>
      </c>
      <c r="J824" s="3">
        <v>2</v>
      </c>
      <c r="K824" s="113">
        <v>2</v>
      </c>
      <c r="L824" s="3">
        <v>1</v>
      </c>
      <c r="M824" s="3">
        <v>4</v>
      </c>
      <c r="N824" s="3">
        <v>4</v>
      </c>
      <c r="O824" s="238">
        <v>43831930</v>
      </c>
      <c r="P824" s="234"/>
      <c r="Q824" s="93"/>
      <c r="R8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24" s="93">
        <v>1</v>
      </c>
      <c r="T824" s="93" t="b">
        <f>Data[[#This Row],[Day Rank]]=Data[[#This Row],[W Rank]]</f>
        <v>0</v>
      </c>
      <c r="U824" s="323"/>
    </row>
    <row r="825" spans="1:21" ht="15" customHeight="1">
      <c r="A825" s="326"/>
      <c r="B825" s="326"/>
      <c r="C825" s="339"/>
      <c r="D825" s="81">
        <f>D822</f>
        <v>45756</v>
      </c>
      <c r="E825" s="140" t="str">
        <f>$M$1</f>
        <v>samuelbattista</v>
      </c>
      <c r="F825" s="8">
        <f>IFERROR(AVERAGE(Data[[#This Row],[alappatjoe]:[currydestroyer27]]), "TBD")</f>
        <v>3.2</v>
      </c>
      <c r="G825" s="177">
        <f>IFERROR(_xlfn.STDEV.P(Data[[#This Row],[alappatjoe]:[currydestroyer27]]), "TBD")</f>
        <v>1.3266499161421599</v>
      </c>
      <c r="H825" s="245" t="s">
        <v>1747</v>
      </c>
      <c r="I825" s="229" t="s">
        <v>1748</v>
      </c>
      <c r="J825" s="3">
        <v>5</v>
      </c>
      <c r="K825" s="101">
        <v>3</v>
      </c>
      <c r="L825" s="3">
        <v>4</v>
      </c>
      <c r="M825" s="3">
        <v>1</v>
      </c>
      <c r="N825" s="3">
        <v>3</v>
      </c>
      <c r="O825" s="238">
        <v>27496238</v>
      </c>
      <c r="P825" s="234"/>
      <c r="Q825" s="93"/>
      <c r="R8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25" s="93">
        <v>1</v>
      </c>
      <c r="T825" s="93" t="b">
        <f>Data[[#This Row],[Day Rank]]=Data[[#This Row],[W Rank]]</f>
        <v>0</v>
      </c>
      <c r="U825" s="323"/>
    </row>
    <row r="826" spans="1:21" ht="15" customHeight="1" thickBot="1">
      <c r="A826" s="327"/>
      <c r="B826" s="327"/>
      <c r="C826" s="340"/>
      <c r="D826" s="164">
        <f>D822</f>
        <v>45756</v>
      </c>
      <c r="E826" s="215" t="str">
        <f>$N$1</f>
        <v>currydestroyer27</v>
      </c>
      <c r="F826" s="165">
        <f>IFERROR(AVERAGE(Data[[#This Row],[alappatjoe]:[currydestroyer27]]), "TBD")</f>
        <v>3.4</v>
      </c>
      <c r="G826" s="256">
        <f>IFERROR(_xlfn.STDEV.P(Data[[#This Row],[alappatjoe]:[currydestroyer27]]), "TBD")</f>
        <v>1.3564659966250536</v>
      </c>
      <c r="H826" s="227" t="s">
        <v>1749</v>
      </c>
      <c r="I826" s="257" t="s">
        <v>1750</v>
      </c>
      <c r="J826" s="166">
        <v>4</v>
      </c>
      <c r="K826" s="166">
        <v>4</v>
      </c>
      <c r="L826" s="166">
        <v>3</v>
      </c>
      <c r="M826" s="166">
        <v>5</v>
      </c>
      <c r="N826" s="166">
        <v>1</v>
      </c>
      <c r="O826" s="242">
        <v>370083490</v>
      </c>
      <c r="P826" s="237"/>
      <c r="Q826" s="167"/>
      <c r="R8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26" s="167">
        <v>1</v>
      </c>
      <c r="T826" s="167" t="b">
        <f>Data[[#This Row],[Day Rank]]=Data[[#This Row],[W Rank]]</f>
        <v>0</v>
      </c>
      <c r="U826" s="324"/>
    </row>
    <row r="827" spans="1:21" ht="15" customHeight="1">
      <c r="A827" s="325">
        <v>45757</v>
      </c>
      <c r="B827" s="325"/>
      <c r="C827" s="328" t="str" cm="1">
        <f t="array" ref="C827">_xlfn.LET(_xlpm.matches, _xlfn._xlws.FILTER(Data[Poster], (Data[Date]=A827)*(Data[Winner]=TRUE)), IF(ROWS(_xlpm.matches)&gt;1, "TIE", _xlpm.matches))</f>
        <v>loganworsdell</v>
      </c>
      <c r="D827" s="147">
        <f>A827</f>
        <v>45757</v>
      </c>
      <c r="E827" s="181" t="str">
        <f>$J$1</f>
        <v>alappatjoe</v>
      </c>
      <c r="F827" s="9">
        <f>IFERROR(AVERAGE(Data[[#This Row],[alappatjoe]:[currydestroyer27]]), "TBD")</f>
        <v>3.2</v>
      </c>
      <c r="G827" s="178">
        <f>IFERROR(_xlfn.STDEV.P(Data[[#This Row],[alappatjoe]:[currydestroyer27]]), "TBD")</f>
        <v>1.4696938456699069</v>
      </c>
      <c r="H827" s="160" t="s">
        <v>1751</v>
      </c>
      <c r="I827" s="186" t="s">
        <v>1752</v>
      </c>
      <c r="J827" s="3">
        <v>1</v>
      </c>
      <c r="K827" s="3">
        <v>4</v>
      </c>
      <c r="L827" s="3">
        <v>4</v>
      </c>
      <c r="M827" s="3">
        <v>5</v>
      </c>
      <c r="N827" s="3">
        <v>2</v>
      </c>
      <c r="O827" s="238">
        <v>10560123</v>
      </c>
      <c r="P827" s="234"/>
      <c r="Q827" s="93"/>
      <c r="R8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27" s="93">
        <v>1</v>
      </c>
      <c r="T827" s="93" t="b">
        <f>Data[[#This Row],[Day Rank]]=Data[[#This Row],[W Rank]]</f>
        <v>0</v>
      </c>
      <c r="U827" s="331" t="s">
        <v>1753</v>
      </c>
    </row>
    <row r="828" spans="1:21" ht="15" customHeight="1">
      <c r="A828" s="326"/>
      <c r="B828" s="326"/>
      <c r="C828" s="329"/>
      <c r="D828" s="81">
        <f>D827</f>
        <v>45757</v>
      </c>
      <c r="E828" s="140" t="str">
        <f>$K$1</f>
        <v>danram</v>
      </c>
      <c r="F828" s="8">
        <f>IFERROR(AVERAGE(Data[[#This Row],[alappatjoe]:[currydestroyer27]]), "TBD")</f>
        <v>4</v>
      </c>
      <c r="G828" s="177">
        <f>IFERROR(_xlfn.STDEV.P(Data[[#This Row],[alappatjoe]:[currydestroyer27]]), "TBD")</f>
        <v>1.0954451150103321</v>
      </c>
      <c r="H828" s="135" t="s">
        <v>1754</v>
      </c>
      <c r="I828" s="229" t="s">
        <v>1755</v>
      </c>
      <c r="J828" s="3">
        <v>5</v>
      </c>
      <c r="K828" s="3">
        <v>2</v>
      </c>
      <c r="L828" s="3">
        <v>5</v>
      </c>
      <c r="M828" s="3">
        <v>4</v>
      </c>
      <c r="N828" s="3">
        <v>4</v>
      </c>
      <c r="O828" s="238">
        <v>667073</v>
      </c>
      <c r="P828" s="234"/>
      <c r="Q828" s="93"/>
      <c r="R8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28" s="93">
        <v>1</v>
      </c>
      <c r="T828" s="93" t="b">
        <f>Data[[#This Row],[Day Rank]]=Data[[#This Row],[W Rank]]</f>
        <v>0</v>
      </c>
      <c r="U828" s="323"/>
    </row>
    <row r="829" spans="1:21" ht="15" customHeight="1">
      <c r="A829" s="326"/>
      <c r="B829" s="326"/>
      <c r="C829" s="329"/>
      <c r="D829" s="81">
        <f>D827</f>
        <v>45757</v>
      </c>
      <c r="E829" s="140" t="str">
        <f>$L$1</f>
        <v>loganworsdell</v>
      </c>
      <c r="F829" s="8">
        <f>IFERROR(AVERAGE(Data[[#This Row],[alappatjoe]:[currydestroyer27]]), "TBD")</f>
        <v>2.6</v>
      </c>
      <c r="G829" s="177">
        <f>IFERROR(_xlfn.STDEV.P(Data[[#This Row],[alappatjoe]:[currydestroyer27]]), "TBD")</f>
        <v>1.019803902718557</v>
      </c>
      <c r="H829" s="135" t="s">
        <v>1756</v>
      </c>
      <c r="I829" s="229" t="s">
        <v>818</v>
      </c>
      <c r="J829" s="3">
        <v>4</v>
      </c>
      <c r="K829" s="3">
        <v>3</v>
      </c>
      <c r="L829" s="3">
        <v>1</v>
      </c>
      <c r="M829" s="3">
        <v>2</v>
      </c>
      <c r="N829" s="3">
        <v>3</v>
      </c>
      <c r="O829" s="238">
        <v>1151829949</v>
      </c>
      <c r="P829" s="234"/>
      <c r="Q829" s="93"/>
      <c r="R8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29" s="93">
        <v>1</v>
      </c>
      <c r="T829" s="93" t="b">
        <f>Data[[#This Row],[Day Rank]]=Data[[#This Row],[W Rank]]</f>
        <v>1</v>
      </c>
      <c r="U829" s="323"/>
    </row>
    <row r="830" spans="1:21" ht="15" customHeight="1">
      <c r="A830" s="326"/>
      <c r="B830" s="326"/>
      <c r="C830" s="329"/>
      <c r="D830" s="81">
        <f>D827</f>
        <v>45757</v>
      </c>
      <c r="E830" s="140" t="str">
        <f>$M$1</f>
        <v>samuelbattista</v>
      </c>
      <c r="F830" s="8">
        <f>IFERROR(AVERAGE(Data[[#This Row],[alappatjoe]:[currydestroyer27]]), "TBD")</f>
        <v>2.6</v>
      </c>
      <c r="G830" s="177">
        <f>IFERROR(_xlfn.STDEV.P(Data[[#This Row],[alappatjoe]:[currydestroyer27]]), "TBD")</f>
        <v>1.4966629547095767</v>
      </c>
      <c r="H830" s="245" t="s">
        <v>1757</v>
      </c>
      <c r="I830" s="229" t="s">
        <v>1758</v>
      </c>
      <c r="J830" s="3">
        <v>3</v>
      </c>
      <c r="K830" s="3">
        <v>1</v>
      </c>
      <c r="L830" s="3">
        <v>3</v>
      </c>
      <c r="M830" s="3">
        <v>1</v>
      </c>
      <c r="N830" s="3">
        <v>5</v>
      </c>
      <c r="O830" s="238">
        <v>635322497</v>
      </c>
      <c r="P830" s="234"/>
      <c r="Q830" s="93"/>
      <c r="R8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30" s="93">
        <v>1</v>
      </c>
      <c r="T830" s="93" t="b">
        <f>Data[[#This Row],[Day Rank]]=Data[[#This Row],[W Rank]]</f>
        <v>0</v>
      </c>
      <c r="U830" s="323"/>
    </row>
    <row r="831" spans="1:21" ht="15" customHeight="1" thickBot="1">
      <c r="A831" s="327"/>
      <c r="B831" s="327"/>
      <c r="C831" s="330"/>
      <c r="D831" s="164">
        <f>D827</f>
        <v>45757</v>
      </c>
      <c r="E831" s="215" t="str">
        <f>$N$1</f>
        <v>currydestroyer27</v>
      </c>
      <c r="F831" s="165">
        <f>IFERROR(AVERAGE(Data[[#This Row],[alappatjoe]:[currydestroyer27]]), "TBD")</f>
        <v>2.6</v>
      </c>
      <c r="G831" s="256">
        <f>IFERROR(_xlfn.STDEV.P(Data[[#This Row],[alappatjoe]:[currydestroyer27]]), "TBD")</f>
        <v>1.3564659966250536</v>
      </c>
      <c r="H831" s="227" t="s">
        <v>1759</v>
      </c>
      <c r="I831" s="257" t="s">
        <v>1760</v>
      </c>
      <c r="J831" s="232">
        <v>2</v>
      </c>
      <c r="K831" s="166">
        <v>5</v>
      </c>
      <c r="L831" s="166">
        <v>2</v>
      </c>
      <c r="M831" s="166">
        <v>3</v>
      </c>
      <c r="N831" s="166">
        <v>1</v>
      </c>
      <c r="O831" s="242">
        <v>442018952</v>
      </c>
      <c r="P831" s="237"/>
      <c r="Q831" s="167"/>
      <c r="R83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31" s="167">
        <v>1</v>
      </c>
      <c r="T831" s="167" t="b">
        <f>Data[[#This Row],[Day Rank]]=Data[[#This Row],[W Rank]]</f>
        <v>0</v>
      </c>
      <c r="U831" s="324"/>
    </row>
    <row r="832" spans="1:21" ht="15" customHeight="1">
      <c r="A832" s="325">
        <v>45761</v>
      </c>
      <c r="B832" s="325"/>
      <c r="C832" s="338" t="str" cm="1">
        <f t="array" ref="C832">_xlfn.LET(_xlpm.matches, _xlfn._xlws.FILTER(Data[Poster], (Data[Date]=A832)*(Data[Winner]=TRUE)), IF(ROWS(_xlpm.matches)&gt;1, "TIE", _xlpm.matches))</f>
        <v>danram</v>
      </c>
      <c r="D832" s="81">
        <f>A832</f>
        <v>45761</v>
      </c>
      <c r="E832" s="140" t="str">
        <f>$J$1</f>
        <v>alappatjoe</v>
      </c>
      <c r="F832" s="8">
        <f>IFERROR(AVERAGE(Data[[#This Row],[alappatjoe]:[currydestroyer27]]), "TBD")</f>
        <v>3.4</v>
      </c>
      <c r="G832" s="177">
        <f>IFERROR(_xlfn.STDEV.P(Data[[#This Row],[alappatjoe]:[currydestroyer27]]), "TBD")</f>
        <v>1.3564659966250536</v>
      </c>
      <c r="H832" s="135" t="s">
        <v>1761</v>
      </c>
      <c r="I832" s="229" t="s">
        <v>1762</v>
      </c>
      <c r="J832" s="3">
        <v>1</v>
      </c>
      <c r="K832" s="3">
        <v>4</v>
      </c>
      <c r="L832" s="3">
        <v>5</v>
      </c>
      <c r="M832" s="3">
        <v>4</v>
      </c>
      <c r="N832" s="3">
        <v>3</v>
      </c>
      <c r="O832" s="238">
        <v>90869210</v>
      </c>
      <c r="P832" s="234"/>
      <c r="Q832" s="93"/>
      <c r="R8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32" s="93">
        <v>1</v>
      </c>
      <c r="T832" s="93" t="b">
        <f>Data[[#This Row],[Day Rank]]=Data[[#This Row],[W Rank]]</f>
        <v>0</v>
      </c>
      <c r="U832" s="331"/>
    </row>
    <row r="833" spans="1:21" ht="15" customHeight="1">
      <c r="A833" s="326"/>
      <c r="B833" s="326"/>
      <c r="C833" s="339"/>
      <c r="D833" s="81">
        <f>D832</f>
        <v>45761</v>
      </c>
      <c r="E833" s="140" t="str">
        <f>$K$1</f>
        <v>danram</v>
      </c>
      <c r="F833" s="8">
        <f>IFERROR(AVERAGE(Data[[#This Row],[alappatjoe]:[currydestroyer27]]), "TBD")</f>
        <v>1.6</v>
      </c>
      <c r="G833" s="177">
        <f>IFERROR(_xlfn.STDEV.P(Data[[#This Row],[alappatjoe]:[currydestroyer27]]), "TBD")</f>
        <v>0.4898979485566356</v>
      </c>
      <c r="H833" s="135" t="s">
        <v>1763</v>
      </c>
      <c r="I833" s="229" t="s">
        <v>1061</v>
      </c>
      <c r="J833" s="3">
        <v>2</v>
      </c>
      <c r="K833" s="3">
        <v>1</v>
      </c>
      <c r="L833" s="3">
        <v>2</v>
      </c>
      <c r="M833" s="3">
        <v>1</v>
      </c>
      <c r="N833" s="3">
        <v>2</v>
      </c>
      <c r="O833" s="238">
        <v>551494620</v>
      </c>
      <c r="P833" s="234"/>
      <c r="Q833" s="93"/>
      <c r="R8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33" s="93">
        <v>1</v>
      </c>
      <c r="T833" s="93" t="b">
        <f>Data[[#This Row],[Day Rank]]=Data[[#This Row],[W Rank]]</f>
        <v>1</v>
      </c>
      <c r="U833" s="323"/>
    </row>
    <row r="834" spans="1:21" ht="15" customHeight="1">
      <c r="A834" s="326"/>
      <c r="B834" s="326"/>
      <c r="C834" s="339"/>
      <c r="D834" s="81">
        <f>D832</f>
        <v>45761</v>
      </c>
      <c r="E834" s="140" t="str">
        <f>$L$1</f>
        <v>loganworsdell</v>
      </c>
      <c r="F834" s="8">
        <f>IFERROR(AVERAGE(Data[[#This Row],[alappatjoe]:[currydestroyer27]]), "TBD")</f>
        <v>2.8</v>
      </c>
      <c r="G834" s="177">
        <f>IFERROR(_xlfn.STDEV.P(Data[[#This Row],[alappatjoe]:[currydestroyer27]]), "TBD")</f>
        <v>1.1661903789690602</v>
      </c>
      <c r="H834" s="135" t="s">
        <v>1764</v>
      </c>
      <c r="I834" s="229" t="s">
        <v>1765</v>
      </c>
      <c r="J834" s="3">
        <v>4</v>
      </c>
      <c r="K834" s="3">
        <v>2</v>
      </c>
      <c r="L834" s="3">
        <v>1</v>
      </c>
      <c r="M834" s="3">
        <v>3</v>
      </c>
      <c r="N834" s="3">
        <v>4</v>
      </c>
      <c r="O834" s="238">
        <v>251027034</v>
      </c>
      <c r="P834" s="234"/>
      <c r="Q834" s="93"/>
      <c r="R8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34" s="93">
        <v>1</v>
      </c>
      <c r="T834" s="93" t="b">
        <f>Data[[#This Row],[Day Rank]]=Data[[#This Row],[W Rank]]</f>
        <v>0</v>
      </c>
      <c r="U834" s="323"/>
    </row>
    <row r="835" spans="1:21" ht="15" customHeight="1">
      <c r="A835" s="326"/>
      <c r="B835" s="326"/>
      <c r="C835" s="339"/>
      <c r="D835" s="81">
        <f>D832</f>
        <v>45761</v>
      </c>
      <c r="E835" s="140" t="str">
        <f>$M$1</f>
        <v>samuelbattista</v>
      </c>
      <c r="F835" s="8">
        <f>IFERROR(AVERAGE(Data[[#This Row],[alappatjoe]:[currydestroyer27]]), "TBD")</f>
        <v>4.8</v>
      </c>
      <c r="G835" s="177">
        <f>IFERROR(_xlfn.STDEV.P(Data[[#This Row],[alappatjoe]:[currydestroyer27]]), "TBD")</f>
        <v>0.39999999999999997</v>
      </c>
      <c r="H835" s="245" t="s">
        <v>1766</v>
      </c>
      <c r="I835" s="229" t="s">
        <v>1767</v>
      </c>
      <c r="J835" s="3">
        <v>5</v>
      </c>
      <c r="K835" s="3">
        <v>5</v>
      </c>
      <c r="L835" s="3">
        <v>4</v>
      </c>
      <c r="M835" s="3">
        <v>5</v>
      </c>
      <c r="N835" s="3">
        <v>5</v>
      </c>
      <c r="O835" s="238">
        <v>9572249</v>
      </c>
      <c r="P835" s="234"/>
      <c r="Q835" s="93"/>
      <c r="R8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35" s="93">
        <v>1</v>
      </c>
      <c r="T835" s="93" t="b">
        <f>Data[[#This Row],[Day Rank]]=Data[[#This Row],[W Rank]]</f>
        <v>0</v>
      </c>
      <c r="U835" s="323"/>
    </row>
    <row r="836" spans="1:21" ht="15" customHeight="1" thickBot="1">
      <c r="A836" s="327"/>
      <c r="B836" s="327"/>
      <c r="C836" s="340"/>
      <c r="D836" s="164">
        <f>D832</f>
        <v>45761</v>
      </c>
      <c r="E836" s="215" t="str">
        <f>$N$1</f>
        <v>currydestroyer27</v>
      </c>
      <c r="F836" s="165">
        <f>IFERROR(AVERAGE(Data[[#This Row],[alappatjoe]:[currydestroyer27]]), "TBD")</f>
        <v>2.4</v>
      </c>
      <c r="G836" s="256">
        <f>IFERROR(_xlfn.STDEV.P(Data[[#This Row],[alappatjoe]:[currydestroyer27]]), "TBD")</f>
        <v>0.8</v>
      </c>
      <c r="H836" s="227" t="s">
        <v>1768</v>
      </c>
      <c r="I836" s="257" t="s">
        <v>1769</v>
      </c>
      <c r="J836" s="232">
        <v>3</v>
      </c>
      <c r="K836" s="166">
        <v>3</v>
      </c>
      <c r="L836" s="166">
        <v>3</v>
      </c>
      <c r="M836" s="166">
        <v>2</v>
      </c>
      <c r="N836" s="166">
        <v>1</v>
      </c>
      <c r="O836" s="242">
        <v>818087161</v>
      </c>
      <c r="P836" s="237"/>
      <c r="Q836" s="167"/>
      <c r="R83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36" s="167">
        <v>1</v>
      </c>
      <c r="T836" s="167" t="b">
        <f>Data[[#This Row],[Day Rank]]=Data[[#This Row],[W Rank]]</f>
        <v>0</v>
      </c>
      <c r="U836" s="324"/>
    </row>
    <row r="837" spans="1:21" ht="15" customHeight="1">
      <c r="A837" s="325">
        <v>45762</v>
      </c>
      <c r="B837" s="325"/>
      <c r="C837" s="328" t="str" cm="1">
        <f t="array" ref="C837">_xlfn.LET(_xlpm.matches, _xlfn._xlws.FILTER(Data[Poster], (Data[Date]=A837)*(Data[Winner]=TRUE)), IF(ROWS(_xlpm.matches)&gt;1, "TIE", _xlpm.matches))</f>
        <v>danram</v>
      </c>
      <c r="D837" s="147">
        <f>A837</f>
        <v>45762</v>
      </c>
      <c r="E837" s="181" t="str">
        <f>$J$1</f>
        <v>alappatjoe</v>
      </c>
      <c r="F837" s="9">
        <f>IFERROR(AVERAGE(Data[[#This Row],[alappatjoe]:[currydestroyer27]]), "TBD")</f>
        <v>3.4</v>
      </c>
      <c r="G837" s="178">
        <f>IFERROR(_xlfn.STDEV.P(Data[[#This Row],[alappatjoe]:[currydestroyer27]]), "TBD")</f>
        <v>1.3564659966250536</v>
      </c>
      <c r="H837" s="160" t="s">
        <v>1770</v>
      </c>
      <c r="I837" s="186" t="s">
        <v>1771</v>
      </c>
      <c r="J837" s="3">
        <v>1</v>
      </c>
      <c r="K837" s="3">
        <v>4</v>
      </c>
      <c r="L837" s="3">
        <v>3</v>
      </c>
      <c r="M837" s="3">
        <v>4</v>
      </c>
      <c r="N837" s="3">
        <v>5</v>
      </c>
      <c r="O837" s="238">
        <v>148711638</v>
      </c>
      <c r="P837" s="234"/>
      <c r="Q837" s="93"/>
      <c r="R8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37" s="93">
        <v>1</v>
      </c>
      <c r="T837" s="93" t="b">
        <f>Data[[#This Row],[Day Rank]]=Data[[#This Row],[W Rank]]</f>
        <v>0</v>
      </c>
      <c r="U837" s="331"/>
    </row>
    <row r="838" spans="1:21" ht="15" customHeight="1">
      <c r="A838" s="326"/>
      <c r="B838" s="326"/>
      <c r="C838" s="329"/>
      <c r="D838" s="81">
        <f>D837</f>
        <v>45762</v>
      </c>
      <c r="E838" s="140" t="str">
        <f>$K$1</f>
        <v>danram</v>
      </c>
      <c r="F838" s="8">
        <f>IFERROR(AVERAGE(Data[[#This Row],[alappatjoe]:[currydestroyer27]]), "TBD")</f>
        <v>2.2000000000000002</v>
      </c>
      <c r="G838" s="177">
        <f>IFERROR(_xlfn.STDEV.P(Data[[#This Row],[alappatjoe]:[currydestroyer27]]), "TBD")</f>
        <v>0.4</v>
      </c>
      <c r="H838" s="135" t="s">
        <v>1772</v>
      </c>
      <c r="I838" s="229" t="s">
        <v>1773</v>
      </c>
      <c r="J838" s="3">
        <v>3</v>
      </c>
      <c r="K838" s="3">
        <v>2</v>
      </c>
      <c r="L838" s="3">
        <v>2</v>
      </c>
      <c r="M838" s="3">
        <v>2</v>
      </c>
      <c r="N838" s="3">
        <v>2</v>
      </c>
      <c r="O838" s="238">
        <v>629964968</v>
      </c>
      <c r="P838" s="234"/>
      <c r="Q838" s="93"/>
      <c r="R8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38" s="93">
        <v>1</v>
      </c>
      <c r="T838" s="93" t="b">
        <f>Data[[#This Row],[Day Rank]]=Data[[#This Row],[W Rank]]</f>
        <v>1</v>
      </c>
      <c r="U838" s="323"/>
    </row>
    <row r="839" spans="1:21" ht="15" customHeight="1">
      <c r="A839" s="326"/>
      <c r="B839" s="326"/>
      <c r="C839" s="329"/>
      <c r="D839" s="81">
        <f>D837</f>
        <v>45762</v>
      </c>
      <c r="E839" s="140" t="str">
        <f>$L$1</f>
        <v>loganworsdell</v>
      </c>
      <c r="F839" s="8">
        <f>IFERROR(AVERAGE(Data[[#This Row],[alappatjoe]:[currydestroyer27]]), "TBD")</f>
        <v>4.2</v>
      </c>
      <c r="G839" s="177">
        <f>IFERROR(_xlfn.STDEV.P(Data[[#This Row],[alappatjoe]:[currydestroyer27]]), "TBD")</f>
        <v>0.74833147735478833</v>
      </c>
      <c r="H839" s="135" t="s">
        <v>1774</v>
      </c>
      <c r="I839" s="229" t="s">
        <v>1775</v>
      </c>
      <c r="J839" s="3">
        <v>5</v>
      </c>
      <c r="K839" s="3">
        <v>3</v>
      </c>
      <c r="L839" s="3">
        <v>4</v>
      </c>
      <c r="M839" s="3">
        <v>5</v>
      </c>
      <c r="N839" s="3">
        <v>4</v>
      </c>
      <c r="O839" s="238">
        <v>138869498</v>
      </c>
      <c r="P839" s="234"/>
      <c r="Q839" s="93"/>
      <c r="R8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39" s="93">
        <v>1</v>
      </c>
      <c r="T839" s="93" t="b">
        <f>Data[[#This Row],[Day Rank]]=Data[[#This Row],[W Rank]]</f>
        <v>0</v>
      </c>
      <c r="U839" s="323"/>
    </row>
    <row r="840" spans="1:21" ht="15" customHeight="1">
      <c r="A840" s="326"/>
      <c r="B840" s="326"/>
      <c r="C840" s="329"/>
      <c r="D840" s="81">
        <f>D837</f>
        <v>45762</v>
      </c>
      <c r="E840" s="140" t="str">
        <f>$M$1</f>
        <v>samuelbattista</v>
      </c>
      <c r="F840" s="8">
        <f>IFERROR(AVERAGE(Data[[#This Row],[alappatjoe]:[currydestroyer27]]), "TBD")</f>
        <v>2.4</v>
      </c>
      <c r="G840" s="177">
        <f>IFERROR(_xlfn.STDEV.P(Data[[#This Row],[alappatjoe]:[currydestroyer27]]), "TBD")</f>
        <v>1.4966629547095767</v>
      </c>
      <c r="H840" s="245" t="s">
        <v>1776</v>
      </c>
      <c r="I840" s="229" t="s">
        <v>1777</v>
      </c>
      <c r="J840" s="3">
        <v>2</v>
      </c>
      <c r="K840" s="3">
        <v>5</v>
      </c>
      <c r="L840" s="3">
        <v>1</v>
      </c>
      <c r="M840" s="3">
        <v>1</v>
      </c>
      <c r="N840" s="3">
        <v>3</v>
      </c>
      <c r="O840" s="238">
        <v>12494782</v>
      </c>
      <c r="P840" s="234"/>
      <c r="Q840" s="93"/>
      <c r="R8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40" s="93">
        <v>1</v>
      </c>
      <c r="T840" s="93" t="b">
        <f>Data[[#This Row],[Day Rank]]=Data[[#This Row],[W Rank]]</f>
        <v>0</v>
      </c>
      <c r="U840" s="323"/>
    </row>
    <row r="841" spans="1:21" ht="15" customHeight="1" thickBot="1">
      <c r="A841" s="327"/>
      <c r="B841" s="327"/>
      <c r="C841" s="330"/>
      <c r="D841" s="164">
        <f>D837</f>
        <v>45762</v>
      </c>
      <c r="E841" s="215" t="str">
        <f>$N$1</f>
        <v>currydestroyer27</v>
      </c>
      <c r="F841" s="165">
        <f>IFERROR(AVERAGE(Data[[#This Row],[alappatjoe]:[currydestroyer27]]), "TBD")</f>
        <v>2.8</v>
      </c>
      <c r="G841" s="256">
        <f>IFERROR(_xlfn.STDEV.P(Data[[#This Row],[alappatjoe]:[currydestroyer27]]), "TBD")</f>
        <v>1.6</v>
      </c>
      <c r="H841" s="227" t="s">
        <v>1778</v>
      </c>
      <c r="I841" s="257" t="s">
        <v>1779</v>
      </c>
      <c r="J841" s="232">
        <v>4</v>
      </c>
      <c r="K841" s="166">
        <v>1</v>
      </c>
      <c r="L841" s="166">
        <v>5</v>
      </c>
      <c r="M841" s="166">
        <v>3</v>
      </c>
      <c r="N841" s="166">
        <v>1</v>
      </c>
      <c r="O841" s="242">
        <v>153511541</v>
      </c>
      <c r="P841" s="237"/>
      <c r="Q841" s="167"/>
      <c r="R84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41" s="167">
        <v>1</v>
      </c>
      <c r="T841" s="167" t="b">
        <f>Data[[#This Row],[Day Rank]]=Data[[#This Row],[W Rank]]</f>
        <v>0</v>
      </c>
      <c r="U841" s="324"/>
    </row>
    <row r="842" spans="1:21" ht="15" customHeight="1">
      <c r="A842" s="325">
        <v>45763</v>
      </c>
      <c r="B842" s="325"/>
      <c r="C842" s="338" t="str" cm="1">
        <f t="array" ref="C842">_xlfn.LET(_xlpm.matches, _xlfn._xlws.FILTER(Data[Poster], (Data[Date]=A842)*(Data[Winner]=TRUE)), IF(ROWS(_xlpm.matches)&gt;1, "TIE", _xlpm.matches))</f>
        <v>currydestroyer27</v>
      </c>
      <c r="D842" s="147">
        <f>A842</f>
        <v>45763</v>
      </c>
      <c r="E842" s="181" t="str">
        <f>$J$1</f>
        <v>alappatjoe</v>
      </c>
      <c r="F842" s="9">
        <f>IFERROR(AVERAGE(Data[[#This Row],[alappatjoe]:[currydestroyer27]]), "TBD")</f>
        <v>2.6</v>
      </c>
      <c r="G842" s="178">
        <f>IFERROR(_xlfn.STDEV.P(Data[[#This Row],[alappatjoe]:[currydestroyer27]]), "TBD")</f>
        <v>1.2</v>
      </c>
      <c r="H842" s="160" t="s">
        <v>1780</v>
      </c>
      <c r="I842" s="186" t="s">
        <v>1781</v>
      </c>
      <c r="J842" s="9">
        <v>1</v>
      </c>
      <c r="K842" s="9">
        <v>2</v>
      </c>
      <c r="L842" s="9">
        <v>4</v>
      </c>
      <c r="M842" s="9">
        <v>4</v>
      </c>
      <c r="N842" s="9">
        <v>2</v>
      </c>
      <c r="O842" s="238">
        <v>124029176</v>
      </c>
      <c r="P842" s="234"/>
      <c r="Q842" s="93"/>
      <c r="R8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42" s="93">
        <v>1</v>
      </c>
      <c r="T842" s="93" t="b">
        <f>Data[[#This Row],[Day Rank]]=Data[[#This Row],[W Rank]]</f>
        <v>0</v>
      </c>
      <c r="U842" s="331"/>
    </row>
    <row r="843" spans="1:21" ht="15" customHeight="1">
      <c r="A843" s="326"/>
      <c r="B843" s="326"/>
      <c r="C843" s="339"/>
      <c r="D843" s="81">
        <f>D842</f>
        <v>45763</v>
      </c>
      <c r="E843" s="140" t="str">
        <f>$K$1</f>
        <v>danram</v>
      </c>
      <c r="F843" s="8">
        <f>IFERROR(AVERAGE(Data[[#This Row],[alappatjoe]:[currydestroyer27]]), "TBD")</f>
        <v>4.8</v>
      </c>
      <c r="G843" s="177">
        <f>IFERROR(_xlfn.STDEV.P(Data[[#This Row],[alappatjoe]:[currydestroyer27]]), "TBD")</f>
        <v>0.39999999999999997</v>
      </c>
      <c r="H843" s="135" t="s">
        <v>1782</v>
      </c>
      <c r="I843" s="229" t="s">
        <v>1783</v>
      </c>
      <c r="J843" s="8">
        <v>5</v>
      </c>
      <c r="K843" s="8">
        <v>5</v>
      </c>
      <c r="L843" s="8">
        <v>5</v>
      </c>
      <c r="M843" s="8">
        <v>5</v>
      </c>
      <c r="N843" s="8">
        <v>4</v>
      </c>
      <c r="O843" s="238">
        <v>9998294</v>
      </c>
      <c r="P843" s="234"/>
      <c r="Q843" s="93"/>
      <c r="R8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43" s="93">
        <v>1</v>
      </c>
      <c r="T843" s="93" t="b">
        <f>Data[[#This Row],[Day Rank]]=Data[[#This Row],[W Rank]]</f>
        <v>0</v>
      </c>
      <c r="U843" s="323"/>
    </row>
    <row r="844" spans="1:21" ht="15" customHeight="1">
      <c r="A844" s="326"/>
      <c r="B844" s="326"/>
      <c r="C844" s="339"/>
      <c r="D844" s="81">
        <f>D842</f>
        <v>45763</v>
      </c>
      <c r="E844" s="140" t="str">
        <f>$L$1</f>
        <v>loganworsdell</v>
      </c>
      <c r="F844" s="8">
        <f>IFERROR(AVERAGE(Data[[#This Row],[alappatjoe]:[currydestroyer27]]), "TBD")</f>
        <v>2.8</v>
      </c>
      <c r="G844" s="177">
        <f>IFERROR(_xlfn.STDEV.P(Data[[#This Row],[alappatjoe]:[currydestroyer27]]), "TBD")</f>
        <v>1.3266499161421599</v>
      </c>
      <c r="H844" s="135" t="s">
        <v>1784</v>
      </c>
      <c r="I844" s="229" t="s">
        <v>1785</v>
      </c>
      <c r="J844" s="8">
        <v>3</v>
      </c>
      <c r="K844" s="8">
        <v>1</v>
      </c>
      <c r="L844" s="8">
        <v>2</v>
      </c>
      <c r="M844" s="8">
        <v>3</v>
      </c>
      <c r="N844" s="8">
        <v>5</v>
      </c>
      <c r="O844" s="238">
        <v>927420</v>
      </c>
      <c r="P844" s="234"/>
      <c r="Q844" s="93"/>
      <c r="R8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44" s="93">
        <v>1</v>
      </c>
      <c r="T844" s="93" t="b">
        <f>Data[[#This Row],[Day Rank]]=Data[[#This Row],[W Rank]]</f>
        <v>0</v>
      </c>
      <c r="U844" s="323"/>
    </row>
    <row r="845" spans="1:21" ht="15" customHeight="1">
      <c r="A845" s="326"/>
      <c r="B845" s="326"/>
      <c r="C845" s="339"/>
      <c r="D845" s="81">
        <f>D842</f>
        <v>45763</v>
      </c>
      <c r="E845" s="140" t="str">
        <f>$M$1</f>
        <v>samuelbattista</v>
      </c>
      <c r="F845" s="8">
        <f>IFERROR(AVERAGE(Data[[#This Row],[alappatjoe]:[currydestroyer27]]), "TBD")</f>
        <v>3</v>
      </c>
      <c r="G845" s="177">
        <f>IFERROR(_xlfn.STDEV.P(Data[[#This Row],[alappatjoe]:[currydestroyer27]]), "TBD")</f>
        <v>1.0954451150103321</v>
      </c>
      <c r="H845" s="245" t="s">
        <v>1786</v>
      </c>
      <c r="I845" s="229" t="s">
        <v>493</v>
      </c>
      <c r="J845" s="8">
        <v>4</v>
      </c>
      <c r="K845" s="8">
        <v>4</v>
      </c>
      <c r="L845" s="8">
        <v>3</v>
      </c>
      <c r="M845" s="8">
        <v>1</v>
      </c>
      <c r="N845" s="8">
        <v>3</v>
      </c>
      <c r="O845" s="238">
        <v>96363857</v>
      </c>
      <c r="P845" s="234"/>
      <c r="Q845" s="93"/>
      <c r="R8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45" s="93">
        <v>1</v>
      </c>
      <c r="T845" s="93" t="b">
        <f>Data[[#This Row],[Day Rank]]=Data[[#This Row],[W Rank]]</f>
        <v>0</v>
      </c>
      <c r="U845" s="323"/>
    </row>
    <row r="846" spans="1:21" ht="15" customHeight="1" thickBot="1">
      <c r="A846" s="327"/>
      <c r="B846" s="327"/>
      <c r="C846" s="340"/>
      <c r="D846" s="164">
        <f>D842</f>
        <v>45763</v>
      </c>
      <c r="E846" s="215" t="str">
        <f>$N$1</f>
        <v>currydestroyer27</v>
      </c>
      <c r="F846" s="165">
        <f>IFERROR(AVERAGE(Data[[#This Row],[alappatjoe]:[currydestroyer27]]), "TBD")</f>
        <v>1.8</v>
      </c>
      <c r="G846" s="256">
        <f>IFERROR(_xlfn.STDEV.P(Data[[#This Row],[alappatjoe]:[currydestroyer27]]), "TBD")</f>
        <v>0.74833147735478833</v>
      </c>
      <c r="H846" s="227" t="s">
        <v>1787</v>
      </c>
      <c r="I846" s="257" t="s">
        <v>1788</v>
      </c>
      <c r="J846" s="165">
        <v>2</v>
      </c>
      <c r="K846" s="165">
        <v>3</v>
      </c>
      <c r="L846" s="165">
        <v>1</v>
      </c>
      <c r="M846" s="165">
        <v>2</v>
      </c>
      <c r="N846" s="165">
        <v>1</v>
      </c>
      <c r="O846" s="242">
        <v>239463637</v>
      </c>
      <c r="P846" s="237"/>
      <c r="Q846" s="167"/>
      <c r="R84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46" s="167">
        <v>1</v>
      </c>
      <c r="T846" s="167" t="b">
        <f>Data[[#This Row],[Day Rank]]=Data[[#This Row],[W Rank]]</f>
        <v>1</v>
      </c>
      <c r="U846" s="324"/>
    </row>
    <row r="847" spans="1:21" ht="15" customHeight="1">
      <c r="A847" s="325">
        <v>45764</v>
      </c>
      <c r="B847" s="325"/>
      <c r="C847" s="328" t="str" cm="1">
        <f t="array" ref="C847">_xlfn.LET(_xlpm.matches, _xlfn._xlws.FILTER(Data[Poster], (Data[Date]=A847)*(Data[Winner]=TRUE)), IF(ROWS(_xlpm.matches)&gt;1, "TIE", _xlpm.matches))</f>
        <v>alappatjoe</v>
      </c>
      <c r="D847" s="147">
        <f>A847</f>
        <v>45764</v>
      </c>
      <c r="E847" s="181" t="str">
        <f>$J$1</f>
        <v>alappatjoe</v>
      </c>
      <c r="F847" s="9">
        <f>IFERROR(AVERAGE(Data[[#This Row],[alappatjoe]:[currydestroyer27]]), "TBD")</f>
        <v>2.4</v>
      </c>
      <c r="G847" s="178">
        <f>IFERROR(_xlfn.STDEV.P(Data[[#This Row],[alappatjoe]:[currydestroyer27]]), "TBD")</f>
        <v>1.4966629547095767</v>
      </c>
      <c r="H847" s="160" t="s">
        <v>1789</v>
      </c>
      <c r="I847" s="186" t="s">
        <v>1790</v>
      </c>
      <c r="J847" s="9">
        <v>1</v>
      </c>
      <c r="K847" s="9">
        <v>5</v>
      </c>
      <c r="L847" s="9">
        <v>3</v>
      </c>
      <c r="M847" s="9">
        <v>2</v>
      </c>
      <c r="N847" s="9">
        <v>1</v>
      </c>
      <c r="O847" s="238">
        <v>401021896</v>
      </c>
      <c r="P847" s="234"/>
      <c r="Q847" s="93"/>
      <c r="R8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47" s="93">
        <v>1</v>
      </c>
      <c r="T847" s="93" t="b">
        <f>Data[[#This Row],[Day Rank]]=Data[[#This Row],[W Rank]]</f>
        <v>1</v>
      </c>
      <c r="U847" s="331" t="s">
        <v>1791</v>
      </c>
    </row>
    <row r="848" spans="1:21" ht="15" customHeight="1">
      <c r="A848" s="326"/>
      <c r="B848" s="326"/>
      <c r="C848" s="329"/>
      <c r="D848" s="81">
        <f>D847</f>
        <v>45764</v>
      </c>
      <c r="E848" s="140" t="str">
        <f>$K$1</f>
        <v>danram</v>
      </c>
      <c r="F848" s="8">
        <f>IFERROR(AVERAGE(Data[[#This Row],[alappatjoe]:[currydestroyer27]]), "TBD")</f>
        <v>2.6</v>
      </c>
      <c r="G848" s="177">
        <f>IFERROR(_xlfn.STDEV.P(Data[[#This Row],[alappatjoe]:[currydestroyer27]]), "TBD")</f>
        <v>1.6248076809271921</v>
      </c>
      <c r="H848" s="135" t="s">
        <v>1792</v>
      </c>
      <c r="I848" s="229" t="s">
        <v>616</v>
      </c>
      <c r="J848" s="8">
        <v>4</v>
      </c>
      <c r="K848" s="8">
        <v>1</v>
      </c>
      <c r="L848" s="8">
        <v>1</v>
      </c>
      <c r="M848" s="8">
        <v>5</v>
      </c>
      <c r="N848" s="8">
        <v>2</v>
      </c>
      <c r="O848" s="238">
        <v>628929866</v>
      </c>
      <c r="P848" s="234"/>
      <c r="Q848" s="93"/>
      <c r="R8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48" s="93">
        <v>1</v>
      </c>
      <c r="T848" s="93" t="b">
        <f>Data[[#This Row],[Day Rank]]=Data[[#This Row],[W Rank]]</f>
        <v>0</v>
      </c>
      <c r="U848" s="323"/>
    </row>
    <row r="849" spans="1:21" ht="15" customHeight="1">
      <c r="A849" s="326"/>
      <c r="B849" s="326"/>
      <c r="C849" s="329"/>
      <c r="D849" s="81">
        <f>D847</f>
        <v>45764</v>
      </c>
      <c r="E849" s="140" t="str">
        <f>$L$1</f>
        <v>loganworsdell</v>
      </c>
      <c r="F849" s="8">
        <f>IFERROR(AVERAGE(Data[[#This Row],[alappatjoe]:[currydestroyer27]]), "TBD")</f>
        <v>3</v>
      </c>
      <c r="G849" s="177">
        <f>IFERROR(_xlfn.STDEV.P(Data[[#This Row],[alappatjoe]:[currydestroyer27]]), "TBD")</f>
        <v>1.0954451150103321</v>
      </c>
      <c r="H849" s="135" t="s">
        <v>1793</v>
      </c>
      <c r="I849" s="229" t="s">
        <v>1794</v>
      </c>
      <c r="J849" s="8">
        <v>2</v>
      </c>
      <c r="K849" s="8">
        <v>3</v>
      </c>
      <c r="L849" s="8">
        <v>2</v>
      </c>
      <c r="M849" s="8">
        <v>3</v>
      </c>
      <c r="N849" s="8">
        <v>5</v>
      </c>
      <c r="O849" s="238">
        <v>46570145</v>
      </c>
      <c r="P849" s="234"/>
      <c r="Q849" s="93"/>
      <c r="R8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49" s="93">
        <v>1</v>
      </c>
      <c r="T849" s="93" t="b">
        <f>Data[[#This Row],[Day Rank]]=Data[[#This Row],[W Rank]]</f>
        <v>0</v>
      </c>
      <c r="U849" s="323"/>
    </row>
    <row r="850" spans="1:21" ht="15" customHeight="1">
      <c r="A850" s="326"/>
      <c r="B850" s="326"/>
      <c r="C850" s="329"/>
      <c r="D850" s="81">
        <f>D847</f>
        <v>45764</v>
      </c>
      <c r="E850" s="140" t="str">
        <f>$M$1</f>
        <v>samuelbattista</v>
      </c>
      <c r="F850" s="8">
        <f>IFERROR(AVERAGE(Data[[#This Row],[alappatjoe]:[currydestroyer27]]), "TBD")</f>
        <v>3.8</v>
      </c>
      <c r="G850" s="177">
        <f>IFERROR(_xlfn.STDEV.P(Data[[#This Row],[alappatjoe]:[currydestroyer27]]), "TBD")</f>
        <v>1.4696938456699069</v>
      </c>
      <c r="H850" s="245" t="s">
        <v>1795</v>
      </c>
      <c r="I850" s="229" t="s">
        <v>1796</v>
      </c>
      <c r="J850" s="8">
        <v>5</v>
      </c>
      <c r="K850" s="8">
        <v>4</v>
      </c>
      <c r="L850" s="8">
        <v>5</v>
      </c>
      <c r="M850" s="8">
        <v>1</v>
      </c>
      <c r="N850" s="8">
        <v>4</v>
      </c>
      <c r="O850" s="238">
        <v>5361142</v>
      </c>
      <c r="P850" s="234"/>
      <c r="Q850" s="93"/>
      <c r="R8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50" s="93">
        <v>1</v>
      </c>
      <c r="T850" s="93" t="b">
        <f>Data[[#This Row],[Day Rank]]=Data[[#This Row],[W Rank]]</f>
        <v>0</v>
      </c>
      <c r="U850" s="323"/>
    </row>
    <row r="851" spans="1:21" ht="15" customHeight="1" thickBot="1">
      <c r="A851" s="327"/>
      <c r="B851" s="327"/>
      <c r="C851" s="330"/>
      <c r="D851" s="164">
        <f>D847</f>
        <v>45764</v>
      </c>
      <c r="E851" s="215" t="str">
        <f>$N$1</f>
        <v>currydestroyer27</v>
      </c>
      <c r="F851" s="165">
        <f>IFERROR(AVERAGE(Data[[#This Row],[alappatjoe]:[currydestroyer27]]), "TBD")</f>
        <v>3.2</v>
      </c>
      <c r="G851" s="256">
        <f>IFERROR(_xlfn.STDEV.P(Data[[#This Row],[alappatjoe]:[currydestroyer27]]), "TBD")</f>
        <v>0.74833147735478833</v>
      </c>
      <c r="H851" s="227" t="s">
        <v>1797</v>
      </c>
      <c r="I851" s="257" t="s">
        <v>1798</v>
      </c>
      <c r="J851" s="165">
        <v>3</v>
      </c>
      <c r="K851" s="165">
        <v>2</v>
      </c>
      <c r="L851" s="165">
        <v>4</v>
      </c>
      <c r="M851" s="165">
        <v>4</v>
      </c>
      <c r="N851" s="165">
        <v>3</v>
      </c>
      <c r="O851" s="242">
        <v>853827684</v>
      </c>
      <c r="P851" s="237"/>
      <c r="Q851" s="167"/>
      <c r="R85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51" s="167">
        <v>1</v>
      </c>
      <c r="T851" s="167" t="b">
        <f>Data[[#This Row],[Day Rank]]=Data[[#This Row],[W Rank]]</f>
        <v>0</v>
      </c>
      <c r="U851" s="324"/>
    </row>
    <row r="852" spans="1:21" ht="15" customHeight="1">
      <c r="A852" s="325">
        <v>45768</v>
      </c>
      <c r="B852" s="325"/>
      <c r="C852" s="338" t="str" cm="1">
        <f t="array" ref="C852">_xlfn.LET(_xlpm.matches, _xlfn._xlws.FILTER(Data[Poster], (Data[Date]=A852)*(Data[Winner]=TRUE)), IF(ROWS(_xlpm.matches)&gt;1, "TIE", _xlpm.matches))</f>
        <v>samuelbattista</v>
      </c>
      <c r="D852" s="147">
        <f>A852</f>
        <v>45768</v>
      </c>
      <c r="E852" s="181" t="str">
        <f>$J$1</f>
        <v>alappatjoe</v>
      </c>
      <c r="F852" s="9">
        <f>IFERROR(AVERAGE(Data[[#This Row],[alappatjoe]:[currydestroyer27]]), "TBD")</f>
        <v>2.8</v>
      </c>
      <c r="G852" s="178">
        <f>IFERROR(_xlfn.STDEV.P(Data[[#This Row],[alappatjoe]:[currydestroyer27]]), "TBD")</f>
        <v>1.1661903789690602</v>
      </c>
      <c r="H852" s="160" t="s">
        <v>1799</v>
      </c>
      <c r="I852" s="186" t="s">
        <v>1492</v>
      </c>
      <c r="J852" s="9">
        <v>1</v>
      </c>
      <c r="K852" s="9">
        <v>2</v>
      </c>
      <c r="L852" s="9">
        <v>4</v>
      </c>
      <c r="M852" s="9">
        <v>3</v>
      </c>
      <c r="N852" s="9">
        <v>4</v>
      </c>
      <c r="O852" s="238">
        <v>797002</v>
      </c>
      <c r="P852" s="234" t="s">
        <v>87</v>
      </c>
      <c r="Q852" s="93" t="s">
        <v>1800</v>
      </c>
      <c r="R8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52" s="93">
        <v>1</v>
      </c>
      <c r="T852" s="93" t="b">
        <f>Data[[#This Row],[Day Rank]]=Data[[#This Row],[W Rank]]</f>
        <v>0</v>
      </c>
      <c r="U852" s="331"/>
    </row>
    <row r="853" spans="1:21" ht="15" customHeight="1">
      <c r="A853" s="326"/>
      <c r="B853" s="326"/>
      <c r="C853" s="339"/>
      <c r="D853" s="81">
        <f>D852</f>
        <v>45768</v>
      </c>
      <c r="E853" s="140" t="str">
        <f>$K$1</f>
        <v>danram</v>
      </c>
      <c r="F853" s="8">
        <f>IFERROR(AVERAGE(Data[[#This Row],[alappatjoe]:[currydestroyer27]]), "TBD")</f>
        <v>3.2</v>
      </c>
      <c r="G853" s="177">
        <f>IFERROR(_xlfn.STDEV.P(Data[[#This Row],[alappatjoe]:[currydestroyer27]]), "TBD")</f>
        <v>1.6</v>
      </c>
      <c r="H853" s="135" t="s">
        <v>1801</v>
      </c>
      <c r="I853" s="229" t="s">
        <v>647</v>
      </c>
      <c r="J853" s="8">
        <v>3</v>
      </c>
      <c r="K853" s="8">
        <v>1</v>
      </c>
      <c r="L853" s="8">
        <v>5</v>
      </c>
      <c r="M853" s="8">
        <v>2</v>
      </c>
      <c r="N853" s="8">
        <v>5</v>
      </c>
      <c r="O853" s="238">
        <v>1430844655</v>
      </c>
      <c r="P853" s="234" t="s">
        <v>120</v>
      </c>
      <c r="Q853" s="93" t="s">
        <v>120</v>
      </c>
      <c r="R8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53" s="93">
        <v>1</v>
      </c>
      <c r="T853" s="93" t="b">
        <f>Data[[#This Row],[Day Rank]]=Data[[#This Row],[W Rank]]</f>
        <v>0</v>
      </c>
      <c r="U853" s="323"/>
    </row>
    <row r="854" spans="1:21" ht="15" customHeight="1">
      <c r="A854" s="326"/>
      <c r="B854" s="326"/>
      <c r="C854" s="339"/>
      <c r="D854" s="81">
        <f>D852</f>
        <v>45768</v>
      </c>
      <c r="E854" s="140" t="str">
        <f>$L$1</f>
        <v>loganworsdell</v>
      </c>
      <c r="F854" s="8">
        <f>IFERROR(AVERAGE(Data[[#This Row],[alappatjoe]:[currydestroyer27]]), "TBD")</f>
        <v>2.8</v>
      </c>
      <c r="G854" s="177">
        <f>IFERROR(_xlfn.STDEV.P(Data[[#This Row],[alappatjoe]:[currydestroyer27]]), "TBD")</f>
        <v>1.1661903789690602</v>
      </c>
      <c r="H854" s="135" t="s">
        <v>1802</v>
      </c>
      <c r="I854" s="229" t="s">
        <v>1803</v>
      </c>
      <c r="J854" s="8">
        <v>2</v>
      </c>
      <c r="K854" s="8">
        <v>4</v>
      </c>
      <c r="L854" s="8">
        <v>1</v>
      </c>
      <c r="M854" s="8">
        <v>4</v>
      </c>
      <c r="N854" s="8">
        <v>3</v>
      </c>
      <c r="O854" s="238">
        <v>6995349</v>
      </c>
      <c r="P854" s="234" t="s">
        <v>293</v>
      </c>
      <c r="Q854" s="93" t="s">
        <v>1804</v>
      </c>
      <c r="R8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54" s="93">
        <v>1</v>
      </c>
      <c r="T854" s="93" t="b">
        <f>Data[[#This Row],[Day Rank]]=Data[[#This Row],[W Rank]]</f>
        <v>0</v>
      </c>
      <c r="U854" s="323"/>
    </row>
    <row r="855" spans="1:21" ht="15" customHeight="1">
      <c r="A855" s="326"/>
      <c r="B855" s="326"/>
      <c r="C855" s="339"/>
      <c r="D855" s="81">
        <f>D852</f>
        <v>45768</v>
      </c>
      <c r="E855" s="140" t="str">
        <f>$M$1</f>
        <v>samuelbattista</v>
      </c>
      <c r="F855" s="8">
        <f>IFERROR(AVERAGE(Data[[#This Row],[alappatjoe]:[currydestroyer27]]), "TBD")</f>
        <v>2.6</v>
      </c>
      <c r="G855" s="177">
        <f>IFERROR(_xlfn.STDEV.P(Data[[#This Row],[alappatjoe]:[currydestroyer27]]), "TBD")</f>
        <v>1.019803902718557</v>
      </c>
      <c r="H855" s="245" t="s">
        <v>1805</v>
      </c>
      <c r="I855" s="229" t="s">
        <v>1806</v>
      </c>
      <c r="J855" s="8">
        <v>4</v>
      </c>
      <c r="K855" s="8">
        <v>3</v>
      </c>
      <c r="L855" s="8">
        <v>3</v>
      </c>
      <c r="M855" s="8">
        <v>1</v>
      </c>
      <c r="N855" s="8">
        <v>2</v>
      </c>
      <c r="O855" s="238">
        <v>354472</v>
      </c>
      <c r="P855" s="234" t="s">
        <v>120</v>
      </c>
      <c r="Q855" s="93" t="s">
        <v>1807</v>
      </c>
      <c r="R8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55" s="93">
        <v>1</v>
      </c>
      <c r="T855" s="93" t="b">
        <f>Data[[#This Row],[Day Rank]]=Data[[#This Row],[W Rank]]</f>
        <v>1</v>
      </c>
      <c r="U855" s="323"/>
    </row>
    <row r="856" spans="1:21" ht="15" customHeight="1" thickBot="1">
      <c r="A856" s="327"/>
      <c r="B856" s="327"/>
      <c r="C856" s="340"/>
      <c r="D856" s="164">
        <f>D852</f>
        <v>45768</v>
      </c>
      <c r="E856" s="215" t="str">
        <f>$N$1</f>
        <v>currydestroyer27</v>
      </c>
      <c r="F856" s="165">
        <f>IFERROR(AVERAGE(Data[[#This Row],[alappatjoe]:[currydestroyer27]]), "TBD")</f>
        <v>3.6</v>
      </c>
      <c r="G856" s="256">
        <f>IFERROR(_xlfn.STDEV.P(Data[[#This Row],[alappatjoe]:[currydestroyer27]]), "TBD")</f>
        <v>1.7435595774162693</v>
      </c>
      <c r="H856" s="227" t="s">
        <v>1808</v>
      </c>
      <c r="I856" s="257" t="s">
        <v>1809</v>
      </c>
      <c r="J856" s="165">
        <v>5</v>
      </c>
      <c r="K856" s="165">
        <v>5</v>
      </c>
      <c r="L856" s="165">
        <v>2</v>
      </c>
      <c r="M856" s="165">
        <v>5</v>
      </c>
      <c r="N856" s="165">
        <v>1</v>
      </c>
      <c r="O856" s="242">
        <v>592309342</v>
      </c>
      <c r="P856" s="237" t="s">
        <v>293</v>
      </c>
      <c r="Q856" s="167" t="s">
        <v>1807</v>
      </c>
      <c r="R85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56" s="167">
        <v>1</v>
      </c>
      <c r="T856" s="167" t="b">
        <f>Data[[#This Row],[Day Rank]]=Data[[#This Row],[W Rank]]</f>
        <v>0</v>
      </c>
      <c r="U856" s="324"/>
    </row>
    <row r="857" spans="1:21" ht="15" customHeight="1">
      <c r="A857" s="325">
        <v>45769</v>
      </c>
      <c r="B857" s="325"/>
      <c r="C857" s="328" t="str" cm="1">
        <f t="array" ref="C857">_xlfn.LET(_xlpm.matches, _xlfn._xlws.FILTER(Data[Poster], (Data[Date]=A857)*(Data[Winner]=TRUE)), IF(ROWS(_xlpm.matches)&gt;1, "TIE", _xlpm.matches))</f>
        <v>loganworsdell</v>
      </c>
      <c r="D857" s="147">
        <f>A857</f>
        <v>45769</v>
      </c>
      <c r="E857" s="181" t="str">
        <f>$J$1</f>
        <v>alappatjoe</v>
      </c>
      <c r="F857" s="9">
        <f>IFERROR(AVERAGE(Data[[#This Row],[alappatjoe]:[currydestroyer27]]), "TBD")</f>
        <v>3.2</v>
      </c>
      <c r="G857" s="178">
        <f>IFERROR(_xlfn.STDEV.P(Data[[#This Row],[alappatjoe]:[currydestroyer27]]), "TBD")</f>
        <v>1.4696938456699069</v>
      </c>
      <c r="H857" s="160" t="s">
        <v>1810</v>
      </c>
      <c r="I857" s="186" t="s">
        <v>1811</v>
      </c>
      <c r="J857" s="9">
        <v>1</v>
      </c>
      <c r="K857" s="9">
        <v>5</v>
      </c>
      <c r="L857" s="9">
        <v>2</v>
      </c>
      <c r="M857" s="9">
        <v>4</v>
      </c>
      <c r="N857" s="9">
        <v>4</v>
      </c>
      <c r="O857" s="238">
        <v>105604</v>
      </c>
      <c r="P857" s="234" t="s">
        <v>170</v>
      </c>
      <c r="Q857" s="93" t="s">
        <v>1812</v>
      </c>
      <c r="R8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57" s="93">
        <v>1</v>
      </c>
      <c r="T857" s="93" t="b">
        <f>Data[[#This Row],[Day Rank]]=Data[[#This Row],[W Rank]]</f>
        <v>0</v>
      </c>
      <c r="U857" s="331"/>
    </row>
    <row r="858" spans="1:21" ht="15" customHeight="1">
      <c r="A858" s="326"/>
      <c r="B858" s="326"/>
      <c r="C858" s="329"/>
      <c r="D858" s="81">
        <f>D857</f>
        <v>45769</v>
      </c>
      <c r="E858" s="140" t="str">
        <f>$K$1</f>
        <v>danram</v>
      </c>
      <c r="F858" s="8">
        <f>IFERROR(AVERAGE(Data[[#This Row],[alappatjoe]:[currydestroyer27]]), "TBD")</f>
        <v>2.6</v>
      </c>
      <c r="G858" s="177">
        <f>IFERROR(_xlfn.STDEV.P(Data[[#This Row],[alappatjoe]:[currydestroyer27]]), "TBD")</f>
        <v>1.019803902718557</v>
      </c>
      <c r="H858" s="135" t="s">
        <v>1813</v>
      </c>
      <c r="I858" s="229" t="s">
        <v>1814</v>
      </c>
      <c r="J858" s="8">
        <v>4</v>
      </c>
      <c r="K858" s="8">
        <v>1</v>
      </c>
      <c r="L858" s="8">
        <v>3</v>
      </c>
      <c r="M858" s="8">
        <v>2</v>
      </c>
      <c r="N858" s="8">
        <v>3</v>
      </c>
      <c r="O858" s="238">
        <v>24832673</v>
      </c>
      <c r="P858" s="234" t="s">
        <v>87</v>
      </c>
      <c r="Q858" s="93" t="s">
        <v>1807</v>
      </c>
      <c r="R8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58" s="93">
        <v>1</v>
      </c>
      <c r="T858" s="93" t="b">
        <f>Data[[#This Row],[Day Rank]]=Data[[#This Row],[W Rank]]</f>
        <v>0</v>
      </c>
      <c r="U858" s="323"/>
    </row>
    <row r="859" spans="1:21" ht="15" customHeight="1">
      <c r="A859" s="326"/>
      <c r="B859" s="326"/>
      <c r="C859" s="329"/>
      <c r="D859" s="81">
        <f>D857</f>
        <v>45769</v>
      </c>
      <c r="E859" s="140" t="str">
        <f>$L$1</f>
        <v>loganworsdell</v>
      </c>
      <c r="F859" s="8">
        <f>IFERROR(AVERAGE(Data[[#This Row],[alappatjoe]:[currydestroyer27]]), "TBD")</f>
        <v>2.4</v>
      </c>
      <c r="G859" s="177">
        <f>IFERROR(_xlfn.STDEV.P(Data[[#This Row],[alappatjoe]:[currydestroyer27]]), "TBD")</f>
        <v>1.019803902718557</v>
      </c>
      <c r="H859" s="135" t="s">
        <v>1815</v>
      </c>
      <c r="I859" s="229" t="s">
        <v>1816</v>
      </c>
      <c r="J859" s="8">
        <v>2</v>
      </c>
      <c r="K859" s="8">
        <v>4</v>
      </c>
      <c r="L859" s="8">
        <v>1</v>
      </c>
      <c r="M859" s="8">
        <v>3</v>
      </c>
      <c r="N859" s="8">
        <v>2</v>
      </c>
      <c r="O859" s="238">
        <v>113745726</v>
      </c>
      <c r="P859" s="234" t="s">
        <v>76</v>
      </c>
      <c r="Q859" s="93" t="s">
        <v>99</v>
      </c>
      <c r="R8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59" s="93">
        <v>1</v>
      </c>
      <c r="T859" s="93" t="b">
        <f>Data[[#This Row],[Day Rank]]=Data[[#This Row],[W Rank]]</f>
        <v>1</v>
      </c>
      <c r="U859" s="323"/>
    </row>
    <row r="860" spans="1:21" ht="15" customHeight="1">
      <c r="A860" s="326"/>
      <c r="B860" s="326"/>
      <c r="C860" s="329"/>
      <c r="D860" s="81">
        <f>D857</f>
        <v>45769</v>
      </c>
      <c r="E860" s="140" t="str">
        <f>$M$1</f>
        <v>samuelbattista</v>
      </c>
      <c r="F860" s="8">
        <f>IFERROR(AVERAGE(Data[[#This Row],[alappatjoe]:[currydestroyer27]]), "TBD")</f>
        <v>3.2</v>
      </c>
      <c r="G860" s="177">
        <f>IFERROR(_xlfn.STDEV.P(Data[[#This Row],[alappatjoe]:[currydestroyer27]]), "TBD")</f>
        <v>1.6</v>
      </c>
      <c r="H860" s="245" t="s">
        <v>1817</v>
      </c>
      <c r="I860" s="229" t="s">
        <v>1818</v>
      </c>
      <c r="J860" s="8">
        <v>3</v>
      </c>
      <c r="K860" s="8">
        <v>2</v>
      </c>
      <c r="L860" s="8">
        <v>5</v>
      </c>
      <c r="M860" s="8">
        <v>1</v>
      </c>
      <c r="N860" s="8">
        <v>5</v>
      </c>
      <c r="O860" s="238">
        <v>1671184</v>
      </c>
      <c r="P860" s="234" t="s">
        <v>87</v>
      </c>
      <c r="Q860" s="93" t="s">
        <v>1807</v>
      </c>
      <c r="R8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60" s="93">
        <v>1</v>
      </c>
      <c r="T860" s="93" t="b">
        <f>Data[[#This Row],[Day Rank]]=Data[[#This Row],[W Rank]]</f>
        <v>0</v>
      </c>
      <c r="U860" s="323"/>
    </row>
    <row r="861" spans="1:21" ht="15" customHeight="1" thickBot="1">
      <c r="A861" s="327"/>
      <c r="B861" s="327"/>
      <c r="C861" s="330"/>
      <c r="D861" s="164">
        <f>D857</f>
        <v>45769</v>
      </c>
      <c r="E861" s="215" t="str">
        <f>$N$1</f>
        <v>currydestroyer27</v>
      </c>
      <c r="F861" s="165">
        <f>IFERROR(AVERAGE(Data[[#This Row],[alappatjoe]:[currydestroyer27]]), "TBD")</f>
        <v>3.6</v>
      </c>
      <c r="G861" s="256">
        <f>IFERROR(_xlfn.STDEV.P(Data[[#This Row],[alappatjoe]:[currydestroyer27]]), "TBD")</f>
        <v>1.4966629547095767</v>
      </c>
      <c r="H861" s="227" t="s">
        <v>1238</v>
      </c>
      <c r="I861" s="257" t="s">
        <v>1819</v>
      </c>
      <c r="J861" s="165">
        <v>5</v>
      </c>
      <c r="K861" s="165">
        <v>3</v>
      </c>
      <c r="L861" s="165">
        <v>4</v>
      </c>
      <c r="M861" s="165">
        <v>5</v>
      </c>
      <c r="N861" s="165">
        <v>1</v>
      </c>
      <c r="O861" s="242">
        <v>1848975</v>
      </c>
      <c r="P861" s="237" t="s">
        <v>51</v>
      </c>
      <c r="Q861" s="167" t="s">
        <v>52</v>
      </c>
      <c r="R86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61" s="167">
        <v>1</v>
      </c>
      <c r="T861" s="167" t="b">
        <f>Data[[#This Row],[Day Rank]]=Data[[#This Row],[W Rank]]</f>
        <v>0</v>
      </c>
      <c r="U861" s="324"/>
    </row>
    <row r="862" spans="1:21" ht="15" customHeight="1">
      <c r="A862" s="325">
        <v>45770</v>
      </c>
      <c r="B862" s="325"/>
      <c r="C862" s="338" t="str" cm="1">
        <f t="array" ref="C862">_xlfn.LET(_xlpm.matches, _xlfn._xlws.FILTER(Data[Poster], (Data[Date]=A862)*(Data[Winner]=TRUE)), IF(ROWS(_xlpm.matches)&gt;1, "TIE", _xlpm.matches))</f>
        <v>currydestroyer27</v>
      </c>
      <c r="D862" s="147">
        <f>A862</f>
        <v>45770</v>
      </c>
      <c r="E862" s="181" t="str">
        <f>$J$1</f>
        <v>alappatjoe</v>
      </c>
      <c r="F862" s="9">
        <f>IFERROR(AVERAGE(Data[[#This Row],[alappatjoe]:[currydestroyer27]]), "TBD")</f>
        <v>2.6</v>
      </c>
      <c r="G862" s="178">
        <f>IFERROR(_xlfn.STDEV.P(Data[[#This Row],[alappatjoe]:[currydestroyer27]]), "TBD")</f>
        <v>1.2</v>
      </c>
      <c r="H862" s="160" t="s">
        <v>1820</v>
      </c>
      <c r="I862" s="186" t="s">
        <v>1821</v>
      </c>
      <c r="J862" s="9">
        <v>1</v>
      </c>
      <c r="K862" s="9">
        <v>4</v>
      </c>
      <c r="L862" s="9">
        <v>2</v>
      </c>
      <c r="M862" s="9">
        <v>4</v>
      </c>
      <c r="N862" s="9">
        <v>2</v>
      </c>
      <c r="O862" s="238">
        <v>119009837</v>
      </c>
      <c r="P862" s="234" t="s">
        <v>87</v>
      </c>
      <c r="Q862" s="93" t="s">
        <v>1807</v>
      </c>
      <c r="R8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62" s="93">
        <v>1</v>
      </c>
      <c r="T862" s="93" t="b">
        <f>Data[[#This Row],[Day Rank]]=Data[[#This Row],[W Rank]]</f>
        <v>0</v>
      </c>
      <c r="U862" s="331"/>
    </row>
    <row r="863" spans="1:21" ht="15" customHeight="1">
      <c r="A863" s="326"/>
      <c r="B863" s="326"/>
      <c r="C863" s="339"/>
      <c r="D863" s="81">
        <f>D862</f>
        <v>45770</v>
      </c>
      <c r="E863" s="140" t="str">
        <f>$K$1</f>
        <v>danram</v>
      </c>
      <c r="F863" s="8">
        <f>IFERROR(AVERAGE(Data[[#This Row],[alappatjoe]:[currydestroyer27]]), "TBD")</f>
        <v>3.2</v>
      </c>
      <c r="G863" s="177">
        <f>IFERROR(_xlfn.STDEV.P(Data[[#This Row],[alappatjoe]:[currydestroyer27]]), "TBD")</f>
        <v>0.9797958971132712</v>
      </c>
      <c r="H863" s="135" t="s">
        <v>1822</v>
      </c>
      <c r="I863" s="229" t="s">
        <v>1823</v>
      </c>
      <c r="J863" s="8">
        <v>3</v>
      </c>
      <c r="K863" s="8">
        <v>3</v>
      </c>
      <c r="L863" s="8">
        <v>5</v>
      </c>
      <c r="M863" s="8">
        <v>2</v>
      </c>
      <c r="N863" s="8">
        <v>3</v>
      </c>
      <c r="O863" s="238">
        <v>318482681</v>
      </c>
      <c r="P863" s="234" t="s">
        <v>120</v>
      </c>
      <c r="Q863" s="93" t="s">
        <v>1824</v>
      </c>
      <c r="R8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63" s="93">
        <v>1</v>
      </c>
      <c r="T863" s="93" t="b">
        <f>Data[[#This Row],[Day Rank]]=Data[[#This Row],[W Rank]]</f>
        <v>0</v>
      </c>
      <c r="U863" s="323"/>
    </row>
    <row r="864" spans="1:21" ht="15" customHeight="1">
      <c r="A864" s="326"/>
      <c r="B864" s="326"/>
      <c r="C864" s="339"/>
      <c r="D864" s="81">
        <f>D862</f>
        <v>45770</v>
      </c>
      <c r="E864" s="140" t="str">
        <f>$L$1</f>
        <v>loganworsdell</v>
      </c>
      <c r="F864" s="8">
        <f>IFERROR(AVERAGE(Data[[#This Row],[alappatjoe]:[currydestroyer27]]), "TBD")</f>
        <v>4.2</v>
      </c>
      <c r="G864" s="177">
        <f>IFERROR(_xlfn.STDEV.P(Data[[#This Row],[alappatjoe]:[currydestroyer27]]), "TBD")</f>
        <v>1.6</v>
      </c>
      <c r="H864" s="135" t="s">
        <v>1825</v>
      </c>
      <c r="I864" s="229" t="s">
        <v>1826</v>
      </c>
      <c r="J864" s="8">
        <v>5</v>
      </c>
      <c r="K864" s="8">
        <v>5</v>
      </c>
      <c r="L864" s="8">
        <v>1</v>
      </c>
      <c r="M864" s="8">
        <v>5</v>
      </c>
      <c r="N864" s="8">
        <v>5</v>
      </c>
      <c r="O864" s="238">
        <v>39814910</v>
      </c>
      <c r="P864" s="234" t="s">
        <v>58</v>
      </c>
      <c r="Q864" s="93" t="s">
        <v>1827</v>
      </c>
      <c r="R8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64" s="93">
        <v>1</v>
      </c>
      <c r="T864" s="93" t="b">
        <f>Data[[#This Row],[Day Rank]]=Data[[#This Row],[W Rank]]</f>
        <v>0</v>
      </c>
      <c r="U864" s="323"/>
    </row>
    <row r="865" spans="1:21" ht="15" customHeight="1">
      <c r="A865" s="326"/>
      <c r="B865" s="326"/>
      <c r="C865" s="339"/>
      <c r="D865" s="81">
        <f>D862</f>
        <v>45770</v>
      </c>
      <c r="E865" s="140" t="str">
        <f>$M$1</f>
        <v>samuelbattista</v>
      </c>
      <c r="F865" s="8">
        <f>IFERROR(AVERAGE(Data[[#This Row],[alappatjoe]:[currydestroyer27]]), "TBD")</f>
        <v>2.6</v>
      </c>
      <c r="G865" s="177">
        <f>IFERROR(_xlfn.STDEV.P(Data[[#This Row],[alappatjoe]:[currydestroyer27]]), "TBD")</f>
        <v>1.3564659966250536</v>
      </c>
      <c r="H865" s="245" t="s">
        <v>1828</v>
      </c>
      <c r="I865" s="229" t="s">
        <v>1829</v>
      </c>
      <c r="J865" s="8">
        <v>4</v>
      </c>
      <c r="K865" s="8">
        <v>1</v>
      </c>
      <c r="L865" s="8">
        <v>3</v>
      </c>
      <c r="M865" s="8">
        <v>1</v>
      </c>
      <c r="N865" s="8">
        <v>4</v>
      </c>
      <c r="O865" s="238">
        <v>36140906</v>
      </c>
      <c r="P865" s="234" t="s">
        <v>120</v>
      </c>
      <c r="Q865" s="93" t="s">
        <v>152</v>
      </c>
      <c r="R8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65" s="93">
        <v>1</v>
      </c>
      <c r="T865" s="93" t="b">
        <f>Data[[#This Row],[Day Rank]]=Data[[#This Row],[W Rank]]</f>
        <v>0</v>
      </c>
      <c r="U865" s="323"/>
    </row>
    <row r="866" spans="1:21" ht="15" customHeight="1" thickBot="1">
      <c r="A866" s="327"/>
      <c r="B866" s="327"/>
      <c r="C866" s="340"/>
      <c r="D866" s="164">
        <f>D862</f>
        <v>45770</v>
      </c>
      <c r="E866" s="215" t="str">
        <f>$N$1</f>
        <v>currydestroyer27</v>
      </c>
      <c r="F866" s="165">
        <f>IFERROR(AVERAGE(Data[[#This Row],[alappatjoe]:[currydestroyer27]]), "TBD")</f>
        <v>2.4</v>
      </c>
      <c r="G866" s="256">
        <f>IFERROR(_xlfn.STDEV.P(Data[[#This Row],[alappatjoe]:[currydestroyer27]]), "TBD")</f>
        <v>1.019803902718557</v>
      </c>
      <c r="H866" s="227" t="s">
        <v>1830</v>
      </c>
      <c r="I866" s="257" t="s">
        <v>1831</v>
      </c>
      <c r="J866" s="165">
        <v>2</v>
      </c>
      <c r="K866" s="165">
        <v>2</v>
      </c>
      <c r="L866" s="165">
        <v>4</v>
      </c>
      <c r="M866" s="165">
        <v>3</v>
      </c>
      <c r="N866" s="165">
        <v>1</v>
      </c>
      <c r="O866" s="242">
        <v>96636947</v>
      </c>
      <c r="P866" s="237"/>
      <c r="Q866" s="167"/>
      <c r="R86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66" s="167">
        <v>1</v>
      </c>
      <c r="T866" s="167" t="b">
        <f>Data[[#This Row],[Day Rank]]=Data[[#This Row],[W Rank]]</f>
        <v>1</v>
      </c>
      <c r="U866" s="324"/>
    </row>
    <row r="867" spans="1:21" ht="15" customHeight="1">
      <c r="A867" s="325">
        <v>45771</v>
      </c>
      <c r="B867" s="325"/>
      <c r="C867" s="328" t="str" cm="1">
        <f t="array" ref="C867">_xlfn.LET(_xlpm.matches, _xlfn._xlws.FILTER(Data[Poster], (Data[Date]=A867)*(Data[Winner]=TRUE)), IF(ROWS(_xlpm.matches)&gt;1, "TIE", _xlpm.matches))</f>
        <v>samuelbattista</v>
      </c>
      <c r="D867" s="147">
        <f>A867</f>
        <v>45771</v>
      </c>
      <c r="E867" s="181" t="str">
        <f>$J$1</f>
        <v>alappatjoe</v>
      </c>
      <c r="F867" s="9">
        <f>IFERROR(AVERAGE(Data[[#This Row],[alappatjoe]:[currydestroyer27]]), "TBD")</f>
        <v>3.6</v>
      </c>
      <c r="G867" s="178">
        <f>IFERROR(_xlfn.STDEV.P(Data[[#This Row],[alappatjoe]:[currydestroyer27]]), "TBD")</f>
        <v>1.3564659966250536</v>
      </c>
      <c r="H867" s="160" t="s">
        <v>1832</v>
      </c>
      <c r="I867" s="186" t="s">
        <v>730</v>
      </c>
      <c r="J867" s="9">
        <v>1</v>
      </c>
      <c r="K867" s="9">
        <v>5</v>
      </c>
      <c r="L867" s="9">
        <v>4</v>
      </c>
      <c r="M867" s="9">
        <v>4</v>
      </c>
      <c r="N867" s="9">
        <v>4</v>
      </c>
      <c r="O867" s="238">
        <v>614108436</v>
      </c>
      <c r="P867" s="234" t="s">
        <v>69</v>
      </c>
      <c r="Q867" s="93" t="s">
        <v>69</v>
      </c>
      <c r="R8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67" s="93">
        <v>1</v>
      </c>
      <c r="T867" s="93" t="b">
        <f>Data[[#This Row],[Day Rank]]=Data[[#This Row],[W Rank]]</f>
        <v>0</v>
      </c>
      <c r="U867" s="331" t="s">
        <v>1833</v>
      </c>
    </row>
    <row r="868" spans="1:21" ht="15" customHeight="1">
      <c r="A868" s="326"/>
      <c r="B868" s="326"/>
      <c r="C868" s="329"/>
      <c r="D868" s="81">
        <f>D867</f>
        <v>45771</v>
      </c>
      <c r="E868" s="140" t="str">
        <f>$K$1</f>
        <v>danram</v>
      </c>
      <c r="F868" s="8">
        <f>IFERROR(AVERAGE(Data[[#This Row],[alappatjoe]:[currydestroyer27]]), "TBD")</f>
        <v>4.5999999999999996</v>
      </c>
      <c r="G868" s="177">
        <f>IFERROR(_xlfn.STDEV.P(Data[[#This Row],[alappatjoe]:[currydestroyer27]]), "TBD")</f>
        <v>0.8</v>
      </c>
      <c r="H868" s="135" t="s">
        <v>1834</v>
      </c>
      <c r="I868" s="229" t="s">
        <v>1835</v>
      </c>
      <c r="J868" s="8">
        <v>5</v>
      </c>
      <c r="K868" s="8">
        <v>3</v>
      </c>
      <c r="L868" s="8">
        <v>5</v>
      </c>
      <c r="M868" s="8">
        <v>5</v>
      </c>
      <c r="N868" s="8">
        <v>5</v>
      </c>
      <c r="O868" s="238">
        <v>207655665</v>
      </c>
      <c r="P868" s="234" t="s">
        <v>632</v>
      </c>
      <c r="Q868" s="93" t="s">
        <v>632</v>
      </c>
      <c r="R8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68" s="93">
        <v>1</v>
      </c>
      <c r="T868" s="93" t="b">
        <f>Data[[#This Row],[Day Rank]]=Data[[#This Row],[W Rank]]</f>
        <v>0</v>
      </c>
      <c r="U868" s="323"/>
    </row>
    <row r="869" spans="1:21" ht="15" customHeight="1">
      <c r="A869" s="326"/>
      <c r="B869" s="326"/>
      <c r="C869" s="329"/>
      <c r="D869" s="81">
        <f>D867</f>
        <v>45771</v>
      </c>
      <c r="E869" s="140" t="str">
        <f>$L$1</f>
        <v>loganworsdell</v>
      </c>
      <c r="F869" s="8">
        <f>IFERROR(AVERAGE(Data[[#This Row],[alappatjoe]:[currydestroyer27]]), "TBD")</f>
        <v>2.8</v>
      </c>
      <c r="G869" s="177">
        <f>IFERROR(_xlfn.STDEV.P(Data[[#This Row],[alappatjoe]:[currydestroyer27]]), "TBD")</f>
        <v>0.9797958971132712</v>
      </c>
      <c r="H869" s="135" t="s">
        <v>1836</v>
      </c>
      <c r="I869" s="229" t="s">
        <v>1837</v>
      </c>
      <c r="J869" s="8">
        <v>3</v>
      </c>
      <c r="K869" s="8">
        <v>4</v>
      </c>
      <c r="L869" s="8">
        <v>1</v>
      </c>
      <c r="M869" s="8">
        <v>3</v>
      </c>
      <c r="N869" s="8">
        <v>3</v>
      </c>
      <c r="O869" s="238">
        <v>10620704</v>
      </c>
      <c r="P869" s="234" t="s">
        <v>293</v>
      </c>
      <c r="Q869" s="93" t="s">
        <v>1838</v>
      </c>
      <c r="R8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69" s="93">
        <v>1</v>
      </c>
      <c r="T869" s="93" t="b">
        <f>Data[[#This Row],[Day Rank]]=Data[[#This Row],[W Rank]]</f>
        <v>0</v>
      </c>
      <c r="U869" s="323"/>
    </row>
    <row r="870" spans="1:21" ht="15" customHeight="1">
      <c r="A870" s="326"/>
      <c r="B870" s="326"/>
      <c r="C870" s="329"/>
      <c r="D870" s="81">
        <f>D867</f>
        <v>45771</v>
      </c>
      <c r="E870" s="140" t="str">
        <f>$M$1</f>
        <v>samuelbattista</v>
      </c>
      <c r="F870" s="8">
        <f>IFERROR(AVERAGE(Data[[#This Row],[alappatjoe]:[currydestroyer27]]), "TBD")</f>
        <v>1.6</v>
      </c>
      <c r="G870" s="177">
        <f>IFERROR(_xlfn.STDEV.P(Data[[#This Row],[alappatjoe]:[currydestroyer27]]), "TBD")</f>
        <v>0.4898979485566356</v>
      </c>
      <c r="H870" s="245" t="s">
        <v>1839</v>
      </c>
      <c r="I870" s="229" t="s">
        <v>1840</v>
      </c>
      <c r="J870" s="8">
        <v>2</v>
      </c>
      <c r="K870" s="8">
        <v>1</v>
      </c>
      <c r="L870" s="8">
        <v>2</v>
      </c>
      <c r="M870" s="8">
        <v>1</v>
      </c>
      <c r="N870" s="8">
        <v>2</v>
      </c>
      <c r="O870" s="238">
        <v>14289930</v>
      </c>
      <c r="P870" s="234"/>
      <c r="Q870" s="93"/>
      <c r="R8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70" s="93">
        <v>1</v>
      </c>
      <c r="T870" s="93" t="b">
        <f>Data[[#This Row],[Day Rank]]=Data[[#This Row],[W Rank]]</f>
        <v>1</v>
      </c>
      <c r="U870" s="323"/>
    </row>
    <row r="871" spans="1:21" ht="15" customHeight="1" thickBot="1">
      <c r="A871" s="327"/>
      <c r="B871" s="327"/>
      <c r="C871" s="330"/>
      <c r="D871" s="164">
        <f>D867</f>
        <v>45771</v>
      </c>
      <c r="E871" s="215" t="str">
        <f>$N$1</f>
        <v>currydestroyer27</v>
      </c>
      <c r="F871" s="165">
        <f>IFERROR(AVERAGE(Data[[#This Row],[alappatjoe]:[currydestroyer27]]), "TBD")</f>
        <v>2.4</v>
      </c>
      <c r="G871" s="256">
        <f>IFERROR(_xlfn.STDEV.P(Data[[#This Row],[alappatjoe]:[currydestroyer27]]), "TBD")</f>
        <v>1.019803902718557</v>
      </c>
      <c r="H871" s="227" t="s">
        <v>1841</v>
      </c>
      <c r="I871" s="257" t="s">
        <v>1842</v>
      </c>
      <c r="J871" s="165">
        <v>4</v>
      </c>
      <c r="K871" s="165">
        <v>2</v>
      </c>
      <c r="L871" s="165">
        <v>3</v>
      </c>
      <c r="M871" s="165">
        <v>2</v>
      </c>
      <c r="N871" s="165">
        <v>1</v>
      </c>
      <c r="O871" s="242">
        <v>128307668</v>
      </c>
      <c r="P871" s="237" t="s">
        <v>120</v>
      </c>
      <c r="Q871" s="167" t="s">
        <v>152</v>
      </c>
      <c r="R87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71" s="167">
        <v>1</v>
      </c>
      <c r="T871" s="167" t="b">
        <f>Data[[#This Row],[Day Rank]]=Data[[#This Row],[W Rank]]</f>
        <v>0</v>
      </c>
      <c r="U871" s="324"/>
    </row>
    <row r="872" spans="1:21" ht="15" customHeight="1">
      <c r="A872" s="325">
        <v>45775</v>
      </c>
      <c r="B872" s="325"/>
      <c r="C872" s="338" t="str" cm="1">
        <f t="array" ref="C872">_xlfn.LET(_xlpm.matches, _xlfn._xlws.FILTER(Data[Poster], (Data[Date]=A872)*(Data[Winner]=TRUE)), IF(ROWS(_xlpm.matches)&gt;1, "TIE", _xlpm.matches))</f>
        <v>currydestroyer27</v>
      </c>
      <c r="D872" s="147">
        <f>A872</f>
        <v>45775</v>
      </c>
      <c r="E872" s="181" t="str">
        <f>$J$1</f>
        <v>alappatjoe</v>
      </c>
      <c r="F872" s="9">
        <f>IFERROR(AVERAGE(Data[[#This Row],[alappatjoe]:[currydestroyer27]]), "TBD")</f>
        <v>2.6</v>
      </c>
      <c r="G872" s="178">
        <f>IFERROR(_xlfn.STDEV.P(Data[[#This Row],[alappatjoe]:[currydestroyer27]]), "TBD")</f>
        <v>1.6248076809271921</v>
      </c>
      <c r="H872" s="160" t="s">
        <v>1843</v>
      </c>
      <c r="I872" s="186" t="s">
        <v>1844</v>
      </c>
      <c r="J872" s="9">
        <v>1</v>
      </c>
      <c r="K872" s="9">
        <v>5</v>
      </c>
      <c r="L872" s="9">
        <v>1</v>
      </c>
      <c r="M872" s="9">
        <v>4</v>
      </c>
      <c r="N872" s="9">
        <v>2</v>
      </c>
      <c r="O872" s="238">
        <v>2863740</v>
      </c>
      <c r="P872" s="234" t="s">
        <v>76</v>
      </c>
      <c r="Q872" s="93" t="s">
        <v>99</v>
      </c>
      <c r="R8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72" s="93">
        <v>1</v>
      </c>
      <c r="T872" s="93" t="b">
        <f>Data[[#This Row],[Day Rank]]=Data[[#This Row],[W Rank]]</f>
        <v>0</v>
      </c>
      <c r="U872" s="331"/>
    </row>
    <row r="873" spans="1:21" ht="15" customHeight="1">
      <c r="A873" s="326"/>
      <c r="B873" s="326"/>
      <c r="C873" s="339"/>
      <c r="D873" s="81">
        <f>D872</f>
        <v>45775</v>
      </c>
      <c r="E873" s="140" t="str">
        <f>$K$1</f>
        <v>danram</v>
      </c>
      <c r="F873" s="8">
        <f>IFERROR(AVERAGE(Data[[#This Row],[alappatjoe]:[currydestroyer27]]), "TBD")</f>
        <v>2.8</v>
      </c>
      <c r="G873" s="177">
        <f>IFERROR(_xlfn.STDEV.P(Data[[#This Row],[alappatjoe]:[currydestroyer27]]), "TBD")</f>
        <v>0.9797958971132712</v>
      </c>
      <c r="H873" s="135" t="s">
        <v>1845</v>
      </c>
      <c r="I873" s="229" t="s">
        <v>1816</v>
      </c>
      <c r="J873" s="8">
        <v>3</v>
      </c>
      <c r="K873" s="8">
        <v>1</v>
      </c>
      <c r="L873" s="8">
        <v>3</v>
      </c>
      <c r="M873" s="8">
        <v>3</v>
      </c>
      <c r="N873" s="8">
        <v>4</v>
      </c>
      <c r="O873" s="238">
        <v>470179000</v>
      </c>
      <c r="P873" s="234" t="s">
        <v>76</v>
      </c>
      <c r="Q873" s="93" t="s">
        <v>99</v>
      </c>
      <c r="R8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73" s="93">
        <v>1</v>
      </c>
      <c r="T873" s="93" t="b">
        <f>Data[[#This Row],[Day Rank]]=Data[[#This Row],[W Rank]]</f>
        <v>0</v>
      </c>
      <c r="U873" s="323"/>
    </row>
    <row r="874" spans="1:21" ht="15" customHeight="1">
      <c r="A874" s="326"/>
      <c r="B874" s="326"/>
      <c r="C874" s="339"/>
      <c r="D874" s="81">
        <f>D872</f>
        <v>45775</v>
      </c>
      <c r="E874" s="140" t="str">
        <f>$L$1</f>
        <v>loganworsdell</v>
      </c>
      <c r="F874" s="8">
        <f>IFERROR(AVERAGE(Data[[#This Row],[alappatjoe]:[currydestroyer27]]), "TBD")</f>
        <v>3.8</v>
      </c>
      <c r="G874" s="177">
        <f>IFERROR(_xlfn.STDEV.P(Data[[#This Row],[alappatjoe]:[currydestroyer27]]), "TBD")</f>
        <v>1.1661903789690602</v>
      </c>
      <c r="H874" s="135" t="s">
        <v>1846</v>
      </c>
      <c r="I874" s="229" t="s">
        <v>1847</v>
      </c>
      <c r="J874" s="8">
        <v>5</v>
      </c>
      <c r="K874" s="8">
        <v>4</v>
      </c>
      <c r="L874" s="8">
        <v>2</v>
      </c>
      <c r="M874" s="8">
        <v>5</v>
      </c>
      <c r="N874" s="8">
        <v>3</v>
      </c>
      <c r="O874" s="238">
        <v>2848185</v>
      </c>
      <c r="P874" s="234" t="s">
        <v>76</v>
      </c>
      <c r="Q874" s="93" t="s">
        <v>99</v>
      </c>
      <c r="R8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74" s="93">
        <v>1</v>
      </c>
      <c r="T874" s="93" t="b">
        <f>Data[[#This Row],[Day Rank]]=Data[[#This Row],[W Rank]]</f>
        <v>0</v>
      </c>
      <c r="U874" s="323"/>
    </row>
    <row r="875" spans="1:21" ht="15" customHeight="1">
      <c r="A875" s="326"/>
      <c r="B875" s="326"/>
      <c r="C875" s="339"/>
      <c r="D875" s="81">
        <f>D872</f>
        <v>45775</v>
      </c>
      <c r="E875" s="140" t="str">
        <f>$M$1</f>
        <v>samuelbattista</v>
      </c>
      <c r="F875" s="8">
        <f>IFERROR(AVERAGE(Data[[#This Row],[alappatjoe]:[currydestroyer27]]), "TBD")</f>
        <v>3.2</v>
      </c>
      <c r="G875" s="177">
        <f>IFERROR(_xlfn.STDEV.P(Data[[#This Row],[alappatjoe]:[currydestroyer27]]), "TBD")</f>
        <v>1.6</v>
      </c>
      <c r="H875" s="245" t="s">
        <v>1848</v>
      </c>
      <c r="I875" s="229" t="s">
        <v>1849</v>
      </c>
      <c r="J875" s="8">
        <v>2</v>
      </c>
      <c r="K875" s="8">
        <v>3</v>
      </c>
      <c r="L875" s="8">
        <v>5</v>
      </c>
      <c r="M875" s="8">
        <v>1</v>
      </c>
      <c r="N875" s="8">
        <v>5</v>
      </c>
      <c r="O875" s="238">
        <v>8745378</v>
      </c>
      <c r="P875" s="234" t="s">
        <v>76</v>
      </c>
      <c r="Q875" s="93" t="s">
        <v>1850</v>
      </c>
      <c r="R8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75" s="93">
        <v>1</v>
      </c>
      <c r="T875" s="93" t="b">
        <f>Data[[#This Row],[Day Rank]]=Data[[#This Row],[W Rank]]</f>
        <v>0</v>
      </c>
      <c r="U875" s="323"/>
    </row>
    <row r="876" spans="1:21" ht="15" customHeight="1" thickBot="1">
      <c r="A876" s="327"/>
      <c r="B876" s="327"/>
      <c r="C876" s="340"/>
      <c r="D876" s="164">
        <f>D872</f>
        <v>45775</v>
      </c>
      <c r="E876" s="215" t="str">
        <f>$N$1</f>
        <v>currydestroyer27</v>
      </c>
      <c r="F876" s="165">
        <f>IFERROR(AVERAGE(Data[[#This Row],[alappatjoe]:[currydestroyer27]]), "TBD")</f>
        <v>2.6</v>
      </c>
      <c r="G876" s="256">
        <f>IFERROR(_xlfn.STDEV.P(Data[[#This Row],[alappatjoe]:[currydestroyer27]]), "TBD")</f>
        <v>1.2</v>
      </c>
      <c r="H876" s="227" t="s">
        <v>1851</v>
      </c>
      <c r="I876" s="257" t="s">
        <v>1852</v>
      </c>
      <c r="J876" s="165">
        <v>4</v>
      </c>
      <c r="K876" s="165">
        <v>2</v>
      </c>
      <c r="L876" s="165">
        <v>4</v>
      </c>
      <c r="M876" s="165">
        <v>2</v>
      </c>
      <c r="N876" s="165">
        <v>1</v>
      </c>
      <c r="O876" s="242">
        <v>20339334</v>
      </c>
      <c r="P876" s="237" t="s">
        <v>76</v>
      </c>
      <c r="Q876" s="167" t="s">
        <v>590</v>
      </c>
      <c r="R87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76" s="167">
        <v>1</v>
      </c>
      <c r="T876" s="167" t="b">
        <f>Data[[#This Row],[Day Rank]]=Data[[#This Row],[W Rank]]</f>
        <v>1</v>
      </c>
      <c r="U876" s="324"/>
    </row>
    <row r="877" spans="1:21" ht="15" customHeight="1">
      <c r="A877" s="325">
        <v>45776</v>
      </c>
      <c r="B877" s="325"/>
      <c r="C877" s="328" t="str" cm="1">
        <f t="array" ref="C877">_xlfn.LET(_xlpm.matches, _xlfn._xlws.FILTER(Data[Poster], (Data[Date]=A877)*(Data[Winner]=TRUE)), IF(ROWS(_xlpm.matches)&gt;1, "TIE", _xlpm.matches))</f>
        <v>loganworsdell</v>
      </c>
      <c r="D877" s="147">
        <f>A877</f>
        <v>45776</v>
      </c>
      <c r="E877" s="181" t="str">
        <f>$J$1</f>
        <v>alappatjoe</v>
      </c>
      <c r="F877" s="9">
        <f>IFERROR(AVERAGE(Data[[#This Row],[alappatjoe]:[currydestroyer27]]), "TBD")</f>
        <v>3.2</v>
      </c>
      <c r="G877" s="178">
        <f>IFERROR(_xlfn.STDEV.P(Data[[#This Row],[alappatjoe]:[currydestroyer27]]), "TBD")</f>
        <v>1.6</v>
      </c>
      <c r="H877" s="160" t="s">
        <v>1853</v>
      </c>
      <c r="I877" s="186" t="s">
        <v>655</v>
      </c>
      <c r="J877" s="9">
        <v>1</v>
      </c>
      <c r="K877" s="9">
        <v>5</v>
      </c>
      <c r="L877" s="9">
        <v>5</v>
      </c>
      <c r="M877" s="9">
        <v>2</v>
      </c>
      <c r="N877" s="9">
        <v>3</v>
      </c>
      <c r="O877" s="238">
        <v>72492095</v>
      </c>
      <c r="P877" s="234" t="s">
        <v>76</v>
      </c>
      <c r="Q877" s="93" t="s">
        <v>99</v>
      </c>
      <c r="R8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77" s="93">
        <v>1</v>
      </c>
      <c r="T877" s="93" t="b">
        <f>Data[[#This Row],[Day Rank]]=Data[[#This Row],[W Rank]]</f>
        <v>0</v>
      </c>
      <c r="U877" s="331"/>
    </row>
    <row r="878" spans="1:21" ht="15" customHeight="1">
      <c r="A878" s="326"/>
      <c r="B878" s="326"/>
      <c r="C878" s="329"/>
      <c r="D878" s="81">
        <f>D877</f>
        <v>45776</v>
      </c>
      <c r="E878" s="140" t="str">
        <f>$K$1</f>
        <v>danram</v>
      </c>
      <c r="F878" s="8">
        <f>IFERROR(AVERAGE(Data[[#This Row],[alappatjoe]:[currydestroyer27]]), "TBD")</f>
        <v>4.2</v>
      </c>
      <c r="G878" s="177">
        <f>IFERROR(_xlfn.STDEV.P(Data[[#This Row],[alappatjoe]:[currydestroyer27]]), "TBD")</f>
        <v>0.74833147735478833</v>
      </c>
      <c r="H878" s="135" t="s">
        <v>1854</v>
      </c>
      <c r="I878" s="229" t="s">
        <v>657</v>
      </c>
      <c r="J878" s="8">
        <v>3</v>
      </c>
      <c r="K878" s="8">
        <v>4</v>
      </c>
      <c r="L878" s="8">
        <v>4</v>
      </c>
      <c r="M878" s="8">
        <v>5</v>
      </c>
      <c r="N878" s="8">
        <v>5</v>
      </c>
      <c r="O878" s="238">
        <v>2206182</v>
      </c>
      <c r="P878" s="234" t="s">
        <v>76</v>
      </c>
      <c r="Q878" s="93" t="s">
        <v>1855</v>
      </c>
      <c r="R8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78" s="93">
        <v>1</v>
      </c>
      <c r="T878" s="93" t="b">
        <f>Data[[#This Row],[Day Rank]]=Data[[#This Row],[W Rank]]</f>
        <v>0</v>
      </c>
      <c r="U878" s="323"/>
    </row>
    <row r="879" spans="1:21" ht="15" customHeight="1">
      <c r="A879" s="326"/>
      <c r="B879" s="326"/>
      <c r="C879" s="329"/>
      <c r="D879" s="81">
        <f>D877</f>
        <v>45776</v>
      </c>
      <c r="E879" s="140" t="str">
        <f>$L$1</f>
        <v>loganworsdell</v>
      </c>
      <c r="F879" s="8">
        <f>IFERROR(AVERAGE(Data[[#This Row],[alappatjoe]:[currydestroyer27]]), "TBD")</f>
        <v>2.4</v>
      </c>
      <c r="G879" s="177">
        <f>IFERROR(_xlfn.STDEV.P(Data[[#This Row],[alappatjoe]:[currydestroyer27]]), "TBD")</f>
        <v>1.019803902718557</v>
      </c>
      <c r="H879" s="135" t="s">
        <v>1856</v>
      </c>
      <c r="I879" s="229" t="s">
        <v>350</v>
      </c>
      <c r="J879" s="8">
        <v>4</v>
      </c>
      <c r="K879" s="8">
        <v>1</v>
      </c>
      <c r="L879" s="8">
        <v>2</v>
      </c>
      <c r="M879" s="8">
        <v>3</v>
      </c>
      <c r="N879" s="8">
        <v>2</v>
      </c>
      <c r="O879" s="238">
        <v>1678417</v>
      </c>
      <c r="P879" s="234" t="s">
        <v>293</v>
      </c>
      <c r="Q879" s="93" t="s">
        <v>1857</v>
      </c>
      <c r="R8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79" s="93">
        <v>1</v>
      </c>
      <c r="T879" s="93" t="b">
        <f>Data[[#This Row],[Day Rank]]=Data[[#This Row],[W Rank]]</f>
        <v>1</v>
      </c>
      <c r="U879" s="323"/>
    </row>
    <row r="880" spans="1:21" ht="15" customHeight="1">
      <c r="A880" s="326"/>
      <c r="B880" s="326"/>
      <c r="C880" s="329"/>
      <c r="D880" s="81">
        <f>D877</f>
        <v>45776</v>
      </c>
      <c r="E880" s="140" t="str">
        <f>$M$1</f>
        <v>samuelbattista</v>
      </c>
      <c r="F880" s="8">
        <f>IFERROR(AVERAGE(Data[[#This Row],[alappatjoe]:[currydestroyer27]]), "TBD")</f>
        <v>2.6</v>
      </c>
      <c r="G880" s="177">
        <f>IFERROR(_xlfn.STDEV.P(Data[[#This Row],[alappatjoe]:[currydestroyer27]]), "TBD")</f>
        <v>1.6248076809271921</v>
      </c>
      <c r="H880" s="245" t="s">
        <v>1858</v>
      </c>
      <c r="I880" s="229" t="s">
        <v>1617</v>
      </c>
      <c r="J880" s="8">
        <v>5</v>
      </c>
      <c r="K880" s="8">
        <v>2</v>
      </c>
      <c r="L880" s="8">
        <v>1</v>
      </c>
      <c r="M880" s="8">
        <v>1</v>
      </c>
      <c r="N880" s="8">
        <v>4</v>
      </c>
      <c r="O880" s="238">
        <v>500778744</v>
      </c>
      <c r="P880" s="234" t="s">
        <v>120</v>
      </c>
      <c r="Q880" s="93" t="s">
        <v>368</v>
      </c>
      <c r="R8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80" s="93">
        <v>1</v>
      </c>
      <c r="T880" s="93" t="b">
        <f>Data[[#This Row],[Day Rank]]=Data[[#This Row],[W Rank]]</f>
        <v>0</v>
      </c>
      <c r="U880" s="323"/>
    </row>
    <row r="881" spans="1:21" ht="15" customHeight="1" thickBot="1">
      <c r="A881" s="327"/>
      <c r="B881" s="327"/>
      <c r="C881" s="330"/>
      <c r="D881" s="164">
        <f>D877</f>
        <v>45776</v>
      </c>
      <c r="E881" s="215" t="str">
        <f>$N$1</f>
        <v>currydestroyer27</v>
      </c>
      <c r="F881" s="165">
        <f>IFERROR(AVERAGE(Data[[#This Row],[alappatjoe]:[currydestroyer27]]), "TBD")</f>
        <v>2.6</v>
      </c>
      <c r="G881" s="256">
        <f>IFERROR(_xlfn.STDEV.P(Data[[#This Row],[alappatjoe]:[currydestroyer27]]), "TBD")</f>
        <v>1.019803902718557</v>
      </c>
      <c r="H881" s="227" t="s">
        <v>1859</v>
      </c>
      <c r="I881" s="257" t="s">
        <v>1860</v>
      </c>
      <c r="J881" s="165">
        <v>2</v>
      </c>
      <c r="K881" s="165">
        <v>3</v>
      </c>
      <c r="L881" s="165">
        <v>3</v>
      </c>
      <c r="M881" s="165">
        <v>4</v>
      </c>
      <c r="N881" s="165">
        <v>1</v>
      </c>
      <c r="O881" s="242">
        <v>173182447</v>
      </c>
      <c r="P881" s="237" t="s">
        <v>87</v>
      </c>
      <c r="Q881" s="167" t="s">
        <v>613</v>
      </c>
      <c r="R88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81" s="167">
        <v>1</v>
      </c>
      <c r="T881" s="167" t="b">
        <f>Data[[#This Row],[Day Rank]]=Data[[#This Row],[W Rank]]</f>
        <v>0</v>
      </c>
      <c r="U881" s="324"/>
    </row>
    <row r="882" spans="1:21" ht="15" customHeight="1">
      <c r="A882" s="325">
        <v>45777</v>
      </c>
      <c r="B882" s="325"/>
      <c r="C882" s="338" t="str" cm="1">
        <f t="array" ref="C882">_xlfn.LET(_xlpm.matches, _xlfn._xlws.FILTER(Data[Poster], (Data[Date]=A882)*(Data[Winner]=TRUE)), IF(ROWS(_xlpm.matches)&gt;1, "TIE", _xlpm.matches))</f>
        <v>currydestroyer27</v>
      </c>
      <c r="D882" s="147">
        <f>A882</f>
        <v>45777</v>
      </c>
      <c r="E882" s="181" t="str">
        <f>$J$1</f>
        <v>alappatjoe</v>
      </c>
      <c r="F882" s="9">
        <f>IFERROR(AVERAGE(Data[[#This Row],[alappatjoe]:[currydestroyer27]]), "TBD")</f>
        <v>2.4</v>
      </c>
      <c r="G882" s="178">
        <f>IFERROR(_xlfn.STDEV.P(Data[[#This Row],[alappatjoe]:[currydestroyer27]]), "TBD")</f>
        <v>0.8</v>
      </c>
      <c r="H882" s="160" t="s">
        <v>1861</v>
      </c>
      <c r="I882" s="186" t="s">
        <v>1862</v>
      </c>
      <c r="J882" s="9">
        <v>1</v>
      </c>
      <c r="K882" s="9">
        <v>2</v>
      </c>
      <c r="L882" s="9">
        <v>3</v>
      </c>
      <c r="M882" s="9">
        <v>3</v>
      </c>
      <c r="N882" s="9">
        <v>3</v>
      </c>
      <c r="O882" s="238">
        <v>40864035</v>
      </c>
      <c r="P882" s="234" t="s">
        <v>87</v>
      </c>
      <c r="Q882" s="93" t="s">
        <v>1800</v>
      </c>
      <c r="R8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82" s="93">
        <v>1</v>
      </c>
      <c r="T882" s="93" t="b">
        <f>Data[[#This Row],[Day Rank]]=Data[[#This Row],[W Rank]]</f>
        <v>0</v>
      </c>
      <c r="U882" s="331"/>
    </row>
    <row r="883" spans="1:21" ht="15" customHeight="1">
      <c r="A883" s="326"/>
      <c r="B883" s="326"/>
      <c r="C883" s="339"/>
      <c r="D883" s="81">
        <f>D882</f>
        <v>45777</v>
      </c>
      <c r="E883" s="140" t="str">
        <f>$K$1</f>
        <v>danram</v>
      </c>
      <c r="F883" s="8">
        <f>IFERROR(AVERAGE(Data[[#This Row],[alappatjoe]:[currydestroyer27]]), "TBD")</f>
        <v>3.4</v>
      </c>
      <c r="G883" s="177">
        <f>IFERROR(_xlfn.STDEV.P(Data[[#This Row],[alappatjoe]:[currydestroyer27]]), "TBD")</f>
        <v>1.3564659966250536</v>
      </c>
      <c r="H883" s="135" t="s">
        <v>1863</v>
      </c>
      <c r="I883" s="229" t="s">
        <v>1864</v>
      </c>
      <c r="J883" s="8">
        <v>3</v>
      </c>
      <c r="K883" s="8">
        <v>1</v>
      </c>
      <c r="L883" s="8">
        <v>5</v>
      </c>
      <c r="M883" s="8">
        <v>4</v>
      </c>
      <c r="N883" s="8">
        <v>4</v>
      </c>
      <c r="O883" s="238">
        <v>5117632</v>
      </c>
      <c r="P883" s="234" t="s">
        <v>87</v>
      </c>
      <c r="Q883" s="93"/>
      <c r="R8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83" s="93">
        <v>1</v>
      </c>
      <c r="T883" s="93" t="b">
        <f>Data[[#This Row],[Day Rank]]=Data[[#This Row],[W Rank]]</f>
        <v>0</v>
      </c>
      <c r="U883" s="323"/>
    </row>
    <row r="884" spans="1:21" ht="15" customHeight="1">
      <c r="A884" s="326"/>
      <c r="B884" s="326"/>
      <c r="C884" s="339"/>
      <c r="D884" s="81">
        <f>D882</f>
        <v>45777</v>
      </c>
      <c r="E884" s="140" t="str">
        <f>$L$1</f>
        <v>loganworsdell</v>
      </c>
      <c r="F884" s="8">
        <f>IFERROR(AVERAGE(Data[[#This Row],[alappatjoe]:[currydestroyer27]]), "TBD")</f>
        <v>4.2</v>
      </c>
      <c r="G884" s="177">
        <f>IFERROR(_xlfn.STDEV.P(Data[[#This Row],[alappatjoe]:[currydestroyer27]]), "TBD")</f>
        <v>1.6</v>
      </c>
      <c r="H884" s="135" t="s">
        <v>1865</v>
      </c>
      <c r="I884" s="229" t="s">
        <v>1866</v>
      </c>
      <c r="J884" s="8">
        <v>5</v>
      </c>
      <c r="K884" s="8">
        <v>5</v>
      </c>
      <c r="L884" s="8">
        <v>1</v>
      </c>
      <c r="M884" s="8">
        <v>5</v>
      </c>
      <c r="N884" s="8">
        <v>5</v>
      </c>
      <c r="O884" s="238">
        <v>69212608</v>
      </c>
      <c r="P884" s="234" t="s">
        <v>51</v>
      </c>
      <c r="Q884" s="93" t="s">
        <v>512</v>
      </c>
      <c r="R8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84" s="93">
        <v>1</v>
      </c>
      <c r="T884" s="93" t="b">
        <f>Data[[#This Row],[Day Rank]]=Data[[#This Row],[W Rank]]</f>
        <v>0</v>
      </c>
      <c r="U884" s="323"/>
    </row>
    <row r="885" spans="1:21" ht="15" customHeight="1">
      <c r="A885" s="326"/>
      <c r="B885" s="326"/>
      <c r="C885" s="339"/>
      <c r="D885" s="81">
        <f>D882</f>
        <v>45777</v>
      </c>
      <c r="E885" s="140" t="str">
        <f>$M$1</f>
        <v>samuelbattista</v>
      </c>
      <c r="F885" s="8">
        <f>IFERROR(AVERAGE(Data[[#This Row],[alappatjoe]:[currydestroyer27]]), "TBD")</f>
        <v>3</v>
      </c>
      <c r="G885" s="177">
        <f>IFERROR(_xlfn.STDEV.P(Data[[#This Row],[alappatjoe]:[currydestroyer27]]), "TBD")</f>
        <v>1.2649110640673518</v>
      </c>
      <c r="H885" s="245" t="s">
        <v>1867</v>
      </c>
      <c r="I885" s="229" t="s">
        <v>1203</v>
      </c>
      <c r="J885" s="8">
        <v>4</v>
      </c>
      <c r="K885" s="8">
        <v>4</v>
      </c>
      <c r="L885" s="8">
        <v>4</v>
      </c>
      <c r="M885" s="8">
        <v>1</v>
      </c>
      <c r="N885" s="8">
        <v>2</v>
      </c>
      <c r="O885" s="238">
        <v>169121016</v>
      </c>
      <c r="P885" s="234" t="s">
        <v>51</v>
      </c>
      <c r="Q885" s="93" t="s">
        <v>1868</v>
      </c>
      <c r="R8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85" s="93">
        <v>1</v>
      </c>
      <c r="T885" s="93" t="b">
        <f>Data[[#This Row],[Day Rank]]=Data[[#This Row],[W Rank]]</f>
        <v>0</v>
      </c>
      <c r="U885" s="323"/>
    </row>
    <row r="886" spans="1:21" ht="15" customHeight="1" thickBot="1">
      <c r="A886" s="327"/>
      <c r="B886" s="327"/>
      <c r="C886" s="340"/>
      <c r="D886" s="164">
        <f>D882</f>
        <v>45777</v>
      </c>
      <c r="E886" s="215" t="str">
        <f>$N$1</f>
        <v>currydestroyer27</v>
      </c>
      <c r="F886" s="165">
        <f>IFERROR(AVERAGE(Data[[#This Row],[alappatjoe]:[currydestroyer27]]), "TBD")</f>
        <v>2</v>
      </c>
      <c r="G886" s="256">
        <f>IFERROR(_xlfn.STDEV.P(Data[[#This Row],[alappatjoe]:[currydestroyer27]]), "TBD")</f>
        <v>0.63245553203367588</v>
      </c>
      <c r="H886" s="227" t="s">
        <v>1869</v>
      </c>
      <c r="I886" s="257" t="s">
        <v>1870</v>
      </c>
      <c r="J886" s="165">
        <v>2</v>
      </c>
      <c r="K886" s="165">
        <v>3</v>
      </c>
      <c r="L886" s="165">
        <v>2</v>
      </c>
      <c r="M886" s="165">
        <v>2</v>
      </c>
      <c r="N886" s="165">
        <v>1</v>
      </c>
      <c r="O886" s="242">
        <v>175424164</v>
      </c>
      <c r="P886" s="237" t="s">
        <v>76</v>
      </c>
      <c r="Q886" s="167" t="s">
        <v>99</v>
      </c>
      <c r="R88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86" s="167">
        <v>1</v>
      </c>
      <c r="T886" s="167" t="b">
        <f>Data[[#This Row],[Day Rank]]=Data[[#This Row],[W Rank]]</f>
        <v>1</v>
      </c>
      <c r="U886" s="324"/>
    </row>
    <row r="887" spans="1:21" ht="15" customHeight="1">
      <c r="A887" s="325">
        <v>45778</v>
      </c>
      <c r="B887" s="325"/>
      <c r="C887" s="328" t="str" cm="1">
        <f t="array" ref="C887">_xlfn.LET(_xlpm.matches, _xlfn._xlws.FILTER(Data[Poster], (Data[Date]=A887)*(Data[Winner]=TRUE)), IF(ROWS(_xlpm.matches)&gt;1, "TIE", _xlpm.matches))</f>
        <v>samuelbattista</v>
      </c>
      <c r="D887" s="147">
        <f>A887</f>
        <v>45778</v>
      </c>
      <c r="E887" s="181" t="str">
        <f>$J$1</f>
        <v>alappatjoe</v>
      </c>
      <c r="F887" s="9">
        <f>IFERROR(AVERAGE(Data[[#This Row],[alappatjoe]:[currydestroyer27]]), "TBD")</f>
        <v>2.6</v>
      </c>
      <c r="G887" s="178">
        <f>IFERROR(_xlfn.STDEV.P(Data[[#This Row],[alappatjoe]:[currydestroyer27]]), "TBD")</f>
        <v>1.3564659966250536</v>
      </c>
      <c r="H887" s="160" t="s">
        <v>1871</v>
      </c>
      <c r="I887" s="186" t="s">
        <v>232</v>
      </c>
      <c r="J887" s="9">
        <v>1</v>
      </c>
      <c r="K887" s="9">
        <v>3</v>
      </c>
      <c r="L887" s="9">
        <v>5</v>
      </c>
      <c r="M887" s="9">
        <v>2</v>
      </c>
      <c r="N887" s="9">
        <v>2</v>
      </c>
      <c r="O887" s="238">
        <v>39790204</v>
      </c>
      <c r="P887" s="234" t="s">
        <v>293</v>
      </c>
      <c r="Q887" s="93" t="s">
        <v>69</v>
      </c>
      <c r="R8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87" s="93">
        <v>1</v>
      </c>
      <c r="T887" s="93" t="b">
        <f>Data[[#This Row],[Day Rank]]=Data[[#This Row],[W Rank]]</f>
        <v>0</v>
      </c>
      <c r="U887" s="331" t="s">
        <v>1872</v>
      </c>
    </row>
    <row r="888" spans="1:21" ht="15" customHeight="1">
      <c r="A888" s="326"/>
      <c r="B888" s="326"/>
      <c r="C888" s="329"/>
      <c r="D888" s="81">
        <f>D887</f>
        <v>45778</v>
      </c>
      <c r="E888" s="140" t="str">
        <f>$K$1</f>
        <v>danram</v>
      </c>
      <c r="F888" s="8">
        <f>IFERROR(AVERAGE(Data[[#This Row],[alappatjoe]:[currydestroyer27]]), "TBD")</f>
        <v>3.6</v>
      </c>
      <c r="G888" s="177">
        <f>IFERROR(_xlfn.STDEV.P(Data[[#This Row],[alappatjoe]:[currydestroyer27]]), "TBD")</f>
        <v>1.3564659966250536</v>
      </c>
      <c r="H888" s="135" t="s">
        <v>1873</v>
      </c>
      <c r="I888" s="229" t="s">
        <v>1874</v>
      </c>
      <c r="J888" s="8">
        <v>5</v>
      </c>
      <c r="K888" s="8">
        <v>1</v>
      </c>
      <c r="L888" s="8">
        <v>4</v>
      </c>
      <c r="M888" s="8">
        <v>4</v>
      </c>
      <c r="N888" s="8">
        <v>4</v>
      </c>
      <c r="O888" s="238">
        <v>75189517</v>
      </c>
      <c r="P888" s="234"/>
      <c r="Q888" s="93"/>
      <c r="R8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88" s="93">
        <v>1</v>
      </c>
      <c r="T888" s="93" t="b">
        <f>Data[[#This Row],[Day Rank]]=Data[[#This Row],[W Rank]]</f>
        <v>0</v>
      </c>
      <c r="U888" s="323"/>
    </row>
    <row r="889" spans="1:21" ht="15" customHeight="1">
      <c r="A889" s="326"/>
      <c r="B889" s="326"/>
      <c r="C889" s="329"/>
      <c r="D889" s="81">
        <f>D887</f>
        <v>45778</v>
      </c>
      <c r="E889" s="140" t="str">
        <f>$L$1</f>
        <v>loganworsdell</v>
      </c>
      <c r="F889" s="8">
        <f>IFERROR(AVERAGE(Data[[#This Row],[alappatjoe]:[currydestroyer27]]), "TBD")</f>
        <v>4</v>
      </c>
      <c r="G889" s="177">
        <f>IFERROR(_xlfn.STDEV.P(Data[[#This Row],[alappatjoe]:[currydestroyer27]]), "TBD")</f>
        <v>1.5491933384829668</v>
      </c>
      <c r="H889" s="135" t="s">
        <v>1875</v>
      </c>
      <c r="I889" s="229" t="s">
        <v>1876</v>
      </c>
      <c r="J889" s="8">
        <v>4</v>
      </c>
      <c r="K889" s="8">
        <v>5</v>
      </c>
      <c r="L889" s="8">
        <v>1</v>
      </c>
      <c r="M889" s="8">
        <v>5</v>
      </c>
      <c r="N889" s="8">
        <v>5</v>
      </c>
      <c r="O889" s="238">
        <v>3456802</v>
      </c>
      <c r="P889" s="234" t="s">
        <v>51</v>
      </c>
      <c r="Q889" s="93" t="s">
        <v>290</v>
      </c>
      <c r="R8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89" s="93">
        <v>1</v>
      </c>
      <c r="T889" s="93" t="b">
        <f>Data[[#This Row],[Day Rank]]=Data[[#This Row],[W Rank]]</f>
        <v>0</v>
      </c>
      <c r="U889" s="323"/>
    </row>
    <row r="890" spans="1:21" ht="15" customHeight="1">
      <c r="A890" s="326"/>
      <c r="B890" s="326"/>
      <c r="C890" s="329"/>
      <c r="D890" s="81">
        <f>D887</f>
        <v>45778</v>
      </c>
      <c r="E890" s="140" t="str">
        <f>$M$1</f>
        <v>samuelbattista</v>
      </c>
      <c r="F890" s="8">
        <f>IFERROR(AVERAGE(Data[[#This Row],[alappatjoe]:[currydestroyer27]]), "TBD")</f>
        <v>2.4</v>
      </c>
      <c r="G890" s="177">
        <f>IFERROR(_xlfn.STDEV.P(Data[[#This Row],[alappatjoe]:[currydestroyer27]]), "TBD")</f>
        <v>0.8</v>
      </c>
      <c r="H890" s="245" t="s">
        <v>1877</v>
      </c>
      <c r="I890" s="229" t="s">
        <v>122</v>
      </c>
      <c r="J890" s="8">
        <v>3</v>
      </c>
      <c r="K890" s="8">
        <v>2</v>
      </c>
      <c r="L890" s="8">
        <v>3</v>
      </c>
      <c r="M890" s="8">
        <v>1</v>
      </c>
      <c r="N890" s="8">
        <v>3</v>
      </c>
      <c r="O890" s="238">
        <v>76043410</v>
      </c>
      <c r="P890" s="234" t="s">
        <v>51</v>
      </c>
      <c r="Q890" s="93" t="s">
        <v>1878</v>
      </c>
      <c r="R8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90" s="93">
        <v>1</v>
      </c>
      <c r="T890" s="93" t="b">
        <f>Data[[#This Row],[Day Rank]]=Data[[#This Row],[W Rank]]</f>
        <v>1</v>
      </c>
      <c r="U890" s="323"/>
    </row>
    <row r="891" spans="1:21" ht="15" customHeight="1" thickBot="1">
      <c r="A891" s="327"/>
      <c r="B891" s="327"/>
      <c r="C891" s="330"/>
      <c r="D891" s="164">
        <f>D887</f>
        <v>45778</v>
      </c>
      <c r="E891" s="215" t="str">
        <f>$N$1</f>
        <v>currydestroyer27</v>
      </c>
      <c r="F891" s="165">
        <f>IFERROR(AVERAGE(Data[[#This Row],[alappatjoe]:[currydestroyer27]]), "TBD")</f>
        <v>2.4</v>
      </c>
      <c r="G891" s="256">
        <f>IFERROR(_xlfn.STDEV.P(Data[[#This Row],[alappatjoe]:[currydestroyer27]]), "TBD")</f>
        <v>1.019803902718557</v>
      </c>
      <c r="H891" s="227" t="s">
        <v>1879</v>
      </c>
      <c r="I891" s="257" t="s">
        <v>1880</v>
      </c>
      <c r="J891" s="165">
        <v>2</v>
      </c>
      <c r="K891" s="165">
        <v>4</v>
      </c>
      <c r="L891" s="165">
        <v>2</v>
      </c>
      <c r="M891" s="165">
        <v>3</v>
      </c>
      <c r="N891" s="165">
        <v>1</v>
      </c>
      <c r="O891" s="242">
        <v>425027603</v>
      </c>
      <c r="P891" s="237" t="s">
        <v>51</v>
      </c>
      <c r="Q891" s="167" t="s">
        <v>290</v>
      </c>
      <c r="R89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91" s="167">
        <v>1</v>
      </c>
      <c r="T891" s="167" t="b">
        <f>Data[[#This Row],[Day Rank]]=Data[[#This Row],[W Rank]]</f>
        <v>0</v>
      </c>
      <c r="U891" s="324"/>
    </row>
    <row r="892" spans="1:21" ht="15" customHeight="1">
      <c r="A892" s="325">
        <v>45782</v>
      </c>
      <c r="B892" s="325"/>
      <c r="C892" s="338" t="str" cm="1">
        <f t="array" ref="C892">_xlfn.LET(_xlpm.matches, _xlfn._xlws.FILTER(Data[Poster], (Data[Date]=A892)*(Data[Winner]=TRUE)), IF(ROWS(_xlpm.matches)&gt;1, "TIE", _xlpm.matches))</f>
        <v>alappatjoe</v>
      </c>
      <c r="D892" s="147">
        <f>A892</f>
        <v>45782</v>
      </c>
      <c r="E892" s="181" t="str">
        <f>$J$1</f>
        <v>alappatjoe</v>
      </c>
      <c r="F892" s="9">
        <f>IFERROR(AVERAGE(Data[[#This Row],[alappatjoe]:[currydestroyer27]]), "TBD")</f>
        <v>2.2000000000000002</v>
      </c>
      <c r="G892" s="178">
        <f>IFERROR(_xlfn.STDEV.P(Data[[#This Row],[alappatjoe]:[currydestroyer27]]), "TBD")</f>
        <v>1.1661903789690602</v>
      </c>
      <c r="H892" s="160" t="s">
        <v>1881</v>
      </c>
      <c r="I892" s="186" t="s">
        <v>1882</v>
      </c>
      <c r="J892" s="9">
        <v>1</v>
      </c>
      <c r="K892" s="9">
        <v>2</v>
      </c>
      <c r="L892" s="9">
        <v>3</v>
      </c>
      <c r="M892" s="9">
        <v>1</v>
      </c>
      <c r="N892" s="9">
        <v>4</v>
      </c>
      <c r="O892" s="238">
        <v>1737043</v>
      </c>
      <c r="P892" s="234" t="s">
        <v>87</v>
      </c>
      <c r="Q892" s="93" t="s">
        <v>87</v>
      </c>
      <c r="R8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92" s="93">
        <v>1</v>
      </c>
      <c r="T892" s="93" t="b">
        <f>Data[[#This Row],[Day Rank]]=Data[[#This Row],[W Rank]]</f>
        <v>1</v>
      </c>
      <c r="U892" s="331"/>
    </row>
    <row r="893" spans="1:21" ht="15" customHeight="1">
      <c r="A893" s="326"/>
      <c r="B893" s="326"/>
      <c r="C893" s="339"/>
      <c r="D893" s="81">
        <f>D892</f>
        <v>45782</v>
      </c>
      <c r="E893" s="140" t="str">
        <f>$K$1</f>
        <v>danram</v>
      </c>
      <c r="F893" s="8">
        <f>IFERROR(AVERAGE(Data[[#This Row],[alappatjoe]:[currydestroyer27]]), "TBD")</f>
        <v>3.8</v>
      </c>
      <c r="G893" s="177">
        <f>IFERROR(_xlfn.STDEV.P(Data[[#This Row],[alappatjoe]:[currydestroyer27]]), "TBD")</f>
        <v>1.6</v>
      </c>
      <c r="H893" s="135" t="s">
        <v>1883</v>
      </c>
      <c r="I893" s="229" t="s">
        <v>1884</v>
      </c>
      <c r="J893" s="8">
        <v>5</v>
      </c>
      <c r="K893" s="8">
        <v>1</v>
      </c>
      <c r="L893" s="8">
        <v>5</v>
      </c>
      <c r="M893" s="8">
        <v>5</v>
      </c>
      <c r="N893" s="8">
        <v>3</v>
      </c>
      <c r="O893" s="238"/>
      <c r="P893" s="234"/>
      <c r="Q893" s="93"/>
      <c r="R8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93" s="93">
        <v>1</v>
      </c>
      <c r="T893" s="93" t="b">
        <f>Data[[#This Row],[Day Rank]]=Data[[#This Row],[W Rank]]</f>
        <v>0</v>
      </c>
      <c r="U893" s="323"/>
    </row>
    <row r="894" spans="1:21" ht="15" customHeight="1">
      <c r="A894" s="326"/>
      <c r="B894" s="326"/>
      <c r="C894" s="339"/>
      <c r="D894" s="81">
        <f>D892</f>
        <v>45782</v>
      </c>
      <c r="E894" s="140" t="str">
        <f>$L$1</f>
        <v>loganworsdell</v>
      </c>
      <c r="F894" s="8">
        <f>IFERROR(AVERAGE(Data[[#This Row],[alappatjoe]:[currydestroyer27]]), "TBD")</f>
        <v>2.6</v>
      </c>
      <c r="G894" s="177">
        <f>IFERROR(_xlfn.STDEV.P(Data[[#This Row],[alappatjoe]:[currydestroyer27]]), "TBD")</f>
        <v>1.6248076809271921</v>
      </c>
      <c r="H894" s="135" t="s">
        <v>1885</v>
      </c>
      <c r="I894" s="229" t="s">
        <v>1886</v>
      </c>
      <c r="J894" s="8">
        <v>4</v>
      </c>
      <c r="K894" s="8">
        <v>5</v>
      </c>
      <c r="L894" s="8">
        <v>1</v>
      </c>
      <c r="M894" s="8">
        <v>2</v>
      </c>
      <c r="N894" s="8">
        <v>1</v>
      </c>
      <c r="O894" s="238">
        <v>353903</v>
      </c>
      <c r="P894" s="234" t="s">
        <v>76</v>
      </c>
      <c r="Q894" s="93" t="s">
        <v>99</v>
      </c>
      <c r="R8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894" s="93">
        <v>1</v>
      </c>
      <c r="T894" s="93" t="b">
        <f>Data[[#This Row],[Day Rank]]=Data[[#This Row],[W Rank]]</f>
        <v>0</v>
      </c>
      <c r="U894" s="323"/>
    </row>
    <row r="895" spans="1:21" ht="15" customHeight="1">
      <c r="A895" s="326"/>
      <c r="B895" s="326"/>
      <c r="C895" s="339"/>
      <c r="D895" s="81">
        <f>D892</f>
        <v>45782</v>
      </c>
      <c r="E895" s="140" t="str">
        <f>$M$1</f>
        <v>samuelbattista</v>
      </c>
      <c r="F895" s="8">
        <f>IFERROR(AVERAGE(Data[[#This Row],[alappatjoe]:[currydestroyer27]]), "TBD")</f>
        <v>3.6</v>
      </c>
      <c r="G895" s="177">
        <f>IFERROR(_xlfn.STDEV.P(Data[[#This Row],[alappatjoe]:[currydestroyer27]]), "TBD")</f>
        <v>0.8</v>
      </c>
      <c r="H895" s="245" t="s">
        <v>1887</v>
      </c>
      <c r="I895" s="229" t="s">
        <v>1888</v>
      </c>
      <c r="J895" s="8">
        <v>3</v>
      </c>
      <c r="K895" s="8">
        <v>3</v>
      </c>
      <c r="L895" s="8">
        <v>4</v>
      </c>
      <c r="M895" s="8">
        <v>3</v>
      </c>
      <c r="N895" s="8">
        <v>5</v>
      </c>
      <c r="O895" s="238">
        <v>6417364</v>
      </c>
      <c r="P895" s="234" t="s">
        <v>51</v>
      </c>
      <c r="Q895" s="93" t="s">
        <v>51</v>
      </c>
      <c r="R8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95" s="93">
        <v>1</v>
      </c>
      <c r="T895" s="93" t="b">
        <f>Data[[#This Row],[Day Rank]]=Data[[#This Row],[W Rank]]</f>
        <v>0</v>
      </c>
      <c r="U895" s="323"/>
    </row>
    <row r="896" spans="1:21" ht="15" customHeight="1" thickBot="1">
      <c r="A896" s="327"/>
      <c r="B896" s="327"/>
      <c r="C896" s="340"/>
      <c r="D896" s="164">
        <f>D892</f>
        <v>45782</v>
      </c>
      <c r="E896" s="215" t="str">
        <f>$N$1</f>
        <v>currydestroyer27</v>
      </c>
      <c r="F896" s="165">
        <f>IFERROR(AVERAGE(Data[[#This Row],[alappatjoe]:[currydestroyer27]]), "TBD")</f>
        <v>2.8</v>
      </c>
      <c r="G896" s="256">
        <f>IFERROR(_xlfn.STDEV.P(Data[[#This Row],[alappatjoe]:[currydestroyer27]]), "TBD")</f>
        <v>0.9797958971132712</v>
      </c>
      <c r="H896" s="227" t="s">
        <v>1889</v>
      </c>
      <c r="I896" s="257" t="s">
        <v>1171</v>
      </c>
      <c r="J896" s="165">
        <v>2</v>
      </c>
      <c r="K896" s="165">
        <v>4</v>
      </c>
      <c r="L896" s="165">
        <v>2</v>
      </c>
      <c r="M896" s="165">
        <v>4</v>
      </c>
      <c r="N896" s="165">
        <v>2</v>
      </c>
      <c r="O896" s="242">
        <v>17059533</v>
      </c>
      <c r="P896" s="237" t="s">
        <v>76</v>
      </c>
      <c r="Q896" s="167" t="s">
        <v>96</v>
      </c>
      <c r="R89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896" s="167">
        <v>1</v>
      </c>
      <c r="T896" s="167" t="b">
        <f>Data[[#This Row],[Day Rank]]=Data[[#This Row],[W Rank]]</f>
        <v>0</v>
      </c>
      <c r="U896" s="324"/>
    </row>
    <row r="897" spans="1:21" ht="15" customHeight="1">
      <c r="A897" s="325">
        <v>45783</v>
      </c>
      <c r="B897" s="325"/>
      <c r="C897" s="328" t="str" cm="1">
        <f t="array" ref="C897">_xlfn.LET(_xlpm.matches, _xlfn._xlws.FILTER(Data[Poster], (Data[Date]=A897)*(Data[Winner]=TRUE)), IF(ROWS(_xlpm.matches)&gt;1, "TIE", _xlpm.matches))</f>
        <v>loganworsdell</v>
      </c>
      <c r="D897" s="147">
        <f>A897</f>
        <v>45783</v>
      </c>
      <c r="E897" s="181" t="str">
        <f>$J$1</f>
        <v>alappatjoe</v>
      </c>
      <c r="F897" s="9">
        <f>IFERROR(AVERAGE(Data[[#This Row],[alappatjoe]:[currydestroyer27]]), "TBD")</f>
        <v>4.2</v>
      </c>
      <c r="G897" s="178">
        <f>IFERROR(_xlfn.STDEV.P(Data[[#This Row],[alappatjoe]:[currydestroyer27]]), "TBD")</f>
        <v>1.1661903789690602</v>
      </c>
      <c r="H897" s="160" t="s">
        <v>1890</v>
      </c>
      <c r="I897" s="186" t="s">
        <v>1891</v>
      </c>
      <c r="J897" s="9">
        <v>2</v>
      </c>
      <c r="K897" s="9">
        <v>5</v>
      </c>
      <c r="L897" s="9">
        <v>4</v>
      </c>
      <c r="M897" s="9">
        <v>5</v>
      </c>
      <c r="N897" s="9">
        <v>5</v>
      </c>
      <c r="O897" s="238">
        <v>17292061</v>
      </c>
      <c r="P897" s="234" t="s">
        <v>69</v>
      </c>
      <c r="Q897" s="93" t="s">
        <v>1892</v>
      </c>
      <c r="R8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897" s="93">
        <v>1</v>
      </c>
      <c r="T897" s="93" t="b">
        <f>Data[[#This Row],[Day Rank]]=Data[[#This Row],[W Rank]]</f>
        <v>0</v>
      </c>
      <c r="U897" s="331"/>
    </row>
    <row r="898" spans="1:21" ht="15" customHeight="1">
      <c r="A898" s="326"/>
      <c r="B898" s="326"/>
      <c r="C898" s="329"/>
      <c r="D898" s="81">
        <f>D897</f>
        <v>45783</v>
      </c>
      <c r="E898" s="140" t="str">
        <f>$K$1</f>
        <v>danram</v>
      </c>
      <c r="F898" s="8">
        <f>IFERROR(AVERAGE(Data[[#This Row],[alappatjoe]:[currydestroyer27]]), "TBD")</f>
        <v>3.6</v>
      </c>
      <c r="G898" s="177">
        <f>IFERROR(_xlfn.STDEV.P(Data[[#This Row],[alappatjoe]:[currydestroyer27]]), "TBD")</f>
        <v>1.4966629547095767</v>
      </c>
      <c r="H898" s="135" t="s">
        <v>1893</v>
      </c>
      <c r="I898" s="229" t="s">
        <v>1894</v>
      </c>
      <c r="J898" s="8">
        <v>5</v>
      </c>
      <c r="K898" s="8">
        <v>1</v>
      </c>
      <c r="L898" s="8">
        <v>5</v>
      </c>
      <c r="M898" s="8">
        <v>3</v>
      </c>
      <c r="N898" s="8">
        <v>4</v>
      </c>
      <c r="O898" s="238"/>
      <c r="P898" s="234"/>
      <c r="Q898" s="93"/>
      <c r="R8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898" s="93">
        <v>1</v>
      </c>
      <c r="T898" s="93" t="b">
        <f>Data[[#This Row],[Day Rank]]=Data[[#This Row],[W Rank]]</f>
        <v>0</v>
      </c>
      <c r="U898" s="323"/>
    </row>
    <row r="899" spans="1:21" ht="15" customHeight="1">
      <c r="A899" s="326"/>
      <c r="B899" s="326"/>
      <c r="C899" s="329"/>
      <c r="D899" s="81">
        <f>D897</f>
        <v>45783</v>
      </c>
      <c r="E899" s="140" t="str">
        <f>$L$1</f>
        <v>loganworsdell</v>
      </c>
      <c r="F899" s="8">
        <f>IFERROR(AVERAGE(Data[[#This Row],[alappatjoe]:[currydestroyer27]]), "TBD")</f>
        <v>2.2000000000000002</v>
      </c>
      <c r="G899" s="177">
        <f>IFERROR(_xlfn.STDEV.P(Data[[#This Row],[alappatjoe]:[currydestroyer27]]), "TBD")</f>
        <v>0.74833147735478833</v>
      </c>
      <c r="H899" s="135" t="s">
        <v>1895</v>
      </c>
      <c r="I899" s="229" t="s">
        <v>1896</v>
      </c>
      <c r="J899" s="8">
        <v>3</v>
      </c>
      <c r="K899" s="8">
        <v>3</v>
      </c>
      <c r="L899" s="8">
        <v>1</v>
      </c>
      <c r="M899" s="8">
        <v>2</v>
      </c>
      <c r="N899" s="8">
        <v>2</v>
      </c>
      <c r="O899" s="238">
        <v>21009560</v>
      </c>
      <c r="P899" s="234" t="s">
        <v>58</v>
      </c>
      <c r="Q899" s="93" t="s">
        <v>91</v>
      </c>
      <c r="R8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899" s="93">
        <v>1</v>
      </c>
      <c r="T899" s="93" t="b">
        <f>Data[[#This Row],[Day Rank]]=Data[[#This Row],[W Rank]]</f>
        <v>1</v>
      </c>
      <c r="U899" s="323"/>
    </row>
    <row r="900" spans="1:21" ht="15" customHeight="1">
      <c r="A900" s="326"/>
      <c r="B900" s="326"/>
      <c r="C900" s="329"/>
      <c r="D900" s="81">
        <f>D897</f>
        <v>45783</v>
      </c>
      <c r="E900" s="140" t="str">
        <f>$M$1</f>
        <v>samuelbattista</v>
      </c>
      <c r="F900" s="8">
        <f>IFERROR(AVERAGE(Data[[#This Row],[alappatjoe]:[currydestroyer27]]), "TBD")</f>
        <v>2.4</v>
      </c>
      <c r="G900" s="177">
        <f>IFERROR(_xlfn.STDEV.P(Data[[#This Row],[alappatjoe]:[currydestroyer27]]), "TBD")</f>
        <v>1.2</v>
      </c>
      <c r="H900" s="245" t="s">
        <v>1897</v>
      </c>
      <c r="I900" s="229" t="s">
        <v>1898</v>
      </c>
      <c r="J900" s="8">
        <v>1</v>
      </c>
      <c r="K900" s="8">
        <v>4</v>
      </c>
      <c r="L900" s="8">
        <v>3</v>
      </c>
      <c r="M900" s="8">
        <v>1</v>
      </c>
      <c r="N900" s="8">
        <v>3</v>
      </c>
      <c r="O900" s="238">
        <v>1234484</v>
      </c>
      <c r="P900" s="234" t="s">
        <v>120</v>
      </c>
      <c r="Q900" s="93" t="s">
        <v>368</v>
      </c>
      <c r="R9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00" s="93">
        <v>1</v>
      </c>
      <c r="T900" s="93" t="b">
        <f>Data[[#This Row],[Day Rank]]=Data[[#This Row],[W Rank]]</f>
        <v>0</v>
      </c>
      <c r="U900" s="323"/>
    </row>
    <row r="901" spans="1:21" ht="15" customHeight="1" thickBot="1">
      <c r="A901" s="327"/>
      <c r="B901" s="327"/>
      <c r="C901" s="330"/>
      <c r="D901" s="164">
        <f>D897</f>
        <v>45783</v>
      </c>
      <c r="E901" s="215" t="str">
        <f>$N$1</f>
        <v>currydestroyer27</v>
      </c>
      <c r="F901" s="165">
        <f>IFERROR(AVERAGE(Data[[#This Row],[alappatjoe]:[currydestroyer27]]), "TBD")</f>
        <v>2.6</v>
      </c>
      <c r="G901" s="256">
        <f>IFERROR(_xlfn.STDEV.P(Data[[#This Row],[alappatjoe]:[currydestroyer27]]), "TBD")</f>
        <v>1.2</v>
      </c>
      <c r="H901" s="227" t="s">
        <v>1899</v>
      </c>
      <c r="I901" s="257" t="s">
        <v>825</v>
      </c>
      <c r="J901" s="165">
        <v>4</v>
      </c>
      <c r="K901" s="165">
        <v>2</v>
      </c>
      <c r="L901" s="165">
        <v>2</v>
      </c>
      <c r="M901" s="165">
        <v>4</v>
      </c>
      <c r="N901" s="165">
        <v>1</v>
      </c>
      <c r="O901" s="242">
        <v>350005535</v>
      </c>
      <c r="P901" s="237" t="s">
        <v>51</v>
      </c>
      <c r="Q901" s="167" t="s">
        <v>80</v>
      </c>
      <c r="R90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01" s="167">
        <v>1</v>
      </c>
      <c r="T901" s="167" t="b">
        <f>Data[[#This Row],[Day Rank]]=Data[[#This Row],[W Rank]]</f>
        <v>0</v>
      </c>
      <c r="U901" s="324"/>
    </row>
    <row r="902" spans="1:21" ht="15" customHeight="1">
      <c r="A902" s="325">
        <v>45784</v>
      </c>
      <c r="B902" s="325"/>
      <c r="C902" s="338" t="str" cm="1">
        <f t="array" ref="C902">_xlfn.LET(_xlpm.matches, _xlfn._xlws.FILTER(Data[Poster], (Data[Date]=A902)*(Data[Winner]=TRUE)), IF(ROWS(_xlpm.matches)&gt;1, "TIE", _xlpm.matches))</f>
        <v>danram</v>
      </c>
      <c r="D902" s="147">
        <f>A902</f>
        <v>45784</v>
      </c>
      <c r="E902" s="181" t="str">
        <f>$J$1</f>
        <v>alappatjoe</v>
      </c>
      <c r="F902" s="9">
        <f>IFERROR(AVERAGE(Data[[#This Row],[alappatjoe]:[currydestroyer27]]), "TBD")</f>
        <v>3.2</v>
      </c>
      <c r="G902" s="178">
        <f>IFERROR(_xlfn.STDEV.P(Data[[#This Row],[alappatjoe]:[currydestroyer27]]), "TBD")</f>
        <v>1.3266499161421599</v>
      </c>
      <c r="H902" s="160" t="s">
        <v>1900</v>
      </c>
      <c r="I902" s="186" t="s">
        <v>1093</v>
      </c>
      <c r="J902" s="9">
        <v>1</v>
      </c>
      <c r="K902" s="9">
        <v>3</v>
      </c>
      <c r="L902" s="9">
        <v>5</v>
      </c>
      <c r="M902" s="9">
        <v>4</v>
      </c>
      <c r="N902" s="9">
        <v>3</v>
      </c>
      <c r="O902" s="238">
        <v>4190</v>
      </c>
      <c r="P902" s="234" t="s">
        <v>170</v>
      </c>
      <c r="Q902" s="93" t="s">
        <v>1812</v>
      </c>
      <c r="R9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02" s="93">
        <v>1</v>
      </c>
      <c r="T902" s="93" t="b">
        <f>Data[[#This Row],[Day Rank]]=Data[[#This Row],[W Rank]]</f>
        <v>0</v>
      </c>
      <c r="U902" s="331"/>
    </row>
    <row r="903" spans="1:21" ht="15" customHeight="1">
      <c r="A903" s="326"/>
      <c r="B903" s="326"/>
      <c r="C903" s="339"/>
      <c r="D903" s="81">
        <f>D902</f>
        <v>45784</v>
      </c>
      <c r="E903" s="140" t="str">
        <f>$K$1</f>
        <v>danram</v>
      </c>
      <c r="F903" s="8">
        <f>IFERROR(AVERAGE(Data[[#This Row],[alappatjoe]:[currydestroyer27]]), "TBD")</f>
        <v>2.6</v>
      </c>
      <c r="G903" s="177">
        <f>IFERROR(_xlfn.STDEV.P(Data[[#This Row],[alappatjoe]:[currydestroyer27]]), "TBD")</f>
        <v>1.2</v>
      </c>
      <c r="H903" s="135" t="s">
        <v>1901</v>
      </c>
      <c r="I903" s="229" t="s">
        <v>361</v>
      </c>
      <c r="J903" s="8">
        <v>4</v>
      </c>
      <c r="K903" s="8">
        <v>1</v>
      </c>
      <c r="L903" s="8">
        <v>4</v>
      </c>
      <c r="M903" s="8">
        <v>2</v>
      </c>
      <c r="N903" s="8">
        <v>2</v>
      </c>
      <c r="O903" s="238"/>
      <c r="P903" s="234"/>
      <c r="Q903" s="93"/>
      <c r="R9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03" s="93">
        <v>1</v>
      </c>
      <c r="T903" s="93" t="b">
        <f>Data[[#This Row],[Day Rank]]=Data[[#This Row],[W Rank]]</f>
        <v>1</v>
      </c>
      <c r="U903" s="323"/>
    </row>
    <row r="904" spans="1:21" ht="15" customHeight="1">
      <c r="A904" s="326"/>
      <c r="B904" s="326"/>
      <c r="C904" s="339"/>
      <c r="D904" s="81">
        <f>D902</f>
        <v>45784</v>
      </c>
      <c r="E904" s="140" t="str">
        <f>$L$1</f>
        <v>loganworsdell</v>
      </c>
      <c r="F904" s="8">
        <f>IFERROR(AVERAGE(Data[[#This Row],[alappatjoe]:[currydestroyer27]]), "TBD")</f>
        <v>3.6</v>
      </c>
      <c r="G904" s="177">
        <f>IFERROR(_xlfn.STDEV.P(Data[[#This Row],[alappatjoe]:[currydestroyer27]]), "TBD")</f>
        <v>1.4966629547095767</v>
      </c>
      <c r="H904" s="135" t="s">
        <v>1902</v>
      </c>
      <c r="I904" s="229" t="s">
        <v>1903</v>
      </c>
      <c r="J904" s="8">
        <v>3</v>
      </c>
      <c r="K904" s="8">
        <v>5</v>
      </c>
      <c r="L904" s="8">
        <v>1</v>
      </c>
      <c r="M904" s="8">
        <v>5</v>
      </c>
      <c r="N904" s="8">
        <v>4</v>
      </c>
      <c r="O904" s="238">
        <v>3185693</v>
      </c>
      <c r="P904" s="234" t="s">
        <v>87</v>
      </c>
      <c r="Q904" s="93" t="s">
        <v>602</v>
      </c>
      <c r="R9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04" s="93">
        <v>1</v>
      </c>
      <c r="T904" s="93" t="b">
        <f>Data[[#This Row],[Day Rank]]=Data[[#This Row],[W Rank]]</f>
        <v>0</v>
      </c>
      <c r="U904" s="323"/>
    </row>
    <row r="905" spans="1:21" ht="15" customHeight="1">
      <c r="A905" s="326"/>
      <c r="B905" s="326"/>
      <c r="C905" s="339"/>
      <c r="D905" s="81">
        <f>D902</f>
        <v>45784</v>
      </c>
      <c r="E905" s="140" t="str">
        <f>$M$1</f>
        <v>samuelbattista</v>
      </c>
      <c r="F905" s="8">
        <f>IFERROR(AVERAGE(Data[[#This Row],[alappatjoe]:[currydestroyer27]]), "TBD")</f>
        <v>2.8</v>
      </c>
      <c r="G905" s="177">
        <f>IFERROR(_xlfn.STDEV.P(Data[[#This Row],[alappatjoe]:[currydestroyer27]]), "TBD")</f>
        <v>1.4696938456699069</v>
      </c>
      <c r="H905" s="245" t="s">
        <v>1904</v>
      </c>
      <c r="I905" s="229" t="s">
        <v>1905</v>
      </c>
      <c r="J905" s="8">
        <v>2</v>
      </c>
      <c r="K905" s="8">
        <v>4</v>
      </c>
      <c r="L905" s="8">
        <v>2</v>
      </c>
      <c r="M905" s="8">
        <v>1</v>
      </c>
      <c r="N905" s="8">
        <v>5</v>
      </c>
      <c r="O905" s="238">
        <v>680295894</v>
      </c>
      <c r="P905" s="234" t="s">
        <v>144</v>
      </c>
      <c r="Q905" s="93" t="s">
        <v>51</v>
      </c>
      <c r="R9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05" s="93">
        <v>1</v>
      </c>
      <c r="T905" s="93" t="b">
        <f>Data[[#This Row],[Day Rank]]=Data[[#This Row],[W Rank]]</f>
        <v>0</v>
      </c>
      <c r="U905" s="323"/>
    </row>
    <row r="906" spans="1:21" ht="15" customHeight="1" thickBot="1">
      <c r="A906" s="327"/>
      <c r="B906" s="327"/>
      <c r="C906" s="340"/>
      <c r="D906" s="164">
        <f>D902</f>
        <v>45784</v>
      </c>
      <c r="E906" s="215" t="str">
        <f>$N$1</f>
        <v>currydestroyer27</v>
      </c>
      <c r="F906" s="165">
        <f>IFERROR(AVERAGE(Data[[#This Row],[alappatjoe]:[currydestroyer27]]), "TBD")</f>
        <v>2.8</v>
      </c>
      <c r="G906" s="256">
        <f>IFERROR(_xlfn.STDEV.P(Data[[#This Row],[alappatjoe]:[currydestroyer27]]), "TBD")</f>
        <v>1.3266499161421599</v>
      </c>
      <c r="H906" s="227" t="s">
        <v>1906</v>
      </c>
      <c r="I906" s="257" t="s">
        <v>1907</v>
      </c>
      <c r="J906" s="165">
        <v>5</v>
      </c>
      <c r="K906" s="165">
        <v>2</v>
      </c>
      <c r="L906" s="165">
        <v>3</v>
      </c>
      <c r="M906" s="165">
        <v>3</v>
      </c>
      <c r="N906" s="165">
        <v>1</v>
      </c>
      <c r="O906" s="242">
        <v>92959799</v>
      </c>
      <c r="P906" s="237" t="s">
        <v>87</v>
      </c>
      <c r="Q906" s="167" t="s">
        <v>306</v>
      </c>
      <c r="R90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06" s="167">
        <v>1</v>
      </c>
      <c r="T906" s="167" t="b">
        <f>Data[[#This Row],[Day Rank]]=Data[[#This Row],[W Rank]]</f>
        <v>0</v>
      </c>
      <c r="U906" s="324"/>
    </row>
    <row r="907" spans="1:21" ht="15" customHeight="1">
      <c r="A907" s="325">
        <v>45785</v>
      </c>
      <c r="B907" s="325"/>
      <c r="C907" s="328" t="str" cm="1">
        <f t="array" ref="C907">_xlfn.LET(_xlpm.matches, _xlfn._xlws.FILTER(Data[Poster], (Data[Date]=A907)*(Data[Winner]=TRUE)), IF(ROWS(_xlpm.matches)&gt;1, "TIE", _xlpm.matches))</f>
        <v>alappatjoe</v>
      </c>
      <c r="D907" s="147">
        <f>A907</f>
        <v>45785</v>
      </c>
      <c r="E907" s="181" t="str">
        <f>$J$1</f>
        <v>alappatjoe</v>
      </c>
      <c r="F907" s="9">
        <f>IFERROR(AVERAGE(Data[[#This Row],[alappatjoe]:[currydestroyer27]]), "TBD")</f>
        <v>2.4</v>
      </c>
      <c r="G907" s="178">
        <f>IFERROR(_xlfn.STDEV.P(Data[[#This Row],[alappatjoe]:[currydestroyer27]]), "TBD")</f>
        <v>1.2</v>
      </c>
      <c r="H907" s="160" t="s">
        <v>1908</v>
      </c>
      <c r="I907" s="186" t="s">
        <v>1909</v>
      </c>
      <c r="J907" s="9">
        <v>1</v>
      </c>
      <c r="K907" s="9">
        <v>3</v>
      </c>
      <c r="L907" s="9">
        <v>3</v>
      </c>
      <c r="M907" s="9">
        <v>4</v>
      </c>
      <c r="N907" s="9">
        <v>1</v>
      </c>
      <c r="O907" s="238">
        <v>787723272</v>
      </c>
      <c r="P907" s="234" t="s">
        <v>69</v>
      </c>
      <c r="Q907" s="93" t="s">
        <v>290</v>
      </c>
      <c r="R9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07" s="93">
        <v>1</v>
      </c>
      <c r="T907" s="93" t="b">
        <f>Data[[#This Row],[Day Rank]]=Data[[#This Row],[W Rank]]</f>
        <v>1</v>
      </c>
      <c r="U907" s="331" t="s">
        <v>1910</v>
      </c>
    </row>
    <row r="908" spans="1:21" ht="15" customHeight="1">
      <c r="A908" s="326"/>
      <c r="B908" s="326"/>
      <c r="C908" s="329"/>
      <c r="D908" s="81">
        <f>D907</f>
        <v>45785</v>
      </c>
      <c r="E908" s="140" t="str">
        <f>$K$1</f>
        <v>danram</v>
      </c>
      <c r="F908" s="8">
        <f>IFERROR(AVERAGE(Data[[#This Row],[alappatjoe]:[currydestroyer27]]), "TBD")</f>
        <v>3.2</v>
      </c>
      <c r="G908" s="177">
        <f>IFERROR(_xlfn.STDEV.P(Data[[#This Row],[alappatjoe]:[currydestroyer27]]), "TBD")</f>
        <v>1.4696938456699069</v>
      </c>
      <c r="H908" s="135" t="s">
        <v>1911</v>
      </c>
      <c r="I908" s="229" t="s">
        <v>1912</v>
      </c>
      <c r="J908" s="8">
        <v>2</v>
      </c>
      <c r="K908" s="8">
        <v>1</v>
      </c>
      <c r="L908" s="8">
        <v>4</v>
      </c>
      <c r="M908" s="8">
        <v>5</v>
      </c>
      <c r="N908" s="8">
        <v>4</v>
      </c>
      <c r="O908" s="238"/>
      <c r="P908" s="234"/>
      <c r="Q908" s="93"/>
      <c r="R9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08" s="93">
        <v>1</v>
      </c>
      <c r="T908" s="93" t="b">
        <f>Data[[#This Row],[Day Rank]]=Data[[#This Row],[W Rank]]</f>
        <v>0</v>
      </c>
      <c r="U908" s="323"/>
    </row>
    <row r="909" spans="1:21" ht="15" customHeight="1">
      <c r="A909" s="326"/>
      <c r="B909" s="326"/>
      <c r="C909" s="329"/>
      <c r="D909" s="81">
        <f>D907</f>
        <v>45785</v>
      </c>
      <c r="E909" s="140" t="str">
        <f>$L$1</f>
        <v>loganworsdell</v>
      </c>
      <c r="F909" s="8">
        <f>IFERROR(AVERAGE(Data[[#This Row],[alappatjoe]:[currydestroyer27]]), "TBD")</f>
        <v>3.6</v>
      </c>
      <c r="G909" s="177">
        <f>IFERROR(_xlfn.STDEV.P(Data[[#This Row],[alappatjoe]:[currydestroyer27]]), "TBD")</f>
        <v>1.4966629547095767</v>
      </c>
      <c r="H909" s="135" t="s">
        <v>1913</v>
      </c>
      <c r="I909" s="229" t="s">
        <v>1914</v>
      </c>
      <c r="J909" s="8">
        <v>4</v>
      </c>
      <c r="K909" s="8">
        <v>5</v>
      </c>
      <c r="L909" s="8">
        <v>1</v>
      </c>
      <c r="M909" s="8">
        <v>3</v>
      </c>
      <c r="N909" s="8">
        <v>5</v>
      </c>
      <c r="O909" s="238">
        <v>39045065</v>
      </c>
      <c r="P909" s="234" t="s">
        <v>293</v>
      </c>
      <c r="Q909" s="93" t="s">
        <v>1915</v>
      </c>
      <c r="R9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09" s="93">
        <v>1</v>
      </c>
      <c r="T909" s="93" t="b">
        <f>Data[[#This Row],[Day Rank]]=Data[[#This Row],[W Rank]]</f>
        <v>0</v>
      </c>
      <c r="U909" s="323"/>
    </row>
    <row r="910" spans="1:21" ht="15" customHeight="1">
      <c r="A910" s="326"/>
      <c r="B910" s="326"/>
      <c r="C910" s="329"/>
      <c r="D910" s="81">
        <f>D907</f>
        <v>45785</v>
      </c>
      <c r="E910" s="140" t="str">
        <f>$M$1</f>
        <v>samuelbattista</v>
      </c>
      <c r="F910" s="8">
        <f>IFERROR(AVERAGE(Data[[#This Row],[alappatjoe]:[currydestroyer27]]), "TBD")</f>
        <v>3</v>
      </c>
      <c r="G910" s="177">
        <f>IFERROR(_xlfn.STDEV.P(Data[[#This Row],[alappatjoe]:[currydestroyer27]]), "TBD")</f>
        <v>1.4142135623730951</v>
      </c>
      <c r="H910" s="245" t="s">
        <v>1916</v>
      </c>
      <c r="I910" s="229" t="s">
        <v>1917</v>
      </c>
      <c r="J910" s="8">
        <v>5</v>
      </c>
      <c r="K910" s="8">
        <v>4</v>
      </c>
      <c r="L910" s="8">
        <v>2</v>
      </c>
      <c r="M910" s="8">
        <v>1</v>
      </c>
      <c r="N910" s="8">
        <v>3</v>
      </c>
      <c r="O910" s="238">
        <v>2663877407</v>
      </c>
      <c r="P910" s="234"/>
      <c r="Q910" s="93"/>
      <c r="R9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10" s="93">
        <v>1</v>
      </c>
      <c r="T910" s="93" t="b">
        <f>Data[[#This Row],[Day Rank]]=Data[[#This Row],[W Rank]]</f>
        <v>0</v>
      </c>
      <c r="U910" s="323"/>
    </row>
    <row r="911" spans="1:21" ht="15" customHeight="1" thickBot="1">
      <c r="A911" s="327"/>
      <c r="B911" s="327"/>
      <c r="C911" s="330"/>
      <c r="D911" s="164">
        <f>D907</f>
        <v>45785</v>
      </c>
      <c r="E911" s="215" t="str">
        <f>$N$1</f>
        <v>currydestroyer27</v>
      </c>
      <c r="F911" s="165">
        <f>IFERROR(AVERAGE(Data[[#This Row],[alappatjoe]:[currydestroyer27]]), "TBD")</f>
        <v>2.8</v>
      </c>
      <c r="G911" s="256">
        <f>IFERROR(_xlfn.STDEV.P(Data[[#This Row],[alappatjoe]:[currydestroyer27]]), "TBD")</f>
        <v>1.1661903789690602</v>
      </c>
      <c r="H911" s="227" t="s">
        <v>1918</v>
      </c>
      <c r="I911" s="257" t="s">
        <v>1919</v>
      </c>
      <c r="J911" s="165">
        <v>3</v>
      </c>
      <c r="K911" s="165">
        <v>2</v>
      </c>
      <c r="L911" s="165">
        <v>5</v>
      </c>
      <c r="M911" s="165">
        <v>2</v>
      </c>
      <c r="N911" s="165">
        <v>2</v>
      </c>
      <c r="O911" s="242">
        <v>1363031663</v>
      </c>
      <c r="P911" s="237" t="s">
        <v>69</v>
      </c>
      <c r="Q911" s="167" t="s">
        <v>317</v>
      </c>
      <c r="R9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11" s="167">
        <v>1</v>
      </c>
      <c r="T911" s="167" t="b">
        <f>Data[[#This Row],[Day Rank]]=Data[[#This Row],[W Rank]]</f>
        <v>0</v>
      </c>
      <c r="U911" s="324"/>
    </row>
    <row r="912" spans="1:21" ht="15" customHeight="1">
      <c r="A912" s="325">
        <v>45789</v>
      </c>
      <c r="B912" s="325"/>
      <c r="C912" s="338" t="str" cm="1">
        <f t="array" ref="C912">_xlfn.LET(_xlpm.matches, _xlfn._xlws.FILTER(Data[Poster], (Data[Date]=A912)*(Data[Winner]=TRUE)), IF(ROWS(_xlpm.matches)&gt;1, "TIE", _xlpm.matches))</f>
        <v>samuelbattista</v>
      </c>
      <c r="D912" s="147">
        <f>A912</f>
        <v>45789</v>
      </c>
      <c r="E912" s="181" t="str">
        <f>$J$1</f>
        <v>alappatjoe</v>
      </c>
      <c r="F912" s="9">
        <f>IFERROR(AVERAGE(Data[[#This Row],[alappatjoe]:[currydestroyer27]]), "TBD")</f>
        <v>3.6</v>
      </c>
      <c r="G912" s="178">
        <f>IFERROR(_xlfn.STDEV.P(Data[[#This Row],[alappatjoe]:[currydestroyer27]]), "TBD")</f>
        <v>1.7435595774162693</v>
      </c>
      <c r="H912" s="160" t="s">
        <v>1920</v>
      </c>
      <c r="I912" s="186" t="s">
        <v>1921</v>
      </c>
      <c r="J912" s="9">
        <v>1</v>
      </c>
      <c r="K912" s="9">
        <v>5</v>
      </c>
      <c r="L912" s="9">
        <v>5</v>
      </c>
      <c r="M912" s="9">
        <v>5</v>
      </c>
      <c r="N912" s="9">
        <v>2</v>
      </c>
      <c r="O912" s="238">
        <v>90481674</v>
      </c>
      <c r="P912" s="234" t="s">
        <v>76</v>
      </c>
      <c r="Q912" s="93" t="s">
        <v>135</v>
      </c>
      <c r="R9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12" s="93">
        <v>1</v>
      </c>
      <c r="T912" s="93" t="b">
        <f>Data[[#This Row],[Day Rank]]=Data[[#This Row],[W Rank]]</f>
        <v>0</v>
      </c>
      <c r="U912" s="331"/>
    </row>
    <row r="913" spans="1:21" ht="15" customHeight="1">
      <c r="A913" s="326"/>
      <c r="B913" s="326"/>
      <c r="C913" s="339"/>
      <c r="D913" s="81">
        <f>D912</f>
        <v>45789</v>
      </c>
      <c r="E913" s="140" t="str">
        <f>$K$1</f>
        <v>danram</v>
      </c>
      <c r="F913" s="8">
        <f>IFERROR(AVERAGE(Data[[#This Row],[alappatjoe]:[currydestroyer27]]), "TBD")</f>
        <v>2.6</v>
      </c>
      <c r="G913" s="177">
        <f>IFERROR(_xlfn.STDEV.P(Data[[#This Row],[alappatjoe]:[currydestroyer27]]), "TBD")</f>
        <v>1.6248076809271921</v>
      </c>
      <c r="H913" s="135" t="s">
        <v>1922</v>
      </c>
      <c r="I913" s="229" t="s">
        <v>1923</v>
      </c>
      <c r="J913" s="8">
        <v>5</v>
      </c>
      <c r="K913" s="8">
        <v>1</v>
      </c>
      <c r="L913" s="8">
        <v>1</v>
      </c>
      <c r="M913" s="8">
        <v>2</v>
      </c>
      <c r="N913" s="8">
        <v>4</v>
      </c>
      <c r="O913" s="238"/>
      <c r="P913" s="234"/>
      <c r="Q913" s="93"/>
      <c r="R9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13" s="93">
        <v>1</v>
      </c>
      <c r="T913" s="93" t="b">
        <f>Data[[#This Row],[Day Rank]]=Data[[#This Row],[W Rank]]</f>
        <v>0</v>
      </c>
      <c r="U913" s="323"/>
    </row>
    <row r="914" spans="1:21" ht="15" customHeight="1">
      <c r="A914" s="326"/>
      <c r="B914" s="326"/>
      <c r="C914" s="339"/>
      <c r="D914" s="81">
        <f>D912</f>
        <v>45789</v>
      </c>
      <c r="E914" s="140" t="str">
        <f>$L$1</f>
        <v>loganworsdell</v>
      </c>
      <c r="F914" s="8">
        <f>IFERROR(AVERAGE(Data[[#This Row],[alappatjoe]:[currydestroyer27]]), "TBD")</f>
        <v>3.2</v>
      </c>
      <c r="G914" s="177">
        <f>IFERROR(_xlfn.STDEV.P(Data[[#This Row],[alappatjoe]:[currydestroyer27]]), "TBD")</f>
        <v>1.1661903789690602</v>
      </c>
      <c r="H914" s="135" t="s">
        <v>1924</v>
      </c>
      <c r="I914" s="229" t="s">
        <v>1925</v>
      </c>
      <c r="J914" s="8">
        <v>4</v>
      </c>
      <c r="K914" s="8">
        <v>2</v>
      </c>
      <c r="L914" s="8">
        <v>2</v>
      </c>
      <c r="M914" s="8">
        <v>3</v>
      </c>
      <c r="N914" s="8">
        <v>5</v>
      </c>
      <c r="O914" s="238">
        <v>3923011</v>
      </c>
      <c r="P914" s="234" t="s">
        <v>293</v>
      </c>
      <c r="Q914" s="93" t="s">
        <v>1926</v>
      </c>
      <c r="R9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14" s="93">
        <v>1</v>
      </c>
      <c r="T914" s="93" t="b">
        <f>Data[[#This Row],[Day Rank]]=Data[[#This Row],[W Rank]]</f>
        <v>0</v>
      </c>
      <c r="U914" s="323"/>
    </row>
    <row r="915" spans="1:21" ht="15" customHeight="1">
      <c r="A915" s="326"/>
      <c r="B915" s="326"/>
      <c r="C915" s="339"/>
      <c r="D915" s="81">
        <f>D912</f>
        <v>45789</v>
      </c>
      <c r="E915" s="140" t="str">
        <f>$M$1</f>
        <v>samuelbattista</v>
      </c>
      <c r="F915" s="8">
        <f>IFERROR(AVERAGE(Data[[#This Row],[alappatjoe]:[currydestroyer27]]), "TBD")</f>
        <v>2.6</v>
      </c>
      <c r="G915" s="177">
        <f>IFERROR(_xlfn.STDEV.P(Data[[#This Row],[alappatjoe]:[currydestroyer27]]), "TBD")</f>
        <v>0.8</v>
      </c>
      <c r="H915" s="245" t="s">
        <v>1927</v>
      </c>
      <c r="I915" s="229" t="s">
        <v>1928</v>
      </c>
      <c r="J915" s="8">
        <v>3</v>
      </c>
      <c r="K915" s="8">
        <v>3</v>
      </c>
      <c r="L915" s="8">
        <v>3</v>
      </c>
      <c r="M915" s="8">
        <v>1</v>
      </c>
      <c r="N915" s="8">
        <v>3</v>
      </c>
      <c r="O915" s="238">
        <v>82046</v>
      </c>
      <c r="P915" s="234"/>
      <c r="Q915" s="93"/>
      <c r="R9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15" s="93">
        <v>1</v>
      </c>
      <c r="T915" s="93" t="b">
        <f>Data[[#This Row],[Day Rank]]=Data[[#This Row],[W Rank]]</f>
        <v>1</v>
      </c>
      <c r="U915" s="323"/>
    </row>
    <row r="916" spans="1:21" ht="15" customHeight="1" thickBot="1">
      <c r="A916" s="327"/>
      <c r="B916" s="327"/>
      <c r="C916" s="340"/>
      <c r="D916" s="164">
        <f>D912</f>
        <v>45789</v>
      </c>
      <c r="E916" s="215" t="str">
        <f>$N$1</f>
        <v>currydestroyer27</v>
      </c>
      <c r="F916" s="165">
        <f>IFERROR(AVERAGE(Data[[#This Row],[alappatjoe]:[currydestroyer27]]), "TBD")</f>
        <v>3</v>
      </c>
      <c r="G916" s="256">
        <f>IFERROR(_xlfn.STDEV.P(Data[[#This Row],[alappatjoe]:[currydestroyer27]]), "TBD")</f>
        <v>1.2649110640673518</v>
      </c>
      <c r="H916" s="227" t="s">
        <v>1929</v>
      </c>
      <c r="I916" s="257" t="s">
        <v>969</v>
      </c>
      <c r="J916" s="165">
        <v>2</v>
      </c>
      <c r="K916" s="165">
        <v>4</v>
      </c>
      <c r="L916" s="165">
        <v>4</v>
      </c>
      <c r="M916" s="165">
        <v>4</v>
      </c>
      <c r="N916" s="165">
        <v>1</v>
      </c>
      <c r="O916" s="242">
        <v>806922759</v>
      </c>
      <c r="P916" s="237" t="s">
        <v>51</v>
      </c>
      <c r="Q916" s="167" t="s">
        <v>1930</v>
      </c>
      <c r="R9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16" s="167">
        <v>1</v>
      </c>
      <c r="T916" s="167" t="b">
        <f>Data[[#This Row],[Day Rank]]=Data[[#This Row],[W Rank]]</f>
        <v>0</v>
      </c>
      <c r="U916" s="324"/>
    </row>
    <row r="917" spans="1:21" ht="15" customHeight="1">
      <c r="A917" s="325">
        <v>45790</v>
      </c>
      <c r="B917" s="325"/>
      <c r="C917" s="328" t="str" cm="1">
        <f t="array" ref="C917">_xlfn.LET(_xlpm.matches, _xlfn._xlws.FILTER(Data[Poster], (Data[Date]=A917)*(Data[Winner]=TRUE)), IF(ROWS(_xlpm.matches)&gt;1, "TIE", _xlpm.matches))</f>
        <v>loganworsdell</v>
      </c>
      <c r="D917" s="147">
        <f>A917</f>
        <v>45790</v>
      </c>
      <c r="E917" s="181" t="str">
        <f>$J$1</f>
        <v>alappatjoe</v>
      </c>
      <c r="F917" s="9">
        <f>IFERROR(AVERAGE(Data[[#This Row],[alappatjoe]:[currydestroyer27]]), "TBD")</f>
        <v>3.2</v>
      </c>
      <c r="G917" s="178">
        <f>IFERROR(_xlfn.STDEV.P(Data[[#This Row],[alappatjoe]:[currydestroyer27]]), "TBD")</f>
        <v>1.6</v>
      </c>
      <c r="H917" s="160" t="s">
        <v>1931</v>
      </c>
      <c r="I917" s="186" t="s">
        <v>1932</v>
      </c>
      <c r="J917" s="9">
        <v>1</v>
      </c>
      <c r="K917" s="9">
        <v>3</v>
      </c>
      <c r="L917" s="9">
        <v>5</v>
      </c>
      <c r="M917" s="9">
        <v>5</v>
      </c>
      <c r="N917" s="9">
        <v>2</v>
      </c>
      <c r="O917" s="238">
        <v>106075232</v>
      </c>
      <c r="P917" s="234" t="s">
        <v>76</v>
      </c>
      <c r="Q917" s="93" t="s">
        <v>135</v>
      </c>
      <c r="R9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17" s="93">
        <v>1</v>
      </c>
      <c r="T917" s="93" t="b">
        <f>Data[[#This Row],[Day Rank]]=Data[[#This Row],[W Rank]]</f>
        <v>0</v>
      </c>
      <c r="U917" s="331"/>
    </row>
    <row r="918" spans="1:21" ht="15" customHeight="1">
      <c r="A918" s="326"/>
      <c r="B918" s="326"/>
      <c r="C918" s="329"/>
      <c r="D918" s="81">
        <f>D917</f>
        <v>45790</v>
      </c>
      <c r="E918" s="140" t="str">
        <f>$K$1</f>
        <v>danram</v>
      </c>
      <c r="F918" s="8">
        <f>IFERROR(AVERAGE(Data[[#This Row],[alappatjoe]:[currydestroyer27]]), "TBD")</f>
        <v>3</v>
      </c>
      <c r="G918" s="177">
        <f>IFERROR(_xlfn.STDEV.P(Data[[#This Row],[alappatjoe]:[currydestroyer27]]), "TBD")</f>
        <v>1.4142135623730951</v>
      </c>
      <c r="H918" s="135" t="s">
        <v>1933</v>
      </c>
      <c r="I918" s="229" t="s">
        <v>1934</v>
      </c>
      <c r="J918" s="8">
        <v>5</v>
      </c>
      <c r="K918" s="8">
        <v>2</v>
      </c>
      <c r="L918" s="8">
        <v>3</v>
      </c>
      <c r="M918" s="8">
        <v>1</v>
      </c>
      <c r="N918" s="8">
        <v>4</v>
      </c>
      <c r="O918" s="238"/>
      <c r="P918" s="234"/>
      <c r="Q918" s="93"/>
      <c r="R9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18" s="93">
        <v>1</v>
      </c>
      <c r="T918" s="93" t="b">
        <f>Data[[#This Row],[Day Rank]]=Data[[#This Row],[W Rank]]</f>
        <v>0</v>
      </c>
      <c r="U918" s="323"/>
    </row>
    <row r="919" spans="1:21" ht="15" customHeight="1">
      <c r="A919" s="326"/>
      <c r="B919" s="326"/>
      <c r="C919" s="329"/>
      <c r="D919" s="81">
        <f>D917</f>
        <v>45790</v>
      </c>
      <c r="E919" s="140" t="str">
        <f>$L$1</f>
        <v>loganworsdell</v>
      </c>
      <c r="F919" s="8">
        <f>IFERROR(AVERAGE(Data[[#This Row],[alappatjoe]:[currydestroyer27]]), "TBD")</f>
        <v>2.2000000000000002</v>
      </c>
      <c r="G919" s="177">
        <f>IFERROR(_xlfn.STDEV.P(Data[[#This Row],[alappatjoe]:[currydestroyer27]]), "TBD")</f>
        <v>0.74833147735478833</v>
      </c>
      <c r="H919" s="135" t="s">
        <v>1935</v>
      </c>
      <c r="I919" s="229" t="s">
        <v>1936</v>
      </c>
      <c r="J919" s="8">
        <v>2</v>
      </c>
      <c r="K919" s="8">
        <v>1</v>
      </c>
      <c r="L919" s="8">
        <v>2</v>
      </c>
      <c r="M919" s="8">
        <v>3</v>
      </c>
      <c r="N919" s="8">
        <v>3</v>
      </c>
      <c r="O919" s="238">
        <v>27718603</v>
      </c>
      <c r="P919" s="234" t="s">
        <v>51</v>
      </c>
      <c r="Q919" s="93" t="s">
        <v>312</v>
      </c>
      <c r="R9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19" s="93">
        <v>1</v>
      </c>
      <c r="T919" s="93" t="b">
        <f>Data[[#This Row],[Day Rank]]=Data[[#This Row],[W Rank]]</f>
        <v>1</v>
      </c>
      <c r="U919" s="323"/>
    </row>
    <row r="920" spans="1:21" ht="15" customHeight="1">
      <c r="A920" s="326"/>
      <c r="B920" s="326"/>
      <c r="C920" s="329"/>
      <c r="D920" s="81">
        <f>D917</f>
        <v>45790</v>
      </c>
      <c r="E920" s="140" t="str">
        <f>$M$1</f>
        <v>samuelbattista</v>
      </c>
      <c r="F920" s="8">
        <f>IFERROR(AVERAGE(Data[[#This Row],[alappatjoe]:[currydestroyer27]]), "TBD")</f>
        <v>3.6</v>
      </c>
      <c r="G920" s="177">
        <f>IFERROR(_xlfn.STDEV.P(Data[[#This Row],[alappatjoe]:[currydestroyer27]]), "TBD")</f>
        <v>1.019803902718557</v>
      </c>
      <c r="H920" s="275">
        <v>2122</v>
      </c>
      <c r="I920" s="229" t="s">
        <v>1937</v>
      </c>
      <c r="J920" s="8">
        <v>3</v>
      </c>
      <c r="K920" s="8">
        <v>4</v>
      </c>
      <c r="L920" s="8">
        <v>4</v>
      </c>
      <c r="M920" s="8">
        <v>2</v>
      </c>
      <c r="N920" s="8">
        <v>5</v>
      </c>
      <c r="O920" s="238">
        <v>2568096</v>
      </c>
      <c r="P920" s="234" t="s">
        <v>120</v>
      </c>
      <c r="Q920" s="93" t="s">
        <v>1938</v>
      </c>
      <c r="R9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20" s="93">
        <v>1</v>
      </c>
      <c r="T920" s="93" t="b">
        <f>Data[[#This Row],[Day Rank]]=Data[[#This Row],[W Rank]]</f>
        <v>0</v>
      </c>
      <c r="U920" s="323"/>
    </row>
    <row r="921" spans="1:21" ht="15" customHeight="1" thickBot="1">
      <c r="A921" s="327"/>
      <c r="B921" s="327"/>
      <c r="C921" s="330"/>
      <c r="D921" s="164">
        <f>D917</f>
        <v>45790</v>
      </c>
      <c r="E921" s="215" t="str">
        <f>$N$1</f>
        <v>currydestroyer27</v>
      </c>
      <c r="F921" s="165">
        <f>IFERROR(AVERAGE(Data[[#This Row],[alappatjoe]:[currydestroyer27]]), "TBD")</f>
        <v>3</v>
      </c>
      <c r="G921" s="256">
        <f>IFERROR(_xlfn.STDEV.P(Data[[#This Row],[alappatjoe]:[currydestroyer27]]), "TBD")</f>
        <v>1.6733200530681511</v>
      </c>
      <c r="H921" s="227" t="s">
        <v>1939</v>
      </c>
      <c r="I921" s="257" t="s">
        <v>1940</v>
      </c>
      <c r="J921" s="165">
        <v>4</v>
      </c>
      <c r="K921" s="165">
        <v>5</v>
      </c>
      <c r="L921" s="165">
        <v>1</v>
      </c>
      <c r="M921" s="165">
        <v>4</v>
      </c>
      <c r="N921" s="165">
        <v>1</v>
      </c>
      <c r="O921" s="242">
        <v>25677213</v>
      </c>
      <c r="P921" s="237" t="s">
        <v>69</v>
      </c>
      <c r="Q921" s="167" t="s">
        <v>290</v>
      </c>
      <c r="R9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21" s="167">
        <v>1</v>
      </c>
      <c r="T921" s="167" t="b">
        <f>Data[[#This Row],[Day Rank]]=Data[[#This Row],[W Rank]]</f>
        <v>0</v>
      </c>
      <c r="U921" s="324"/>
    </row>
    <row r="922" spans="1:21" ht="15" customHeight="1">
      <c r="A922" s="325">
        <v>45791</v>
      </c>
      <c r="B922" s="325"/>
      <c r="C922" s="338" t="str" cm="1">
        <f t="array" ref="C922">_xlfn.LET(_xlpm.matches, _xlfn._xlws.FILTER(Data[Poster], (Data[Date]=A922)*(Data[Winner]=TRUE)), IF(ROWS(_xlpm.matches)&gt;1, "TIE", _xlpm.matches))</f>
        <v>loganworsdell</v>
      </c>
      <c r="D922" s="147">
        <f>A922</f>
        <v>45791</v>
      </c>
      <c r="E922" s="181" t="str">
        <f>$J$1</f>
        <v>alappatjoe</v>
      </c>
      <c r="F922" s="9">
        <f>IFERROR(AVERAGE(Data[[#This Row],[alappatjoe]:[currydestroyer27]]), "TBD")</f>
        <v>2.6</v>
      </c>
      <c r="G922" s="178">
        <f>IFERROR(_xlfn.STDEV.P(Data[[#This Row],[alappatjoe]:[currydestroyer27]]), "TBD")</f>
        <v>1.2</v>
      </c>
      <c r="H922" s="160" t="s">
        <v>1941</v>
      </c>
      <c r="I922" s="186" t="s">
        <v>1942</v>
      </c>
      <c r="J922" s="9">
        <v>1</v>
      </c>
      <c r="K922" s="3">
        <v>4</v>
      </c>
      <c r="L922" s="9">
        <v>2</v>
      </c>
      <c r="M922" s="9">
        <v>4</v>
      </c>
      <c r="N922" s="9">
        <v>2</v>
      </c>
      <c r="O922" s="238">
        <v>1841326</v>
      </c>
      <c r="P922" s="234" t="s">
        <v>87</v>
      </c>
      <c r="Q922" s="93" t="s">
        <v>1943</v>
      </c>
      <c r="R9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22" s="93">
        <v>1</v>
      </c>
      <c r="T922" s="93" t="b">
        <f>Data[[#This Row],[Day Rank]]=Data[[#This Row],[W Rank]]</f>
        <v>0</v>
      </c>
      <c r="U922" s="331"/>
    </row>
    <row r="923" spans="1:21" ht="15" customHeight="1">
      <c r="A923" s="326"/>
      <c r="B923" s="326"/>
      <c r="C923" s="339"/>
      <c r="D923" s="81">
        <f>D922</f>
        <v>45791</v>
      </c>
      <c r="E923" s="140" t="str">
        <f>$K$1</f>
        <v>danram</v>
      </c>
      <c r="F923" s="8">
        <f>IFERROR(AVERAGE(Data[[#This Row],[alappatjoe]:[currydestroyer27]]), "TBD")</f>
        <v>3.2</v>
      </c>
      <c r="G923" s="177">
        <f>IFERROR(_xlfn.STDEV.P(Data[[#This Row],[alappatjoe]:[currydestroyer27]]), "TBD")</f>
        <v>1.1661903789690602</v>
      </c>
      <c r="H923" s="135" t="s">
        <v>1944</v>
      </c>
      <c r="I923" s="229" t="s">
        <v>1945</v>
      </c>
      <c r="J923" s="8">
        <v>4</v>
      </c>
      <c r="K923" s="3">
        <v>1</v>
      </c>
      <c r="L923" s="8">
        <v>4</v>
      </c>
      <c r="M923" s="8">
        <v>3</v>
      </c>
      <c r="N923" s="8">
        <v>4</v>
      </c>
      <c r="O923" s="238"/>
      <c r="P923" s="234"/>
      <c r="Q923" s="93"/>
      <c r="R9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23" s="93">
        <v>1</v>
      </c>
      <c r="T923" s="93" t="b">
        <f>Data[[#This Row],[Day Rank]]=Data[[#This Row],[W Rank]]</f>
        <v>0</v>
      </c>
      <c r="U923" s="323"/>
    </row>
    <row r="924" spans="1:21" ht="15" customHeight="1">
      <c r="A924" s="326"/>
      <c r="B924" s="326"/>
      <c r="C924" s="339"/>
      <c r="D924" s="81">
        <f>D922</f>
        <v>45791</v>
      </c>
      <c r="E924" s="140" t="str">
        <f>$L$1</f>
        <v>loganworsdell</v>
      </c>
      <c r="F924" s="8">
        <f>IFERROR(AVERAGE(Data[[#This Row],[alappatjoe]:[currydestroyer27]]), "TBD")</f>
        <v>2.4</v>
      </c>
      <c r="G924" s="177">
        <f>IFERROR(_xlfn.STDEV.P(Data[[#This Row],[alappatjoe]:[currydestroyer27]]), "TBD")</f>
        <v>0.8</v>
      </c>
      <c r="H924" s="135" t="s">
        <v>1946</v>
      </c>
      <c r="I924" s="229" t="s">
        <v>1947</v>
      </c>
      <c r="J924" s="8">
        <v>3</v>
      </c>
      <c r="K924" s="3">
        <v>3</v>
      </c>
      <c r="L924" s="8">
        <v>1</v>
      </c>
      <c r="M924" s="8">
        <v>2</v>
      </c>
      <c r="N924" s="8">
        <v>3</v>
      </c>
      <c r="O924" s="238">
        <v>3634001</v>
      </c>
      <c r="P924" s="234"/>
      <c r="Q924" s="93"/>
      <c r="R9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24" s="93">
        <v>1</v>
      </c>
      <c r="T924" s="93" t="b">
        <f>Data[[#This Row],[Day Rank]]=Data[[#This Row],[W Rank]]</f>
        <v>1</v>
      </c>
      <c r="U924" s="323"/>
    </row>
    <row r="925" spans="1:21" ht="15" customHeight="1">
      <c r="A925" s="326"/>
      <c r="B925" s="326"/>
      <c r="C925" s="339"/>
      <c r="D925" s="81">
        <f>D922</f>
        <v>45791</v>
      </c>
      <c r="E925" s="140" t="str">
        <f>$M$1</f>
        <v>samuelbattista</v>
      </c>
      <c r="F925" s="8">
        <f>IFERROR(AVERAGE(Data[[#This Row],[alappatjoe]:[currydestroyer27]]), "TBD")</f>
        <v>3.2</v>
      </c>
      <c r="G925" s="177">
        <f>IFERROR(_xlfn.STDEV.P(Data[[#This Row],[alappatjoe]:[currydestroyer27]]), "TBD")</f>
        <v>1.6</v>
      </c>
      <c r="H925" s="245" t="s">
        <v>1948</v>
      </c>
      <c r="I925" s="229" t="s">
        <v>1949</v>
      </c>
      <c r="J925" s="8">
        <v>5</v>
      </c>
      <c r="K925" s="3">
        <v>2</v>
      </c>
      <c r="L925" s="8">
        <v>3</v>
      </c>
      <c r="M925" s="8">
        <v>1</v>
      </c>
      <c r="N925" s="8">
        <v>5</v>
      </c>
      <c r="O925" s="238">
        <v>114253758</v>
      </c>
      <c r="P925" s="234" t="s">
        <v>120</v>
      </c>
      <c r="Q925" s="93" t="s">
        <v>1950</v>
      </c>
      <c r="R9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25" s="93">
        <v>1</v>
      </c>
      <c r="T925" s="93" t="b">
        <f>Data[[#This Row],[Day Rank]]=Data[[#This Row],[W Rank]]</f>
        <v>0</v>
      </c>
      <c r="U925" s="323"/>
    </row>
    <row r="926" spans="1:21" ht="15" customHeight="1" thickBot="1">
      <c r="A926" s="327"/>
      <c r="B926" s="327"/>
      <c r="C926" s="340"/>
      <c r="D926" s="164">
        <f>D922</f>
        <v>45791</v>
      </c>
      <c r="E926" s="215" t="str">
        <f>$N$1</f>
        <v>currydestroyer27</v>
      </c>
      <c r="F926" s="165">
        <f>IFERROR(AVERAGE(Data[[#This Row],[alappatjoe]:[currydestroyer27]]), "TBD")</f>
        <v>3.6</v>
      </c>
      <c r="G926" s="256">
        <f>IFERROR(_xlfn.STDEV.P(Data[[#This Row],[alappatjoe]:[currydestroyer27]]), "TBD")</f>
        <v>1.7435595774162693</v>
      </c>
      <c r="H926" s="227" t="s">
        <v>1951</v>
      </c>
      <c r="I926" s="257" t="s">
        <v>1952</v>
      </c>
      <c r="J926" s="165">
        <v>2</v>
      </c>
      <c r="K926" s="166">
        <v>5</v>
      </c>
      <c r="L926" s="165">
        <v>5</v>
      </c>
      <c r="M926" s="165">
        <v>5</v>
      </c>
      <c r="N926" s="165">
        <v>1</v>
      </c>
      <c r="O926" s="242">
        <v>23452708</v>
      </c>
      <c r="P926" s="237"/>
      <c r="Q926" s="167"/>
      <c r="R9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26" s="167">
        <v>1</v>
      </c>
      <c r="T926" s="167" t="b">
        <f>Data[[#This Row],[Day Rank]]=Data[[#This Row],[W Rank]]</f>
        <v>0</v>
      </c>
      <c r="U926" s="324"/>
    </row>
    <row r="927" spans="1:21" ht="15" customHeight="1">
      <c r="A927" s="325">
        <v>45792</v>
      </c>
      <c r="B927" s="325"/>
      <c r="C927" s="328" t="str" cm="1">
        <f t="array" ref="C927">_xlfn.LET(_xlpm.matches, _xlfn._xlws.FILTER(Data[Poster], (Data[Date]=A927)*(Data[Winner]=TRUE)), IF(ROWS(_xlpm.matches)&gt;1, "TIE", _xlpm.matches))</f>
        <v>alappatjoe</v>
      </c>
      <c r="D927" s="147">
        <f>A927</f>
        <v>45792</v>
      </c>
      <c r="E927" s="181" t="str">
        <f>$J$1</f>
        <v>alappatjoe</v>
      </c>
      <c r="F927" s="9">
        <f>IFERROR(AVERAGE(Data[[#This Row],[alappatjoe]:[currydestroyer27]]), "TBD")</f>
        <v>2.4</v>
      </c>
      <c r="G927" s="178">
        <f>IFERROR(_xlfn.STDEV.P(Data[[#This Row],[alappatjoe]:[currydestroyer27]]), "TBD")</f>
        <v>1.019803902718557</v>
      </c>
      <c r="H927" s="160" t="s">
        <v>1953</v>
      </c>
      <c r="I927" s="186" t="s">
        <v>1364</v>
      </c>
      <c r="J927" s="9">
        <v>1</v>
      </c>
      <c r="K927" s="9">
        <v>2</v>
      </c>
      <c r="L927" s="9">
        <v>4</v>
      </c>
      <c r="M927" s="9">
        <v>3</v>
      </c>
      <c r="N927" s="9">
        <v>2</v>
      </c>
      <c r="O927" s="238">
        <v>889602689</v>
      </c>
      <c r="P927" s="234" t="s">
        <v>87</v>
      </c>
      <c r="Q927" s="93" t="s">
        <v>315</v>
      </c>
      <c r="R9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27" s="93">
        <v>1</v>
      </c>
      <c r="T927" s="93" t="b">
        <f>Data[[#This Row],[Day Rank]]=Data[[#This Row],[W Rank]]</f>
        <v>1</v>
      </c>
      <c r="U927" s="331" t="s">
        <v>1954</v>
      </c>
    </row>
    <row r="928" spans="1:21" ht="15" customHeight="1">
      <c r="A928" s="326"/>
      <c r="B928" s="326"/>
      <c r="C928" s="329"/>
      <c r="D928" s="81">
        <f>D927</f>
        <v>45792</v>
      </c>
      <c r="E928" s="140" t="str">
        <f>$K$1</f>
        <v>danram</v>
      </c>
      <c r="F928" s="8">
        <f>IFERROR(AVERAGE(Data[[#This Row],[alappatjoe]:[currydestroyer27]]), "TBD")</f>
        <v>2.4</v>
      </c>
      <c r="G928" s="177">
        <f>IFERROR(_xlfn.STDEV.P(Data[[#This Row],[alappatjoe]:[currydestroyer27]]), "TBD")</f>
        <v>1.2</v>
      </c>
      <c r="H928" s="135" t="s">
        <v>1955</v>
      </c>
      <c r="I928" s="229" t="s">
        <v>1057</v>
      </c>
      <c r="J928" s="8">
        <v>3</v>
      </c>
      <c r="K928" s="8">
        <v>1</v>
      </c>
      <c r="L928" s="8">
        <v>3</v>
      </c>
      <c r="M928" s="8">
        <v>4</v>
      </c>
      <c r="N928" s="8">
        <v>1</v>
      </c>
      <c r="O928" s="238"/>
      <c r="P928" s="234"/>
      <c r="Q928" s="93"/>
      <c r="R9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28" s="93">
        <v>1</v>
      </c>
      <c r="T928" s="93" t="b">
        <f>Data[[#This Row],[Day Rank]]=Data[[#This Row],[W Rank]]</f>
        <v>0</v>
      </c>
      <c r="U928" s="323"/>
    </row>
    <row r="929" spans="1:21" ht="15" customHeight="1">
      <c r="A929" s="326"/>
      <c r="B929" s="326"/>
      <c r="C929" s="329"/>
      <c r="D929" s="81">
        <f>D927</f>
        <v>45792</v>
      </c>
      <c r="E929" s="140" t="str">
        <f>$L$1</f>
        <v>loganworsdell</v>
      </c>
      <c r="F929" s="8">
        <f>IFERROR(AVERAGE(Data[[#This Row],[alappatjoe]:[currydestroyer27]]), "TBD")</f>
        <v>3.4</v>
      </c>
      <c r="G929" s="177">
        <f>IFERROR(_xlfn.STDEV.P(Data[[#This Row],[alappatjoe]:[currydestroyer27]]), "TBD")</f>
        <v>1.4966629547095767</v>
      </c>
      <c r="H929" s="135" t="s">
        <v>1956</v>
      </c>
      <c r="I929" s="229" t="s">
        <v>982</v>
      </c>
      <c r="J929" s="8">
        <v>5</v>
      </c>
      <c r="K929" s="8">
        <v>3</v>
      </c>
      <c r="L929" s="8">
        <v>1</v>
      </c>
      <c r="M929" s="8">
        <v>5</v>
      </c>
      <c r="N929" s="8">
        <v>3</v>
      </c>
      <c r="O929" s="238">
        <v>363335</v>
      </c>
      <c r="P929" s="234"/>
      <c r="Q929" s="93"/>
      <c r="R9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29" s="93">
        <v>1</v>
      </c>
      <c r="T929" s="93" t="b">
        <f>Data[[#This Row],[Day Rank]]=Data[[#This Row],[W Rank]]</f>
        <v>0</v>
      </c>
      <c r="U929" s="323"/>
    </row>
    <row r="930" spans="1:21" ht="15" customHeight="1">
      <c r="A930" s="326"/>
      <c r="B930" s="326"/>
      <c r="C930" s="329"/>
      <c r="D930" s="81">
        <f>D927</f>
        <v>45792</v>
      </c>
      <c r="E930" s="140" t="str">
        <f>$M$1</f>
        <v>samuelbattista</v>
      </c>
      <c r="F930" s="8">
        <f>IFERROR(AVERAGE(Data[[#This Row],[alappatjoe]:[currydestroyer27]]), "TBD")</f>
        <v>3</v>
      </c>
      <c r="G930" s="177">
        <f>IFERROR(_xlfn.STDEV.P(Data[[#This Row],[alappatjoe]:[currydestroyer27]]), "TBD")</f>
        <v>1.6733200530681511</v>
      </c>
      <c r="H930" s="245" t="s">
        <v>1957</v>
      </c>
      <c r="I930" s="229" t="s">
        <v>1958</v>
      </c>
      <c r="J930" s="8">
        <v>2</v>
      </c>
      <c r="K930" s="8">
        <v>5</v>
      </c>
      <c r="L930" s="8">
        <v>2</v>
      </c>
      <c r="M930" s="8">
        <v>1</v>
      </c>
      <c r="N930" s="8">
        <v>5</v>
      </c>
      <c r="O930" s="238">
        <v>220367545</v>
      </c>
      <c r="P930" s="234"/>
      <c r="Q930" s="93"/>
      <c r="R9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30" s="93">
        <v>1</v>
      </c>
      <c r="T930" s="93" t="b">
        <f>Data[[#This Row],[Day Rank]]=Data[[#This Row],[W Rank]]</f>
        <v>0</v>
      </c>
      <c r="U930" s="323"/>
    </row>
    <row r="931" spans="1:21" ht="15" customHeight="1" thickBot="1">
      <c r="A931" s="327"/>
      <c r="B931" s="327"/>
      <c r="C931" s="330"/>
      <c r="D931" s="164">
        <f>D927</f>
        <v>45792</v>
      </c>
      <c r="E931" s="215" t="str">
        <f>$N$1</f>
        <v>currydestroyer27</v>
      </c>
      <c r="F931" s="165">
        <f>IFERROR(AVERAGE(Data[[#This Row],[alappatjoe]:[currydestroyer27]]), "TBD")</f>
        <v>3.8</v>
      </c>
      <c r="G931" s="256">
        <f>IFERROR(_xlfn.STDEV.P(Data[[#This Row],[alappatjoe]:[currydestroyer27]]), "TBD")</f>
        <v>0.9797958971132712</v>
      </c>
      <c r="H931" s="227" t="s">
        <v>1959</v>
      </c>
      <c r="I931" s="257" t="s">
        <v>1960</v>
      </c>
      <c r="J931" s="165">
        <v>4</v>
      </c>
      <c r="K931" s="165">
        <v>4</v>
      </c>
      <c r="L931" s="165">
        <v>5</v>
      </c>
      <c r="M931" s="165">
        <v>2</v>
      </c>
      <c r="N931" s="165">
        <v>4</v>
      </c>
      <c r="O931" s="242">
        <v>198412226</v>
      </c>
      <c r="P931" s="237" t="s">
        <v>69</v>
      </c>
      <c r="Q931" s="167" t="s">
        <v>317</v>
      </c>
      <c r="R93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31" s="167">
        <v>1</v>
      </c>
      <c r="T931" s="167" t="b">
        <f>Data[[#This Row],[Day Rank]]=Data[[#This Row],[W Rank]]</f>
        <v>0</v>
      </c>
      <c r="U931" s="324"/>
    </row>
    <row r="932" spans="1:21" ht="15" customHeight="1">
      <c r="A932" s="325">
        <v>45796</v>
      </c>
      <c r="B932" s="325"/>
      <c r="C932" s="338" t="str" cm="1">
        <f t="array" ref="C932">_xlfn.LET(_xlpm.matches, _xlfn._xlws.FILTER(Data[Poster], (Data[Date]=A932)*(Data[Winner]=TRUE)), IF(ROWS(_xlpm.matches)&gt;1, "TIE", _xlpm.matches))</f>
        <v>currydestroyer27</v>
      </c>
      <c r="D932" s="147">
        <f>A932</f>
        <v>45796</v>
      </c>
      <c r="E932" s="181" t="str">
        <f>$J$1</f>
        <v>alappatjoe</v>
      </c>
      <c r="F932" s="9">
        <f>IFERROR(AVERAGE(Data[[#This Row],[alappatjoe]:[currydestroyer27]]), "TBD")</f>
        <v>3.2</v>
      </c>
      <c r="G932" s="178">
        <f>IFERROR(_xlfn.STDEV.P(Data[[#This Row],[alappatjoe]:[currydestroyer27]]), "TBD")</f>
        <v>1.3266499161421599</v>
      </c>
      <c r="H932" s="160" t="s">
        <v>1491</v>
      </c>
      <c r="I932" s="186" t="s">
        <v>1619</v>
      </c>
      <c r="J932" s="9">
        <v>1</v>
      </c>
      <c r="K932" s="9">
        <v>4</v>
      </c>
      <c r="L932" s="9">
        <v>3</v>
      </c>
      <c r="M932" s="9">
        <v>5</v>
      </c>
      <c r="N932" s="9">
        <v>3</v>
      </c>
      <c r="O932" s="238">
        <v>303744907</v>
      </c>
      <c r="P932" s="234" t="s">
        <v>76</v>
      </c>
      <c r="Q932" s="93" t="s">
        <v>96</v>
      </c>
      <c r="R9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32" s="93">
        <v>1</v>
      </c>
      <c r="T932" s="93" t="b">
        <f>Data[[#This Row],[Day Rank]]=Data[[#This Row],[W Rank]]</f>
        <v>0</v>
      </c>
      <c r="U932" s="331"/>
    </row>
    <row r="933" spans="1:21" ht="15" customHeight="1">
      <c r="A933" s="326"/>
      <c r="B933" s="326"/>
      <c r="C933" s="339"/>
      <c r="D933" s="81">
        <f>D932</f>
        <v>45796</v>
      </c>
      <c r="E933" s="140" t="str">
        <f>$K$1</f>
        <v>danram</v>
      </c>
      <c r="F933" s="8">
        <f>IFERROR(AVERAGE(Data[[#This Row],[alappatjoe]:[currydestroyer27]]), "TBD")</f>
        <v>3.8</v>
      </c>
      <c r="G933" s="177">
        <f>IFERROR(_xlfn.STDEV.P(Data[[#This Row],[alappatjoe]:[currydestroyer27]]), "TBD")</f>
        <v>0.74833147735478833</v>
      </c>
      <c r="H933" s="135" t="s">
        <v>1961</v>
      </c>
      <c r="I933" s="229" t="s">
        <v>1962</v>
      </c>
      <c r="J933" s="8">
        <v>4</v>
      </c>
      <c r="K933" s="8">
        <v>3</v>
      </c>
      <c r="L933" s="8">
        <v>5</v>
      </c>
      <c r="M933" s="8">
        <v>3</v>
      </c>
      <c r="N933" s="8">
        <v>4</v>
      </c>
      <c r="O933" s="238"/>
      <c r="P933" s="234"/>
      <c r="Q933" s="93"/>
      <c r="R9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33" s="93">
        <v>1</v>
      </c>
      <c r="T933" s="93" t="b">
        <f>Data[[#This Row],[Day Rank]]=Data[[#This Row],[W Rank]]</f>
        <v>0</v>
      </c>
      <c r="U933" s="323"/>
    </row>
    <row r="934" spans="1:21" ht="15" customHeight="1">
      <c r="A934" s="326"/>
      <c r="B934" s="326"/>
      <c r="C934" s="339"/>
      <c r="D934" s="81">
        <f>D932</f>
        <v>45796</v>
      </c>
      <c r="E934" s="140" t="str">
        <f>$L$1</f>
        <v>loganworsdell</v>
      </c>
      <c r="F934" s="8">
        <f>IFERROR(AVERAGE(Data[[#This Row],[alappatjoe]:[currydestroyer27]]), "TBD")</f>
        <v>2.2000000000000002</v>
      </c>
      <c r="G934" s="177">
        <f>IFERROR(_xlfn.STDEV.P(Data[[#This Row],[alappatjoe]:[currydestroyer27]]), "TBD")</f>
        <v>1.1661903789690602</v>
      </c>
      <c r="H934" s="135" t="s">
        <v>1963</v>
      </c>
      <c r="I934" s="229" t="s">
        <v>54</v>
      </c>
      <c r="J934" s="8">
        <v>3</v>
      </c>
      <c r="K934" s="8">
        <v>1</v>
      </c>
      <c r="L934" s="8">
        <v>1</v>
      </c>
      <c r="M934" s="8">
        <v>4</v>
      </c>
      <c r="N934" s="8">
        <v>2</v>
      </c>
      <c r="O934" s="238">
        <v>2419058</v>
      </c>
      <c r="P934" s="234"/>
      <c r="Q934" s="93"/>
      <c r="R9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34" s="93">
        <v>1</v>
      </c>
      <c r="T934" s="93" t="b">
        <f>Data[[#This Row],[Day Rank]]=Data[[#This Row],[W Rank]]</f>
        <v>0</v>
      </c>
      <c r="U934" s="323"/>
    </row>
    <row r="935" spans="1:21" ht="15" customHeight="1">
      <c r="A935" s="326"/>
      <c r="B935" s="326"/>
      <c r="C935" s="339"/>
      <c r="D935" s="81">
        <f>D932</f>
        <v>45796</v>
      </c>
      <c r="E935" s="140" t="str">
        <f>$M$1</f>
        <v>samuelbattista</v>
      </c>
      <c r="F935" s="8">
        <f>IFERROR(AVERAGE(Data[[#This Row],[alappatjoe]:[currydestroyer27]]), "TBD")</f>
        <v>4</v>
      </c>
      <c r="G935" s="177">
        <f>IFERROR(_xlfn.STDEV.P(Data[[#This Row],[alappatjoe]:[currydestroyer27]]), "TBD")</f>
        <v>1.5491933384829668</v>
      </c>
      <c r="H935" s="245" t="s">
        <v>1964</v>
      </c>
      <c r="I935" s="229" t="s">
        <v>1965</v>
      </c>
      <c r="J935" s="8">
        <v>5</v>
      </c>
      <c r="K935" s="8">
        <v>5</v>
      </c>
      <c r="L935" s="8">
        <v>4</v>
      </c>
      <c r="M935" s="8">
        <v>1</v>
      </c>
      <c r="N935" s="8">
        <v>5</v>
      </c>
      <c r="O935" s="238">
        <v>300669679</v>
      </c>
      <c r="P935" s="234"/>
      <c r="Q935" s="93"/>
      <c r="R9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35" s="93">
        <v>1</v>
      </c>
      <c r="T935" s="93" t="b">
        <f>Data[[#This Row],[Day Rank]]=Data[[#This Row],[W Rank]]</f>
        <v>0</v>
      </c>
      <c r="U935" s="323"/>
    </row>
    <row r="936" spans="1:21" ht="15" customHeight="1" thickBot="1">
      <c r="A936" s="327"/>
      <c r="B936" s="327"/>
      <c r="C936" s="340"/>
      <c r="D936" s="164">
        <f>D932</f>
        <v>45796</v>
      </c>
      <c r="E936" s="215" t="str">
        <f>$N$1</f>
        <v>currydestroyer27</v>
      </c>
      <c r="F936" s="165">
        <f>IFERROR(AVERAGE(Data[[#This Row],[alappatjoe]:[currydestroyer27]]), "TBD")</f>
        <v>1.8</v>
      </c>
      <c r="G936" s="256">
        <f>IFERROR(_xlfn.STDEV.P(Data[[#This Row],[alappatjoe]:[currydestroyer27]]), "TBD")</f>
        <v>0.4</v>
      </c>
      <c r="H936" s="227" t="s">
        <v>1966</v>
      </c>
      <c r="I936" s="257" t="s">
        <v>1852</v>
      </c>
      <c r="J936" s="165">
        <v>2</v>
      </c>
      <c r="K936" s="165">
        <v>2</v>
      </c>
      <c r="L936" s="165">
        <v>2</v>
      </c>
      <c r="M936" s="165">
        <v>2</v>
      </c>
      <c r="N936" s="165">
        <v>1</v>
      </c>
      <c r="O936" s="242">
        <v>24707935</v>
      </c>
      <c r="P936" s="237" t="s">
        <v>76</v>
      </c>
      <c r="Q936" s="167" t="s">
        <v>590</v>
      </c>
      <c r="R93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36" s="167">
        <v>1</v>
      </c>
      <c r="T936" s="167" t="b">
        <f>Data[[#This Row],[Day Rank]]=Data[[#This Row],[W Rank]]</f>
        <v>1</v>
      </c>
      <c r="U936" s="324"/>
    </row>
    <row r="937" spans="1:21" ht="15" customHeight="1">
      <c r="A937" s="325">
        <v>45797</v>
      </c>
      <c r="B937" s="325"/>
      <c r="C937" s="328" t="str" cm="1">
        <f t="array" ref="C937">_xlfn.LET(_xlpm.matches, _xlfn._xlws.FILTER(Data[Poster], (Data[Date]=A937)*(Data[Winner]=TRUE)), IF(ROWS(_xlpm.matches)&gt;1, "TIE", _xlpm.matches))</f>
        <v>alappatjoe</v>
      </c>
      <c r="D937" s="147">
        <f>A937</f>
        <v>45797</v>
      </c>
      <c r="E937" s="181" t="str">
        <f>$J$1</f>
        <v>alappatjoe</v>
      </c>
      <c r="F937" s="9">
        <f>IFERROR(AVERAGE(Data[[#This Row],[alappatjoe]:[currydestroyer27]]), "TBD")</f>
        <v>2.8</v>
      </c>
      <c r="G937" s="178">
        <f>IFERROR(_xlfn.STDEV.P(Data[[#This Row],[alappatjoe]:[currydestroyer27]]), "TBD")</f>
        <v>1.1661903789690602</v>
      </c>
      <c r="H937" s="160" t="s">
        <v>1967</v>
      </c>
      <c r="I937" s="186" t="s">
        <v>1705</v>
      </c>
      <c r="J937" s="9">
        <v>1</v>
      </c>
      <c r="K937" s="9">
        <v>2</v>
      </c>
      <c r="L937" s="9">
        <v>4</v>
      </c>
      <c r="M937" s="9">
        <v>3</v>
      </c>
      <c r="N937" s="9">
        <v>4</v>
      </c>
      <c r="O937" s="238">
        <v>31547701</v>
      </c>
      <c r="P937" s="234" t="s">
        <v>120</v>
      </c>
      <c r="Q937" s="93" t="s">
        <v>1968</v>
      </c>
      <c r="R9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37" s="93">
        <v>1</v>
      </c>
      <c r="T937" s="93" t="b">
        <f>Data[[#This Row],[Day Rank]]=Data[[#This Row],[W Rank]]</f>
        <v>1</v>
      </c>
      <c r="U937" s="331"/>
    </row>
    <row r="938" spans="1:21" ht="15" customHeight="1">
      <c r="A938" s="326"/>
      <c r="B938" s="326"/>
      <c r="C938" s="329"/>
      <c r="D938" s="81">
        <f>D937</f>
        <v>45797</v>
      </c>
      <c r="E938" s="140" t="str">
        <f>$K$1</f>
        <v>danram</v>
      </c>
      <c r="F938" s="8">
        <f>IFERROR(AVERAGE(Data[[#This Row],[alappatjoe]:[currydestroyer27]]), "TBD")</f>
        <v>2.8</v>
      </c>
      <c r="G938" s="177">
        <f>IFERROR(_xlfn.STDEV.P(Data[[#This Row],[alappatjoe]:[currydestroyer27]]), "TBD")</f>
        <v>1.6</v>
      </c>
      <c r="H938" s="135" t="s">
        <v>1969</v>
      </c>
      <c r="I938" s="229" t="s">
        <v>1970</v>
      </c>
      <c r="J938" s="8">
        <v>4</v>
      </c>
      <c r="K938" s="8">
        <v>1</v>
      </c>
      <c r="L938" s="8">
        <v>1</v>
      </c>
      <c r="M938" s="8">
        <v>5</v>
      </c>
      <c r="N938" s="8">
        <v>3</v>
      </c>
      <c r="O938" s="238"/>
      <c r="P938" s="234"/>
      <c r="Q938" s="93"/>
      <c r="R9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38" s="93">
        <v>1</v>
      </c>
      <c r="T938" s="93" t="b">
        <f>Data[[#This Row],[Day Rank]]=Data[[#This Row],[W Rank]]</f>
        <v>0</v>
      </c>
      <c r="U938" s="323"/>
    </row>
    <row r="939" spans="1:21" ht="15" customHeight="1">
      <c r="A939" s="326"/>
      <c r="B939" s="326"/>
      <c r="C939" s="329"/>
      <c r="D939" s="81">
        <f>D937</f>
        <v>45797</v>
      </c>
      <c r="E939" s="140" t="str">
        <f>$L$1</f>
        <v>loganworsdell</v>
      </c>
      <c r="F939" s="8">
        <f>IFERROR(AVERAGE(Data[[#This Row],[alappatjoe]:[currydestroyer27]]), "TBD")</f>
        <v>3</v>
      </c>
      <c r="G939" s="177">
        <f>IFERROR(_xlfn.STDEV.P(Data[[#This Row],[alappatjoe]:[currydestroyer27]]), "TBD")</f>
        <v>1.2649110640673518</v>
      </c>
      <c r="H939" s="135" t="s">
        <v>1971</v>
      </c>
      <c r="I939" s="229" t="s">
        <v>1972</v>
      </c>
      <c r="J939" s="8">
        <v>2</v>
      </c>
      <c r="K939" s="8">
        <v>4</v>
      </c>
      <c r="L939" s="8">
        <v>2</v>
      </c>
      <c r="M939" s="8">
        <v>2</v>
      </c>
      <c r="N939" s="8">
        <v>5</v>
      </c>
      <c r="O939" s="238">
        <v>38848357</v>
      </c>
      <c r="P939" s="234"/>
      <c r="Q939" s="93"/>
      <c r="R9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39" s="93">
        <v>1</v>
      </c>
      <c r="T939" s="93" t="b">
        <f>Data[[#This Row],[Day Rank]]=Data[[#This Row],[W Rank]]</f>
        <v>0</v>
      </c>
      <c r="U939" s="323"/>
    </row>
    <row r="940" spans="1:21" ht="15" customHeight="1">
      <c r="A940" s="326"/>
      <c r="B940" s="326"/>
      <c r="C940" s="329"/>
      <c r="D940" s="81">
        <f>D937</f>
        <v>45797</v>
      </c>
      <c r="E940" s="140" t="str">
        <f>$M$1</f>
        <v>samuelbattista</v>
      </c>
      <c r="F940" s="8">
        <f>IFERROR(AVERAGE(Data[[#This Row],[alappatjoe]:[currydestroyer27]]), "TBD")</f>
        <v>3.2</v>
      </c>
      <c r="G940" s="177">
        <f>IFERROR(_xlfn.STDEV.P(Data[[#This Row],[alappatjoe]:[currydestroyer27]]), "TBD")</f>
        <v>1.6</v>
      </c>
      <c r="H940" s="245" t="s">
        <v>1973</v>
      </c>
      <c r="I940" s="229" t="s">
        <v>1974</v>
      </c>
      <c r="J940" s="8">
        <v>5</v>
      </c>
      <c r="K940" s="8">
        <v>3</v>
      </c>
      <c r="L940" s="8">
        <v>5</v>
      </c>
      <c r="M940" s="8">
        <v>1</v>
      </c>
      <c r="N940" s="8">
        <v>2</v>
      </c>
      <c r="O940" s="238">
        <v>90763490</v>
      </c>
      <c r="P940" s="234"/>
      <c r="Q940" s="93"/>
      <c r="R9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40" s="93">
        <v>1</v>
      </c>
      <c r="T940" s="93" t="b">
        <f>Data[[#This Row],[Day Rank]]=Data[[#This Row],[W Rank]]</f>
        <v>0</v>
      </c>
      <c r="U940" s="323"/>
    </row>
    <row r="941" spans="1:21" ht="15" customHeight="1" thickBot="1">
      <c r="A941" s="327"/>
      <c r="B941" s="327"/>
      <c r="C941" s="330"/>
      <c r="D941" s="164">
        <f>D937</f>
        <v>45797</v>
      </c>
      <c r="E941" s="215" t="str">
        <f>$N$1</f>
        <v>currydestroyer27</v>
      </c>
      <c r="F941" s="165">
        <f>IFERROR(AVERAGE(Data[[#This Row],[alappatjoe]:[currydestroyer27]]), "TBD")</f>
        <v>3.2</v>
      </c>
      <c r="G941" s="256">
        <f>IFERROR(_xlfn.STDEV.P(Data[[#This Row],[alappatjoe]:[currydestroyer27]]), "TBD")</f>
        <v>1.3266499161421599</v>
      </c>
      <c r="H941" s="227" t="s">
        <v>1975</v>
      </c>
      <c r="I941" s="257" t="s">
        <v>1976</v>
      </c>
      <c r="J941" s="165">
        <v>3</v>
      </c>
      <c r="K941" s="165">
        <v>5</v>
      </c>
      <c r="L941" s="165">
        <v>3</v>
      </c>
      <c r="M941" s="165">
        <v>4</v>
      </c>
      <c r="N941" s="165">
        <v>1</v>
      </c>
      <c r="O941" s="242">
        <v>420841377</v>
      </c>
      <c r="P941" s="237" t="s">
        <v>293</v>
      </c>
      <c r="Q941" s="167" t="s">
        <v>1977</v>
      </c>
      <c r="R94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41" s="167">
        <v>1</v>
      </c>
      <c r="T941" s="167" t="b">
        <f>Data[[#This Row],[Day Rank]]=Data[[#This Row],[W Rank]]</f>
        <v>0</v>
      </c>
      <c r="U941" s="324"/>
    </row>
    <row r="942" spans="1:21" ht="15" customHeight="1">
      <c r="A942" s="325">
        <v>45798</v>
      </c>
      <c r="B942" s="325"/>
      <c r="C942" s="338" t="str" cm="1">
        <f t="array" ref="C942">_xlfn.LET(_xlpm.matches, _xlfn._xlws.FILTER(Data[Poster], (Data[Date]=A942)*(Data[Winner]=TRUE)), IF(ROWS(_xlpm.matches)&gt;1, "TIE", _xlpm.matches))</f>
        <v>currydestroyer27</v>
      </c>
      <c r="D942" s="147">
        <f>A942</f>
        <v>45798</v>
      </c>
      <c r="E942" s="181" t="str">
        <f>$J$1</f>
        <v>alappatjoe</v>
      </c>
      <c r="F942" s="9">
        <f>IFERROR(AVERAGE(Data[[#This Row],[alappatjoe]:[currydestroyer27]]), "TBD")</f>
        <v>3.6</v>
      </c>
      <c r="G942" s="178">
        <f>IFERROR(_xlfn.STDEV.P(Data[[#This Row],[alappatjoe]:[currydestroyer27]]), "TBD")</f>
        <v>1.4966629547095767</v>
      </c>
      <c r="H942" s="160" t="s">
        <v>1978</v>
      </c>
      <c r="I942" s="186" t="s">
        <v>1979</v>
      </c>
      <c r="J942" s="9">
        <v>1</v>
      </c>
      <c r="K942" s="9">
        <v>4</v>
      </c>
      <c r="L942" s="9">
        <v>3</v>
      </c>
      <c r="M942" s="9">
        <v>5</v>
      </c>
      <c r="N942" s="9">
        <v>5</v>
      </c>
      <c r="O942" s="238">
        <v>1102159755</v>
      </c>
      <c r="P942" s="234" t="s">
        <v>87</v>
      </c>
      <c r="Q942" s="93" t="s">
        <v>613</v>
      </c>
      <c r="R9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42" s="93">
        <v>1</v>
      </c>
      <c r="T942" s="93" t="b">
        <f>Data[[#This Row],[Day Rank]]=Data[[#This Row],[W Rank]]</f>
        <v>0</v>
      </c>
      <c r="U942" s="331"/>
    </row>
    <row r="943" spans="1:21" ht="15" customHeight="1">
      <c r="A943" s="326"/>
      <c r="B943" s="326"/>
      <c r="C943" s="339"/>
      <c r="D943" s="81">
        <f>D942</f>
        <v>45798</v>
      </c>
      <c r="E943" s="140" t="str">
        <f>$K$1</f>
        <v>danram</v>
      </c>
      <c r="F943" s="8">
        <f>IFERROR(AVERAGE(Data[[#This Row],[alappatjoe]:[currydestroyer27]]), "TBD")</f>
        <v>3</v>
      </c>
      <c r="G943" s="177">
        <f>IFERROR(_xlfn.STDEV.P(Data[[#This Row],[alappatjoe]:[currydestroyer27]]), "TBD")</f>
        <v>1.4142135623730951</v>
      </c>
      <c r="H943" s="135" t="s">
        <v>1980</v>
      </c>
      <c r="I943" s="229" t="s">
        <v>373</v>
      </c>
      <c r="J943" s="8">
        <v>2</v>
      </c>
      <c r="K943" s="8">
        <v>1</v>
      </c>
      <c r="L943" s="8">
        <v>5</v>
      </c>
      <c r="M943" s="8">
        <v>3</v>
      </c>
      <c r="N943" s="8">
        <v>4</v>
      </c>
      <c r="O943" s="238"/>
      <c r="P943" s="234"/>
      <c r="Q943" s="93"/>
      <c r="R9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43" s="93">
        <v>1</v>
      </c>
      <c r="T943" s="93" t="b">
        <f>Data[[#This Row],[Day Rank]]=Data[[#This Row],[W Rank]]</f>
        <v>0</v>
      </c>
      <c r="U943" s="323"/>
    </row>
    <row r="944" spans="1:21" ht="15" customHeight="1">
      <c r="A944" s="326"/>
      <c r="B944" s="326"/>
      <c r="C944" s="339"/>
      <c r="D944" s="81">
        <f>D942</f>
        <v>45798</v>
      </c>
      <c r="E944" s="140" t="str">
        <f>$L$1</f>
        <v>loganworsdell</v>
      </c>
      <c r="F944" s="8">
        <f>IFERROR(AVERAGE(Data[[#This Row],[alappatjoe]:[currydestroyer27]]), "TBD")</f>
        <v>2.4</v>
      </c>
      <c r="G944" s="177">
        <f>IFERROR(_xlfn.STDEV.P(Data[[#This Row],[alappatjoe]:[currydestroyer27]]), "TBD")</f>
        <v>1.019803902718557</v>
      </c>
      <c r="H944" s="135" t="s">
        <v>1981</v>
      </c>
      <c r="I944" s="229" t="s">
        <v>1982</v>
      </c>
      <c r="J944" s="8">
        <v>3</v>
      </c>
      <c r="K944" s="8">
        <v>2</v>
      </c>
      <c r="L944" s="8">
        <v>1</v>
      </c>
      <c r="M944" s="8">
        <v>4</v>
      </c>
      <c r="N944" s="8">
        <v>2</v>
      </c>
      <c r="O944" s="238">
        <v>1375025</v>
      </c>
      <c r="P944" s="234"/>
      <c r="Q944" s="93"/>
      <c r="R9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44" s="93">
        <v>1</v>
      </c>
      <c r="T944" s="93" t="b">
        <f>Data[[#This Row],[Day Rank]]=Data[[#This Row],[W Rank]]</f>
        <v>0</v>
      </c>
      <c r="U944" s="323"/>
    </row>
    <row r="945" spans="1:21" ht="15" customHeight="1">
      <c r="A945" s="326"/>
      <c r="B945" s="326"/>
      <c r="C945" s="339"/>
      <c r="D945" s="81">
        <f>D942</f>
        <v>45798</v>
      </c>
      <c r="E945" s="140" t="str">
        <f>$M$1</f>
        <v>samuelbattista</v>
      </c>
      <c r="F945" s="8">
        <f>IFERROR(AVERAGE(Data[[#This Row],[alappatjoe]:[currydestroyer27]]), "TBD")</f>
        <v>3.8</v>
      </c>
      <c r="G945" s="177">
        <f>IFERROR(_xlfn.STDEV.P(Data[[#This Row],[alappatjoe]:[currydestroyer27]]), "TBD")</f>
        <v>1.1661903789690602</v>
      </c>
      <c r="H945" s="245" t="s">
        <v>1983</v>
      </c>
      <c r="I945" s="229" t="s">
        <v>1984</v>
      </c>
      <c r="J945" s="8">
        <v>5</v>
      </c>
      <c r="K945" s="8">
        <v>5</v>
      </c>
      <c r="L945" s="8">
        <v>4</v>
      </c>
      <c r="M945" s="8">
        <v>2</v>
      </c>
      <c r="N945" s="8">
        <v>3</v>
      </c>
      <c r="O945" s="238">
        <v>3172234</v>
      </c>
      <c r="P945" s="234"/>
      <c r="Q945" s="93"/>
      <c r="R9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45" s="93">
        <v>1</v>
      </c>
      <c r="T945" s="93" t="b">
        <f>Data[[#This Row],[Day Rank]]=Data[[#This Row],[W Rank]]</f>
        <v>0</v>
      </c>
      <c r="U945" s="323"/>
    </row>
    <row r="946" spans="1:21" ht="15" customHeight="1" thickBot="1">
      <c r="A946" s="327"/>
      <c r="B946" s="327"/>
      <c r="C946" s="340"/>
      <c r="D946" s="164">
        <f>D942</f>
        <v>45798</v>
      </c>
      <c r="E946" s="215" t="str">
        <f>$N$1</f>
        <v>currydestroyer27</v>
      </c>
      <c r="F946" s="165">
        <f>IFERROR(AVERAGE(Data[[#This Row],[alappatjoe]:[currydestroyer27]]), "TBD")</f>
        <v>2.2000000000000002</v>
      </c>
      <c r="G946" s="256">
        <f>IFERROR(_xlfn.STDEV.P(Data[[#This Row],[alappatjoe]:[currydestroyer27]]), "TBD")</f>
        <v>1.1661903789690602</v>
      </c>
      <c r="H946" s="227" t="s">
        <v>1985</v>
      </c>
      <c r="I946" s="257" t="s">
        <v>195</v>
      </c>
      <c r="J946" s="165">
        <v>4</v>
      </c>
      <c r="K946" s="165">
        <v>3</v>
      </c>
      <c r="L946" s="165">
        <v>2</v>
      </c>
      <c r="M946" s="165">
        <v>1</v>
      </c>
      <c r="N946" s="165">
        <v>1</v>
      </c>
      <c r="O946" s="242">
        <v>555752593</v>
      </c>
      <c r="P946" s="237" t="s">
        <v>51</v>
      </c>
      <c r="Q946" s="167" t="s">
        <v>512</v>
      </c>
      <c r="R94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46" s="167">
        <v>1</v>
      </c>
      <c r="T946" s="167" t="b">
        <f>Data[[#This Row],[Day Rank]]=Data[[#This Row],[W Rank]]</f>
        <v>1</v>
      </c>
      <c r="U946" s="324"/>
    </row>
    <row r="947" spans="1:21" ht="15" customHeight="1">
      <c r="A947" s="325">
        <v>45799</v>
      </c>
      <c r="B947" s="325"/>
      <c r="C947" s="328" t="str" cm="1">
        <f t="array" ref="C947">_xlfn.LET(_xlpm.matches, _xlfn._xlws.FILTER(Data[Poster], (Data[Date]=A947)*(Data[Winner]=TRUE)), IF(ROWS(_xlpm.matches)&gt;1, "TIE", _xlpm.matches))</f>
        <v>danram</v>
      </c>
      <c r="D947" s="147">
        <f>A947</f>
        <v>45799</v>
      </c>
      <c r="E947" s="181" t="str">
        <f>$J$1</f>
        <v>alappatjoe</v>
      </c>
      <c r="F947" s="9">
        <f>IFERROR(AVERAGE(Data[[#This Row],[alappatjoe]:[currydestroyer27]]), "TBD")</f>
        <v>4.2</v>
      </c>
      <c r="G947" s="178">
        <f>IFERROR(_xlfn.STDEV.P(Data[[#This Row],[alappatjoe]:[currydestroyer27]]), "TBD")</f>
        <v>0.74833147735478833</v>
      </c>
      <c r="H947" s="160" t="s">
        <v>1986</v>
      </c>
      <c r="I947" s="186" t="s">
        <v>1987</v>
      </c>
      <c r="J947" s="9">
        <v>3</v>
      </c>
      <c r="K947" s="9">
        <v>4</v>
      </c>
      <c r="L947" s="9">
        <v>5</v>
      </c>
      <c r="M947" s="9">
        <v>4</v>
      </c>
      <c r="N947" s="9">
        <v>5</v>
      </c>
      <c r="O947" s="238">
        <v>18390807</v>
      </c>
      <c r="P947" s="234" t="s">
        <v>1988</v>
      </c>
      <c r="Q947" s="93" t="s">
        <v>1989</v>
      </c>
      <c r="R9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47" s="93">
        <v>1</v>
      </c>
      <c r="T947" s="93" t="b">
        <f>Data[[#This Row],[Day Rank]]=Data[[#This Row],[W Rank]]</f>
        <v>0</v>
      </c>
      <c r="U947" s="331" t="s">
        <v>1990</v>
      </c>
    </row>
    <row r="948" spans="1:21" ht="15" customHeight="1">
      <c r="A948" s="326"/>
      <c r="B948" s="326"/>
      <c r="C948" s="329"/>
      <c r="D948" s="81">
        <f>D947</f>
        <v>45799</v>
      </c>
      <c r="E948" s="140" t="str">
        <f>$K$1</f>
        <v>danram</v>
      </c>
      <c r="F948" s="8">
        <f>IFERROR(AVERAGE(Data[[#This Row],[alappatjoe]:[currydestroyer27]]), "TBD")</f>
        <v>2.6</v>
      </c>
      <c r="G948" s="177">
        <f>IFERROR(_xlfn.STDEV.P(Data[[#This Row],[alappatjoe]:[currydestroyer27]]), "TBD")</f>
        <v>1.019803902718557</v>
      </c>
      <c r="H948" s="135" t="s">
        <v>1991</v>
      </c>
      <c r="I948" s="229" t="s">
        <v>1992</v>
      </c>
      <c r="J948" s="8">
        <v>2</v>
      </c>
      <c r="K948" s="8">
        <v>1</v>
      </c>
      <c r="L948" s="8">
        <v>3</v>
      </c>
      <c r="M948" s="8">
        <v>3</v>
      </c>
      <c r="N948" s="8">
        <v>4</v>
      </c>
      <c r="O948" s="238"/>
      <c r="P948" s="234"/>
      <c r="Q948" s="93"/>
      <c r="R9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48" s="93">
        <v>1</v>
      </c>
      <c r="T948" s="93" t="b">
        <f>Data[[#This Row],[Day Rank]]=Data[[#This Row],[W Rank]]</f>
        <v>1</v>
      </c>
      <c r="U948" s="323"/>
    </row>
    <row r="949" spans="1:21" ht="15" customHeight="1">
      <c r="A949" s="326"/>
      <c r="B949" s="326"/>
      <c r="C949" s="329"/>
      <c r="D949" s="81">
        <f>D947</f>
        <v>45799</v>
      </c>
      <c r="E949" s="140" t="str">
        <f>$L$1</f>
        <v>loganworsdell</v>
      </c>
      <c r="F949" s="8">
        <f>IFERROR(AVERAGE(Data[[#This Row],[alappatjoe]:[currydestroyer27]]), "TBD")</f>
        <v>3</v>
      </c>
      <c r="G949" s="177">
        <f>IFERROR(_xlfn.STDEV.P(Data[[#This Row],[alappatjoe]:[currydestroyer27]]), "TBD")</f>
        <v>1.6733200530681511</v>
      </c>
      <c r="H949" s="135" t="s">
        <v>1993</v>
      </c>
      <c r="I949" s="229" t="s">
        <v>1994</v>
      </c>
      <c r="J949" s="8">
        <v>5</v>
      </c>
      <c r="K949" s="8">
        <v>2</v>
      </c>
      <c r="L949" s="8">
        <v>1</v>
      </c>
      <c r="M949" s="8">
        <v>5</v>
      </c>
      <c r="N949" s="8">
        <v>2</v>
      </c>
      <c r="O949" s="238">
        <v>15163346</v>
      </c>
      <c r="P949" s="234"/>
      <c r="Q949" s="93"/>
      <c r="R9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49" s="93">
        <v>1</v>
      </c>
      <c r="T949" s="93" t="b">
        <f>Data[[#This Row],[Day Rank]]=Data[[#This Row],[W Rank]]</f>
        <v>0</v>
      </c>
      <c r="U949" s="323"/>
    </row>
    <row r="950" spans="1:21" ht="15" customHeight="1">
      <c r="A950" s="326"/>
      <c r="B950" s="326"/>
      <c r="C950" s="329"/>
      <c r="D950" s="81">
        <f>D947</f>
        <v>45799</v>
      </c>
      <c r="E950" s="140" t="str">
        <f>$M$1</f>
        <v>samuelbattista</v>
      </c>
      <c r="F950" s="8">
        <f>IFERROR(AVERAGE(Data[[#This Row],[alappatjoe]:[currydestroyer27]]), "TBD")</f>
        <v>2.6</v>
      </c>
      <c r="G950" s="177">
        <f>IFERROR(_xlfn.STDEV.P(Data[[#This Row],[alappatjoe]:[currydestroyer27]]), "TBD")</f>
        <v>1.019803902718557</v>
      </c>
      <c r="H950" s="245" t="s">
        <v>1995</v>
      </c>
      <c r="I950" s="229" t="s">
        <v>1928</v>
      </c>
      <c r="J950" s="8">
        <v>4</v>
      </c>
      <c r="K950" s="8">
        <v>3</v>
      </c>
      <c r="L950" s="8">
        <v>2</v>
      </c>
      <c r="M950" s="8">
        <v>1</v>
      </c>
      <c r="N950" s="8">
        <v>3</v>
      </c>
      <c r="O950" s="238">
        <v>40645</v>
      </c>
      <c r="P950" s="234"/>
      <c r="Q950" s="93"/>
      <c r="R9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50" s="93">
        <v>2</v>
      </c>
      <c r="T950" s="93" t="b">
        <f>Data[[#This Row],[Day Rank]]=Data[[#This Row],[W Rank]]</f>
        <v>0</v>
      </c>
      <c r="U950" s="323"/>
    </row>
    <row r="951" spans="1:21" ht="15" customHeight="1" thickBot="1">
      <c r="A951" s="327"/>
      <c r="B951" s="327"/>
      <c r="C951" s="330"/>
      <c r="D951" s="164">
        <f>D947</f>
        <v>45799</v>
      </c>
      <c r="E951" s="215" t="str">
        <f>$N$1</f>
        <v>currydestroyer27</v>
      </c>
      <c r="F951" s="165">
        <f>IFERROR(AVERAGE(Data[[#This Row],[alappatjoe]:[currydestroyer27]]), "TBD")</f>
        <v>2.6</v>
      </c>
      <c r="G951" s="256">
        <f>IFERROR(_xlfn.STDEV.P(Data[[#This Row],[alappatjoe]:[currydestroyer27]]), "TBD")</f>
        <v>1.6248076809271921</v>
      </c>
      <c r="H951" s="227" t="s">
        <v>1996</v>
      </c>
      <c r="I951" s="257" t="s">
        <v>1997</v>
      </c>
      <c r="J951" s="165">
        <v>1</v>
      </c>
      <c r="K951" s="165">
        <v>5</v>
      </c>
      <c r="L951" s="165">
        <v>4</v>
      </c>
      <c r="M951" s="165">
        <v>2</v>
      </c>
      <c r="N951" s="165">
        <v>1</v>
      </c>
      <c r="O951" s="242">
        <v>684436041</v>
      </c>
      <c r="P951" s="237" t="s">
        <v>69</v>
      </c>
      <c r="Q951" s="167" t="s">
        <v>290</v>
      </c>
      <c r="R95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51" s="167">
        <v>1</v>
      </c>
      <c r="T951" s="167" t="b">
        <f>Data[[#This Row],[Day Rank]]=Data[[#This Row],[W Rank]]</f>
        <v>0</v>
      </c>
      <c r="U951" s="324"/>
    </row>
    <row r="952" spans="1:21" ht="15" customHeight="1">
      <c r="A952" s="325">
        <v>45803</v>
      </c>
      <c r="B952" s="325"/>
      <c r="C952" s="338" t="str" cm="1">
        <f t="array" ref="C952">_xlfn.LET(_xlpm.matches, _xlfn._xlws.FILTER(Data[Poster], (Data[Date]=A952)*(Data[Winner]=TRUE)), IF(ROWS(_xlpm.matches)&gt;1, "TIE", _xlpm.matches))</f>
        <v>loganworsdell</v>
      </c>
      <c r="D952" s="147">
        <f>A952</f>
        <v>45803</v>
      </c>
      <c r="E952" s="181" t="str">
        <f>$J$1</f>
        <v>alappatjoe</v>
      </c>
      <c r="F952" s="9">
        <f>IFERROR(AVERAGE(Data[[#This Row],[alappatjoe]:[currydestroyer27]]), "TBD")</f>
        <v>3.4</v>
      </c>
      <c r="G952" s="178">
        <f>IFERROR(_xlfn.STDEV.P(Data[[#This Row],[alappatjoe]:[currydestroyer27]]), "TBD")</f>
        <v>1.6248076809271921</v>
      </c>
      <c r="H952" s="160" t="s">
        <v>1998</v>
      </c>
      <c r="I952" s="186" t="s">
        <v>429</v>
      </c>
      <c r="J952" s="9">
        <v>1</v>
      </c>
      <c r="K952" s="9">
        <v>5</v>
      </c>
      <c r="L952" s="9">
        <v>4</v>
      </c>
      <c r="M952" s="9">
        <v>5</v>
      </c>
      <c r="N952" s="9">
        <v>2</v>
      </c>
      <c r="O952" s="238">
        <v>14425432</v>
      </c>
      <c r="P952" s="234" t="s">
        <v>170</v>
      </c>
      <c r="Q952" s="93" t="s">
        <v>1812</v>
      </c>
      <c r="R9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52" s="93">
        <v>1</v>
      </c>
      <c r="T952" s="93" t="b">
        <f>Data[[#This Row],[Day Rank]]=Data[[#This Row],[W Rank]]</f>
        <v>0</v>
      </c>
      <c r="U952" s="331" t="s">
        <v>1999</v>
      </c>
    </row>
    <row r="953" spans="1:21" ht="15" customHeight="1">
      <c r="A953" s="326"/>
      <c r="B953" s="326"/>
      <c r="C953" s="339"/>
      <c r="D953" s="81">
        <f>D952</f>
        <v>45803</v>
      </c>
      <c r="E953" s="140" t="str">
        <f>$K$1</f>
        <v>danram</v>
      </c>
      <c r="F953" s="8">
        <f>IFERROR(AVERAGE(Data[[#This Row],[alappatjoe]:[currydestroyer27]]), "TBD")</f>
        <v>3.2</v>
      </c>
      <c r="G953" s="177">
        <f>IFERROR(_xlfn.STDEV.P(Data[[#This Row],[alappatjoe]:[currydestroyer27]]), "TBD")</f>
        <v>1.4696938456699069</v>
      </c>
      <c r="H953" s="135" t="s">
        <v>2000</v>
      </c>
      <c r="I953" s="229" t="s">
        <v>1866</v>
      </c>
      <c r="J953" s="8">
        <v>4</v>
      </c>
      <c r="K953" s="8">
        <v>1</v>
      </c>
      <c r="L953" s="8">
        <v>2</v>
      </c>
      <c r="M953" s="8">
        <v>4</v>
      </c>
      <c r="N953" s="8">
        <v>5</v>
      </c>
      <c r="O953" s="238"/>
      <c r="P953" s="234"/>
      <c r="Q953" s="93"/>
      <c r="R9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53" s="93">
        <v>1</v>
      </c>
      <c r="T953" s="93" t="b">
        <f>Data[[#This Row],[Day Rank]]=Data[[#This Row],[W Rank]]</f>
        <v>0</v>
      </c>
      <c r="U953" s="323"/>
    </row>
    <row r="954" spans="1:21" ht="15" customHeight="1">
      <c r="A954" s="326"/>
      <c r="B954" s="326"/>
      <c r="C954" s="339"/>
      <c r="D954" s="81">
        <f>D952</f>
        <v>45803</v>
      </c>
      <c r="E954" s="140" t="str">
        <f>$L$1</f>
        <v>loganworsdell</v>
      </c>
      <c r="F954" s="8">
        <f>IFERROR(AVERAGE(Data[[#This Row],[alappatjoe]:[currydestroyer27]]), "TBD")</f>
        <v>2</v>
      </c>
      <c r="G954" s="177">
        <f>IFERROR(_xlfn.STDEV.P(Data[[#This Row],[alappatjoe]:[currydestroyer27]]), "TBD")</f>
        <v>0.89442719099991586</v>
      </c>
      <c r="H954" s="135" t="s">
        <v>2001</v>
      </c>
      <c r="I954" s="229" t="s">
        <v>2002</v>
      </c>
      <c r="J954" s="8">
        <v>3</v>
      </c>
      <c r="K954" s="8">
        <v>3</v>
      </c>
      <c r="L954" s="8">
        <v>1</v>
      </c>
      <c r="M954" s="8">
        <v>2</v>
      </c>
      <c r="N954" s="8">
        <v>1</v>
      </c>
      <c r="O954" s="238">
        <v>235348924</v>
      </c>
      <c r="P954" s="234"/>
      <c r="Q954" s="93"/>
      <c r="R9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54" s="93">
        <v>1</v>
      </c>
      <c r="T954" s="93" t="b">
        <f>Data[[#This Row],[Day Rank]]=Data[[#This Row],[W Rank]]</f>
        <v>1</v>
      </c>
      <c r="U954" s="323"/>
    </row>
    <row r="955" spans="1:21" ht="15" customHeight="1">
      <c r="A955" s="326"/>
      <c r="B955" s="326"/>
      <c r="C955" s="339"/>
      <c r="D955" s="81">
        <f>D952</f>
        <v>45803</v>
      </c>
      <c r="E955" s="140" t="str">
        <f>$M$1</f>
        <v>samuelbattista</v>
      </c>
      <c r="F955" s="8">
        <f>IFERROR(AVERAGE(Data[[#This Row],[alappatjoe]:[currydestroyer27]]), "TBD")</f>
        <v>2.6</v>
      </c>
      <c r="G955" s="177">
        <f>IFERROR(_xlfn.STDEV.P(Data[[#This Row],[alappatjoe]:[currydestroyer27]]), "TBD")</f>
        <v>1.3564659966250536</v>
      </c>
      <c r="H955" s="245" t="s">
        <v>2003</v>
      </c>
      <c r="I955" s="229" t="s">
        <v>1203</v>
      </c>
      <c r="J955" s="8">
        <v>2</v>
      </c>
      <c r="K955" s="8">
        <v>2</v>
      </c>
      <c r="L955" s="8">
        <v>5</v>
      </c>
      <c r="M955" s="8">
        <v>1</v>
      </c>
      <c r="N955" s="8">
        <v>3</v>
      </c>
      <c r="O955" s="238">
        <v>103154598</v>
      </c>
      <c r="P955" s="234"/>
      <c r="Q955" s="93"/>
      <c r="R9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55" s="93">
        <v>1</v>
      </c>
      <c r="T955" s="93" t="b">
        <f>Data[[#This Row],[Day Rank]]=Data[[#This Row],[W Rank]]</f>
        <v>0</v>
      </c>
      <c r="U955" s="323"/>
    </row>
    <row r="956" spans="1:21" ht="15" customHeight="1" thickBot="1">
      <c r="A956" s="327"/>
      <c r="B956" s="327"/>
      <c r="C956" s="340"/>
      <c r="D956" s="164">
        <f>D952</f>
        <v>45803</v>
      </c>
      <c r="E956" s="215" t="str">
        <f>$N$1</f>
        <v>currydestroyer27</v>
      </c>
      <c r="F956" s="165">
        <f>IFERROR(AVERAGE(Data[[#This Row],[alappatjoe]:[currydestroyer27]]), "TBD")</f>
        <v>3.8</v>
      </c>
      <c r="G956" s="256">
        <f>IFERROR(_xlfn.STDEV.P(Data[[#This Row],[alappatjoe]:[currydestroyer27]]), "TBD")</f>
        <v>0.74833147735478833</v>
      </c>
      <c r="H956" s="227" t="s">
        <v>2004</v>
      </c>
      <c r="I956" s="257" t="s">
        <v>2005</v>
      </c>
      <c r="J956" s="165">
        <v>5</v>
      </c>
      <c r="K956" s="165">
        <v>4</v>
      </c>
      <c r="L956" s="165">
        <v>3</v>
      </c>
      <c r="M956" s="165">
        <v>3</v>
      </c>
      <c r="N956" s="165">
        <v>4</v>
      </c>
      <c r="O956" s="242">
        <v>42255813</v>
      </c>
      <c r="P956" s="237" t="s">
        <v>120</v>
      </c>
      <c r="Q956" s="167" t="s">
        <v>2006</v>
      </c>
      <c r="R95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56" s="167">
        <v>1</v>
      </c>
      <c r="T956" s="167" t="b">
        <f>Data[[#This Row],[Day Rank]]=Data[[#This Row],[W Rank]]</f>
        <v>0</v>
      </c>
      <c r="U956" s="324"/>
    </row>
    <row r="957" spans="1:21" ht="15" customHeight="1">
      <c r="A957" s="325">
        <v>45804</v>
      </c>
      <c r="B957" s="325"/>
      <c r="C957" s="328" t="str" cm="1">
        <f t="array" ref="C957">_xlfn.LET(_xlpm.matches, _xlfn._xlws.FILTER(Data[Poster], (Data[Date]=A957)*(Data[Winner]=TRUE)), IF(ROWS(_xlpm.matches)&gt;1, "TIE", _xlpm.matches))</f>
        <v>loganworsdell</v>
      </c>
      <c r="D957" s="147">
        <f>A957</f>
        <v>45804</v>
      </c>
      <c r="E957" s="181" t="str">
        <f>$J$1</f>
        <v>alappatjoe</v>
      </c>
      <c r="F957" s="9">
        <f>IFERROR(AVERAGE(Data[[#This Row],[alappatjoe]:[currydestroyer27]]), "TBD")</f>
        <v>2.8</v>
      </c>
      <c r="G957" s="178">
        <f>IFERROR(_xlfn.STDEV.P(Data[[#This Row],[alappatjoe]:[currydestroyer27]]), "TBD")</f>
        <v>1.4696938456699069</v>
      </c>
      <c r="H957" s="160" t="s">
        <v>2007</v>
      </c>
      <c r="I957" s="186" t="s">
        <v>2008</v>
      </c>
      <c r="J957" s="9">
        <v>1</v>
      </c>
      <c r="K957" s="9">
        <v>4</v>
      </c>
      <c r="L957" s="9">
        <v>2</v>
      </c>
      <c r="M957" s="9">
        <v>2</v>
      </c>
      <c r="N957" s="9">
        <v>5</v>
      </c>
      <c r="O957" s="238">
        <v>628358451</v>
      </c>
      <c r="P957" s="234" t="s">
        <v>51</v>
      </c>
      <c r="Q957" s="93" t="s">
        <v>2009</v>
      </c>
      <c r="R9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57" s="93">
        <v>1</v>
      </c>
      <c r="T957" s="93" t="b">
        <f>Data[[#This Row],[Day Rank]]=Data[[#This Row],[W Rank]]</f>
        <v>0</v>
      </c>
      <c r="U957" s="331"/>
    </row>
    <row r="958" spans="1:21" ht="15" customHeight="1">
      <c r="A958" s="326"/>
      <c r="B958" s="326"/>
      <c r="C958" s="329"/>
      <c r="D958" s="81">
        <f>D957</f>
        <v>45804</v>
      </c>
      <c r="E958" s="140" t="str">
        <f>$K$1</f>
        <v>danram</v>
      </c>
      <c r="F958" s="8">
        <f>IFERROR(AVERAGE(Data[[#This Row],[alappatjoe]:[currydestroyer27]]), "TBD")</f>
        <v>2.6</v>
      </c>
      <c r="G958" s="177">
        <f>IFERROR(_xlfn.STDEV.P(Data[[#This Row],[alappatjoe]:[currydestroyer27]]), "TBD")</f>
        <v>1.2</v>
      </c>
      <c r="H958" s="135" t="s">
        <v>2010</v>
      </c>
      <c r="I958" s="229" t="s">
        <v>2011</v>
      </c>
      <c r="J958" s="8">
        <v>2</v>
      </c>
      <c r="K958" s="8">
        <v>1</v>
      </c>
      <c r="L958" s="8">
        <v>4</v>
      </c>
      <c r="M958" s="8">
        <v>4</v>
      </c>
      <c r="N958" s="8">
        <v>2</v>
      </c>
      <c r="O958" s="238"/>
      <c r="P958" s="234"/>
      <c r="Q958" s="93"/>
      <c r="R9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58" s="93">
        <v>1</v>
      </c>
      <c r="T958" s="93" t="b">
        <f>Data[[#This Row],[Day Rank]]=Data[[#This Row],[W Rank]]</f>
        <v>0</v>
      </c>
      <c r="U958" s="323"/>
    </row>
    <row r="959" spans="1:21" ht="15" customHeight="1">
      <c r="A959" s="326"/>
      <c r="B959" s="326"/>
      <c r="C959" s="329"/>
      <c r="D959" s="81">
        <f>D957</f>
        <v>45804</v>
      </c>
      <c r="E959" s="140" t="str">
        <f>$L$1</f>
        <v>loganworsdell</v>
      </c>
      <c r="F959" s="8">
        <f>IFERROR(AVERAGE(Data[[#This Row],[alappatjoe]:[currydestroyer27]]), "TBD")</f>
        <v>2</v>
      </c>
      <c r="G959" s="177">
        <f>IFERROR(_xlfn.STDEV.P(Data[[#This Row],[alappatjoe]:[currydestroyer27]]), "TBD")</f>
        <v>0.89442719099991586</v>
      </c>
      <c r="H959" s="135" t="s">
        <v>2012</v>
      </c>
      <c r="I959" s="229" t="s">
        <v>2013</v>
      </c>
      <c r="J959" s="8">
        <v>3</v>
      </c>
      <c r="K959" s="8">
        <v>2</v>
      </c>
      <c r="L959" s="8">
        <v>1</v>
      </c>
      <c r="M959" s="8">
        <v>3</v>
      </c>
      <c r="N959" s="8">
        <v>1</v>
      </c>
      <c r="O959" s="238">
        <v>3751133</v>
      </c>
      <c r="P959" s="234"/>
      <c r="Q959" s="93"/>
      <c r="R9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59" s="93">
        <v>1</v>
      </c>
      <c r="T959" s="93" t="b">
        <f>Data[[#This Row],[Day Rank]]=Data[[#This Row],[W Rank]]</f>
        <v>1</v>
      </c>
      <c r="U959" s="323"/>
    </row>
    <row r="960" spans="1:21" ht="15" customHeight="1">
      <c r="A960" s="326"/>
      <c r="B960" s="326"/>
      <c r="C960" s="329"/>
      <c r="D960" s="81">
        <f>D957</f>
        <v>45804</v>
      </c>
      <c r="E960" s="140" t="str">
        <f>$M$1</f>
        <v>samuelbattista</v>
      </c>
      <c r="F960" s="8">
        <f>IFERROR(AVERAGE(Data[[#This Row],[alappatjoe]:[currydestroyer27]]), "TBD")</f>
        <v>3.6</v>
      </c>
      <c r="G960" s="177">
        <f>IFERROR(_xlfn.STDEV.P(Data[[#This Row],[alappatjoe]:[currydestroyer27]]), "TBD")</f>
        <v>1.4966629547095767</v>
      </c>
      <c r="H960" s="245" t="s">
        <v>2014</v>
      </c>
      <c r="I960" s="229" t="s">
        <v>1543</v>
      </c>
      <c r="J960" s="8">
        <v>5</v>
      </c>
      <c r="K960" s="8">
        <v>3</v>
      </c>
      <c r="L960" s="8">
        <v>5</v>
      </c>
      <c r="M960" s="8">
        <v>1</v>
      </c>
      <c r="N960" s="8">
        <v>4</v>
      </c>
      <c r="O960" s="238">
        <v>31002865</v>
      </c>
      <c r="P960" s="234"/>
      <c r="Q960" s="93"/>
      <c r="R9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60" s="93">
        <v>1</v>
      </c>
      <c r="T960" s="93" t="b">
        <f>Data[[#This Row],[Day Rank]]=Data[[#This Row],[W Rank]]</f>
        <v>0</v>
      </c>
      <c r="U960" s="323"/>
    </row>
    <row r="961" spans="1:21" ht="15" customHeight="1" thickBot="1">
      <c r="A961" s="327"/>
      <c r="B961" s="327"/>
      <c r="C961" s="330"/>
      <c r="D961" s="164">
        <f>D957</f>
        <v>45804</v>
      </c>
      <c r="E961" s="215" t="str">
        <f>$N$1</f>
        <v>currydestroyer27</v>
      </c>
      <c r="F961" s="165">
        <f>IFERROR(AVERAGE(Data[[#This Row],[alappatjoe]:[currydestroyer27]]), "TBD")</f>
        <v>4</v>
      </c>
      <c r="G961" s="256">
        <f>IFERROR(_xlfn.STDEV.P(Data[[#This Row],[alappatjoe]:[currydestroyer27]]), "TBD")</f>
        <v>0.89442719099991586</v>
      </c>
      <c r="H961" s="227" t="s">
        <v>2015</v>
      </c>
      <c r="I961" s="257" t="s">
        <v>2016</v>
      </c>
      <c r="J961" s="165">
        <v>4</v>
      </c>
      <c r="K961" s="165">
        <v>5</v>
      </c>
      <c r="L961" s="165">
        <v>3</v>
      </c>
      <c r="M961" s="165">
        <v>5</v>
      </c>
      <c r="N961" s="165">
        <v>3</v>
      </c>
      <c r="O961" s="242">
        <v>30236462</v>
      </c>
      <c r="P961" s="237"/>
      <c r="Q961" s="167"/>
      <c r="R96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61" s="167">
        <v>1</v>
      </c>
      <c r="T961" s="167" t="b">
        <f>Data[[#This Row],[Day Rank]]=Data[[#This Row],[W Rank]]</f>
        <v>0</v>
      </c>
      <c r="U961" s="324"/>
    </row>
    <row r="962" spans="1:21" ht="15" customHeight="1">
      <c r="A962" s="325">
        <v>45805</v>
      </c>
      <c r="B962" s="325"/>
      <c r="C962" s="338" t="str" cm="1">
        <f t="array" ref="C962">_xlfn.LET(_xlpm.matches, _xlfn._xlws.FILTER(Data[Poster], (Data[Date]=A962)*(Data[Winner]=TRUE)), IF(ROWS(_xlpm.matches)&gt;1, "TIE", _xlpm.matches))</f>
        <v>samuelbattista</v>
      </c>
      <c r="D962" s="147">
        <f>A962</f>
        <v>45805</v>
      </c>
      <c r="E962" s="181" t="str">
        <f>$J$1</f>
        <v>alappatjoe</v>
      </c>
      <c r="F962" s="9">
        <f>IFERROR(AVERAGE(Data[[#This Row],[alappatjoe]:[currydestroyer27]]), "TBD")</f>
        <v>3.2</v>
      </c>
      <c r="G962" s="178">
        <f>IFERROR(_xlfn.STDEV.P(Data[[#This Row],[alappatjoe]:[currydestroyer27]]), "TBD")</f>
        <v>1.6</v>
      </c>
      <c r="H962" s="160" t="s">
        <v>2017</v>
      </c>
      <c r="I962" s="186" t="s">
        <v>2018</v>
      </c>
      <c r="J962" s="9">
        <v>1</v>
      </c>
      <c r="K962" s="9">
        <v>2</v>
      </c>
      <c r="L962" s="9">
        <v>5</v>
      </c>
      <c r="M962" s="9">
        <v>3</v>
      </c>
      <c r="N962" s="9">
        <v>5</v>
      </c>
      <c r="O962" s="238">
        <v>311875</v>
      </c>
      <c r="P962" s="234"/>
      <c r="Q962" s="93"/>
      <c r="R9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62" s="93">
        <v>1</v>
      </c>
      <c r="T962" s="93" t="b">
        <f>Data[[#This Row],[Day Rank]]=Data[[#This Row],[W Rank]]</f>
        <v>0</v>
      </c>
      <c r="U962" s="331"/>
    </row>
    <row r="963" spans="1:21" ht="15" customHeight="1">
      <c r="A963" s="326"/>
      <c r="B963" s="326"/>
      <c r="C963" s="339"/>
      <c r="D963" s="81">
        <f>D962</f>
        <v>45805</v>
      </c>
      <c r="E963" s="140" t="str">
        <f>$K$1</f>
        <v>danram</v>
      </c>
      <c r="F963" s="8">
        <f>IFERROR(AVERAGE(Data[[#This Row],[alappatjoe]:[currydestroyer27]]), "TBD")</f>
        <v>2.6</v>
      </c>
      <c r="G963" s="177">
        <f>IFERROR(_xlfn.STDEV.P(Data[[#This Row],[alappatjoe]:[currydestroyer27]]), "TBD")</f>
        <v>1.2</v>
      </c>
      <c r="H963" s="135" t="s">
        <v>2019</v>
      </c>
      <c r="I963" s="229" t="s">
        <v>2020</v>
      </c>
      <c r="J963" s="8">
        <v>2</v>
      </c>
      <c r="K963" s="8">
        <v>1</v>
      </c>
      <c r="L963" s="8">
        <v>4</v>
      </c>
      <c r="M963" s="8">
        <v>2</v>
      </c>
      <c r="N963" s="8">
        <v>4</v>
      </c>
      <c r="O963" s="238"/>
      <c r="P963" s="234"/>
      <c r="Q963" s="93"/>
      <c r="R9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63" s="93">
        <v>1</v>
      </c>
      <c r="T963" s="93" t="b">
        <f>Data[[#This Row],[Day Rank]]=Data[[#This Row],[W Rank]]</f>
        <v>0</v>
      </c>
      <c r="U963" s="323"/>
    </row>
    <row r="964" spans="1:21" ht="15" customHeight="1">
      <c r="A964" s="326"/>
      <c r="B964" s="326"/>
      <c r="C964" s="339"/>
      <c r="D964" s="81">
        <f>D962</f>
        <v>45805</v>
      </c>
      <c r="E964" s="140" t="str">
        <f>$L$1</f>
        <v>loganworsdell</v>
      </c>
      <c r="F964" s="8">
        <f>IFERROR(AVERAGE(Data[[#This Row],[alappatjoe]:[currydestroyer27]]), "TBD")</f>
        <v>3.2</v>
      </c>
      <c r="G964" s="177">
        <f>IFERROR(_xlfn.STDEV.P(Data[[#This Row],[alappatjoe]:[currydestroyer27]]), "TBD")</f>
        <v>0.74833147735478833</v>
      </c>
      <c r="H964" s="135" t="s">
        <v>2021</v>
      </c>
      <c r="I964" s="229" t="s">
        <v>2022</v>
      </c>
      <c r="J964" s="8">
        <v>3</v>
      </c>
      <c r="K964" s="8">
        <v>4</v>
      </c>
      <c r="L964" s="8">
        <v>2</v>
      </c>
      <c r="M964" s="8">
        <v>4</v>
      </c>
      <c r="N964" s="8">
        <v>3</v>
      </c>
      <c r="O964" s="238">
        <v>131849</v>
      </c>
      <c r="P964" s="234"/>
      <c r="Q964" s="93"/>
      <c r="R9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64" s="93">
        <v>1</v>
      </c>
      <c r="T964" s="93" t="b">
        <f>Data[[#This Row],[Day Rank]]=Data[[#This Row],[W Rank]]</f>
        <v>0</v>
      </c>
      <c r="U964" s="323"/>
    </row>
    <row r="965" spans="1:21" ht="15" customHeight="1">
      <c r="A965" s="326"/>
      <c r="B965" s="326"/>
      <c r="C965" s="339"/>
      <c r="D965" s="81">
        <f>D962</f>
        <v>45805</v>
      </c>
      <c r="E965" s="140" t="str">
        <f>$M$1</f>
        <v>samuelbattista</v>
      </c>
      <c r="F965" s="8">
        <f>IFERROR(AVERAGE(Data[[#This Row],[alappatjoe]:[currydestroyer27]]), "TBD")</f>
        <v>2.2000000000000002</v>
      </c>
      <c r="G965" s="177">
        <f>IFERROR(_xlfn.STDEV.P(Data[[#This Row],[alappatjoe]:[currydestroyer27]]), "TBD")</f>
        <v>1.1661903789690602</v>
      </c>
      <c r="H965" s="245" t="s">
        <v>2023</v>
      </c>
      <c r="I965" s="229" t="s">
        <v>2024</v>
      </c>
      <c r="J965" s="8">
        <v>4</v>
      </c>
      <c r="K965" s="8">
        <v>3</v>
      </c>
      <c r="L965" s="8">
        <v>1</v>
      </c>
      <c r="M965" s="8">
        <v>1</v>
      </c>
      <c r="N965" s="8">
        <v>2</v>
      </c>
      <c r="O965" s="238">
        <v>1596081</v>
      </c>
      <c r="P965" s="234"/>
      <c r="Q965" s="93"/>
      <c r="R9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65" s="93">
        <v>1</v>
      </c>
      <c r="T965" s="93" t="b">
        <f>Data[[#This Row],[Day Rank]]=Data[[#This Row],[W Rank]]</f>
        <v>1</v>
      </c>
      <c r="U965" s="323"/>
    </row>
    <row r="966" spans="1:21" ht="15" customHeight="1" thickBot="1">
      <c r="A966" s="327"/>
      <c r="B966" s="327"/>
      <c r="C966" s="340"/>
      <c r="D966" s="164">
        <f>D962</f>
        <v>45805</v>
      </c>
      <c r="E966" s="215" t="str">
        <f>$N$1</f>
        <v>currydestroyer27</v>
      </c>
      <c r="F966" s="165">
        <f>IFERROR(AVERAGE(Data[[#This Row],[alappatjoe]:[currydestroyer27]]), "TBD")</f>
        <v>3.8</v>
      </c>
      <c r="G966" s="256">
        <f>IFERROR(_xlfn.STDEV.P(Data[[#This Row],[alappatjoe]:[currydestroyer27]]), "TBD")</f>
        <v>1.6</v>
      </c>
      <c r="H966" s="227" t="s">
        <v>2025</v>
      </c>
      <c r="I966" s="257" t="s">
        <v>2026</v>
      </c>
      <c r="J966" s="165">
        <v>5</v>
      </c>
      <c r="K966" s="165">
        <v>5</v>
      </c>
      <c r="L966" s="165">
        <v>3</v>
      </c>
      <c r="M966" s="165">
        <v>5</v>
      </c>
      <c r="N966" s="165">
        <v>1</v>
      </c>
      <c r="O966" s="242">
        <v>26229814</v>
      </c>
      <c r="P966" s="237"/>
      <c r="Q966" s="167"/>
      <c r="R96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66" s="167">
        <v>1</v>
      </c>
      <c r="T966" s="167" t="b">
        <f>Data[[#This Row],[Day Rank]]=Data[[#This Row],[W Rank]]</f>
        <v>0</v>
      </c>
      <c r="U966" s="324"/>
    </row>
    <row r="967" spans="1:21" ht="15" customHeight="1">
      <c r="A967" s="325">
        <v>45806</v>
      </c>
      <c r="B967" s="325"/>
      <c r="C967" s="328" t="str" cm="1">
        <f t="array" ref="C967">_xlfn.LET(_xlpm.matches, _xlfn._xlws.FILTER(Data[Poster], (Data[Date]=A967)*(Data[Winner]=TRUE)), IF(ROWS(_xlpm.matches)&gt;1, "TIE", _xlpm.matches))</f>
        <v>alappatjoe</v>
      </c>
      <c r="D967" s="147">
        <f>A967</f>
        <v>45806</v>
      </c>
      <c r="E967" s="181" t="str">
        <f>$J$1</f>
        <v>alappatjoe</v>
      </c>
      <c r="F967" s="9">
        <f>IFERROR(AVERAGE(Data[[#This Row],[alappatjoe]:[currydestroyer27]]), "TBD")</f>
        <v>2</v>
      </c>
      <c r="G967" s="178">
        <f>IFERROR(_xlfn.STDEV.P(Data[[#This Row],[alappatjoe]:[currydestroyer27]]), "TBD")</f>
        <v>1.0954451150103321</v>
      </c>
      <c r="H967" s="160" t="s">
        <v>2027</v>
      </c>
      <c r="I967" s="186" t="s">
        <v>1207</v>
      </c>
      <c r="J967" s="9">
        <v>1</v>
      </c>
      <c r="K967" s="9">
        <v>4</v>
      </c>
      <c r="L967" s="9">
        <v>2</v>
      </c>
      <c r="M967" s="9">
        <v>2</v>
      </c>
      <c r="N967" s="9">
        <v>1</v>
      </c>
      <c r="O967" s="238">
        <v>76934690</v>
      </c>
      <c r="P967" s="234"/>
      <c r="Q967" s="93"/>
      <c r="R9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67" s="93">
        <v>1</v>
      </c>
      <c r="T967" s="93" t="b">
        <f>Data[[#This Row],[Day Rank]]=Data[[#This Row],[W Rank]]</f>
        <v>1</v>
      </c>
      <c r="U967" s="331" t="s">
        <v>2028</v>
      </c>
    </row>
    <row r="968" spans="1:21" ht="15" customHeight="1">
      <c r="A968" s="326"/>
      <c r="B968" s="326"/>
      <c r="C968" s="329"/>
      <c r="D968" s="81">
        <f>D967</f>
        <v>45806</v>
      </c>
      <c r="E968" s="140" t="str">
        <f>$K$1</f>
        <v>danram</v>
      </c>
      <c r="F968" s="8">
        <f>IFERROR(AVERAGE(Data[[#This Row],[alappatjoe]:[currydestroyer27]]), "TBD")</f>
        <v>4.2</v>
      </c>
      <c r="G968" s="177">
        <f>IFERROR(_xlfn.STDEV.P(Data[[#This Row],[alappatjoe]:[currydestroyer27]]), "TBD")</f>
        <v>0.74833147735478833</v>
      </c>
      <c r="H968" s="135" t="s">
        <v>2029</v>
      </c>
      <c r="I968" s="229" t="s">
        <v>2030</v>
      </c>
      <c r="J968" s="8">
        <v>4</v>
      </c>
      <c r="K968" s="8">
        <v>3</v>
      </c>
      <c r="L968" s="8">
        <v>5</v>
      </c>
      <c r="M968" s="8">
        <v>5</v>
      </c>
      <c r="N968" s="8">
        <v>4</v>
      </c>
      <c r="O968" s="238"/>
      <c r="P968" s="234"/>
      <c r="Q968" s="93"/>
      <c r="R9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68" s="93">
        <v>1</v>
      </c>
      <c r="T968" s="93" t="b">
        <f>Data[[#This Row],[Day Rank]]=Data[[#This Row],[W Rank]]</f>
        <v>0</v>
      </c>
      <c r="U968" s="323"/>
    </row>
    <row r="969" spans="1:21" ht="15" customHeight="1">
      <c r="A969" s="326"/>
      <c r="B969" s="326"/>
      <c r="C969" s="329"/>
      <c r="D969" s="81">
        <f>D967</f>
        <v>45806</v>
      </c>
      <c r="E969" s="140" t="str">
        <f>$L$1</f>
        <v>loganworsdell</v>
      </c>
      <c r="F969" s="8">
        <f>IFERROR(AVERAGE(Data[[#This Row],[alappatjoe]:[currydestroyer27]]), "TBD")</f>
        <v>2.2000000000000002</v>
      </c>
      <c r="G969" s="177">
        <f>IFERROR(_xlfn.STDEV.P(Data[[#This Row],[alappatjoe]:[currydestroyer27]]), "TBD")</f>
        <v>0.74833147735478833</v>
      </c>
      <c r="H969" s="135" t="s">
        <v>2031</v>
      </c>
      <c r="I969" s="229" t="s">
        <v>2032</v>
      </c>
      <c r="J969" s="8">
        <v>3</v>
      </c>
      <c r="K969" s="8">
        <v>2</v>
      </c>
      <c r="L969" s="8">
        <v>1</v>
      </c>
      <c r="M969" s="8">
        <v>3</v>
      </c>
      <c r="N969" s="8">
        <v>2</v>
      </c>
      <c r="O969" s="238">
        <v>783268708</v>
      </c>
      <c r="P969" s="234"/>
      <c r="Q969" s="93"/>
      <c r="R9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69" s="93">
        <v>1</v>
      </c>
      <c r="T969" s="93" t="b">
        <f>Data[[#This Row],[Day Rank]]=Data[[#This Row],[W Rank]]</f>
        <v>0</v>
      </c>
      <c r="U969" s="323"/>
    </row>
    <row r="970" spans="1:21" ht="15" customHeight="1">
      <c r="A970" s="326"/>
      <c r="B970" s="326"/>
      <c r="C970" s="329"/>
      <c r="D970" s="81">
        <f>D967</f>
        <v>45806</v>
      </c>
      <c r="E970" s="140" t="str">
        <f>$M$1</f>
        <v>samuelbattista</v>
      </c>
      <c r="F970" s="8">
        <f>IFERROR(AVERAGE(Data[[#This Row],[alappatjoe]:[currydestroyer27]]), "TBD")</f>
        <v>4</v>
      </c>
      <c r="G970" s="177">
        <f>IFERROR(_xlfn.STDEV.P(Data[[#This Row],[alappatjoe]:[currydestroyer27]]), "TBD")</f>
        <v>1.5491933384829668</v>
      </c>
      <c r="H970" s="245" t="s">
        <v>2033</v>
      </c>
      <c r="I970" s="229" t="s">
        <v>2034</v>
      </c>
      <c r="J970" s="8">
        <v>5</v>
      </c>
      <c r="K970" s="8">
        <v>5</v>
      </c>
      <c r="L970" s="8">
        <v>4</v>
      </c>
      <c r="M970" s="8">
        <v>1</v>
      </c>
      <c r="N970" s="8">
        <v>5</v>
      </c>
      <c r="O970" s="238">
        <v>11298122</v>
      </c>
      <c r="P970" s="234"/>
      <c r="Q970" s="93"/>
      <c r="R9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70" s="93">
        <v>1</v>
      </c>
      <c r="T970" s="93" t="b">
        <f>Data[[#This Row],[Day Rank]]=Data[[#This Row],[W Rank]]</f>
        <v>0</v>
      </c>
      <c r="U970" s="323"/>
    </row>
    <row r="971" spans="1:21" ht="15" customHeight="1" thickBot="1">
      <c r="A971" s="327"/>
      <c r="B971" s="327"/>
      <c r="C971" s="330"/>
      <c r="D971" s="164">
        <f>D967</f>
        <v>45806</v>
      </c>
      <c r="E971" s="215" t="str">
        <f>$N$1</f>
        <v>currydestroyer27</v>
      </c>
      <c r="F971" s="165">
        <f>IFERROR(AVERAGE(Data[[#This Row],[alappatjoe]:[currydestroyer27]]), "TBD")</f>
        <v>2.6</v>
      </c>
      <c r="G971" s="256">
        <f>IFERROR(_xlfn.STDEV.P(Data[[#This Row],[alappatjoe]:[currydestroyer27]]), "TBD")</f>
        <v>1.019803902718557</v>
      </c>
      <c r="H971" s="227" t="s">
        <v>2035</v>
      </c>
      <c r="I971" s="257" t="s">
        <v>2036</v>
      </c>
      <c r="J971" s="165">
        <v>2</v>
      </c>
      <c r="K971" s="165">
        <v>1</v>
      </c>
      <c r="L971" s="165">
        <v>3</v>
      </c>
      <c r="M971" s="165">
        <v>4</v>
      </c>
      <c r="N971" s="165">
        <v>3</v>
      </c>
      <c r="O971" s="242">
        <v>18893</v>
      </c>
      <c r="P971" s="237"/>
      <c r="Q971" s="167"/>
      <c r="R97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71" s="167">
        <v>1</v>
      </c>
      <c r="T971" s="167" t="b">
        <f>Data[[#This Row],[Day Rank]]=Data[[#This Row],[W Rank]]</f>
        <v>0</v>
      </c>
      <c r="U971" s="324"/>
    </row>
    <row r="972" spans="1:21" ht="15" customHeight="1">
      <c r="A972" s="325">
        <v>45810</v>
      </c>
      <c r="B972" s="325"/>
      <c r="C972" s="338" t="str" cm="1">
        <f t="array" ref="C972">_xlfn.LET(_xlpm.matches, _xlfn._xlws.FILTER(Data[Poster], (Data[Date]=A972)*(Data[Winner]=TRUE)), IF(ROWS(_xlpm.matches)&gt;1, "TIE", _xlpm.matches))</f>
        <v>samuelbattista</v>
      </c>
      <c r="D972" s="147">
        <f>A972</f>
        <v>45810</v>
      </c>
      <c r="E972" s="181" t="str">
        <f>$J$1</f>
        <v>alappatjoe</v>
      </c>
      <c r="F972" s="9">
        <f>IFERROR(AVERAGE(Data[[#This Row],[alappatjoe]:[currydestroyer27]]), "TBD")</f>
        <v>2.8</v>
      </c>
      <c r="G972" s="178">
        <f>IFERROR(_xlfn.STDEV.P(Data[[#This Row],[alappatjoe]:[currydestroyer27]]), "TBD")</f>
        <v>1.1661903789690602</v>
      </c>
      <c r="H972" s="160" t="s">
        <v>2037</v>
      </c>
      <c r="I972" s="186" t="s">
        <v>2038</v>
      </c>
      <c r="J972" s="9">
        <v>1</v>
      </c>
      <c r="K972" s="9">
        <v>2</v>
      </c>
      <c r="L972" s="9">
        <v>3</v>
      </c>
      <c r="M972" s="9">
        <v>4</v>
      </c>
      <c r="N972" s="9">
        <v>4</v>
      </c>
      <c r="O972" s="238">
        <v>4904029</v>
      </c>
      <c r="P972" s="234"/>
      <c r="Q972" s="93"/>
      <c r="R9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72" s="93">
        <v>1</v>
      </c>
      <c r="T972" s="93" t="b">
        <f>Data[[#This Row],[Day Rank]]=Data[[#This Row],[W Rank]]</f>
        <v>0</v>
      </c>
      <c r="U972" s="331"/>
    </row>
    <row r="973" spans="1:21" ht="15" customHeight="1">
      <c r="A973" s="326"/>
      <c r="B973" s="326"/>
      <c r="C973" s="339"/>
      <c r="D973" s="81">
        <f>D972</f>
        <v>45810</v>
      </c>
      <c r="E973" s="140" t="str">
        <f>$K$1</f>
        <v>danram</v>
      </c>
      <c r="F973" s="8">
        <f>IFERROR(AVERAGE(Data[[#This Row],[alappatjoe]:[currydestroyer27]]), "TBD")</f>
        <v>3.4</v>
      </c>
      <c r="G973" s="177">
        <f>IFERROR(_xlfn.STDEV.P(Data[[#This Row],[alappatjoe]:[currydestroyer27]]), "TBD")</f>
        <v>1.3564659966250536</v>
      </c>
      <c r="H973" s="135" t="s">
        <v>2039</v>
      </c>
      <c r="I973" s="229" t="s">
        <v>1106</v>
      </c>
      <c r="J973" s="8">
        <v>4</v>
      </c>
      <c r="K973" s="8">
        <v>1</v>
      </c>
      <c r="L973" s="8">
        <v>4</v>
      </c>
      <c r="M973" s="8">
        <v>3</v>
      </c>
      <c r="N973" s="8">
        <v>5</v>
      </c>
      <c r="O973" s="238"/>
      <c r="P973" s="234"/>
      <c r="Q973" s="93"/>
      <c r="R9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73" s="93">
        <v>1</v>
      </c>
      <c r="T973" s="93" t="b">
        <f>Data[[#This Row],[Day Rank]]=Data[[#This Row],[W Rank]]</f>
        <v>0</v>
      </c>
      <c r="U973" s="323"/>
    </row>
    <row r="974" spans="1:21" ht="15" customHeight="1">
      <c r="A974" s="326"/>
      <c r="B974" s="326"/>
      <c r="C974" s="339"/>
      <c r="D974" s="81">
        <f>D972</f>
        <v>45810</v>
      </c>
      <c r="E974" s="140" t="str">
        <f>$L$1</f>
        <v>loganworsdell</v>
      </c>
      <c r="F974" s="8">
        <f>IFERROR(AVERAGE(Data[[#This Row],[alappatjoe]:[currydestroyer27]]), "TBD")</f>
        <v>2.2000000000000002</v>
      </c>
      <c r="G974" s="177">
        <f>IFERROR(_xlfn.STDEV.P(Data[[#This Row],[alappatjoe]:[currydestroyer27]]), "TBD")</f>
        <v>1.4696938456699069</v>
      </c>
      <c r="H974" s="135" t="s">
        <v>2040</v>
      </c>
      <c r="I974" s="229" t="s">
        <v>2041</v>
      </c>
      <c r="J974" s="8">
        <v>2</v>
      </c>
      <c r="K974" s="8">
        <v>5</v>
      </c>
      <c r="L974" s="8">
        <v>1</v>
      </c>
      <c r="M974" s="8">
        <v>2</v>
      </c>
      <c r="N974" s="8">
        <v>1</v>
      </c>
      <c r="O974" s="238">
        <v>166206</v>
      </c>
      <c r="P974" s="234"/>
      <c r="Q974" s="93"/>
      <c r="R9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74" s="93">
        <v>1</v>
      </c>
      <c r="T974" s="93" t="b">
        <f>Data[[#This Row],[Day Rank]]=Data[[#This Row],[W Rank]]</f>
        <v>0</v>
      </c>
      <c r="U974" s="323"/>
    </row>
    <row r="975" spans="1:21" ht="15" customHeight="1">
      <c r="A975" s="326"/>
      <c r="B975" s="326"/>
      <c r="C975" s="339"/>
      <c r="D975" s="81">
        <f>D972</f>
        <v>45810</v>
      </c>
      <c r="E975" s="140" t="str">
        <f>$M$1</f>
        <v>samuelbattista</v>
      </c>
      <c r="F975" s="8">
        <f>IFERROR(AVERAGE(Data[[#This Row],[alappatjoe]:[currydestroyer27]]), "TBD")</f>
        <v>2.2000000000000002</v>
      </c>
      <c r="G975" s="177">
        <f>IFERROR(_xlfn.STDEV.P(Data[[#This Row],[alappatjoe]:[currydestroyer27]]), "TBD")</f>
        <v>0.74833147735478833</v>
      </c>
      <c r="H975" s="245" t="s">
        <v>2042</v>
      </c>
      <c r="I975" s="229" t="s">
        <v>2043</v>
      </c>
      <c r="J975" s="8">
        <v>3</v>
      </c>
      <c r="K975" s="8">
        <v>3</v>
      </c>
      <c r="L975" s="8">
        <v>2</v>
      </c>
      <c r="M975" s="8">
        <v>1</v>
      </c>
      <c r="N975" s="8">
        <v>2</v>
      </c>
      <c r="O975" s="238">
        <v>2048518</v>
      </c>
      <c r="P975" s="234"/>
      <c r="Q975" s="93"/>
      <c r="R9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75" s="93">
        <v>1</v>
      </c>
      <c r="T975" s="93" t="b">
        <f>Data[[#This Row],[Day Rank]]=Data[[#This Row],[W Rank]]</f>
        <v>1</v>
      </c>
      <c r="U975" s="323"/>
    </row>
    <row r="976" spans="1:21" ht="15" customHeight="1" thickBot="1">
      <c r="A976" s="327"/>
      <c r="B976" s="327"/>
      <c r="C976" s="340"/>
      <c r="D976" s="164">
        <f>D972</f>
        <v>45810</v>
      </c>
      <c r="E976" s="215" t="str">
        <f>$N$1</f>
        <v>currydestroyer27</v>
      </c>
      <c r="F976" s="165">
        <f>IFERROR(AVERAGE(Data[[#This Row],[alappatjoe]:[currydestroyer27]]), "TBD")</f>
        <v>4.4000000000000004</v>
      </c>
      <c r="G976" s="256">
        <f>IFERROR(_xlfn.STDEV.P(Data[[#This Row],[alappatjoe]:[currydestroyer27]]), "TBD")</f>
        <v>0.8</v>
      </c>
      <c r="H976" s="227" t="s">
        <v>2044</v>
      </c>
      <c r="I976" s="257" t="s">
        <v>2045</v>
      </c>
      <c r="J976" s="165">
        <v>5</v>
      </c>
      <c r="K976" s="165">
        <v>4</v>
      </c>
      <c r="L976" s="165">
        <v>5</v>
      </c>
      <c r="M976" s="165">
        <v>5</v>
      </c>
      <c r="N976" s="165">
        <v>3</v>
      </c>
      <c r="O976" s="242">
        <v>92673241</v>
      </c>
      <c r="P976" s="237"/>
      <c r="Q976" s="167"/>
      <c r="R97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76" s="167">
        <v>1</v>
      </c>
      <c r="T976" s="167" t="b">
        <f>Data[[#This Row],[Day Rank]]=Data[[#This Row],[W Rank]]</f>
        <v>0</v>
      </c>
      <c r="U976" s="324"/>
    </row>
    <row r="977" spans="1:21" ht="15" customHeight="1">
      <c r="A977" s="325">
        <v>45811</v>
      </c>
      <c r="B977" s="325"/>
      <c r="C977" s="328" t="str" cm="1">
        <f t="array" ref="C977">_xlfn.LET(_xlpm.matches, _xlfn._xlws.FILTER(Data[Poster], (Data[Date]=A977)*(Data[Winner]=TRUE)), IF(ROWS(_xlpm.matches)&gt;1, "TIE", _xlpm.matches))</f>
        <v>currydestroyer27</v>
      </c>
      <c r="D977" s="147">
        <f>A977</f>
        <v>45811</v>
      </c>
      <c r="E977" s="181" t="str">
        <f>$J$1</f>
        <v>alappatjoe</v>
      </c>
      <c r="F977" s="9">
        <f>IFERROR(AVERAGE(Data[[#This Row],[alappatjoe]:[currydestroyer27]]), "TBD")</f>
        <v>3</v>
      </c>
      <c r="G977" s="178">
        <f>IFERROR(_xlfn.STDEV.P(Data[[#This Row],[alappatjoe]:[currydestroyer27]]), "TBD")</f>
        <v>1.0954451150103321</v>
      </c>
      <c r="H977" s="160" t="s">
        <v>2046</v>
      </c>
      <c r="I977" s="186" t="s">
        <v>2047</v>
      </c>
      <c r="J977" s="9">
        <v>1</v>
      </c>
      <c r="K977" s="9">
        <v>4</v>
      </c>
      <c r="L977" s="9">
        <v>4</v>
      </c>
      <c r="M977" s="9">
        <v>3</v>
      </c>
      <c r="N977" s="9">
        <v>3</v>
      </c>
      <c r="O977" s="238">
        <v>21270757</v>
      </c>
      <c r="P977" s="234"/>
      <c r="Q977" s="93"/>
      <c r="R9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77" s="93">
        <v>1</v>
      </c>
      <c r="T977" s="93" t="b">
        <f>Data[[#This Row],[Day Rank]]=Data[[#This Row],[W Rank]]</f>
        <v>0</v>
      </c>
      <c r="U977" s="331"/>
    </row>
    <row r="978" spans="1:21" ht="15" customHeight="1">
      <c r="A978" s="326"/>
      <c r="B978" s="326"/>
      <c r="C978" s="329"/>
      <c r="D978" s="81">
        <f>D977</f>
        <v>45811</v>
      </c>
      <c r="E978" s="140" t="str">
        <f>$K$1</f>
        <v>danram</v>
      </c>
      <c r="F978" s="8">
        <f>IFERROR(AVERAGE(Data[[#This Row],[alappatjoe]:[currydestroyer27]]), "TBD")</f>
        <v>3</v>
      </c>
      <c r="G978" s="177">
        <f>IFERROR(_xlfn.STDEV.P(Data[[#This Row],[alappatjoe]:[currydestroyer27]]), "TBD")</f>
        <v>1.4142135623730951</v>
      </c>
      <c r="H978" s="135" t="s">
        <v>2048</v>
      </c>
      <c r="I978" s="229" t="s">
        <v>2049</v>
      </c>
      <c r="J978" s="8">
        <v>5</v>
      </c>
      <c r="K978" s="8">
        <v>1</v>
      </c>
      <c r="L978" s="8">
        <v>3</v>
      </c>
      <c r="M978" s="8">
        <v>4</v>
      </c>
      <c r="N978" s="8">
        <v>2</v>
      </c>
      <c r="O978" s="238"/>
      <c r="P978" s="234"/>
      <c r="Q978" s="93"/>
      <c r="R9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78" s="93">
        <v>1</v>
      </c>
      <c r="T978" s="93" t="b">
        <f>Data[[#This Row],[Day Rank]]=Data[[#This Row],[W Rank]]</f>
        <v>0</v>
      </c>
      <c r="U978" s="323"/>
    </row>
    <row r="979" spans="1:21" ht="15" customHeight="1">
      <c r="A979" s="326"/>
      <c r="B979" s="326"/>
      <c r="C979" s="329"/>
      <c r="D979" s="81">
        <f>D977</f>
        <v>45811</v>
      </c>
      <c r="E979" s="140" t="str">
        <f>$L$1</f>
        <v>loganworsdell</v>
      </c>
      <c r="F979" s="8">
        <f>IFERROR(AVERAGE(Data[[#This Row],[alappatjoe]:[currydestroyer27]]), "TBD")</f>
        <v>3</v>
      </c>
      <c r="G979" s="177">
        <f>IFERROR(_xlfn.STDEV.P(Data[[#This Row],[alappatjoe]:[currydestroyer27]]), "TBD")</f>
        <v>0.89442719099991586</v>
      </c>
      <c r="H979" s="135" t="s">
        <v>2050</v>
      </c>
      <c r="I979" s="229" t="s">
        <v>2051</v>
      </c>
      <c r="J979" s="8">
        <v>4</v>
      </c>
      <c r="K979" s="8">
        <v>3</v>
      </c>
      <c r="L979" s="8">
        <v>2</v>
      </c>
      <c r="M979" s="8">
        <v>2</v>
      </c>
      <c r="N979" s="8">
        <v>4</v>
      </c>
      <c r="O979" s="238">
        <v>8458510</v>
      </c>
      <c r="P979" s="234"/>
      <c r="Q979" s="93"/>
      <c r="R9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79" s="93">
        <v>1</v>
      </c>
      <c r="T979" s="93" t="b">
        <f>Data[[#This Row],[Day Rank]]=Data[[#This Row],[W Rank]]</f>
        <v>0</v>
      </c>
      <c r="U979" s="323"/>
    </row>
    <row r="980" spans="1:21" ht="15" customHeight="1">
      <c r="A980" s="326"/>
      <c r="B980" s="326"/>
      <c r="C980" s="329"/>
      <c r="D980" s="81">
        <f>D977</f>
        <v>45811</v>
      </c>
      <c r="E980" s="140" t="str">
        <f>$M$1</f>
        <v>samuelbattista</v>
      </c>
      <c r="F980" s="8">
        <f>IFERROR(AVERAGE(Data[[#This Row],[alappatjoe]:[currydestroyer27]]), "TBD")</f>
        <v>3.8</v>
      </c>
      <c r="G980" s="177">
        <f>IFERROR(_xlfn.STDEV.P(Data[[#This Row],[alappatjoe]:[currydestroyer27]]), "TBD")</f>
        <v>1.6</v>
      </c>
      <c r="H980" s="245" t="s">
        <v>2052</v>
      </c>
      <c r="I980" s="229" t="s">
        <v>2053</v>
      </c>
      <c r="J980" s="8">
        <v>3</v>
      </c>
      <c r="K980" s="8">
        <v>5</v>
      </c>
      <c r="L980" s="8">
        <v>5</v>
      </c>
      <c r="M980" s="8">
        <v>1</v>
      </c>
      <c r="N980" s="8">
        <v>5</v>
      </c>
      <c r="O980" s="238">
        <v>16147289</v>
      </c>
      <c r="P980" s="234"/>
      <c r="Q980" s="93"/>
      <c r="R9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80" s="93">
        <v>1</v>
      </c>
      <c r="T980" s="93" t="b">
        <f>Data[[#This Row],[Day Rank]]=Data[[#This Row],[W Rank]]</f>
        <v>0</v>
      </c>
      <c r="U980" s="323"/>
    </row>
    <row r="981" spans="1:21" ht="15" customHeight="1" thickBot="1">
      <c r="A981" s="327"/>
      <c r="B981" s="327"/>
      <c r="C981" s="330"/>
      <c r="D981" s="164">
        <f>D977</f>
        <v>45811</v>
      </c>
      <c r="E981" s="215" t="str">
        <f>$N$1</f>
        <v>currydestroyer27</v>
      </c>
      <c r="F981" s="165">
        <f>IFERROR(AVERAGE(Data[[#This Row],[alappatjoe]:[currydestroyer27]]), "TBD")</f>
        <v>2.2000000000000002</v>
      </c>
      <c r="G981" s="256">
        <f>IFERROR(_xlfn.STDEV.P(Data[[#This Row],[alappatjoe]:[currydestroyer27]]), "TBD")</f>
        <v>1.4696938456699069</v>
      </c>
      <c r="H981" s="227" t="s">
        <v>2054</v>
      </c>
      <c r="I981" s="257" t="s">
        <v>2055</v>
      </c>
      <c r="J981" s="165">
        <v>2</v>
      </c>
      <c r="K981" s="165">
        <v>2</v>
      </c>
      <c r="L981" s="165">
        <v>1</v>
      </c>
      <c r="M981" s="165">
        <v>5</v>
      </c>
      <c r="N981" s="165">
        <v>1</v>
      </c>
      <c r="O981" s="242">
        <v>1545854432</v>
      </c>
      <c r="P981" s="237"/>
      <c r="Q981" s="167"/>
      <c r="R98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81" s="167">
        <v>1</v>
      </c>
      <c r="T981" s="167" t="b">
        <f>Data[[#This Row],[Day Rank]]=Data[[#This Row],[W Rank]]</f>
        <v>1</v>
      </c>
      <c r="U981" s="324"/>
    </row>
    <row r="982" spans="1:21" ht="15" customHeight="1">
      <c r="A982" s="325">
        <v>45812</v>
      </c>
      <c r="B982" s="325"/>
      <c r="C982" s="338" t="str" cm="1">
        <f t="array" ref="C982">_xlfn.LET(_xlpm.matches, _xlfn._xlws.FILTER(Data[Poster], (Data[Date]=A982)*(Data[Winner]=TRUE)), IF(ROWS(_xlpm.matches)&gt;1, "TIE", _xlpm.matches))</f>
        <v>samuelbattista</v>
      </c>
      <c r="D982" s="147">
        <f>A982</f>
        <v>45812</v>
      </c>
      <c r="E982" s="181" t="str">
        <f>$J$1</f>
        <v>alappatjoe</v>
      </c>
      <c r="F982" s="9">
        <f>IFERROR(AVERAGE(Data[[#This Row],[alappatjoe]:[currydestroyer27]]), "TBD")</f>
        <v>2.8</v>
      </c>
      <c r="G982" s="178">
        <f>IFERROR(_xlfn.STDEV.P(Data[[#This Row],[alappatjoe]:[currydestroyer27]]), "TBD")</f>
        <v>1.1661903789690602</v>
      </c>
      <c r="H982" s="160" t="s">
        <v>2056</v>
      </c>
      <c r="I982" s="186" t="s">
        <v>1038</v>
      </c>
      <c r="J982" s="9">
        <v>1</v>
      </c>
      <c r="K982" s="9">
        <v>4</v>
      </c>
      <c r="L982" s="9">
        <v>4</v>
      </c>
      <c r="M982" s="9">
        <v>2</v>
      </c>
      <c r="N982" s="9">
        <v>3</v>
      </c>
      <c r="O982" s="238">
        <v>45127</v>
      </c>
      <c r="P982" s="234"/>
      <c r="Q982" s="93"/>
      <c r="R9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82" s="93">
        <v>1</v>
      </c>
      <c r="T982" s="93" t="b">
        <f>Data[[#This Row],[Day Rank]]=Data[[#This Row],[W Rank]]</f>
        <v>0</v>
      </c>
      <c r="U982" s="331"/>
    </row>
    <row r="983" spans="1:21" ht="15" customHeight="1">
      <c r="A983" s="326"/>
      <c r="B983" s="326"/>
      <c r="C983" s="339"/>
      <c r="D983" s="81">
        <f>D982</f>
        <v>45812</v>
      </c>
      <c r="E983" s="140" t="str">
        <f>$K$1</f>
        <v>danram</v>
      </c>
      <c r="F983" s="8">
        <f>IFERROR(AVERAGE(Data[[#This Row],[alappatjoe]:[currydestroyer27]]), "TBD")</f>
        <v>2.6</v>
      </c>
      <c r="G983" s="177">
        <f>IFERROR(_xlfn.STDEV.P(Data[[#This Row],[alappatjoe]:[currydestroyer27]]), "TBD")</f>
        <v>1.3564659966250536</v>
      </c>
      <c r="H983" s="135" t="s">
        <v>2057</v>
      </c>
      <c r="I983" s="229" t="s">
        <v>54</v>
      </c>
      <c r="J983" s="8">
        <v>4</v>
      </c>
      <c r="K983" s="8">
        <v>1</v>
      </c>
      <c r="L983" s="8">
        <v>1</v>
      </c>
      <c r="M983" s="8">
        <v>3</v>
      </c>
      <c r="N983" s="8">
        <v>4</v>
      </c>
      <c r="O983" s="238"/>
      <c r="P983" s="234"/>
      <c r="Q983" s="93"/>
      <c r="R9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83" s="93">
        <v>1</v>
      </c>
      <c r="T983" s="93" t="b">
        <f>Data[[#This Row],[Day Rank]]=Data[[#This Row],[W Rank]]</f>
        <v>0</v>
      </c>
      <c r="U983" s="323"/>
    </row>
    <row r="984" spans="1:21" ht="15" customHeight="1">
      <c r="A984" s="326"/>
      <c r="B984" s="326"/>
      <c r="C984" s="339"/>
      <c r="D984" s="81">
        <f>D982</f>
        <v>45812</v>
      </c>
      <c r="E984" s="140" t="str">
        <f>$L$1</f>
        <v>loganworsdell</v>
      </c>
      <c r="F984" s="8">
        <f>IFERROR(AVERAGE(Data[[#This Row],[alappatjoe]:[currydestroyer27]]), "TBD")</f>
        <v>4.4000000000000004</v>
      </c>
      <c r="G984" s="177">
        <f>IFERROR(_xlfn.STDEV.P(Data[[#This Row],[alappatjoe]:[currydestroyer27]]), "TBD")</f>
        <v>1.2</v>
      </c>
      <c r="H984" s="135" t="s">
        <v>2058</v>
      </c>
      <c r="I984" s="229" t="s">
        <v>2059</v>
      </c>
      <c r="J984" s="8">
        <v>2</v>
      </c>
      <c r="K984" s="8">
        <v>5</v>
      </c>
      <c r="L984" s="8">
        <v>5</v>
      </c>
      <c r="M984" s="8">
        <v>5</v>
      </c>
      <c r="N984" s="8">
        <v>5</v>
      </c>
      <c r="O984" s="238">
        <v>908435</v>
      </c>
      <c r="P984" s="234"/>
      <c r="Q984" s="93"/>
      <c r="R9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84" s="93">
        <v>1</v>
      </c>
      <c r="T984" s="93" t="b">
        <f>Data[[#This Row],[Day Rank]]=Data[[#This Row],[W Rank]]</f>
        <v>0</v>
      </c>
      <c r="U984" s="323"/>
    </row>
    <row r="985" spans="1:21" ht="15" customHeight="1">
      <c r="A985" s="326"/>
      <c r="B985" s="326"/>
      <c r="C985" s="339"/>
      <c r="D985" s="81">
        <f>D982</f>
        <v>45812</v>
      </c>
      <c r="E985" s="140" t="str">
        <f>$M$1</f>
        <v>samuelbattista</v>
      </c>
      <c r="F985" s="8">
        <f>IFERROR(AVERAGE(Data[[#This Row],[alappatjoe]:[currydestroyer27]]), "TBD")</f>
        <v>2.4</v>
      </c>
      <c r="G985" s="177">
        <f>IFERROR(_xlfn.STDEV.P(Data[[#This Row],[alappatjoe]:[currydestroyer27]]), "TBD")</f>
        <v>1.3564659966250536</v>
      </c>
      <c r="H985" s="245" t="s">
        <v>2060</v>
      </c>
      <c r="I985" s="229" t="s">
        <v>1534</v>
      </c>
      <c r="J985" s="8">
        <v>5</v>
      </c>
      <c r="K985" s="8">
        <v>2</v>
      </c>
      <c r="L985" s="8">
        <v>2</v>
      </c>
      <c r="M985" s="8">
        <v>1</v>
      </c>
      <c r="N985" s="8">
        <v>2</v>
      </c>
      <c r="O985" s="238">
        <v>36061744</v>
      </c>
      <c r="P985" s="234"/>
      <c r="Q985" s="93"/>
      <c r="R9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85" s="93">
        <v>1</v>
      </c>
      <c r="T985" s="93" t="b">
        <f>Data[[#This Row],[Day Rank]]=Data[[#This Row],[W Rank]]</f>
        <v>1</v>
      </c>
      <c r="U985" s="323"/>
    </row>
    <row r="986" spans="1:21" ht="15" customHeight="1" thickBot="1">
      <c r="A986" s="327"/>
      <c r="B986" s="327"/>
      <c r="C986" s="340"/>
      <c r="D986" s="164">
        <f>D982</f>
        <v>45812</v>
      </c>
      <c r="E986" s="215" t="str">
        <f>$N$1</f>
        <v>currydestroyer27</v>
      </c>
      <c r="F986" s="165">
        <f>IFERROR(AVERAGE(Data[[#This Row],[alappatjoe]:[currydestroyer27]]), "TBD")</f>
        <v>2.8</v>
      </c>
      <c r="G986" s="256">
        <f>IFERROR(_xlfn.STDEV.P(Data[[#This Row],[alappatjoe]:[currydestroyer27]]), "TBD")</f>
        <v>0.9797958971132712</v>
      </c>
      <c r="H986" s="227" t="s">
        <v>2061</v>
      </c>
      <c r="I986" s="257" t="s">
        <v>1353</v>
      </c>
      <c r="J986" s="165">
        <v>3</v>
      </c>
      <c r="K986" s="165">
        <v>3</v>
      </c>
      <c r="L986" s="165">
        <v>3</v>
      </c>
      <c r="M986" s="165">
        <v>4</v>
      </c>
      <c r="N986" s="165">
        <v>1</v>
      </c>
      <c r="O986" s="242">
        <v>70672959</v>
      </c>
      <c r="P986" s="237"/>
      <c r="Q986" s="167"/>
      <c r="R98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86" s="167">
        <v>1</v>
      </c>
      <c r="T986" s="167" t="b">
        <f>Data[[#This Row],[Day Rank]]=Data[[#This Row],[W Rank]]</f>
        <v>0</v>
      </c>
      <c r="U986" s="324"/>
    </row>
    <row r="987" spans="1:21" ht="15" customHeight="1">
      <c r="A987" s="325">
        <v>45813</v>
      </c>
      <c r="B987" s="325"/>
      <c r="C987" s="328" t="str" cm="1">
        <f t="array" ref="C987">_xlfn.LET(_xlpm.matches, _xlfn._xlws.FILTER(Data[Poster], (Data[Date]=A987)*(Data[Winner]=TRUE)), IF(ROWS(_xlpm.matches)&gt;1, "TIE", _xlpm.matches))</f>
        <v>loganworsdell</v>
      </c>
      <c r="D987" s="147">
        <f>A987</f>
        <v>45813</v>
      </c>
      <c r="E987" s="181" t="str">
        <f>$J$1</f>
        <v>alappatjoe</v>
      </c>
      <c r="F987" s="9">
        <f>IFERROR(AVERAGE(Data[[#This Row],[alappatjoe]:[currydestroyer27]]), "TBD")</f>
        <v>2.6</v>
      </c>
      <c r="G987" s="178">
        <f>IFERROR(_xlfn.STDEV.P(Data[[#This Row],[alappatjoe]:[currydestroyer27]]), "TBD")</f>
        <v>1.9595917942265424</v>
      </c>
      <c r="H987" s="160" t="s">
        <v>2062</v>
      </c>
      <c r="I987" s="186" t="s">
        <v>2063</v>
      </c>
      <c r="J987" s="9">
        <v>1</v>
      </c>
      <c r="K987" s="9">
        <v>5</v>
      </c>
      <c r="L987" s="9">
        <v>1</v>
      </c>
      <c r="M987" s="9">
        <v>1</v>
      </c>
      <c r="N987" s="9">
        <v>5</v>
      </c>
      <c r="O987" s="238">
        <v>154363604</v>
      </c>
      <c r="P987" s="234"/>
      <c r="Q987" s="93"/>
      <c r="R9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87" s="93">
        <v>1</v>
      </c>
      <c r="T987" s="93" t="b">
        <f>Data[[#This Row],[Day Rank]]=Data[[#This Row],[W Rank]]</f>
        <v>0</v>
      </c>
      <c r="U987" s="331" t="s">
        <v>2064</v>
      </c>
    </row>
    <row r="988" spans="1:21" ht="15" customHeight="1">
      <c r="A988" s="326"/>
      <c r="B988" s="326"/>
      <c r="C988" s="329"/>
      <c r="D988" s="81">
        <f>D987</f>
        <v>45813</v>
      </c>
      <c r="E988" s="140" t="str">
        <f>$K$1</f>
        <v>danram</v>
      </c>
      <c r="F988" s="8">
        <f>IFERROR(AVERAGE(Data[[#This Row],[alappatjoe]:[currydestroyer27]]), "TBD")</f>
        <v>4.4000000000000004</v>
      </c>
      <c r="G988" s="177">
        <f>IFERROR(_xlfn.STDEV.P(Data[[#This Row],[alappatjoe]:[currydestroyer27]]), "TBD")</f>
        <v>0.8</v>
      </c>
      <c r="H988" s="135" t="s">
        <v>2065</v>
      </c>
      <c r="I988" s="229" t="s">
        <v>2066</v>
      </c>
      <c r="J988" s="8">
        <v>5</v>
      </c>
      <c r="K988" s="8">
        <v>3</v>
      </c>
      <c r="L988" s="8">
        <v>5</v>
      </c>
      <c r="M988" s="8">
        <v>5</v>
      </c>
      <c r="N988" s="8">
        <v>4</v>
      </c>
      <c r="O988" s="238"/>
      <c r="P988" s="234"/>
      <c r="Q988" s="93"/>
      <c r="R9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88" s="93">
        <v>1</v>
      </c>
      <c r="T988" s="93" t="b">
        <f>Data[[#This Row],[Day Rank]]=Data[[#This Row],[W Rank]]</f>
        <v>0</v>
      </c>
      <c r="U988" s="323"/>
    </row>
    <row r="989" spans="1:21" ht="15" customHeight="1">
      <c r="A989" s="326"/>
      <c r="B989" s="326"/>
      <c r="C989" s="329"/>
      <c r="D989" s="81">
        <f>D987</f>
        <v>45813</v>
      </c>
      <c r="E989" s="140" t="str">
        <f>$L$1</f>
        <v>loganworsdell</v>
      </c>
      <c r="F989" s="8">
        <f>IFERROR(AVERAGE(Data[[#This Row],[alappatjoe]:[currydestroyer27]]), "TBD")</f>
        <v>2.2000000000000002</v>
      </c>
      <c r="G989" s="177">
        <f>IFERROR(_xlfn.STDEV.P(Data[[#This Row],[alappatjoe]:[currydestroyer27]]), "TBD")</f>
        <v>0.4</v>
      </c>
      <c r="H989" s="135" t="s">
        <v>2067</v>
      </c>
      <c r="I989" s="229" t="s">
        <v>2068</v>
      </c>
      <c r="J989" s="8">
        <v>2</v>
      </c>
      <c r="K989" s="8">
        <v>2</v>
      </c>
      <c r="L989" s="8">
        <v>2</v>
      </c>
      <c r="M989" s="8">
        <v>2</v>
      </c>
      <c r="N989" s="8">
        <v>3</v>
      </c>
      <c r="O989" s="238">
        <v>50049941</v>
      </c>
      <c r="P989" s="234"/>
      <c r="Q989" s="93"/>
      <c r="R9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89" s="93">
        <v>1</v>
      </c>
      <c r="T989" s="93" t="b">
        <f>Data[[#This Row],[Day Rank]]=Data[[#This Row],[W Rank]]</f>
        <v>1</v>
      </c>
      <c r="U989" s="323"/>
    </row>
    <row r="990" spans="1:21" ht="15" customHeight="1">
      <c r="A990" s="326"/>
      <c r="B990" s="326"/>
      <c r="C990" s="329"/>
      <c r="D990" s="81">
        <f>D987</f>
        <v>45813</v>
      </c>
      <c r="E990" s="140" t="str">
        <f>$M$1</f>
        <v>samuelbattista</v>
      </c>
      <c r="F990" s="8">
        <f>IFERROR(AVERAGE(Data[[#This Row],[alappatjoe]:[currydestroyer27]]), "TBD")</f>
        <v>3.2</v>
      </c>
      <c r="G990" s="177">
        <f>IFERROR(_xlfn.STDEV.P(Data[[#This Row],[alappatjoe]:[currydestroyer27]]), "TBD")</f>
        <v>0.74833147735478833</v>
      </c>
      <c r="H990" s="245" t="s">
        <v>2069</v>
      </c>
      <c r="I990" s="229" t="s">
        <v>2070</v>
      </c>
      <c r="J990" s="8">
        <v>3</v>
      </c>
      <c r="K990" s="8">
        <v>4</v>
      </c>
      <c r="L990" s="8">
        <v>3</v>
      </c>
      <c r="M990" s="8">
        <v>4</v>
      </c>
      <c r="N990" s="8">
        <v>2</v>
      </c>
      <c r="O990" s="238">
        <v>18429018</v>
      </c>
      <c r="P990" s="234"/>
      <c r="Q990" s="93"/>
      <c r="R9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90" s="93">
        <v>1</v>
      </c>
      <c r="T990" s="93" t="b">
        <f>Data[[#This Row],[Day Rank]]=Data[[#This Row],[W Rank]]</f>
        <v>0</v>
      </c>
      <c r="U990" s="323"/>
    </row>
    <row r="991" spans="1:21" ht="15" customHeight="1" thickBot="1">
      <c r="A991" s="327"/>
      <c r="B991" s="327"/>
      <c r="C991" s="330"/>
      <c r="D991" s="164">
        <f>D987</f>
        <v>45813</v>
      </c>
      <c r="E991" s="215" t="str">
        <f>$N$1</f>
        <v>currydestroyer27</v>
      </c>
      <c r="F991" s="165">
        <f>IFERROR(AVERAGE(Data[[#This Row],[alappatjoe]:[currydestroyer27]]), "TBD")</f>
        <v>2.6</v>
      </c>
      <c r="G991" s="256">
        <f>IFERROR(_xlfn.STDEV.P(Data[[#This Row],[alappatjoe]:[currydestroyer27]]), "TBD")</f>
        <v>1.3564659966250536</v>
      </c>
      <c r="H991" s="227" t="s">
        <v>2071</v>
      </c>
      <c r="I991" s="257" t="s">
        <v>2072</v>
      </c>
      <c r="J991" s="165">
        <v>4</v>
      </c>
      <c r="K991" s="165">
        <v>1</v>
      </c>
      <c r="L991" s="165">
        <v>4</v>
      </c>
      <c r="M991" s="165">
        <v>3</v>
      </c>
      <c r="N991" s="165">
        <v>1</v>
      </c>
      <c r="O991" s="242">
        <v>853869435</v>
      </c>
      <c r="P991" s="237"/>
      <c r="Q991" s="167"/>
      <c r="R99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91" s="167">
        <v>1</v>
      </c>
      <c r="T991" s="167" t="b">
        <f>Data[[#This Row],[Day Rank]]=Data[[#This Row],[W Rank]]</f>
        <v>0</v>
      </c>
      <c r="U991" s="324"/>
    </row>
    <row r="992" spans="1:21" ht="15" customHeight="1">
      <c r="A992" s="325">
        <v>45817</v>
      </c>
      <c r="B992" s="325"/>
      <c r="C992" s="338" t="str" cm="1">
        <f t="array" ref="C992">_xlfn.LET(_xlpm.matches, _xlfn._xlws.FILTER(Data[Poster], (Data[Date]=A992)*(Data[Winner]=TRUE)), IF(ROWS(_xlpm.matches)&gt;1, "TIE", _xlpm.matches))</f>
        <v>danram</v>
      </c>
      <c r="D992" s="147">
        <f>A992</f>
        <v>45817</v>
      </c>
      <c r="E992" s="181" t="str">
        <f>$J$1</f>
        <v>alappatjoe</v>
      </c>
      <c r="F992" s="9">
        <f>IFERROR(AVERAGE(Data[[#This Row],[alappatjoe]:[currydestroyer27]]), "TBD")</f>
        <v>3.6</v>
      </c>
      <c r="G992" s="178">
        <f>IFERROR(_xlfn.STDEV.P(Data[[#This Row],[alappatjoe]:[currydestroyer27]]), "TBD")</f>
        <v>1.019803902718557</v>
      </c>
      <c r="H992" s="160" t="s">
        <v>2073</v>
      </c>
      <c r="I992" s="186" t="s">
        <v>2074</v>
      </c>
      <c r="J992" s="9">
        <v>3</v>
      </c>
      <c r="K992" s="9">
        <v>5</v>
      </c>
      <c r="L992" s="9">
        <v>2</v>
      </c>
      <c r="M992" s="9">
        <v>4</v>
      </c>
      <c r="N992" s="9">
        <v>4</v>
      </c>
      <c r="O992" s="238">
        <v>1023705</v>
      </c>
      <c r="P992" s="234"/>
      <c r="Q992" s="93"/>
      <c r="R9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92" s="93">
        <v>1</v>
      </c>
      <c r="T992" s="93" t="b">
        <f>Data[[#This Row],[Day Rank]]=Data[[#This Row],[W Rank]]</f>
        <v>0</v>
      </c>
      <c r="U992" s="331"/>
    </row>
    <row r="993" spans="1:21" ht="15" customHeight="1">
      <c r="A993" s="326"/>
      <c r="B993" s="326"/>
      <c r="C993" s="339"/>
      <c r="D993" s="81">
        <f>D992</f>
        <v>45817</v>
      </c>
      <c r="E993" s="140" t="str">
        <f>$K$1</f>
        <v>danram</v>
      </c>
      <c r="F993" s="8">
        <f>IFERROR(AVERAGE(Data[[#This Row],[alappatjoe]:[currydestroyer27]]), "TBD")</f>
        <v>1.4</v>
      </c>
      <c r="G993" s="177">
        <f>IFERROR(_xlfn.STDEV.P(Data[[#This Row],[alappatjoe]:[currydestroyer27]]), "TBD")</f>
        <v>0.4898979485566356</v>
      </c>
      <c r="H993" s="135" t="s">
        <v>2075</v>
      </c>
      <c r="I993" s="229" t="s">
        <v>2076</v>
      </c>
      <c r="J993" s="8">
        <v>2</v>
      </c>
      <c r="K993" s="8">
        <v>1</v>
      </c>
      <c r="L993" s="8">
        <v>1</v>
      </c>
      <c r="M993" s="8">
        <v>2</v>
      </c>
      <c r="N993" s="8">
        <v>1</v>
      </c>
      <c r="O993" s="238"/>
      <c r="P993" s="234"/>
      <c r="Q993" s="93"/>
      <c r="R9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93" s="93">
        <v>1</v>
      </c>
      <c r="T993" s="93" t="b">
        <f>Data[[#This Row],[Day Rank]]=Data[[#This Row],[W Rank]]</f>
        <v>1</v>
      </c>
      <c r="U993" s="323"/>
    </row>
    <row r="994" spans="1:21" ht="15" customHeight="1">
      <c r="A994" s="326"/>
      <c r="B994" s="326"/>
      <c r="C994" s="339"/>
      <c r="D994" s="81">
        <f>D992</f>
        <v>45817</v>
      </c>
      <c r="E994" s="140" t="str">
        <f>$L$1</f>
        <v>loganworsdell</v>
      </c>
      <c r="F994" s="8">
        <f>IFERROR(AVERAGE(Data[[#This Row],[alappatjoe]:[currydestroyer27]]), "TBD")</f>
        <v>3.8</v>
      </c>
      <c r="G994" s="177">
        <f>IFERROR(_xlfn.STDEV.P(Data[[#This Row],[alappatjoe]:[currydestroyer27]]), "TBD")</f>
        <v>1.1661903789690602</v>
      </c>
      <c r="H994" s="135" t="s">
        <v>2077</v>
      </c>
      <c r="I994" s="229" t="s">
        <v>2078</v>
      </c>
      <c r="J994" s="8">
        <v>5</v>
      </c>
      <c r="K994" s="8">
        <v>2</v>
      </c>
      <c r="L994" s="8">
        <v>4</v>
      </c>
      <c r="M994" s="8">
        <v>3</v>
      </c>
      <c r="N994" s="8">
        <v>5</v>
      </c>
      <c r="O994" s="238">
        <v>14836767</v>
      </c>
      <c r="P994" s="234"/>
      <c r="Q994" s="93"/>
      <c r="R9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994" s="93">
        <v>1</v>
      </c>
      <c r="T994" s="93" t="b">
        <f>Data[[#This Row],[Day Rank]]=Data[[#This Row],[W Rank]]</f>
        <v>0</v>
      </c>
      <c r="U994" s="323"/>
    </row>
    <row r="995" spans="1:21" ht="15" customHeight="1">
      <c r="A995" s="326"/>
      <c r="B995" s="326"/>
      <c r="C995" s="339"/>
      <c r="D995" s="81">
        <f>D992</f>
        <v>45817</v>
      </c>
      <c r="E995" s="140" t="str">
        <f>$M$1</f>
        <v>samuelbattista</v>
      </c>
      <c r="F995" s="8">
        <f>IFERROR(AVERAGE(Data[[#This Row],[alappatjoe]:[currydestroyer27]]), "TBD")</f>
        <v>3.2</v>
      </c>
      <c r="G995" s="177">
        <f>IFERROR(_xlfn.STDEV.P(Data[[#This Row],[alappatjoe]:[currydestroyer27]]), "TBD")</f>
        <v>1.3266499161421599</v>
      </c>
      <c r="H995" s="245" t="s">
        <v>2079</v>
      </c>
      <c r="I995" s="229" t="s">
        <v>2080</v>
      </c>
      <c r="J995" s="8">
        <v>4</v>
      </c>
      <c r="K995" s="8">
        <v>3</v>
      </c>
      <c r="L995" s="8">
        <v>5</v>
      </c>
      <c r="M995" s="8">
        <v>1</v>
      </c>
      <c r="N995" s="8">
        <v>3</v>
      </c>
      <c r="O995" s="238">
        <v>46133499</v>
      </c>
      <c r="P995" s="234"/>
      <c r="Q995" s="93"/>
      <c r="R9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995" s="93">
        <v>1</v>
      </c>
      <c r="T995" s="93" t="b">
        <f>Data[[#This Row],[Day Rank]]=Data[[#This Row],[W Rank]]</f>
        <v>0</v>
      </c>
      <c r="U995" s="323"/>
    </row>
    <row r="996" spans="1:21" ht="15" customHeight="1" thickBot="1">
      <c r="A996" s="327"/>
      <c r="B996" s="327"/>
      <c r="C996" s="340"/>
      <c r="D996" s="164">
        <f>D992</f>
        <v>45817</v>
      </c>
      <c r="E996" s="215" t="str">
        <f>$N$1</f>
        <v>currydestroyer27</v>
      </c>
      <c r="F996" s="165">
        <f>IFERROR(AVERAGE(Data[[#This Row],[alappatjoe]:[currydestroyer27]]), "TBD")</f>
        <v>3</v>
      </c>
      <c r="G996" s="256">
        <f>IFERROR(_xlfn.STDEV.P(Data[[#This Row],[alappatjoe]:[currydestroyer27]]), "TBD")</f>
        <v>1.4142135623730951</v>
      </c>
      <c r="H996" s="227" t="s">
        <v>2081</v>
      </c>
      <c r="I996" s="257" t="s">
        <v>2082</v>
      </c>
      <c r="J996" s="165">
        <v>1</v>
      </c>
      <c r="K996" s="165">
        <v>4</v>
      </c>
      <c r="L996" s="165">
        <v>3</v>
      </c>
      <c r="M996" s="165">
        <v>5</v>
      </c>
      <c r="N996" s="165">
        <v>2</v>
      </c>
      <c r="O996" s="242">
        <v>793797222</v>
      </c>
      <c r="P996" s="237"/>
      <c r="Q996" s="167"/>
      <c r="R99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96" s="167">
        <v>1</v>
      </c>
      <c r="T996" s="167" t="b">
        <f>Data[[#This Row],[Day Rank]]=Data[[#This Row],[W Rank]]</f>
        <v>0</v>
      </c>
      <c r="U996" s="324"/>
    </row>
    <row r="997" spans="1:21" ht="15" customHeight="1">
      <c r="A997" s="325">
        <v>45818</v>
      </c>
      <c r="B997" s="325"/>
      <c r="C997" s="328" t="str" cm="1">
        <f t="array" ref="C997">_xlfn.LET(_xlpm.matches, _xlfn._xlws.FILTER(Data[Poster], (Data[Date]=A997)*(Data[Winner]=TRUE)), IF(ROWS(_xlpm.matches)&gt;1, "TIE", _xlpm.matches))</f>
        <v>alappatjoe</v>
      </c>
      <c r="D997" s="147">
        <f>A997</f>
        <v>45818</v>
      </c>
      <c r="E997" s="181" t="str">
        <f>$J$1</f>
        <v>alappatjoe</v>
      </c>
      <c r="F997" s="9">
        <f>IFERROR(AVERAGE(Data[[#This Row],[alappatjoe]:[currydestroyer27]]), "TBD")</f>
        <v>2.2000000000000002</v>
      </c>
      <c r="G997" s="178">
        <f>IFERROR(_xlfn.STDEV.P(Data[[#This Row],[alappatjoe]:[currydestroyer27]]), "TBD")</f>
        <v>1.4696938456699069</v>
      </c>
      <c r="H997" s="160" t="s">
        <v>2083</v>
      </c>
      <c r="I997" s="186" t="s">
        <v>2084</v>
      </c>
      <c r="J997" s="9">
        <v>1</v>
      </c>
      <c r="K997" s="9">
        <v>1</v>
      </c>
      <c r="L997" s="9">
        <v>2</v>
      </c>
      <c r="M997" s="9">
        <v>5</v>
      </c>
      <c r="N997" s="9">
        <v>2</v>
      </c>
      <c r="O997" s="238">
        <v>198569466</v>
      </c>
      <c r="P997" s="234"/>
      <c r="Q997" s="93"/>
      <c r="R9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997" s="93">
        <v>1</v>
      </c>
      <c r="T997" s="93" t="b">
        <f>Data[[#This Row],[Day Rank]]=Data[[#This Row],[W Rank]]</f>
        <v>1</v>
      </c>
      <c r="U997" s="331"/>
    </row>
    <row r="998" spans="1:21" ht="15" customHeight="1">
      <c r="A998" s="326"/>
      <c r="B998" s="326"/>
      <c r="C998" s="329"/>
      <c r="D998" s="81">
        <f>D997</f>
        <v>45818</v>
      </c>
      <c r="E998" s="140" t="str">
        <f>$K$1</f>
        <v>danram</v>
      </c>
      <c r="F998" s="8">
        <f>IFERROR(AVERAGE(Data[[#This Row],[alappatjoe]:[currydestroyer27]]), "TBD")</f>
        <v>3.4</v>
      </c>
      <c r="G998" s="177">
        <f>IFERROR(_xlfn.STDEV.P(Data[[#This Row],[alappatjoe]:[currydestroyer27]]), "TBD")</f>
        <v>0.8</v>
      </c>
      <c r="H998" s="135" t="s">
        <v>2085</v>
      </c>
      <c r="I998" s="229" t="s">
        <v>1259</v>
      </c>
      <c r="J998" s="8">
        <v>4</v>
      </c>
      <c r="K998" s="8">
        <v>2</v>
      </c>
      <c r="L998" s="8">
        <v>4</v>
      </c>
      <c r="M998" s="8">
        <v>3</v>
      </c>
      <c r="N998" s="8">
        <v>4</v>
      </c>
      <c r="O998" s="238"/>
      <c r="P998" s="234"/>
      <c r="Q998" s="93"/>
      <c r="R9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998" s="93">
        <v>1</v>
      </c>
      <c r="T998" s="93" t="b">
        <f>Data[[#This Row],[Day Rank]]=Data[[#This Row],[W Rank]]</f>
        <v>0</v>
      </c>
      <c r="U998" s="323"/>
    </row>
    <row r="999" spans="1:21" ht="15" customHeight="1">
      <c r="A999" s="326"/>
      <c r="B999" s="326"/>
      <c r="C999" s="329"/>
      <c r="D999" s="81">
        <f>D997</f>
        <v>45818</v>
      </c>
      <c r="E999" s="140" t="str">
        <f>$L$1</f>
        <v>loganworsdell</v>
      </c>
      <c r="F999" s="8">
        <f>IFERROR(AVERAGE(Data[[#This Row],[alappatjoe]:[currydestroyer27]]), "TBD")</f>
        <v>2.8</v>
      </c>
      <c r="G999" s="177">
        <f>IFERROR(_xlfn.STDEV.P(Data[[#This Row],[alappatjoe]:[currydestroyer27]]), "TBD")</f>
        <v>1.1661903789690602</v>
      </c>
      <c r="H999" s="135" t="s">
        <v>2086</v>
      </c>
      <c r="I999" s="229" t="s">
        <v>2087</v>
      </c>
      <c r="J999" s="8">
        <v>2</v>
      </c>
      <c r="K999" s="8">
        <v>4</v>
      </c>
      <c r="L999" s="8">
        <v>1</v>
      </c>
      <c r="M999" s="8">
        <v>4</v>
      </c>
      <c r="N999" s="8">
        <v>3</v>
      </c>
      <c r="O999" s="238">
        <v>836022</v>
      </c>
      <c r="P999" s="234"/>
      <c r="Q999" s="93"/>
      <c r="R9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999" s="93">
        <v>1</v>
      </c>
      <c r="T999" s="93" t="b">
        <f>Data[[#This Row],[Day Rank]]=Data[[#This Row],[W Rank]]</f>
        <v>0</v>
      </c>
      <c r="U999" s="323"/>
    </row>
    <row r="1000" spans="1:21" ht="15" customHeight="1">
      <c r="A1000" s="326"/>
      <c r="B1000" s="326"/>
      <c r="C1000" s="329"/>
      <c r="D1000" s="81">
        <f>D997</f>
        <v>45818</v>
      </c>
      <c r="E1000" s="140" t="str">
        <f>$M$1</f>
        <v>samuelbattista</v>
      </c>
      <c r="F1000" s="8">
        <f>IFERROR(AVERAGE(Data[[#This Row],[alappatjoe]:[currydestroyer27]]), "TBD")</f>
        <v>3.8</v>
      </c>
      <c r="G1000" s="177">
        <f>IFERROR(_xlfn.STDEV.P(Data[[#This Row],[alappatjoe]:[currydestroyer27]]), "TBD")</f>
        <v>1.6</v>
      </c>
      <c r="H1000" s="245" t="s">
        <v>2088</v>
      </c>
      <c r="I1000" s="229" t="s">
        <v>2089</v>
      </c>
      <c r="J1000" s="8">
        <v>5</v>
      </c>
      <c r="K1000" s="8">
        <v>3</v>
      </c>
      <c r="L1000" s="8">
        <v>5</v>
      </c>
      <c r="M1000" s="8">
        <v>1</v>
      </c>
      <c r="N1000" s="8">
        <v>5</v>
      </c>
      <c r="O1000" s="238">
        <v>651539</v>
      </c>
      <c r="P1000" s="234"/>
      <c r="Q1000" s="93"/>
      <c r="R10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00" s="93">
        <v>1</v>
      </c>
      <c r="T1000" s="93" t="b">
        <f>Data[[#This Row],[Day Rank]]=Data[[#This Row],[W Rank]]</f>
        <v>0</v>
      </c>
      <c r="U1000" s="323"/>
    </row>
    <row r="1001" spans="1:21" ht="15" customHeight="1" thickBot="1">
      <c r="A1001" s="327"/>
      <c r="B1001" s="327"/>
      <c r="C1001" s="330"/>
      <c r="D1001" s="164">
        <f>D997</f>
        <v>45818</v>
      </c>
      <c r="E1001" s="215" t="str">
        <f>$N$1</f>
        <v>currydestroyer27</v>
      </c>
      <c r="F1001" s="165">
        <f>IFERROR(AVERAGE(Data[[#This Row],[alappatjoe]:[currydestroyer27]]), "TBD")</f>
        <v>2.8</v>
      </c>
      <c r="G1001" s="256">
        <f>IFERROR(_xlfn.STDEV.P(Data[[#This Row],[alappatjoe]:[currydestroyer27]]), "TBD")</f>
        <v>1.3266499161421599</v>
      </c>
      <c r="H1001" s="227" t="s">
        <v>2090</v>
      </c>
      <c r="I1001" s="257" t="s">
        <v>2091</v>
      </c>
      <c r="J1001" s="165">
        <v>3</v>
      </c>
      <c r="K1001" s="165">
        <v>5</v>
      </c>
      <c r="L1001" s="165">
        <v>3</v>
      </c>
      <c r="M1001" s="165">
        <v>2</v>
      </c>
      <c r="N1001" s="165">
        <v>1</v>
      </c>
      <c r="O1001" s="242">
        <v>1098887920</v>
      </c>
      <c r="P1001" s="237"/>
      <c r="Q1001" s="167"/>
      <c r="R100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01" s="167">
        <v>1</v>
      </c>
      <c r="T1001" s="167" t="b">
        <f>Data[[#This Row],[Day Rank]]=Data[[#This Row],[W Rank]]</f>
        <v>0</v>
      </c>
      <c r="U1001" s="324"/>
    </row>
    <row r="1002" spans="1:21" ht="15" customHeight="1">
      <c r="A1002" s="325">
        <v>45819</v>
      </c>
      <c r="B1002" s="325"/>
      <c r="C1002" s="338" t="str" cm="1">
        <f t="array" ref="C1002">_xlfn.LET(_xlpm.matches, _xlfn._xlws.FILTER(Data[Poster], (Data[Date]=A1002)*(Data[Winner]=TRUE)), IF(ROWS(_xlpm.matches)&gt;1, "TIE", _xlpm.matches))</f>
        <v>samuelbattista</v>
      </c>
      <c r="D1002" s="147">
        <f>A1002</f>
        <v>45819</v>
      </c>
      <c r="E1002" s="181" t="str">
        <f>$J$1</f>
        <v>alappatjoe</v>
      </c>
      <c r="F1002" s="9">
        <f>IFERROR(AVERAGE(Data[[#This Row],[alappatjoe]:[currydestroyer27]]), "TBD")</f>
        <v>2.6</v>
      </c>
      <c r="G1002" s="178">
        <f>IFERROR(_xlfn.STDEV.P(Data[[#This Row],[alappatjoe]:[currydestroyer27]]), "TBD")</f>
        <v>1.019803902718557</v>
      </c>
      <c r="H1002" s="160" t="s">
        <v>2092</v>
      </c>
      <c r="I1002" s="186" t="s">
        <v>2093</v>
      </c>
      <c r="J1002" s="9">
        <v>1</v>
      </c>
      <c r="K1002" s="9">
        <v>4</v>
      </c>
      <c r="L1002" s="9">
        <v>3</v>
      </c>
      <c r="M1002" s="9">
        <v>3</v>
      </c>
      <c r="N1002" s="9">
        <v>2</v>
      </c>
      <c r="O1002" s="238">
        <v>56685482</v>
      </c>
      <c r="P1002" s="234"/>
      <c r="Q1002" s="93"/>
      <c r="R10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02" s="93">
        <v>1</v>
      </c>
      <c r="T1002" s="93" t="b">
        <f>Data[[#This Row],[Day Rank]]=Data[[#This Row],[W Rank]]</f>
        <v>0</v>
      </c>
      <c r="U1002" s="331"/>
    </row>
    <row r="1003" spans="1:21" ht="15" customHeight="1">
      <c r="A1003" s="326"/>
      <c r="B1003" s="326"/>
      <c r="C1003" s="339"/>
      <c r="D1003" s="81">
        <f>D1002</f>
        <v>45819</v>
      </c>
      <c r="E1003" s="140" t="str">
        <f>$K$1</f>
        <v>danram</v>
      </c>
      <c r="F1003" s="8">
        <f>IFERROR(AVERAGE(Data[[#This Row],[alappatjoe]:[currydestroyer27]]), "TBD")</f>
        <v>3.2</v>
      </c>
      <c r="G1003" s="177">
        <f>IFERROR(_xlfn.STDEV.P(Data[[#This Row],[alappatjoe]:[currydestroyer27]]), "TBD")</f>
        <v>1.4696938456699069</v>
      </c>
      <c r="H1003" s="135" t="s">
        <v>2094</v>
      </c>
      <c r="I1003" s="229" t="s">
        <v>2095</v>
      </c>
      <c r="J1003" s="8">
        <v>4</v>
      </c>
      <c r="K1003" s="8">
        <v>1</v>
      </c>
      <c r="L1003" s="8">
        <v>5</v>
      </c>
      <c r="M1003" s="8">
        <v>2</v>
      </c>
      <c r="N1003" s="8">
        <v>4</v>
      </c>
      <c r="O1003" s="238"/>
      <c r="P1003" s="234"/>
      <c r="Q1003" s="93"/>
      <c r="R10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03" s="93">
        <v>1</v>
      </c>
      <c r="T1003" s="93" t="b">
        <f>Data[[#This Row],[Day Rank]]=Data[[#This Row],[W Rank]]</f>
        <v>0</v>
      </c>
      <c r="U1003" s="323"/>
    </row>
    <row r="1004" spans="1:21" ht="15" customHeight="1">
      <c r="A1004" s="326"/>
      <c r="B1004" s="326"/>
      <c r="C1004" s="339"/>
      <c r="D1004" s="81">
        <f>D1002</f>
        <v>45819</v>
      </c>
      <c r="E1004" s="140" t="str">
        <f>$L$1</f>
        <v>loganworsdell</v>
      </c>
      <c r="F1004" s="8">
        <f>IFERROR(AVERAGE(Data[[#This Row],[alappatjoe]:[currydestroyer27]]), "TBD")</f>
        <v>4.8</v>
      </c>
      <c r="G1004" s="177">
        <f>IFERROR(_xlfn.STDEV.P(Data[[#This Row],[alappatjoe]:[currydestroyer27]]), "TBD")</f>
        <v>0.39999999999999997</v>
      </c>
      <c r="H1004" s="135" t="s">
        <v>2096</v>
      </c>
      <c r="I1004" s="229" t="s">
        <v>2097</v>
      </c>
      <c r="J1004" s="8">
        <v>5</v>
      </c>
      <c r="K1004" s="8">
        <v>5</v>
      </c>
      <c r="L1004" s="8">
        <v>4</v>
      </c>
      <c r="M1004" s="8">
        <v>5</v>
      </c>
      <c r="N1004" s="8">
        <v>5</v>
      </c>
      <c r="O1004" s="238">
        <v>2612965</v>
      </c>
      <c r="P1004" s="234"/>
      <c r="Q1004" s="93"/>
      <c r="R10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04" s="93">
        <v>1</v>
      </c>
      <c r="T1004" s="93" t="b">
        <f>Data[[#This Row],[Day Rank]]=Data[[#This Row],[W Rank]]</f>
        <v>0</v>
      </c>
      <c r="U1004" s="323"/>
    </row>
    <row r="1005" spans="1:21" ht="15" customHeight="1">
      <c r="A1005" s="326"/>
      <c r="B1005" s="326"/>
      <c r="C1005" s="339"/>
      <c r="D1005" s="81">
        <f>D1002</f>
        <v>45819</v>
      </c>
      <c r="E1005" s="140" t="str">
        <f>$M$1</f>
        <v>samuelbattista</v>
      </c>
      <c r="F1005" s="8">
        <f>IFERROR(AVERAGE(Data[[#This Row],[alappatjoe]:[currydestroyer27]]), "TBD")</f>
        <v>2</v>
      </c>
      <c r="G1005" s="177">
        <f>IFERROR(_xlfn.STDEV.P(Data[[#This Row],[alappatjoe]:[currydestroyer27]]), "TBD")</f>
        <v>0.89442719099991586</v>
      </c>
      <c r="H1005" s="245" t="s">
        <v>2098</v>
      </c>
      <c r="I1005" s="229" t="s">
        <v>2099</v>
      </c>
      <c r="J1005" s="8">
        <v>2</v>
      </c>
      <c r="K1005" s="8">
        <v>3</v>
      </c>
      <c r="L1005" s="8">
        <v>1</v>
      </c>
      <c r="M1005" s="8">
        <v>1</v>
      </c>
      <c r="N1005" s="8">
        <v>3</v>
      </c>
      <c r="O1005" s="238">
        <v>229652011</v>
      </c>
      <c r="P1005" s="234"/>
      <c r="Q1005" s="93"/>
      <c r="R10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05" s="93">
        <v>1</v>
      </c>
      <c r="T1005" s="93" t="b">
        <f>Data[[#This Row],[Day Rank]]=Data[[#This Row],[W Rank]]</f>
        <v>1</v>
      </c>
      <c r="U1005" s="323"/>
    </row>
    <row r="1006" spans="1:21" ht="15" customHeight="1" thickBot="1">
      <c r="A1006" s="327"/>
      <c r="B1006" s="327"/>
      <c r="C1006" s="340"/>
      <c r="D1006" s="164">
        <f>D1002</f>
        <v>45819</v>
      </c>
      <c r="E1006" s="215" t="str">
        <f>$N$1</f>
        <v>currydestroyer27</v>
      </c>
      <c r="F1006" s="165">
        <f>IFERROR(AVERAGE(Data[[#This Row],[alappatjoe]:[currydestroyer27]]), "TBD")</f>
        <v>2.4</v>
      </c>
      <c r="G1006" s="256">
        <f>IFERROR(_xlfn.STDEV.P(Data[[#This Row],[alappatjoe]:[currydestroyer27]]), "TBD")</f>
        <v>1.019803902718557</v>
      </c>
      <c r="H1006" s="227" t="s">
        <v>2100</v>
      </c>
      <c r="I1006" s="257" t="s">
        <v>2101</v>
      </c>
      <c r="J1006" s="165">
        <v>3</v>
      </c>
      <c r="K1006" s="165">
        <v>2</v>
      </c>
      <c r="L1006" s="165">
        <v>2</v>
      </c>
      <c r="M1006" s="165">
        <v>4</v>
      </c>
      <c r="N1006" s="165">
        <v>1</v>
      </c>
      <c r="O1006" s="242">
        <v>15037623</v>
      </c>
      <c r="P1006" s="237"/>
      <c r="Q1006" s="167"/>
      <c r="R100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06" s="167">
        <v>1</v>
      </c>
      <c r="T1006" s="167" t="b">
        <f>Data[[#This Row],[Day Rank]]=Data[[#This Row],[W Rank]]</f>
        <v>0</v>
      </c>
      <c r="U1006" s="324"/>
    </row>
    <row r="1007" spans="1:21" ht="15" customHeight="1">
      <c r="A1007" s="325">
        <v>45820</v>
      </c>
      <c r="B1007" s="325"/>
      <c r="C1007" s="328" t="str" cm="1">
        <f t="array" ref="C1007">_xlfn.LET(_xlpm.matches, _xlfn._xlws.FILTER(Data[Poster], (Data[Date]=A1007)*(Data[Winner]=TRUE)), IF(ROWS(_xlpm.matches)&gt;1, "TIE", _xlpm.matches))</f>
        <v>currydestroyer27</v>
      </c>
      <c r="D1007" s="147">
        <f>A1007</f>
        <v>45820</v>
      </c>
      <c r="E1007" s="181" t="str">
        <f>$J$1</f>
        <v>alappatjoe</v>
      </c>
      <c r="F1007" s="9">
        <f>IFERROR(AVERAGE(Data[[#This Row],[alappatjoe]:[currydestroyer27]]), "TBD")</f>
        <v>4</v>
      </c>
      <c r="G1007" s="178">
        <f>IFERROR(_xlfn.STDEV.P(Data[[#This Row],[alappatjoe]:[currydestroyer27]]), "TBD")</f>
        <v>1.5491933384829668</v>
      </c>
      <c r="H1007" s="160" t="s">
        <v>2102</v>
      </c>
      <c r="I1007" s="186" t="s">
        <v>2103</v>
      </c>
      <c r="J1007" s="9">
        <v>1</v>
      </c>
      <c r="K1007" s="9">
        <v>4</v>
      </c>
      <c r="L1007" s="9">
        <v>5</v>
      </c>
      <c r="M1007" s="9">
        <v>5</v>
      </c>
      <c r="N1007" s="9">
        <v>5</v>
      </c>
      <c r="O1007" s="238">
        <v>781655</v>
      </c>
      <c r="P1007" s="234"/>
      <c r="Q1007" s="93"/>
      <c r="R10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07" s="93">
        <v>1</v>
      </c>
      <c r="T1007" s="93" t="b">
        <f>Data[[#This Row],[Day Rank]]=Data[[#This Row],[W Rank]]</f>
        <v>0</v>
      </c>
      <c r="U1007" s="331" t="s">
        <v>2104</v>
      </c>
    </row>
    <row r="1008" spans="1:21" ht="15" customHeight="1">
      <c r="A1008" s="326"/>
      <c r="B1008" s="326"/>
      <c r="C1008" s="329"/>
      <c r="D1008" s="81">
        <f>D1007</f>
        <v>45820</v>
      </c>
      <c r="E1008" s="140" t="str">
        <f>$K$1</f>
        <v>danram</v>
      </c>
      <c r="F1008" s="8">
        <f>IFERROR(AVERAGE(Data[[#This Row],[alappatjoe]:[currydestroyer27]]), "TBD")</f>
        <v>2.6</v>
      </c>
      <c r="G1008" s="177">
        <f>IFERROR(_xlfn.STDEV.P(Data[[#This Row],[alappatjoe]:[currydestroyer27]]), "TBD")</f>
        <v>1.2</v>
      </c>
      <c r="H1008" s="135" t="s">
        <v>2105</v>
      </c>
      <c r="I1008" s="229" t="s">
        <v>803</v>
      </c>
      <c r="J1008" s="8">
        <v>2</v>
      </c>
      <c r="K1008" s="8">
        <v>1</v>
      </c>
      <c r="L1008" s="8">
        <v>4</v>
      </c>
      <c r="M1008" s="8">
        <v>4</v>
      </c>
      <c r="N1008" s="8">
        <v>2</v>
      </c>
      <c r="O1008" s="238"/>
      <c r="P1008" s="234"/>
      <c r="Q1008" s="93"/>
      <c r="R10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08" s="93">
        <v>1</v>
      </c>
      <c r="T1008" s="93" t="b">
        <f>Data[[#This Row],[Day Rank]]=Data[[#This Row],[W Rank]]</f>
        <v>0</v>
      </c>
      <c r="U1008" s="323"/>
    </row>
    <row r="1009" spans="1:21" ht="15" customHeight="1">
      <c r="A1009" s="326"/>
      <c r="B1009" s="326"/>
      <c r="C1009" s="329"/>
      <c r="D1009" s="81">
        <f>D1007</f>
        <v>45820</v>
      </c>
      <c r="E1009" s="140" t="str">
        <f>$L$1</f>
        <v>loganworsdell</v>
      </c>
      <c r="F1009" s="8">
        <f>IFERROR(AVERAGE(Data[[#This Row],[alappatjoe]:[currydestroyer27]]), "TBD")</f>
        <v>3.8</v>
      </c>
      <c r="G1009" s="177">
        <f>IFERROR(_xlfn.STDEV.P(Data[[#This Row],[alappatjoe]:[currydestroyer27]]), "TBD")</f>
        <v>1.1661903789690602</v>
      </c>
      <c r="H1009" s="135" t="s">
        <v>2106</v>
      </c>
      <c r="I1009" s="229" t="s">
        <v>379</v>
      </c>
      <c r="J1009" s="8">
        <v>5</v>
      </c>
      <c r="K1009" s="8">
        <v>5</v>
      </c>
      <c r="L1009" s="8">
        <v>2</v>
      </c>
      <c r="M1009" s="8">
        <v>3</v>
      </c>
      <c r="N1009" s="8">
        <v>4</v>
      </c>
      <c r="O1009" s="238">
        <v>19817288</v>
      </c>
      <c r="P1009" s="234"/>
      <c r="Q1009" s="93"/>
      <c r="R10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09" s="93">
        <v>1</v>
      </c>
      <c r="T1009" s="93" t="b">
        <f>Data[[#This Row],[Day Rank]]=Data[[#This Row],[W Rank]]</f>
        <v>0</v>
      </c>
      <c r="U1009" s="323"/>
    </row>
    <row r="1010" spans="1:21" ht="15" customHeight="1">
      <c r="A1010" s="326"/>
      <c r="B1010" s="326"/>
      <c r="C1010" s="329"/>
      <c r="D1010" s="81">
        <f>D1007</f>
        <v>45820</v>
      </c>
      <c r="E1010" s="140" t="str">
        <f>$M$1</f>
        <v>samuelbattista</v>
      </c>
      <c r="F1010" s="8">
        <f>IFERROR(AVERAGE(Data[[#This Row],[alappatjoe]:[currydestroyer27]]), "TBD")</f>
        <v>2.6</v>
      </c>
      <c r="G1010" s="177">
        <f>IFERROR(_xlfn.STDEV.P(Data[[#This Row],[alappatjoe]:[currydestroyer27]]), "TBD")</f>
        <v>0.8</v>
      </c>
      <c r="H1010" s="245" t="s">
        <v>2107</v>
      </c>
      <c r="I1010" s="229" t="s">
        <v>373</v>
      </c>
      <c r="J1010" s="8">
        <v>3</v>
      </c>
      <c r="K1010" s="8">
        <v>3</v>
      </c>
      <c r="L1010" s="8">
        <v>3</v>
      </c>
      <c r="M1010" s="8">
        <v>1</v>
      </c>
      <c r="N1010" s="8">
        <v>3</v>
      </c>
      <c r="O1010" s="238">
        <v>2327811</v>
      </c>
      <c r="P1010" s="234"/>
      <c r="Q1010" s="93"/>
      <c r="R10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10" s="93">
        <v>1</v>
      </c>
      <c r="T1010" s="93" t="b">
        <f>Data[[#This Row],[Day Rank]]=Data[[#This Row],[W Rank]]</f>
        <v>0</v>
      </c>
      <c r="U1010" s="323"/>
    </row>
    <row r="1011" spans="1:21" ht="15" customHeight="1" thickBot="1">
      <c r="A1011" s="327"/>
      <c r="B1011" s="327"/>
      <c r="C1011" s="330"/>
      <c r="D1011" s="164">
        <f>D1007</f>
        <v>45820</v>
      </c>
      <c r="E1011" s="215" t="str">
        <f>$N$1</f>
        <v>currydestroyer27</v>
      </c>
      <c r="F1011" s="165">
        <f>IFERROR(AVERAGE(Data[[#This Row],[alappatjoe]:[currydestroyer27]]), "TBD")</f>
        <v>2</v>
      </c>
      <c r="G1011" s="256">
        <f>IFERROR(_xlfn.STDEV.P(Data[[#This Row],[alappatjoe]:[currydestroyer27]]), "TBD")</f>
        <v>1.0954451150103321</v>
      </c>
      <c r="H1011" s="227" t="s">
        <v>2108</v>
      </c>
      <c r="I1011" s="257" t="s">
        <v>195</v>
      </c>
      <c r="J1011" s="165">
        <v>4</v>
      </c>
      <c r="K1011" s="165">
        <v>2</v>
      </c>
      <c r="L1011" s="165">
        <v>1</v>
      </c>
      <c r="M1011" s="165">
        <v>2</v>
      </c>
      <c r="N1011" s="165">
        <v>1</v>
      </c>
      <c r="O1011" s="242">
        <v>571337966</v>
      </c>
      <c r="P1011" s="237"/>
      <c r="Q1011" s="167"/>
      <c r="R10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11" s="167">
        <v>1</v>
      </c>
      <c r="T1011" s="167" t="b">
        <f>Data[[#This Row],[Day Rank]]=Data[[#This Row],[W Rank]]</f>
        <v>1</v>
      </c>
      <c r="U1011" s="324"/>
    </row>
    <row r="1012" spans="1:21" ht="15" customHeight="1">
      <c r="A1012" s="325">
        <v>45824</v>
      </c>
      <c r="B1012" s="325"/>
      <c r="C1012" s="338" t="str" cm="1">
        <f t="array" ref="C1012">_xlfn.LET(_xlpm.matches, _xlfn._xlws.FILTER(Data[Poster], (Data[Date]=A1012)*(Data[Winner]=TRUE)), IF(ROWS(_xlpm.matches)&gt;1, "TIE", _xlpm.matches))</f>
        <v>alappatjoe</v>
      </c>
      <c r="D1012" s="147">
        <f>A1012</f>
        <v>45824</v>
      </c>
      <c r="E1012" s="181" t="str">
        <f>$J$1</f>
        <v>alappatjoe</v>
      </c>
      <c r="F1012" s="9">
        <f>IFERROR(AVERAGE(Data[[#This Row],[alappatjoe]:[currydestroyer27]]), "TBD")</f>
        <v>1.8</v>
      </c>
      <c r="G1012" s="178">
        <f>IFERROR(_xlfn.STDEV.P(Data[[#This Row],[alappatjoe]:[currydestroyer27]]), "TBD")</f>
        <v>0.74833147735478833</v>
      </c>
      <c r="H1012" s="160" t="s">
        <v>2109</v>
      </c>
      <c r="I1012" s="186" t="s">
        <v>2110</v>
      </c>
      <c r="J1012" s="9">
        <v>1</v>
      </c>
      <c r="K1012" s="9">
        <v>1</v>
      </c>
      <c r="L1012" s="9">
        <v>2</v>
      </c>
      <c r="M1012" s="9">
        <v>3</v>
      </c>
      <c r="N1012" s="9">
        <v>2</v>
      </c>
      <c r="O1012" s="238">
        <v>676044</v>
      </c>
      <c r="P1012" s="234"/>
      <c r="Q1012" s="93"/>
      <c r="R10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12" s="93">
        <v>1</v>
      </c>
      <c r="T1012" s="93" t="b">
        <f>Data[[#This Row],[Day Rank]]=Data[[#This Row],[W Rank]]</f>
        <v>1</v>
      </c>
      <c r="U1012" s="331"/>
    </row>
    <row r="1013" spans="1:21" ht="15" customHeight="1">
      <c r="A1013" s="326"/>
      <c r="B1013" s="326"/>
      <c r="C1013" s="339"/>
      <c r="D1013" s="81">
        <f>D1012</f>
        <v>45824</v>
      </c>
      <c r="E1013" s="140" t="str">
        <f>$K$1</f>
        <v>danram</v>
      </c>
      <c r="F1013" s="8">
        <f>IFERROR(AVERAGE(Data[[#This Row],[alappatjoe]:[currydestroyer27]]), "TBD")</f>
        <v>3.4</v>
      </c>
      <c r="G1013" s="177">
        <f>IFERROR(_xlfn.STDEV.P(Data[[#This Row],[alappatjoe]:[currydestroyer27]]), "TBD")</f>
        <v>1.019803902718557</v>
      </c>
      <c r="H1013" s="135" t="s">
        <v>2111</v>
      </c>
      <c r="I1013" s="229" t="s">
        <v>2112</v>
      </c>
      <c r="J1013" s="8">
        <v>3</v>
      </c>
      <c r="K1013" s="8">
        <v>3</v>
      </c>
      <c r="L1013" s="8">
        <v>4</v>
      </c>
      <c r="M1013" s="8">
        <v>2</v>
      </c>
      <c r="N1013" s="8">
        <v>5</v>
      </c>
      <c r="O1013" s="238"/>
      <c r="P1013" s="234"/>
      <c r="Q1013" s="93"/>
      <c r="R10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13" s="93">
        <v>1</v>
      </c>
      <c r="T1013" s="93" t="b">
        <f>Data[[#This Row],[Day Rank]]=Data[[#This Row],[W Rank]]</f>
        <v>0</v>
      </c>
      <c r="U1013" s="323"/>
    </row>
    <row r="1014" spans="1:21" ht="15" customHeight="1">
      <c r="A1014" s="326"/>
      <c r="B1014" s="326"/>
      <c r="C1014" s="339"/>
      <c r="D1014" s="81">
        <f>D1012</f>
        <v>45824</v>
      </c>
      <c r="E1014" s="140" t="str">
        <f>$L$1</f>
        <v>loganworsdell</v>
      </c>
      <c r="F1014" s="8">
        <f>IFERROR(AVERAGE(Data[[#This Row],[alappatjoe]:[currydestroyer27]]), "TBD")</f>
        <v>3.6</v>
      </c>
      <c r="G1014" s="177">
        <f>IFERROR(_xlfn.STDEV.P(Data[[#This Row],[alappatjoe]:[currydestroyer27]]), "TBD")</f>
        <v>1.4966629547095767</v>
      </c>
      <c r="H1014" s="135" t="s">
        <v>2113</v>
      </c>
      <c r="I1014" s="229" t="s">
        <v>2114</v>
      </c>
      <c r="J1014" s="8">
        <v>4</v>
      </c>
      <c r="K1014" s="8">
        <v>5</v>
      </c>
      <c r="L1014" s="8">
        <v>1</v>
      </c>
      <c r="M1014" s="8">
        <v>5</v>
      </c>
      <c r="N1014" s="8">
        <v>3</v>
      </c>
      <c r="O1014" s="238">
        <v>1047509</v>
      </c>
      <c r="P1014" s="234"/>
      <c r="Q1014" s="93"/>
      <c r="R10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14" s="93">
        <v>1</v>
      </c>
      <c r="T1014" s="93" t="b">
        <f>Data[[#This Row],[Day Rank]]=Data[[#This Row],[W Rank]]</f>
        <v>0</v>
      </c>
      <c r="U1014" s="323"/>
    </row>
    <row r="1015" spans="1:21" ht="15" customHeight="1">
      <c r="A1015" s="326"/>
      <c r="B1015" s="326"/>
      <c r="C1015" s="339"/>
      <c r="D1015" s="81">
        <f>D1012</f>
        <v>45824</v>
      </c>
      <c r="E1015" s="140" t="str">
        <f>$M$1</f>
        <v>samuelbattista</v>
      </c>
      <c r="F1015" s="8">
        <f>IFERROR(AVERAGE(Data[[#This Row],[alappatjoe]:[currydestroyer27]]), "TBD")</f>
        <v>3.8</v>
      </c>
      <c r="G1015" s="177">
        <f>IFERROR(_xlfn.STDEV.P(Data[[#This Row],[alappatjoe]:[currydestroyer27]]), "TBD")</f>
        <v>1.4696938456699069</v>
      </c>
      <c r="H1015" s="245" t="s">
        <v>2115</v>
      </c>
      <c r="I1015" s="229" t="s">
        <v>2116</v>
      </c>
      <c r="J1015" s="8">
        <v>5</v>
      </c>
      <c r="K1015" s="8">
        <v>4</v>
      </c>
      <c r="L1015" s="8">
        <v>5</v>
      </c>
      <c r="M1015" s="8">
        <v>1</v>
      </c>
      <c r="N1015" s="8">
        <v>4</v>
      </c>
      <c r="O1015" s="238">
        <v>177291</v>
      </c>
      <c r="P1015" s="234"/>
      <c r="Q1015" s="93"/>
      <c r="R10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15" s="93">
        <v>1</v>
      </c>
      <c r="T1015" s="93" t="b">
        <f>Data[[#This Row],[Day Rank]]=Data[[#This Row],[W Rank]]</f>
        <v>0</v>
      </c>
      <c r="U1015" s="323"/>
    </row>
    <row r="1016" spans="1:21" ht="15" customHeight="1" thickBot="1">
      <c r="A1016" s="327"/>
      <c r="B1016" s="327"/>
      <c r="C1016" s="340"/>
      <c r="D1016" s="164">
        <f>D1012</f>
        <v>45824</v>
      </c>
      <c r="E1016" s="215" t="str">
        <f>$N$1</f>
        <v>currydestroyer27</v>
      </c>
      <c r="F1016" s="165">
        <f>IFERROR(AVERAGE(Data[[#This Row],[alappatjoe]:[currydestroyer27]]), "TBD")</f>
        <v>2.4</v>
      </c>
      <c r="G1016" s="256">
        <f>IFERROR(_xlfn.STDEV.P(Data[[#This Row],[alappatjoe]:[currydestroyer27]]), "TBD")</f>
        <v>1.019803902718557</v>
      </c>
      <c r="H1016" s="227" t="s">
        <v>2117</v>
      </c>
      <c r="I1016" s="257" t="s">
        <v>2118</v>
      </c>
      <c r="J1016" s="165">
        <v>2</v>
      </c>
      <c r="K1016" s="165">
        <v>2</v>
      </c>
      <c r="L1016" s="165">
        <v>3</v>
      </c>
      <c r="M1016" s="165">
        <v>4</v>
      </c>
      <c r="N1016" s="165">
        <v>1</v>
      </c>
      <c r="O1016" s="242">
        <v>11207081</v>
      </c>
      <c r="P1016" s="237"/>
      <c r="Q1016" s="167"/>
      <c r="R10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16" s="167">
        <v>1</v>
      </c>
      <c r="T1016" s="167" t="b">
        <f>Data[[#This Row],[Day Rank]]=Data[[#This Row],[W Rank]]</f>
        <v>0</v>
      </c>
      <c r="U1016" s="324"/>
    </row>
    <row r="1017" spans="1:21" ht="15" customHeight="1">
      <c r="A1017" s="325">
        <v>45825</v>
      </c>
      <c r="B1017" s="325"/>
      <c r="C1017" s="328" t="str" cm="1">
        <f t="array" ref="C1017">_xlfn.LET(_xlpm.matches, _xlfn._xlws.FILTER(Data[Poster], (Data[Date]=A1017)*(Data[Winner]=TRUE)), IF(ROWS(_xlpm.matches)&gt;1, "TIE", _xlpm.matches))</f>
        <v>alappatjoe</v>
      </c>
      <c r="D1017" s="147">
        <f>A1017</f>
        <v>45825</v>
      </c>
      <c r="E1017" s="181" t="str">
        <f>$J$1</f>
        <v>alappatjoe</v>
      </c>
      <c r="F1017" s="9">
        <f>IFERROR(AVERAGE(Data[[#This Row],[alappatjoe]:[currydestroyer27]]), "TBD")</f>
        <v>2.4</v>
      </c>
      <c r="G1017" s="178">
        <f>IFERROR(_xlfn.STDEV.P(Data[[#This Row],[alappatjoe]:[currydestroyer27]]), "TBD")</f>
        <v>1.019803902718557</v>
      </c>
      <c r="H1017" s="160" t="s">
        <v>2119</v>
      </c>
      <c r="I1017" s="186" t="s">
        <v>2120</v>
      </c>
      <c r="J1017" s="9">
        <v>1</v>
      </c>
      <c r="K1017" s="9">
        <v>4</v>
      </c>
      <c r="L1017" s="9">
        <v>3</v>
      </c>
      <c r="M1017" s="9">
        <v>2</v>
      </c>
      <c r="N1017" s="9">
        <v>2</v>
      </c>
      <c r="O1017" s="238">
        <v>4514674</v>
      </c>
      <c r="P1017" s="234"/>
      <c r="Q1017" s="93"/>
      <c r="R10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17" s="93">
        <v>1</v>
      </c>
      <c r="T1017" s="93" t="b">
        <f>Data[[#This Row],[Day Rank]]=Data[[#This Row],[W Rank]]</f>
        <v>1</v>
      </c>
      <c r="U1017" s="331"/>
    </row>
    <row r="1018" spans="1:21" ht="15" customHeight="1">
      <c r="A1018" s="326"/>
      <c r="B1018" s="326"/>
      <c r="C1018" s="329"/>
      <c r="D1018" s="81">
        <f>D1017</f>
        <v>45825</v>
      </c>
      <c r="E1018" s="140" t="str">
        <f>$K$1</f>
        <v>danram</v>
      </c>
      <c r="F1018" s="8">
        <f>IFERROR(AVERAGE(Data[[#This Row],[alappatjoe]:[currydestroyer27]]), "TBD")</f>
        <v>2.6</v>
      </c>
      <c r="G1018" s="177">
        <f>IFERROR(_xlfn.STDEV.P(Data[[#This Row],[alappatjoe]:[currydestroyer27]]), "TBD")</f>
        <v>1.019803902718557</v>
      </c>
      <c r="H1018" s="135" t="s">
        <v>2121</v>
      </c>
      <c r="I1018" s="229" t="s">
        <v>657</v>
      </c>
      <c r="J1018" s="8">
        <v>3</v>
      </c>
      <c r="K1018" s="8">
        <v>1</v>
      </c>
      <c r="L1018" s="8">
        <v>2</v>
      </c>
      <c r="M1018" s="8">
        <v>3</v>
      </c>
      <c r="N1018" s="8">
        <v>4</v>
      </c>
      <c r="O1018" s="238"/>
      <c r="P1018" s="234"/>
      <c r="Q1018" s="93"/>
      <c r="R10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18" s="93">
        <v>1</v>
      </c>
      <c r="T1018" s="93" t="b">
        <f>Data[[#This Row],[Day Rank]]=Data[[#This Row],[W Rank]]</f>
        <v>0</v>
      </c>
      <c r="U1018" s="323"/>
    </row>
    <row r="1019" spans="1:21" ht="15" customHeight="1">
      <c r="A1019" s="326"/>
      <c r="B1019" s="326"/>
      <c r="C1019" s="329"/>
      <c r="D1019" s="81">
        <f>D1017</f>
        <v>45825</v>
      </c>
      <c r="E1019" s="140" t="str">
        <f>$L$1</f>
        <v>loganworsdell</v>
      </c>
      <c r="F1019" s="8">
        <f>IFERROR(AVERAGE(Data[[#This Row],[alappatjoe]:[currydestroyer27]]), "TBD")</f>
        <v>2.6</v>
      </c>
      <c r="G1019" s="177">
        <f>IFERROR(_xlfn.STDEV.P(Data[[#This Row],[alappatjoe]:[currydestroyer27]]), "TBD")</f>
        <v>1.019803902718557</v>
      </c>
      <c r="H1019" s="135" t="s">
        <v>2122</v>
      </c>
      <c r="I1019" s="229" t="s">
        <v>2123</v>
      </c>
      <c r="J1019" s="8">
        <v>2</v>
      </c>
      <c r="K1019" s="8">
        <v>3</v>
      </c>
      <c r="L1019" s="8">
        <v>1</v>
      </c>
      <c r="M1019" s="8">
        <v>4</v>
      </c>
      <c r="N1019" s="8">
        <v>3</v>
      </c>
      <c r="O1019" s="238">
        <v>32050</v>
      </c>
      <c r="P1019" s="234"/>
      <c r="Q1019" s="93"/>
      <c r="R10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19" s="93">
        <v>1</v>
      </c>
      <c r="T1019" s="93" t="b">
        <f>Data[[#This Row],[Day Rank]]=Data[[#This Row],[W Rank]]</f>
        <v>0</v>
      </c>
      <c r="U1019" s="323"/>
    </row>
    <row r="1020" spans="1:21" ht="15" customHeight="1">
      <c r="A1020" s="326"/>
      <c r="B1020" s="326"/>
      <c r="C1020" s="329"/>
      <c r="D1020" s="81">
        <f>D1017</f>
        <v>45825</v>
      </c>
      <c r="E1020" s="140" t="str">
        <f>$M$1</f>
        <v>samuelbattista</v>
      </c>
      <c r="F1020" s="8">
        <f>IFERROR(AVERAGE(Data[[#This Row],[alappatjoe]:[currydestroyer27]]), "TBD")</f>
        <v>4.2</v>
      </c>
      <c r="G1020" s="177">
        <f>IFERROR(_xlfn.STDEV.P(Data[[#This Row],[alappatjoe]:[currydestroyer27]]), "TBD")</f>
        <v>1.6</v>
      </c>
      <c r="H1020" s="245" t="s">
        <v>2124</v>
      </c>
      <c r="I1020" s="229" t="s">
        <v>2125</v>
      </c>
      <c r="J1020" s="8">
        <v>5</v>
      </c>
      <c r="K1020" s="8">
        <v>5</v>
      </c>
      <c r="L1020" s="8">
        <v>5</v>
      </c>
      <c r="M1020" s="8">
        <v>1</v>
      </c>
      <c r="N1020" s="8">
        <v>5</v>
      </c>
      <c r="O1020" s="238"/>
      <c r="P1020" s="234"/>
      <c r="Q1020" s="93"/>
      <c r="R10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20" s="93">
        <v>1</v>
      </c>
      <c r="T1020" s="93" t="b">
        <f>Data[[#This Row],[Day Rank]]=Data[[#This Row],[W Rank]]</f>
        <v>0</v>
      </c>
      <c r="U1020" s="323"/>
    </row>
    <row r="1021" spans="1:21" ht="15" customHeight="1" thickBot="1">
      <c r="A1021" s="327"/>
      <c r="B1021" s="327"/>
      <c r="C1021" s="330"/>
      <c r="D1021" s="164">
        <f>D1017</f>
        <v>45825</v>
      </c>
      <c r="E1021" s="215" t="str">
        <f>$N$1</f>
        <v>currydestroyer27</v>
      </c>
      <c r="F1021" s="165">
        <f>IFERROR(AVERAGE(Data[[#This Row],[alappatjoe]:[currydestroyer27]]), "TBD")</f>
        <v>3.2</v>
      </c>
      <c r="G1021" s="256">
        <f>IFERROR(_xlfn.STDEV.P(Data[[#This Row],[alappatjoe]:[currydestroyer27]]), "TBD")</f>
        <v>1.4696938456699069</v>
      </c>
      <c r="H1021" s="227" t="s">
        <v>2126</v>
      </c>
      <c r="I1021" s="257" t="s">
        <v>2127</v>
      </c>
      <c r="J1021" s="165">
        <v>4</v>
      </c>
      <c r="K1021" s="165">
        <v>2</v>
      </c>
      <c r="L1021" s="165">
        <v>4</v>
      </c>
      <c r="M1021" s="165">
        <v>5</v>
      </c>
      <c r="N1021" s="165">
        <v>1</v>
      </c>
      <c r="O1021" s="242">
        <v>15935347</v>
      </c>
      <c r="P1021" s="237" t="s">
        <v>76</v>
      </c>
      <c r="Q1021" s="167" t="s">
        <v>99</v>
      </c>
      <c r="R10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21" s="167">
        <v>1</v>
      </c>
      <c r="T1021" s="167" t="b">
        <f>Data[[#This Row],[Day Rank]]=Data[[#This Row],[W Rank]]</f>
        <v>0</v>
      </c>
      <c r="U1021" s="324"/>
    </row>
    <row r="1022" spans="1:21" ht="15" customHeight="1">
      <c r="A1022" s="325">
        <v>45826</v>
      </c>
      <c r="B1022" s="325"/>
      <c r="C1022" s="338" t="str" cm="1">
        <f t="array" ref="C1022">_xlfn.LET(_xlpm.matches, _xlfn._xlws.FILTER(Data[Poster], (Data[Date]=A1022)*(Data[Winner]=TRUE)), IF(ROWS(_xlpm.matches)&gt;1, "TIE", _xlpm.matches))</f>
        <v>currydestroyer27</v>
      </c>
      <c r="D1022" s="147">
        <f>A1022</f>
        <v>45826</v>
      </c>
      <c r="E1022" s="181" t="str">
        <f>$J$1</f>
        <v>alappatjoe</v>
      </c>
      <c r="F1022" s="9">
        <f>IFERROR(AVERAGE(Data[[#This Row],[alappatjoe]:[currydestroyer27]]), "TBD")</f>
        <v>3.2</v>
      </c>
      <c r="G1022" s="178">
        <f>IFERROR(_xlfn.STDEV.P(Data[[#This Row],[alappatjoe]:[currydestroyer27]]), "TBD")</f>
        <v>1.4696938456699069</v>
      </c>
      <c r="H1022" s="160" t="s">
        <v>2128</v>
      </c>
      <c r="I1022" s="186" t="s">
        <v>2129</v>
      </c>
      <c r="J1022" s="9">
        <v>2</v>
      </c>
      <c r="K1022" s="9">
        <v>5</v>
      </c>
      <c r="L1022" s="9">
        <v>2</v>
      </c>
      <c r="M1022" s="9">
        <v>2</v>
      </c>
      <c r="N1022" s="9">
        <v>5</v>
      </c>
      <c r="O1022" s="238">
        <v>8643419</v>
      </c>
      <c r="P1022" s="234"/>
      <c r="Q1022" s="93"/>
      <c r="R10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22" s="93">
        <v>1</v>
      </c>
      <c r="T1022" s="93" t="b">
        <f>Data[[#This Row],[Day Rank]]=Data[[#This Row],[W Rank]]</f>
        <v>0</v>
      </c>
      <c r="U1022" s="331"/>
    </row>
    <row r="1023" spans="1:21" ht="15" customHeight="1">
      <c r="A1023" s="326"/>
      <c r="B1023" s="326"/>
      <c r="C1023" s="339"/>
      <c r="D1023" s="81">
        <f>D1022</f>
        <v>45826</v>
      </c>
      <c r="E1023" s="140" t="str">
        <f>$K$1</f>
        <v>danram</v>
      </c>
      <c r="F1023" s="8">
        <f>IFERROR(AVERAGE(Data[[#This Row],[alappatjoe]:[currydestroyer27]]), "TBD")</f>
        <v>3.8</v>
      </c>
      <c r="G1023" s="177">
        <f>IFERROR(_xlfn.STDEV.P(Data[[#This Row],[alappatjoe]:[currydestroyer27]]), "TBD")</f>
        <v>0.74833147735478833</v>
      </c>
      <c r="H1023" s="135" t="s">
        <v>2130</v>
      </c>
      <c r="I1023" s="229" t="s">
        <v>2131</v>
      </c>
      <c r="J1023" s="8">
        <v>3</v>
      </c>
      <c r="K1023" s="8">
        <v>3</v>
      </c>
      <c r="L1023" s="8">
        <v>4</v>
      </c>
      <c r="M1023" s="8">
        <v>5</v>
      </c>
      <c r="N1023" s="8">
        <v>4</v>
      </c>
      <c r="O1023" s="238"/>
      <c r="P1023" s="234"/>
      <c r="Q1023" s="93"/>
      <c r="R10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23" s="93">
        <v>1</v>
      </c>
      <c r="T1023" s="93" t="b">
        <f>Data[[#This Row],[Day Rank]]=Data[[#This Row],[W Rank]]</f>
        <v>0</v>
      </c>
      <c r="U1023" s="323"/>
    </row>
    <row r="1024" spans="1:21" ht="15" customHeight="1">
      <c r="A1024" s="326"/>
      <c r="B1024" s="326"/>
      <c r="C1024" s="339"/>
      <c r="D1024" s="81">
        <f>D1022</f>
        <v>45826</v>
      </c>
      <c r="E1024" s="140" t="str">
        <f>$L$1</f>
        <v>loganworsdell</v>
      </c>
      <c r="F1024" s="8">
        <f>IFERROR(AVERAGE(Data[[#This Row],[alappatjoe]:[currydestroyer27]]), "TBD")</f>
        <v>2.6</v>
      </c>
      <c r="G1024" s="177">
        <f>IFERROR(_xlfn.STDEV.P(Data[[#This Row],[alappatjoe]:[currydestroyer27]]), "TBD")</f>
        <v>1.019803902718557</v>
      </c>
      <c r="H1024" s="135" t="s">
        <v>2132</v>
      </c>
      <c r="I1024" s="229" t="s">
        <v>2133</v>
      </c>
      <c r="J1024" s="8">
        <v>4</v>
      </c>
      <c r="K1024" s="8">
        <v>1</v>
      </c>
      <c r="L1024" s="8">
        <v>3</v>
      </c>
      <c r="M1024" s="8">
        <v>3</v>
      </c>
      <c r="N1024" s="8">
        <v>2</v>
      </c>
      <c r="O1024" s="238">
        <v>2177635</v>
      </c>
      <c r="P1024" s="234"/>
      <c r="Q1024" s="93"/>
      <c r="R10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24" s="93">
        <v>1</v>
      </c>
      <c r="T1024" s="93" t="b">
        <f>Data[[#This Row],[Day Rank]]=Data[[#This Row],[W Rank]]</f>
        <v>0</v>
      </c>
      <c r="U1024" s="323"/>
    </row>
    <row r="1025" spans="1:21" ht="15" customHeight="1">
      <c r="A1025" s="326"/>
      <c r="B1025" s="326"/>
      <c r="C1025" s="339"/>
      <c r="D1025" s="81">
        <f>D1022</f>
        <v>45826</v>
      </c>
      <c r="E1025" s="140" t="str">
        <f>$M$1</f>
        <v>samuelbattista</v>
      </c>
      <c r="F1025" s="8">
        <f>IFERROR(AVERAGE(Data[[#This Row],[alappatjoe]:[currydestroyer27]]), "TBD")</f>
        <v>3.6</v>
      </c>
      <c r="G1025" s="177">
        <f>IFERROR(_xlfn.STDEV.P(Data[[#This Row],[alappatjoe]:[currydestroyer27]]), "TBD")</f>
        <v>1.4966629547095767</v>
      </c>
      <c r="H1025" s="245" t="s">
        <v>1607</v>
      </c>
      <c r="I1025" s="229" t="s">
        <v>574</v>
      </c>
      <c r="J1025" s="8">
        <v>5</v>
      </c>
      <c r="K1025" s="8">
        <v>4</v>
      </c>
      <c r="L1025" s="8">
        <v>5</v>
      </c>
      <c r="M1025" s="8">
        <v>1</v>
      </c>
      <c r="N1025" s="8">
        <v>3</v>
      </c>
      <c r="O1025" s="238"/>
      <c r="P1025" s="234"/>
      <c r="Q1025" s="93"/>
      <c r="R10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25" s="93">
        <v>1</v>
      </c>
      <c r="T1025" s="93" t="b">
        <f>Data[[#This Row],[Day Rank]]=Data[[#This Row],[W Rank]]</f>
        <v>0</v>
      </c>
      <c r="U1025" s="323"/>
    </row>
    <row r="1026" spans="1:21" ht="15" customHeight="1" thickBot="1">
      <c r="A1026" s="327"/>
      <c r="B1026" s="327"/>
      <c r="C1026" s="340"/>
      <c r="D1026" s="164">
        <f>D1022</f>
        <v>45826</v>
      </c>
      <c r="E1026" s="215" t="str">
        <f>$N$1</f>
        <v>currydestroyer27</v>
      </c>
      <c r="F1026" s="165">
        <f>IFERROR(AVERAGE(Data[[#This Row],[alappatjoe]:[currydestroyer27]]), "TBD")</f>
        <v>1.8</v>
      </c>
      <c r="G1026" s="256">
        <f>IFERROR(_xlfn.STDEV.P(Data[[#This Row],[alappatjoe]:[currydestroyer27]]), "TBD")</f>
        <v>1.1661903789690602</v>
      </c>
      <c r="H1026" s="227" t="s">
        <v>2134</v>
      </c>
      <c r="I1026" s="257" t="s">
        <v>263</v>
      </c>
      <c r="J1026" s="165">
        <v>1</v>
      </c>
      <c r="K1026" s="165">
        <v>2</v>
      </c>
      <c r="L1026" s="165">
        <v>1</v>
      </c>
      <c r="M1026" s="165">
        <v>4</v>
      </c>
      <c r="N1026" s="165">
        <v>1</v>
      </c>
      <c r="O1026" s="242">
        <v>279132741</v>
      </c>
      <c r="P1026" s="237" t="s">
        <v>76</v>
      </c>
      <c r="Q1026" s="167" t="s">
        <v>99</v>
      </c>
      <c r="R10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26" s="167">
        <v>1</v>
      </c>
      <c r="T1026" s="167" t="b">
        <f>Data[[#This Row],[Day Rank]]=Data[[#This Row],[W Rank]]</f>
        <v>1</v>
      </c>
      <c r="U1026" s="324"/>
    </row>
    <row r="1027" spans="1:21" ht="15" customHeight="1">
      <c r="A1027" s="325">
        <v>45827</v>
      </c>
      <c r="B1027" s="325"/>
      <c r="C1027" s="328" t="str" cm="1">
        <f t="array" ref="C1027">_xlfn.LET(_xlpm.matches, _xlfn._xlws.FILTER(Data[Poster], (Data[Date]=A1027)*(Data[Winner]=TRUE)), IF(ROWS(_xlpm.matches)&gt;1, "TIE", _xlpm.matches))</f>
        <v>currydestroyer27</v>
      </c>
      <c r="D1027" s="147">
        <f>A1027</f>
        <v>45827</v>
      </c>
      <c r="E1027" s="181" t="str">
        <f>$J$1</f>
        <v>alappatjoe</v>
      </c>
      <c r="F1027" s="9">
        <f>IFERROR(AVERAGE(Data[[#This Row],[alappatjoe]:[currydestroyer27]]), "TBD")</f>
        <v>2.8</v>
      </c>
      <c r="G1027" s="178">
        <f>IFERROR(_xlfn.STDEV.P(Data[[#This Row],[alappatjoe]:[currydestroyer27]]), "TBD")</f>
        <v>1.1661903789690602</v>
      </c>
      <c r="H1027" s="160" t="s">
        <v>2135</v>
      </c>
      <c r="I1027" s="186" t="s">
        <v>2136</v>
      </c>
      <c r="J1027" s="9">
        <v>1</v>
      </c>
      <c r="K1027" s="9">
        <v>4</v>
      </c>
      <c r="L1027" s="9">
        <v>3</v>
      </c>
      <c r="M1027" s="9">
        <v>4</v>
      </c>
      <c r="N1027" s="9">
        <v>2</v>
      </c>
      <c r="O1027" s="238">
        <v>79970504</v>
      </c>
      <c r="P1027" s="234"/>
      <c r="Q1027" s="93"/>
      <c r="R10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27" s="93">
        <v>1</v>
      </c>
      <c r="T1027" s="93" t="b">
        <f>Data[[#This Row],[Day Rank]]=Data[[#This Row],[W Rank]]</f>
        <v>0</v>
      </c>
      <c r="U1027" s="331" t="s">
        <v>2137</v>
      </c>
    </row>
    <row r="1028" spans="1:21" ht="15" customHeight="1">
      <c r="A1028" s="326"/>
      <c r="B1028" s="326"/>
      <c r="C1028" s="329"/>
      <c r="D1028" s="81">
        <f>D1027</f>
        <v>45827</v>
      </c>
      <c r="E1028" s="140" t="str">
        <f>$K$1</f>
        <v>danram</v>
      </c>
      <c r="F1028" s="8">
        <f>IFERROR(AVERAGE(Data[[#This Row],[alappatjoe]:[currydestroyer27]]), "TBD")</f>
        <v>5</v>
      </c>
      <c r="G1028" s="177">
        <f>IFERROR(_xlfn.STDEV.P(Data[[#This Row],[alappatjoe]:[currydestroyer27]]), "TBD")</f>
        <v>0</v>
      </c>
      <c r="H1028" s="135" t="s">
        <v>2138</v>
      </c>
      <c r="I1028" s="229" t="s">
        <v>2139</v>
      </c>
      <c r="J1028" s="8">
        <v>5</v>
      </c>
      <c r="K1028" s="8">
        <v>5</v>
      </c>
      <c r="L1028" s="8">
        <v>5</v>
      </c>
      <c r="M1028" s="8">
        <v>5</v>
      </c>
      <c r="N1028" s="8">
        <v>5</v>
      </c>
      <c r="O1028" s="238"/>
      <c r="P1028" s="234"/>
      <c r="Q1028" s="93"/>
      <c r="R10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28" s="93">
        <v>1</v>
      </c>
      <c r="T1028" s="93" t="b">
        <f>Data[[#This Row],[Day Rank]]=Data[[#This Row],[W Rank]]</f>
        <v>0</v>
      </c>
      <c r="U1028" s="323"/>
    </row>
    <row r="1029" spans="1:21" ht="15" customHeight="1">
      <c r="A1029" s="326"/>
      <c r="B1029" s="326"/>
      <c r="C1029" s="329"/>
      <c r="D1029" s="81">
        <f>D1027</f>
        <v>45827</v>
      </c>
      <c r="E1029" s="140" t="str">
        <f>$L$1</f>
        <v>loganworsdell</v>
      </c>
      <c r="F1029" s="8">
        <f>IFERROR(AVERAGE(Data[[#This Row],[alappatjoe]:[currydestroyer27]]), "TBD")</f>
        <v>3</v>
      </c>
      <c r="G1029" s="177">
        <f>IFERROR(_xlfn.STDEV.P(Data[[#This Row],[alappatjoe]:[currydestroyer27]]), "TBD")</f>
        <v>0.89442719099991586</v>
      </c>
      <c r="H1029" s="135" t="s">
        <v>2140</v>
      </c>
      <c r="I1029" s="229" t="s">
        <v>2141</v>
      </c>
      <c r="J1029" s="8">
        <v>3</v>
      </c>
      <c r="K1029" s="8">
        <v>2</v>
      </c>
      <c r="L1029" s="8">
        <v>4</v>
      </c>
      <c r="M1029" s="8">
        <v>2</v>
      </c>
      <c r="N1029" s="8">
        <v>4</v>
      </c>
      <c r="O1029" s="238">
        <v>52107462</v>
      </c>
      <c r="P1029" s="234"/>
      <c r="Q1029" s="93"/>
      <c r="R10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29" s="93">
        <v>1</v>
      </c>
      <c r="T1029" s="93" t="b">
        <f>Data[[#This Row],[Day Rank]]=Data[[#This Row],[W Rank]]</f>
        <v>0</v>
      </c>
      <c r="U1029" s="323"/>
    </row>
    <row r="1030" spans="1:21" ht="15" customHeight="1">
      <c r="A1030" s="326"/>
      <c r="B1030" s="326"/>
      <c r="C1030" s="329"/>
      <c r="D1030" s="81">
        <f>D1027</f>
        <v>45827</v>
      </c>
      <c r="E1030" s="140" t="str">
        <f>$M$1</f>
        <v>samuelbattista</v>
      </c>
      <c r="F1030" s="8">
        <f>IFERROR(AVERAGE(Data[[#This Row],[alappatjoe]:[currydestroyer27]]), "TBD")</f>
        <v>2.4</v>
      </c>
      <c r="G1030" s="177">
        <f>IFERROR(_xlfn.STDEV.P(Data[[#This Row],[alappatjoe]:[currydestroyer27]]), "TBD")</f>
        <v>1.2</v>
      </c>
      <c r="H1030" s="245" t="s">
        <v>2142</v>
      </c>
      <c r="I1030" s="229" t="s">
        <v>2143</v>
      </c>
      <c r="J1030" s="8">
        <v>4</v>
      </c>
      <c r="K1030" s="8">
        <v>3</v>
      </c>
      <c r="L1030" s="8">
        <v>1</v>
      </c>
      <c r="M1030" s="8">
        <v>1</v>
      </c>
      <c r="N1030" s="8">
        <v>3</v>
      </c>
      <c r="O1030" s="238"/>
      <c r="P1030" s="234"/>
      <c r="Q1030" s="93"/>
      <c r="R10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30" s="93">
        <v>1</v>
      </c>
      <c r="T1030" s="93" t="b">
        <f>Data[[#This Row],[Day Rank]]=Data[[#This Row],[W Rank]]</f>
        <v>0</v>
      </c>
      <c r="U1030" s="323"/>
    </row>
    <row r="1031" spans="1:21" ht="15" customHeight="1" thickBot="1">
      <c r="A1031" s="327"/>
      <c r="B1031" s="327"/>
      <c r="C1031" s="330"/>
      <c r="D1031" s="164">
        <f>D1027</f>
        <v>45827</v>
      </c>
      <c r="E1031" s="215" t="str">
        <f>$N$1</f>
        <v>currydestroyer27</v>
      </c>
      <c r="F1031" s="165">
        <f>IFERROR(AVERAGE(Data[[#This Row],[alappatjoe]:[currydestroyer27]]), "TBD")</f>
        <v>1.8</v>
      </c>
      <c r="G1031" s="256">
        <f>IFERROR(_xlfn.STDEV.P(Data[[#This Row],[alappatjoe]:[currydestroyer27]]), "TBD")</f>
        <v>0.74833147735478833</v>
      </c>
      <c r="H1031" s="227" t="s">
        <v>2144</v>
      </c>
      <c r="I1031" s="257" t="s">
        <v>2145</v>
      </c>
      <c r="J1031" s="165">
        <v>2</v>
      </c>
      <c r="K1031" s="165">
        <v>1</v>
      </c>
      <c r="L1031" s="165">
        <v>2</v>
      </c>
      <c r="M1031" s="165">
        <v>3</v>
      </c>
      <c r="N1031" s="165">
        <v>1</v>
      </c>
      <c r="O1031" s="242"/>
      <c r="P1031" s="237"/>
      <c r="Q1031" s="167"/>
      <c r="R103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31" s="167">
        <v>1</v>
      </c>
      <c r="T1031" s="167" t="b">
        <f>Data[[#This Row],[Day Rank]]=Data[[#This Row],[W Rank]]</f>
        <v>1</v>
      </c>
      <c r="U1031" s="324"/>
    </row>
    <row r="1032" spans="1:21" ht="15" customHeight="1">
      <c r="A1032" s="325">
        <v>45831</v>
      </c>
      <c r="B1032" s="325"/>
      <c r="C1032" s="338" t="str" cm="1">
        <f t="array" ref="C1032">_xlfn.LET(_xlpm.matches, _xlfn._xlws.FILTER(Data[Poster], (Data[Date]=A1032)*(Data[Winner]=TRUE)), IF(ROWS(_xlpm.matches)&gt;1, "TIE", _xlpm.matches))</f>
        <v>danram</v>
      </c>
      <c r="D1032" s="147">
        <f>A1032</f>
        <v>45831</v>
      </c>
      <c r="E1032" s="181" t="str">
        <f>$J$1</f>
        <v>alappatjoe</v>
      </c>
      <c r="F1032" s="9">
        <f>IFERROR(AVERAGE(Data[[#This Row],[alappatjoe]:[currydestroyer27]]), "TBD")</f>
        <v>3</v>
      </c>
      <c r="G1032" s="178">
        <f>IFERROR(_xlfn.STDEV.P(Data[[#This Row],[alappatjoe]:[currydestroyer27]]), "TBD")</f>
        <v>1.2649110640673518</v>
      </c>
      <c r="H1032" s="160" t="s">
        <v>2146</v>
      </c>
      <c r="I1032" s="186" t="s">
        <v>2147</v>
      </c>
      <c r="J1032" s="9">
        <v>1</v>
      </c>
      <c r="K1032" s="9">
        <v>4</v>
      </c>
      <c r="L1032" s="9">
        <v>4</v>
      </c>
      <c r="M1032" s="9">
        <v>2</v>
      </c>
      <c r="N1032" s="9">
        <v>4</v>
      </c>
      <c r="O1032" s="238">
        <v>934229</v>
      </c>
      <c r="P1032" s="234"/>
      <c r="Q1032" s="93"/>
      <c r="R10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32" s="93">
        <v>1</v>
      </c>
      <c r="T1032" s="93" t="b">
        <f>Data[[#This Row],[Day Rank]]=Data[[#This Row],[W Rank]]</f>
        <v>0</v>
      </c>
      <c r="U1032" s="331"/>
    </row>
    <row r="1033" spans="1:21" ht="15" customHeight="1">
      <c r="A1033" s="326"/>
      <c r="B1033" s="326"/>
      <c r="C1033" s="339"/>
      <c r="D1033" s="81">
        <f>D1032</f>
        <v>45831</v>
      </c>
      <c r="E1033" s="140" t="str">
        <f>$K$1</f>
        <v>danram</v>
      </c>
      <c r="F1033" s="8">
        <f>IFERROR(AVERAGE(Data[[#This Row],[alappatjoe]:[currydestroyer27]]), "TBD")</f>
        <v>2.2000000000000002</v>
      </c>
      <c r="G1033" s="177">
        <f>IFERROR(_xlfn.STDEV.P(Data[[#This Row],[alappatjoe]:[currydestroyer27]]), "TBD")</f>
        <v>1.1661903789690602</v>
      </c>
      <c r="H1033" s="135" t="s">
        <v>2148</v>
      </c>
      <c r="I1033" s="229" t="s">
        <v>2149</v>
      </c>
      <c r="J1033" s="8">
        <v>3</v>
      </c>
      <c r="K1033" s="8">
        <v>1</v>
      </c>
      <c r="L1033" s="8">
        <v>1</v>
      </c>
      <c r="M1033" s="8">
        <v>4</v>
      </c>
      <c r="N1033" s="8">
        <v>2</v>
      </c>
      <c r="O1033" s="238"/>
      <c r="P1033" s="234"/>
      <c r="Q1033" s="93"/>
      <c r="R10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33" s="93">
        <v>1</v>
      </c>
      <c r="T1033" s="93" t="b">
        <f>Data[[#This Row],[Day Rank]]=Data[[#This Row],[W Rank]]</f>
        <v>1</v>
      </c>
      <c r="U1033" s="323"/>
    </row>
    <row r="1034" spans="1:21" ht="15" customHeight="1">
      <c r="A1034" s="326"/>
      <c r="B1034" s="326"/>
      <c r="C1034" s="339"/>
      <c r="D1034" s="81">
        <f>D1032</f>
        <v>45831</v>
      </c>
      <c r="E1034" s="140" t="str">
        <f>$L$1</f>
        <v>loganworsdell</v>
      </c>
      <c r="F1034" s="8">
        <f>IFERROR(AVERAGE(Data[[#This Row],[alappatjoe]:[currydestroyer27]]), "TBD")</f>
        <v>2.8</v>
      </c>
      <c r="G1034" s="177">
        <f>IFERROR(_xlfn.STDEV.P(Data[[#This Row],[alappatjoe]:[currydestroyer27]]), "TBD")</f>
        <v>0.4</v>
      </c>
      <c r="H1034" s="135" t="s">
        <v>2150</v>
      </c>
      <c r="I1034" s="229" t="s">
        <v>2151</v>
      </c>
      <c r="J1034" s="8">
        <v>2</v>
      </c>
      <c r="K1034" s="8">
        <v>3</v>
      </c>
      <c r="L1034" s="8">
        <v>3</v>
      </c>
      <c r="M1034" s="8">
        <v>3</v>
      </c>
      <c r="N1034" s="8">
        <v>3</v>
      </c>
      <c r="O1034" s="238">
        <v>15545013</v>
      </c>
      <c r="P1034" s="234"/>
      <c r="Q1034" s="93"/>
      <c r="R10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34" s="93">
        <v>1</v>
      </c>
      <c r="T1034" s="93" t="b">
        <f>Data[[#This Row],[Day Rank]]=Data[[#This Row],[W Rank]]</f>
        <v>0</v>
      </c>
      <c r="U1034" s="323"/>
    </row>
    <row r="1035" spans="1:21" ht="15" customHeight="1">
      <c r="A1035" s="326"/>
      <c r="B1035" s="326"/>
      <c r="C1035" s="339"/>
      <c r="D1035" s="81">
        <f>D1032</f>
        <v>45831</v>
      </c>
      <c r="E1035" s="140" t="str">
        <f>$M$1</f>
        <v>samuelbattista</v>
      </c>
      <c r="F1035" s="8">
        <f>IFERROR(AVERAGE(Data[[#This Row],[alappatjoe]:[currydestroyer27]]), "TBD")</f>
        <v>4.2</v>
      </c>
      <c r="G1035" s="177">
        <f>IFERROR(_xlfn.STDEV.P(Data[[#This Row],[alappatjoe]:[currydestroyer27]]), "TBD")</f>
        <v>1.6</v>
      </c>
      <c r="H1035" s="245" t="s">
        <v>2152</v>
      </c>
      <c r="I1035" s="229" t="s">
        <v>2153</v>
      </c>
      <c r="J1035" s="8">
        <v>5</v>
      </c>
      <c r="K1035" s="8">
        <v>5</v>
      </c>
      <c r="L1035" s="8">
        <v>5</v>
      </c>
      <c r="M1035" s="8">
        <v>1</v>
      </c>
      <c r="N1035" s="8">
        <v>5</v>
      </c>
      <c r="O1035" s="238"/>
      <c r="P1035" s="234"/>
      <c r="Q1035" s="93"/>
      <c r="R10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35" s="93">
        <v>1</v>
      </c>
      <c r="T1035" s="93" t="b">
        <f>Data[[#This Row],[Day Rank]]=Data[[#This Row],[W Rank]]</f>
        <v>0</v>
      </c>
      <c r="U1035" s="323"/>
    </row>
    <row r="1036" spans="1:21" ht="15" customHeight="1" thickBot="1">
      <c r="A1036" s="327"/>
      <c r="B1036" s="327"/>
      <c r="C1036" s="340"/>
      <c r="D1036" s="164">
        <f>D1032</f>
        <v>45831</v>
      </c>
      <c r="E1036" s="215" t="str">
        <f>$N$1</f>
        <v>currydestroyer27</v>
      </c>
      <c r="F1036" s="165">
        <f>IFERROR(AVERAGE(Data[[#This Row],[alappatjoe]:[currydestroyer27]]), "TBD")</f>
        <v>2.8</v>
      </c>
      <c r="G1036" s="256">
        <f>IFERROR(_xlfn.STDEV.P(Data[[#This Row],[alappatjoe]:[currydestroyer27]]), "TBD")</f>
        <v>1.4696938456699069</v>
      </c>
      <c r="H1036" s="227" t="s">
        <v>2154</v>
      </c>
      <c r="I1036" s="257" t="s">
        <v>2011</v>
      </c>
      <c r="J1036" s="165">
        <v>4</v>
      </c>
      <c r="K1036" s="165">
        <v>2</v>
      </c>
      <c r="L1036" s="165">
        <v>2</v>
      </c>
      <c r="M1036" s="165">
        <v>5</v>
      </c>
      <c r="N1036" s="165">
        <v>1</v>
      </c>
      <c r="O1036" s="242">
        <v>199503245</v>
      </c>
      <c r="P1036" s="237"/>
      <c r="Q1036" s="167"/>
      <c r="R103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36" s="167">
        <v>1</v>
      </c>
      <c r="T1036" s="167" t="b">
        <f>Data[[#This Row],[Day Rank]]=Data[[#This Row],[W Rank]]</f>
        <v>0</v>
      </c>
      <c r="U1036" s="324"/>
    </row>
    <row r="1037" spans="1:21" ht="15" customHeight="1">
      <c r="A1037" s="325">
        <v>45832</v>
      </c>
      <c r="B1037" s="325"/>
      <c r="C1037" s="328" t="str" cm="1">
        <f t="array" ref="C1037">_xlfn.LET(_xlpm.matches, _xlfn._xlws.FILTER(Data[Poster], (Data[Date]=A1037)*(Data[Winner]=TRUE)), IF(ROWS(_xlpm.matches)&gt;1, "TIE", _xlpm.matches))</f>
        <v>currydestroyer27</v>
      </c>
      <c r="D1037" s="147">
        <f>A1037</f>
        <v>45832</v>
      </c>
      <c r="E1037" s="181" t="str">
        <f>$J$1</f>
        <v>alappatjoe</v>
      </c>
      <c r="F1037" s="9">
        <f>IFERROR(AVERAGE(Data[[#This Row],[alappatjoe]:[currydestroyer27]]), "TBD")</f>
        <v>3.6</v>
      </c>
      <c r="G1037" s="178">
        <f>IFERROR(_xlfn.STDEV.P(Data[[#This Row],[alappatjoe]:[currydestroyer27]]), "TBD")</f>
        <v>1.4966629547095767</v>
      </c>
      <c r="H1037" s="160" t="s">
        <v>2155</v>
      </c>
      <c r="I1037" s="186" t="s">
        <v>1228</v>
      </c>
      <c r="J1037" s="9">
        <v>1</v>
      </c>
      <c r="K1037" s="9">
        <v>5</v>
      </c>
      <c r="L1037" s="9">
        <v>3</v>
      </c>
      <c r="M1037" s="9">
        <v>5</v>
      </c>
      <c r="N1037" s="9">
        <v>4</v>
      </c>
      <c r="O1037" s="238">
        <v>2486672</v>
      </c>
      <c r="P1037" s="234"/>
      <c r="Q1037" s="93"/>
      <c r="R10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37" s="93">
        <v>1</v>
      </c>
      <c r="T1037" s="93" t="b">
        <f>Data[[#This Row],[Day Rank]]=Data[[#This Row],[W Rank]]</f>
        <v>0</v>
      </c>
      <c r="U1037" s="331"/>
    </row>
    <row r="1038" spans="1:21" ht="15" customHeight="1">
      <c r="A1038" s="326"/>
      <c r="B1038" s="326"/>
      <c r="C1038" s="329"/>
      <c r="D1038" s="81">
        <f>D1037</f>
        <v>45832</v>
      </c>
      <c r="E1038" s="140" t="str">
        <f>$K$1</f>
        <v>danram</v>
      </c>
      <c r="F1038" s="8">
        <f>IFERROR(AVERAGE(Data[[#This Row],[alappatjoe]:[currydestroyer27]]), "TBD")</f>
        <v>3.6</v>
      </c>
      <c r="G1038" s="177">
        <f>IFERROR(_xlfn.STDEV.P(Data[[#This Row],[alappatjoe]:[currydestroyer27]]), "TBD")</f>
        <v>1.019803902718557</v>
      </c>
      <c r="H1038" s="135" t="s">
        <v>2156</v>
      </c>
      <c r="I1038" s="229" t="s">
        <v>2157</v>
      </c>
      <c r="J1038" s="8">
        <v>5</v>
      </c>
      <c r="K1038" s="8">
        <v>2</v>
      </c>
      <c r="L1038" s="8">
        <v>4</v>
      </c>
      <c r="M1038" s="8">
        <v>4</v>
      </c>
      <c r="N1038" s="8">
        <v>3</v>
      </c>
      <c r="O1038" s="238"/>
      <c r="P1038" s="234"/>
      <c r="Q1038" s="93"/>
      <c r="R10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38" s="93">
        <v>1</v>
      </c>
      <c r="T1038" s="93" t="b">
        <f>Data[[#This Row],[Day Rank]]=Data[[#This Row],[W Rank]]</f>
        <v>0</v>
      </c>
      <c r="U1038" s="323"/>
    </row>
    <row r="1039" spans="1:21" ht="15" customHeight="1">
      <c r="A1039" s="326"/>
      <c r="B1039" s="326"/>
      <c r="C1039" s="329"/>
      <c r="D1039" s="81">
        <f>D1037</f>
        <v>45832</v>
      </c>
      <c r="E1039" s="140" t="str">
        <f>$L$1</f>
        <v>loganworsdell</v>
      </c>
      <c r="F1039" s="8">
        <f>IFERROR(AVERAGE(Data[[#This Row],[alappatjoe]:[currydestroyer27]]), "TBD")</f>
        <v>2.8</v>
      </c>
      <c r="G1039" s="177">
        <f>IFERROR(_xlfn.STDEV.P(Data[[#This Row],[alappatjoe]:[currydestroyer27]]), "TBD")</f>
        <v>0.74833147735478833</v>
      </c>
      <c r="H1039" s="135" t="s">
        <v>2158</v>
      </c>
      <c r="I1039" s="229" t="s">
        <v>2159</v>
      </c>
      <c r="J1039" s="8">
        <v>4</v>
      </c>
      <c r="K1039" s="8">
        <v>3</v>
      </c>
      <c r="L1039" s="8">
        <v>2</v>
      </c>
      <c r="M1039" s="8">
        <v>3</v>
      </c>
      <c r="N1039" s="8">
        <v>2</v>
      </c>
      <c r="O1039" s="238">
        <v>29926163</v>
      </c>
      <c r="P1039" s="234"/>
      <c r="Q1039" s="93"/>
      <c r="R10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39" s="93">
        <v>1</v>
      </c>
      <c r="T1039" s="93" t="b">
        <f>Data[[#This Row],[Day Rank]]=Data[[#This Row],[W Rank]]</f>
        <v>0</v>
      </c>
      <c r="U1039" s="323"/>
    </row>
    <row r="1040" spans="1:21" ht="15" customHeight="1">
      <c r="A1040" s="326"/>
      <c r="B1040" s="326"/>
      <c r="C1040" s="329"/>
      <c r="D1040" s="81">
        <f>D1037</f>
        <v>45832</v>
      </c>
      <c r="E1040" s="140" t="str">
        <f>$M$1</f>
        <v>samuelbattista</v>
      </c>
      <c r="F1040" s="8">
        <f>IFERROR(AVERAGE(Data[[#This Row],[alappatjoe]:[currydestroyer27]]), "TBD")</f>
        <v>3.8</v>
      </c>
      <c r="G1040" s="177">
        <f>IFERROR(_xlfn.STDEV.P(Data[[#This Row],[alappatjoe]:[currydestroyer27]]), "TBD")</f>
        <v>1.1661903789690602</v>
      </c>
      <c r="H1040" s="245" t="s">
        <v>2160</v>
      </c>
      <c r="I1040" s="229" t="s">
        <v>2161</v>
      </c>
      <c r="J1040" s="8">
        <v>3</v>
      </c>
      <c r="K1040" s="8">
        <v>4</v>
      </c>
      <c r="L1040" s="8">
        <v>5</v>
      </c>
      <c r="M1040" s="8">
        <v>2</v>
      </c>
      <c r="N1040" s="8">
        <v>5</v>
      </c>
      <c r="O1040" s="238"/>
      <c r="P1040" s="234"/>
      <c r="Q1040" s="93"/>
      <c r="R10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40" s="93">
        <v>1</v>
      </c>
      <c r="T1040" s="93" t="b">
        <f>Data[[#This Row],[Day Rank]]=Data[[#This Row],[W Rank]]</f>
        <v>0</v>
      </c>
      <c r="U1040" s="323"/>
    </row>
    <row r="1041" spans="1:21" ht="15" customHeight="1" thickBot="1">
      <c r="A1041" s="327"/>
      <c r="B1041" s="327"/>
      <c r="C1041" s="330"/>
      <c r="D1041" s="164">
        <f>D1037</f>
        <v>45832</v>
      </c>
      <c r="E1041" s="215" t="str">
        <f>$N$1</f>
        <v>currydestroyer27</v>
      </c>
      <c r="F1041" s="165">
        <f>IFERROR(AVERAGE(Data[[#This Row],[alappatjoe]:[currydestroyer27]]), "TBD")</f>
        <v>1.2</v>
      </c>
      <c r="G1041" s="256">
        <f>IFERROR(_xlfn.STDEV.P(Data[[#This Row],[alappatjoe]:[currydestroyer27]]), "TBD")</f>
        <v>0.4</v>
      </c>
      <c r="H1041" s="227" t="s">
        <v>2162</v>
      </c>
      <c r="I1041" s="257" t="s">
        <v>2163</v>
      </c>
      <c r="J1041" s="165">
        <v>2</v>
      </c>
      <c r="K1041" s="165">
        <v>1</v>
      </c>
      <c r="L1041" s="165">
        <v>1</v>
      </c>
      <c r="M1041" s="165">
        <v>1</v>
      </c>
      <c r="N1041" s="165">
        <v>1</v>
      </c>
      <c r="O1041" s="242">
        <v>228392772</v>
      </c>
      <c r="P1041" s="237"/>
      <c r="Q1041" s="167"/>
      <c r="R104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41" s="167">
        <v>1</v>
      </c>
      <c r="T1041" s="167" t="b">
        <f>Data[[#This Row],[Day Rank]]=Data[[#This Row],[W Rank]]</f>
        <v>1</v>
      </c>
      <c r="U1041" s="324"/>
    </row>
    <row r="1042" spans="1:21" ht="15" customHeight="1">
      <c r="A1042" s="325">
        <v>45833</v>
      </c>
      <c r="B1042" s="325"/>
      <c r="C1042" s="338" t="str" cm="1">
        <f t="array" ref="C1042">_xlfn.LET(_xlpm.matches, _xlfn._xlws.FILTER(Data[Poster], (Data[Date]=A1042)*(Data[Winner]=TRUE)), IF(ROWS(_xlpm.matches)&gt;1, "TIE", _xlpm.matches))</f>
        <v>samuelbattista</v>
      </c>
      <c r="D1042" s="147">
        <f>A1042</f>
        <v>45833</v>
      </c>
      <c r="E1042" s="181" t="str">
        <f>$J$1</f>
        <v>alappatjoe</v>
      </c>
      <c r="F1042" s="9">
        <f>IFERROR(AVERAGE(Data[[#This Row],[alappatjoe]:[currydestroyer27]]), "TBD")</f>
        <v>3.6</v>
      </c>
      <c r="G1042" s="178">
        <f>IFERROR(_xlfn.STDEV.P(Data[[#This Row],[alappatjoe]:[currydestroyer27]]), "TBD")</f>
        <v>1.3564659966250536</v>
      </c>
      <c r="H1042" s="160" t="s">
        <v>2164</v>
      </c>
      <c r="I1042" s="186" t="s">
        <v>2165</v>
      </c>
      <c r="J1042" s="9">
        <v>1</v>
      </c>
      <c r="K1042" s="9">
        <v>4</v>
      </c>
      <c r="L1042" s="9">
        <v>4</v>
      </c>
      <c r="M1042" s="9">
        <v>5</v>
      </c>
      <c r="N1042" s="9">
        <v>4</v>
      </c>
      <c r="O1042" s="238">
        <v>103915562</v>
      </c>
      <c r="P1042" s="234"/>
      <c r="Q1042" s="93"/>
      <c r="R10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42" s="93">
        <v>1</v>
      </c>
      <c r="T1042" s="93" t="b">
        <f>Data[[#This Row],[Day Rank]]=Data[[#This Row],[W Rank]]</f>
        <v>0</v>
      </c>
      <c r="U1042" s="331"/>
    </row>
    <row r="1043" spans="1:21" ht="15" customHeight="1">
      <c r="A1043" s="326"/>
      <c r="B1043" s="326"/>
      <c r="C1043" s="339"/>
      <c r="D1043" s="81">
        <f>D1042</f>
        <v>45833</v>
      </c>
      <c r="E1043" s="140" t="str">
        <f>$K$1</f>
        <v>danram</v>
      </c>
      <c r="F1043" s="8">
        <f>IFERROR(AVERAGE(Data[[#This Row],[alappatjoe]:[currydestroyer27]]), "TBD")</f>
        <v>3.6</v>
      </c>
      <c r="G1043" s="177">
        <f>IFERROR(_xlfn.STDEV.P(Data[[#This Row],[alappatjoe]:[currydestroyer27]]), "TBD")</f>
        <v>1.7435595774162693</v>
      </c>
      <c r="H1043" s="135" t="s">
        <v>2166</v>
      </c>
      <c r="I1043" s="229" t="s">
        <v>2167</v>
      </c>
      <c r="J1043" s="8">
        <v>5</v>
      </c>
      <c r="K1043" s="8">
        <v>1</v>
      </c>
      <c r="L1043" s="8">
        <v>5</v>
      </c>
      <c r="M1043" s="8">
        <v>2</v>
      </c>
      <c r="N1043" s="8">
        <v>5</v>
      </c>
      <c r="O1043" s="238"/>
      <c r="P1043" s="234"/>
      <c r="Q1043" s="93"/>
      <c r="R10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43" s="93">
        <v>1</v>
      </c>
      <c r="T1043" s="93" t="b">
        <f>Data[[#This Row],[Day Rank]]=Data[[#This Row],[W Rank]]</f>
        <v>0</v>
      </c>
      <c r="U1043" s="323"/>
    </row>
    <row r="1044" spans="1:21" ht="15" customHeight="1">
      <c r="A1044" s="326"/>
      <c r="B1044" s="326"/>
      <c r="C1044" s="339"/>
      <c r="D1044" s="81">
        <f>D1042</f>
        <v>45833</v>
      </c>
      <c r="E1044" s="140" t="str">
        <f>$L$1</f>
        <v>loganworsdell</v>
      </c>
      <c r="F1044" s="8">
        <f>IFERROR(AVERAGE(Data[[#This Row],[alappatjoe]:[currydestroyer27]]), "TBD")</f>
        <v>2.6</v>
      </c>
      <c r="G1044" s="177">
        <f>IFERROR(_xlfn.STDEV.P(Data[[#This Row],[alappatjoe]:[currydestroyer27]]), "TBD")</f>
        <v>0.4898979485566356</v>
      </c>
      <c r="H1044" s="135" t="s">
        <v>2168</v>
      </c>
      <c r="I1044" s="229" t="s">
        <v>2169</v>
      </c>
      <c r="J1044" s="8">
        <v>3</v>
      </c>
      <c r="K1044" s="8">
        <v>2</v>
      </c>
      <c r="L1044" s="8">
        <v>2</v>
      </c>
      <c r="M1044" s="8">
        <v>3</v>
      </c>
      <c r="N1044" s="8">
        <v>3</v>
      </c>
      <c r="O1044" s="238">
        <v>1007106845</v>
      </c>
      <c r="P1044" s="234"/>
      <c r="Q1044" s="93"/>
      <c r="R10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44" s="93">
        <v>1</v>
      </c>
      <c r="T1044" s="93" t="b">
        <f>Data[[#This Row],[Day Rank]]=Data[[#This Row],[W Rank]]</f>
        <v>0</v>
      </c>
      <c r="U1044" s="323"/>
    </row>
    <row r="1045" spans="1:21" ht="15" customHeight="1">
      <c r="A1045" s="326"/>
      <c r="B1045" s="326"/>
      <c r="C1045" s="339"/>
      <c r="D1045" s="81">
        <f>D1042</f>
        <v>45833</v>
      </c>
      <c r="E1045" s="140" t="str">
        <f>$M$1</f>
        <v>samuelbattista</v>
      </c>
      <c r="F1045" s="8">
        <f>IFERROR(AVERAGE(Data[[#This Row],[alappatjoe]:[currydestroyer27]]), "TBD")</f>
        <v>2.2000000000000002</v>
      </c>
      <c r="G1045" s="177">
        <f>IFERROR(_xlfn.STDEV.P(Data[[#This Row],[alappatjoe]:[currydestroyer27]]), "TBD")</f>
        <v>1.1661903789690602</v>
      </c>
      <c r="H1045" s="245" t="s">
        <v>2170</v>
      </c>
      <c r="I1045" s="229" t="s">
        <v>2171</v>
      </c>
      <c r="J1045" s="8">
        <v>4</v>
      </c>
      <c r="K1045" s="8">
        <v>3</v>
      </c>
      <c r="L1045" s="8">
        <v>1</v>
      </c>
      <c r="M1045" s="8">
        <v>1</v>
      </c>
      <c r="N1045" s="8">
        <v>2</v>
      </c>
      <c r="O1045" s="238"/>
      <c r="P1045" s="234"/>
      <c r="Q1045" s="93"/>
      <c r="R10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45" s="93">
        <v>1</v>
      </c>
      <c r="T1045" s="93" t="b">
        <f>Data[[#This Row],[Day Rank]]=Data[[#This Row],[W Rank]]</f>
        <v>1</v>
      </c>
      <c r="U1045" s="323"/>
    </row>
    <row r="1046" spans="1:21" ht="15" customHeight="1" thickBot="1">
      <c r="A1046" s="327"/>
      <c r="B1046" s="327"/>
      <c r="C1046" s="340"/>
      <c r="D1046" s="164">
        <f>D1042</f>
        <v>45833</v>
      </c>
      <c r="E1046" s="215" t="str">
        <f>$N$1</f>
        <v>currydestroyer27</v>
      </c>
      <c r="F1046" s="165">
        <f>IFERROR(AVERAGE(Data[[#This Row],[alappatjoe]:[currydestroyer27]]), "TBD")</f>
        <v>3</v>
      </c>
      <c r="G1046" s="256">
        <f>IFERROR(_xlfn.STDEV.P(Data[[#This Row],[alappatjoe]:[currydestroyer27]]), "TBD")</f>
        <v>1.4142135623730951</v>
      </c>
      <c r="H1046" s="227" t="s">
        <v>2172</v>
      </c>
      <c r="I1046" s="257" t="s">
        <v>2173</v>
      </c>
      <c r="J1046" s="165">
        <v>2</v>
      </c>
      <c r="K1046" s="165">
        <v>5</v>
      </c>
      <c r="L1046" s="165">
        <v>3</v>
      </c>
      <c r="M1046" s="165">
        <v>4</v>
      </c>
      <c r="N1046" s="165">
        <v>1</v>
      </c>
      <c r="O1046" s="242">
        <v>31522871</v>
      </c>
      <c r="P1046" s="237" t="s">
        <v>76</v>
      </c>
      <c r="Q1046" s="167" t="s">
        <v>96</v>
      </c>
      <c r="R104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46" s="167">
        <v>1</v>
      </c>
      <c r="T1046" s="167" t="b">
        <f>Data[[#This Row],[Day Rank]]=Data[[#This Row],[W Rank]]</f>
        <v>0</v>
      </c>
      <c r="U1046" s="324"/>
    </row>
    <row r="1047" spans="1:21" ht="15" customHeight="1">
      <c r="A1047" s="325">
        <v>45834</v>
      </c>
      <c r="B1047" s="325"/>
      <c r="C1047" s="328" t="str" cm="1">
        <f t="array" ref="C1047">_xlfn.LET(_xlpm.matches, _xlfn._xlws.FILTER(Data[Poster], (Data[Date]=A1047)*(Data[Winner]=TRUE)), IF(ROWS(_xlpm.matches)&gt;1, "TIE", _xlpm.matches))</f>
        <v>alappatjoe</v>
      </c>
      <c r="D1047" s="147">
        <f>A1047</f>
        <v>45834</v>
      </c>
      <c r="E1047" s="181" t="str">
        <f>$J$1</f>
        <v>alappatjoe</v>
      </c>
      <c r="F1047" s="9">
        <f>IFERROR(AVERAGE(Data[[#This Row],[alappatjoe]:[currydestroyer27]]), "TBD")</f>
        <v>2</v>
      </c>
      <c r="G1047" s="178">
        <f>IFERROR(_xlfn.STDEV.P(Data[[#This Row],[alappatjoe]:[currydestroyer27]]), "TBD")</f>
        <v>1.2649110640673518</v>
      </c>
      <c r="H1047" s="160" t="s">
        <v>2174</v>
      </c>
      <c r="I1047" s="186" t="s">
        <v>2175</v>
      </c>
      <c r="J1047" s="9">
        <v>1</v>
      </c>
      <c r="K1047" s="9">
        <v>4</v>
      </c>
      <c r="L1047" s="9">
        <v>1</v>
      </c>
      <c r="M1047" s="9">
        <v>3</v>
      </c>
      <c r="N1047" s="9">
        <v>1</v>
      </c>
      <c r="O1047" s="238">
        <v>439357970</v>
      </c>
      <c r="P1047" s="234"/>
      <c r="Q1047" s="93"/>
      <c r="R10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47" s="93">
        <v>1</v>
      </c>
      <c r="T1047" s="93" t="b">
        <f>Data[[#This Row],[Day Rank]]=Data[[#This Row],[W Rank]]</f>
        <v>1</v>
      </c>
      <c r="U1047" s="331" t="s">
        <v>2176</v>
      </c>
    </row>
    <row r="1048" spans="1:21" ht="15" customHeight="1">
      <c r="A1048" s="326"/>
      <c r="B1048" s="326"/>
      <c r="C1048" s="329"/>
      <c r="D1048" s="81">
        <f>D1047</f>
        <v>45834</v>
      </c>
      <c r="E1048" s="140" t="str">
        <f>$K$1</f>
        <v>danram</v>
      </c>
      <c r="F1048" s="8">
        <f>IFERROR(AVERAGE(Data[[#This Row],[alappatjoe]:[currydestroyer27]]), "TBD")</f>
        <v>4.2</v>
      </c>
      <c r="G1048" s="177">
        <f>IFERROR(_xlfn.STDEV.P(Data[[#This Row],[alappatjoe]:[currydestroyer27]]), "TBD")</f>
        <v>0.9797958971132712</v>
      </c>
      <c r="H1048" s="135" t="s">
        <v>2177</v>
      </c>
      <c r="I1048" s="229" t="s">
        <v>2178</v>
      </c>
      <c r="J1048" s="8">
        <v>3</v>
      </c>
      <c r="K1048" s="8">
        <v>3</v>
      </c>
      <c r="L1048" s="8">
        <v>5</v>
      </c>
      <c r="M1048" s="8">
        <v>5</v>
      </c>
      <c r="N1048" s="8">
        <v>5</v>
      </c>
      <c r="O1048" s="238"/>
      <c r="P1048" s="234"/>
      <c r="Q1048" s="93"/>
      <c r="R10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48" s="93">
        <v>1</v>
      </c>
      <c r="T1048" s="93" t="b">
        <f>Data[[#This Row],[Day Rank]]=Data[[#This Row],[W Rank]]</f>
        <v>0</v>
      </c>
      <c r="U1048" s="323"/>
    </row>
    <row r="1049" spans="1:21" ht="15" customHeight="1">
      <c r="A1049" s="326"/>
      <c r="B1049" s="326"/>
      <c r="C1049" s="329"/>
      <c r="D1049" s="81">
        <f>D1047</f>
        <v>45834</v>
      </c>
      <c r="E1049" s="140" t="str">
        <f>$L$1</f>
        <v>loganworsdell</v>
      </c>
      <c r="F1049" s="8">
        <f>IFERROR(AVERAGE(Data[[#This Row],[alappatjoe]:[currydestroyer27]]), "TBD")</f>
        <v>2.2000000000000002</v>
      </c>
      <c r="G1049" s="177">
        <f>IFERROR(_xlfn.STDEV.P(Data[[#This Row],[alappatjoe]:[currydestroyer27]]), "TBD")</f>
        <v>0.9797958971132712</v>
      </c>
      <c r="H1049" s="135" t="s">
        <v>2179</v>
      </c>
      <c r="I1049" s="229" t="s">
        <v>2180</v>
      </c>
      <c r="J1049" s="8">
        <v>4</v>
      </c>
      <c r="K1049" s="8">
        <v>1</v>
      </c>
      <c r="L1049" s="8">
        <v>2</v>
      </c>
      <c r="M1049" s="8">
        <v>2</v>
      </c>
      <c r="N1049" s="8">
        <v>2</v>
      </c>
      <c r="O1049" s="238">
        <v>203387451</v>
      </c>
      <c r="P1049" s="234"/>
      <c r="Q1049" s="93"/>
      <c r="R10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49" s="93">
        <v>1</v>
      </c>
      <c r="T1049" s="93" t="b">
        <f>Data[[#This Row],[Day Rank]]=Data[[#This Row],[W Rank]]</f>
        <v>0</v>
      </c>
      <c r="U1049" s="323"/>
    </row>
    <row r="1050" spans="1:21" ht="15" customHeight="1">
      <c r="A1050" s="326"/>
      <c r="B1050" s="326"/>
      <c r="C1050" s="329"/>
      <c r="D1050" s="81">
        <f>D1047</f>
        <v>45834</v>
      </c>
      <c r="E1050" s="140" t="str">
        <f>$M$1</f>
        <v>samuelbattista</v>
      </c>
      <c r="F1050" s="8">
        <f>IFERROR(AVERAGE(Data[[#This Row],[alappatjoe]:[currydestroyer27]]), "TBD")</f>
        <v>2.4</v>
      </c>
      <c r="G1050" s="177">
        <f>IFERROR(_xlfn.STDEV.P(Data[[#This Row],[alappatjoe]:[currydestroyer27]]), "TBD")</f>
        <v>1.019803902718557</v>
      </c>
      <c r="H1050" s="245" t="s">
        <v>2181</v>
      </c>
      <c r="I1050" s="229" t="s">
        <v>2182</v>
      </c>
      <c r="J1050" s="8">
        <v>2</v>
      </c>
      <c r="K1050" s="8">
        <v>2</v>
      </c>
      <c r="L1050" s="8">
        <v>3</v>
      </c>
      <c r="M1050" s="8">
        <v>1</v>
      </c>
      <c r="N1050" s="8">
        <v>4</v>
      </c>
      <c r="O1050" s="238"/>
      <c r="P1050" s="234"/>
      <c r="Q1050" s="93"/>
      <c r="R10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50" s="93">
        <v>1</v>
      </c>
      <c r="T1050" s="93" t="b">
        <f>Data[[#This Row],[Day Rank]]=Data[[#This Row],[W Rank]]</f>
        <v>0</v>
      </c>
      <c r="U1050" s="323"/>
    </row>
    <row r="1051" spans="1:21" ht="15" customHeight="1" thickBot="1">
      <c r="A1051" s="327"/>
      <c r="B1051" s="327"/>
      <c r="C1051" s="330"/>
      <c r="D1051" s="164">
        <f>D1047</f>
        <v>45834</v>
      </c>
      <c r="E1051" s="215" t="str">
        <f>$N$1</f>
        <v>currydestroyer27</v>
      </c>
      <c r="F1051" s="165">
        <f>IFERROR(AVERAGE(Data[[#This Row],[alappatjoe]:[currydestroyer27]]), "TBD")</f>
        <v>4.2</v>
      </c>
      <c r="G1051" s="256">
        <f>IFERROR(_xlfn.STDEV.P(Data[[#This Row],[alappatjoe]:[currydestroyer27]]), "TBD")</f>
        <v>0.74833147735478833</v>
      </c>
      <c r="H1051" s="227" t="s">
        <v>2183</v>
      </c>
      <c r="I1051" s="257" t="s">
        <v>2184</v>
      </c>
      <c r="J1051" s="165">
        <v>5</v>
      </c>
      <c r="K1051" s="165">
        <v>5</v>
      </c>
      <c r="L1051" s="165">
        <v>4</v>
      </c>
      <c r="M1051" s="165">
        <v>4</v>
      </c>
      <c r="N1051" s="165">
        <v>3</v>
      </c>
      <c r="O1051" s="242">
        <v>292381578</v>
      </c>
      <c r="P1051" s="237" t="s">
        <v>76</v>
      </c>
      <c r="Q1051" s="167" t="s">
        <v>476</v>
      </c>
      <c r="R105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51" s="167">
        <v>1</v>
      </c>
      <c r="T1051" s="167" t="b">
        <f>Data[[#This Row],[Day Rank]]=Data[[#This Row],[W Rank]]</f>
        <v>0</v>
      </c>
      <c r="U1051" s="324"/>
    </row>
    <row r="1052" spans="1:21" ht="15" customHeight="1">
      <c r="A1052" s="325">
        <v>45838</v>
      </c>
      <c r="B1052" s="325"/>
      <c r="C1052" s="338" t="str" cm="1">
        <f t="array" ref="C1052">_xlfn.LET(_xlpm.matches, _xlfn._xlws.FILTER(Data[Poster], (Data[Date]=A1052)*(Data[Winner]=TRUE)), IF(ROWS(_xlpm.matches)&gt;1, "TIE", _xlpm.matches))</f>
        <v>danram</v>
      </c>
      <c r="D1052" s="147">
        <f>A1052</f>
        <v>45838</v>
      </c>
      <c r="E1052" s="181" t="str">
        <f>$J$1</f>
        <v>alappatjoe</v>
      </c>
      <c r="F1052" s="9">
        <f>IFERROR(AVERAGE(Data[[#This Row],[alappatjoe]:[currydestroyer27]]), "TBD")</f>
        <v>2.8</v>
      </c>
      <c r="G1052" s="178">
        <f>IFERROR(_xlfn.STDEV.P(Data[[#This Row],[alappatjoe]:[currydestroyer27]]), "TBD")</f>
        <v>1.3266499161421599</v>
      </c>
      <c r="H1052" s="160" t="s">
        <v>2185</v>
      </c>
      <c r="I1052" s="186" t="s">
        <v>2186</v>
      </c>
      <c r="J1052" s="9">
        <v>1</v>
      </c>
      <c r="K1052" s="9">
        <v>3</v>
      </c>
      <c r="L1052" s="9">
        <v>3</v>
      </c>
      <c r="M1052" s="9">
        <v>2</v>
      </c>
      <c r="N1052" s="9">
        <v>5</v>
      </c>
      <c r="O1052" s="238">
        <v>177981</v>
      </c>
      <c r="P1052" s="234"/>
      <c r="Q1052" s="93"/>
      <c r="R10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52" s="93">
        <v>1</v>
      </c>
      <c r="T1052" s="93" t="b">
        <f>Data[[#This Row],[Day Rank]]=Data[[#This Row],[W Rank]]</f>
        <v>0</v>
      </c>
      <c r="U1052" s="331"/>
    </row>
    <row r="1053" spans="1:21" ht="15" customHeight="1">
      <c r="A1053" s="326"/>
      <c r="B1053" s="326"/>
      <c r="C1053" s="339"/>
      <c r="D1053" s="81">
        <f>D1052</f>
        <v>45838</v>
      </c>
      <c r="E1053" s="140" t="str">
        <f>$K$1</f>
        <v>danram</v>
      </c>
      <c r="F1053" s="8">
        <f>IFERROR(AVERAGE(Data[[#This Row],[alappatjoe]:[currydestroyer27]]), "TBD")</f>
        <v>2.2000000000000002</v>
      </c>
      <c r="G1053" s="177">
        <f>IFERROR(_xlfn.STDEV.P(Data[[#This Row],[alappatjoe]:[currydestroyer27]]), "TBD")</f>
        <v>1.1661903789690602</v>
      </c>
      <c r="H1053" s="135" t="s">
        <v>2187</v>
      </c>
      <c r="I1053" s="229" t="s">
        <v>2188</v>
      </c>
      <c r="J1053" s="8">
        <v>2</v>
      </c>
      <c r="K1053" s="8">
        <v>1</v>
      </c>
      <c r="L1053" s="8">
        <v>1</v>
      </c>
      <c r="M1053" s="8">
        <v>3</v>
      </c>
      <c r="N1053" s="8">
        <v>4</v>
      </c>
      <c r="O1053" s="238"/>
      <c r="P1053" s="234"/>
      <c r="Q1053" s="93"/>
      <c r="R10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53" s="93">
        <v>1</v>
      </c>
      <c r="T1053" s="93" t="b">
        <f>Data[[#This Row],[Day Rank]]=Data[[#This Row],[W Rank]]</f>
        <v>1</v>
      </c>
      <c r="U1053" s="323"/>
    </row>
    <row r="1054" spans="1:21" ht="15" customHeight="1">
      <c r="A1054" s="326"/>
      <c r="B1054" s="326"/>
      <c r="C1054" s="339"/>
      <c r="D1054" s="81">
        <f>D1052</f>
        <v>45838</v>
      </c>
      <c r="E1054" s="140" t="str">
        <f>$L$1</f>
        <v>loganworsdell</v>
      </c>
      <c r="F1054" s="8">
        <f>IFERROR(AVERAGE(Data[[#This Row],[alappatjoe]:[currydestroyer27]]), "TBD")</f>
        <v>4.2</v>
      </c>
      <c r="G1054" s="177">
        <f>IFERROR(_xlfn.STDEV.P(Data[[#This Row],[alappatjoe]:[currydestroyer27]]), "TBD")</f>
        <v>0.9797958971132712</v>
      </c>
      <c r="H1054" s="135" t="s">
        <v>2189</v>
      </c>
      <c r="I1054" s="229" t="s">
        <v>2190</v>
      </c>
      <c r="J1054" s="8">
        <v>3</v>
      </c>
      <c r="K1054" s="8">
        <v>5</v>
      </c>
      <c r="L1054" s="8">
        <v>5</v>
      </c>
      <c r="M1054" s="8">
        <v>5</v>
      </c>
      <c r="N1054" s="8">
        <v>3</v>
      </c>
      <c r="O1054" s="238">
        <v>768664</v>
      </c>
      <c r="P1054" s="234"/>
      <c r="Q1054" s="93"/>
      <c r="R10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54" s="93">
        <v>1</v>
      </c>
      <c r="T1054" s="93" t="b">
        <f>Data[[#This Row],[Day Rank]]=Data[[#This Row],[W Rank]]</f>
        <v>0</v>
      </c>
      <c r="U1054" s="323"/>
    </row>
    <row r="1055" spans="1:21" ht="15" customHeight="1">
      <c r="A1055" s="326"/>
      <c r="B1055" s="326"/>
      <c r="C1055" s="339"/>
      <c r="D1055" s="81">
        <f>D1052</f>
        <v>45838</v>
      </c>
      <c r="E1055" s="140" t="str">
        <f>$M$1</f>
        <v>samuelbattista</v>
      </c>
      <c r="F1055" s="8">
        <f>IFERROR(AVERAGE(Data[[#This Row],[alappatjoe]:[currydestroyer27]]), "TBD")</f>
        <v>3.2</v>
      </c>
      <c r="G1055" s="177">
        <f>IFERROR(_xlfn.STDEV.P(Data[[#This Row],[alappatjoe]:[currydestroyer27]]), "TBD")</f>
        <v>1.4696938456699069</v>
      </c>
      <c r="H1055" s="245" t="s">
        <v>2191</v>
      </c>
      <c r="I1055" s="229" t="s">
        <v>2192</v>
      </c>
      <c r="J1055" s="8">
        <v>5</v>
      </c>
      <c r="K1055" s="8">
        <v>4</v>
      </c>
      <c r="L1055" s="8">
        <v>4</v>
      </c>
      <c r="M1055" s="8">
        <v>1</v>
      </c>
      <c r="N1055" s="8">
        <v>2</v>
      </c>
      <c r="O1055" s="238"/>
      <c r="P1055" s="234"/>
      <c r="Q1055" s="93"/>
      <c r="R10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55" s="93">
        <v>1</v>
      </c>
      <c r="T1055" s="93" t="b">
        <f>Data[[#This Row],[Day Rank]]=Data[[#This Row],[W Rank]]</f>
        <v>0</v>
      </c>
      <c r="U1055" s="323"/>
    </row>
    <row r="1056" spans="1:21" ht="15" customHeight="1" thickBot="1">
      <c r="A1056" s="327"/>
      <c r="B1056" s="327"/>
      <c r="C1056" s="340"/>
      <c r="D1056" s="164">
        <f>D1052</f>
        <v>45838</v>
      </c>
      <c r="E1056" s="215" t="str">
        <f>$N$1</f>
        <v>currydestroyer27</v>
      </c>
      <c r="F1056" s="165">
        <f>IFERROR(AVERAGE(Data[[#This Row],[alappatjoe]:[currydestroyer27]]), "TBD")</f>
        <v>2.6</v>
      </c>
      <c r="G1056" s="256">
        <f>IFERROR(_xlfn.STDEV.P(Data[[#This Row],[alappatjoe]:[currydestroyer27]]), "TBD")</f>
        <v>1.2</v>
      </c>
      <c r="H1056" s="227" t="s">
        <v>2193</v>
      </c>
      <c r="I1056" s="257" t="s">
        <v>1663</v>
      </c>
      <c r="J1056" s="165">
        <v>4</v>
      </c>
      <c r="K1056" s="165">
        <v>2</v>
      </c>
      <c r="L1056" s="165">
        <v>2</v>
      </c>
      <c r="M1056" s="165">
        <v>4</v>
      </c>
      <c r="N1056" s="165">
        <v>1</v>
      </c>
      <c r="O1056" s="242">
        <v>895895787</v>
      </c>
      <c r="P1056" s="237"/>
      <c r="Q1056" s="167"/>
      <c r="R105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56" s="167">
        <v>1</v>
      </c>
      <c r="T1056" s="167" t="b">
        <f>Data[[#This Row],[Day Rank]]=Data[[#This Row],[W Rank]]</f>
        <v>0</v>
      </c>
      <c r="U1056" s="324"/>
    </row>
    <row r="1057" spans="1:21" ht="15" customHeight="1">
      <c r="A1057" s="325">
        <v>45839</v>
      </c>
      <c r="B1057" s="325"/>
      <c r="C1057" s="328" t="str" cm="1">
        <f t="array" ref="C1057">_xlfn.LET(_xlpm.matches, _xlfn._xlws.FILTER(Data[Poster], (Data[Date]=A1057)*(Data[Winner]=TRUE)), IF(ROWS(_xlpm.matches)&gt;1, "TIE", _xlpm.matches))</f>
        <v>currydestroyer27</v>
      </c>
      <c r="D1057" s="147">
        <f>A1057</f>
        <v>45839</v>
      </c>
      <c r="E1057" s="181" t="str">
        <f>$J$1</f>
        <v>alappatjoe</v>
      </c>
      <c r="F1057" s="9">
        <f>IFERROR(AVERAGE(Data[[#This Row],[alappatjoe]:[currydestroyer27]]), "TBD")</f>
        <v>4.2</v>
      </c>
      <c r="G1057" s="178">
        <f>IFERROR(_xlfn.STDEV.P(Data[[#This Row],[alappatjoe]:[currydestroyer27]]), "TBD")</f>
        <v>1.6</v>
      </c>
      <c r="H1057" s="160" t="s">
        <v>2194</v>
      </c>
      <c r="I1057" s="186" t="s">
        <v>2195</v>
      </c>
      <c r="J1057" s="9">
        <v>1</v>
      </c>
      <c r="K1057" s="9">
        <v>5</v>
      </c>
      <c r="L1057" s="9">
        <v>5</v>
      </c>
      <c r="M1057" s="9">
        <v>5</v>
      </c>
      <c r="N1057" s="9">
        <v>5</v>
      </c>
      <c r="O1057" s="238">
        <v>124371</v>
      </c>
      <c r="P1057" s="234"/>
      <c r="Q1057" s="93"/>
      <c r="R10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57" s="93">
        <v>1</v>
      </c>
      <c r="T1057" s="93" t="b">
        <f>Data[[#This Row],[Day Rank]]=Data[[#This Row],[W Rank]]</f>
        <v>0</v>
      </c>
      <c r="U1057" s="331"/>
    </row>
    <row r="1058" spans="1:21" ht="15" customHeight="1">
      <c r="A1058" s="326"/>
      <c r="B1058" s="326"/>
      <c r="C1058" s="329"/>
      <c r="D1058" s="81">
        <f>D1057</f>
        <v>45839</v>
      </c>
      <c r="E1058" s="140" t="str">
        <f>$K$1</f>
        <v>danram</v>
      </c>
      <c r="F1058" s="8">
        <f>IFERROR(AVERAGE(Data[[#This Row],[alappatjoe]:[currydestroyer27]]), "TBD")</f>
        <v>2.4</v>
      </c>
      <c r="G1058" s="177">
        <f>IFERROR(_xlfn.STDEV.P(Data[[#This Row],[alappatjoe]:[currydestroyer27]]), "TBD")</f>
        <v>1.019803902718557</v>
      </c>
      <c r="H1058" s="135" t="s">
        <v>2196</v>
      </c>
      <c r="I1058" s="229" t="s">
        <v>2197</v>
      </c>
      <c r="J1058" s="8">
        <v>3</v>
      </c>
      <c r="K1058" s="8">
        <v>1</v>
      </c>
      <c r="L1058" s="8">
        <v>4</v>
      </c>
      <c r="M1058" s="8">
        <v>2</v>
      </c>
      <c r="N1058" s="8">
        <v>2</v>
      </c>
      <c r="O1058" s="238"/>
      <c r="P1058" s="234"/>
      <c r="Q1058" s="93"/>
      <c r="R10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58" s="93">
        <v>1</v>
      </c>
      <c r="T1058" s="93" t="b">
        <f>Data[[#This Row],[Day Rank]]=Data[[#This Row],[W Rank]]</f>
        <v>0</v>
      </c>
      <c r="U1058" s="323"/>
    </row>
    <row r="1059" spans="1:21" ht="15" customHeight="1">
      <c r="A1059" s="326"/>
      <c r="B1059" s="326"/>
      <c r="C1059" s="329"/>
      <c r="D1059" s="81">
        <f>D1057</f>
        <v>45839</v>
      </c>
      <c r="E1059" s="140" t="str">
        <f>$L$1</f>
        <v>loganworsdell</v>
      </c>
      <c r="F1059" s="8">
        <f>IFERROR(AVERAGE(Data[[#This Row],[alappatjoe]:[currydestroyer27]]), "TBD")</f>
        <v>3.4</v>
      </c>
      <c r="G1059" s="177">
        <f>IFERROR(_xlfn.STDEV.P(Data[[#This Row],[alappatjoe]:[currydestroyer27]]), "TBD")</f>
        <v>1.3564659966250536</v>
      </c>
      <c r="H1059" s="135" t="s">
        <v>2198</v>
      </c>
      <c r="I1059" s="229" t="s">
        <v>2199</v>
      </c>
      <c r="J1059" s="8">
        <v>5</v>
      </c>
      <c r="K1059" s="8">
        <v>4</v>
      </c>
      <c r="L1059" s="8">
        <v>1</v>
      </c>
      <c r="M1059" s="8">
        <v>4</v>
      </c>
      <c r="N1059" s="8">
        <v>3</v>
      </c>
      <c r="O1059" s="238">
        <v>18975207</v>
      </c>
      <c r="P1059" s="234"/>
      <c r="Q1059" s="93"/>
      <c r="R10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59" s="93">
        <v>1</v>
      </c>
      <c r="T1059" s="93" t="b">
        <f>Data[[#This Row],[Day Rank]]=Data[[#This Row],[W Rank]]</f>
        <v>0</v>
      </c>
      <c r="U1059" s="323"/>
    </row>
    <row r="1060" spans="1:21" ht="15" customHeight="1">
      <c r="A1060" s="326"/>
      <c r="B1060" s="326"/>
      <c r="C1060" s="329"/>
      <c r="D1060" s="81">
        <f>D1057</f>
        <v>45839</v>
      </c>
      <c r="E1060" s="140" t="str">
        <f>$M$1</f>
        <v>samuelbattista</v>
      </c>
      <c r="F1060" s="8">
        <f>IFERROR(AVERAGE(Data[[#This Row],[alappatjoe]:[currydestroyer27]]), "TBD")</f>
        <v>2.6</v>
      </c>
      <c r="G1060" s="177">
        <f>IFERROR(_xlfn.STDEV.P(Data[[#This Row],[alappatjoe]:[currydestroyer27]]), "TBD")</f>
        <v>1.2</v>
      </c>
      <c r="H1060" s="245" t="s">
        <v>2200</v>
      </c>
      <c r="I1060" s="229" t="s">
        <v>724</v>
      </c>
      <c r="J1060" s="8">
        <v>4</v>
      </c>
      <c r="K1060" s="8">
        <v>2</v>
      </c>
      <c r="L1060" s="8">
        <v>2</v>
      </c>
      <c r="M1060" s="8">
        <v>1</v>
      </c>
      <c r="N1060" s="8">
        <v>4</v>
      </c>
      <c r="O1060" s="238">
        <v>455731</v>
      </c>
      <c r="P1060" s="234"/>
      <c r="Q1060" s="93"/>
      <c r="R10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60" s="93">
        <v>1</v>
      </c>
      <c r="T1060" s="93" t="b">
        <f>Data[[#This Row],[Day Rank]]=Data[[#This Row],[W Rank]]</f>
        <v>0</v>
      </c>
      <c r="U1060" s="323"/>
    </row>
    <row r="1061" spans="1:21" ht="15" customHeight="1" thickBot="1">
      <c r="A1061" s="327"/>
      <c r="B1061" s="327"/>
      <c r="C1061" s="330"/>
      <c r="D1061" s="164">
        <f>D1057</f>
        <v>45839</v>
      </c>
      <c r="E1061" s="215" t="str">
        <f>$N$1</f>
        <v>currydestroyer27</v>
      </c>
      <c r="F1061" s="165">
        <f>IFERROR(AVERAGE(Data[[#This Row],[alappatjoe]:[currydestroyer27]]), "TBD")</f>
        <v>2.4</v>
      </c>
      <c r="G1061" s="256">
        <f>IFERROR(_xlfn.STDEV.P(Data[[#This Row],[alappatjoe]:[currydestroyer27]]), "TBD")</f>
        <v>0.8</v>
      </c>
      <c r="H1061" s="227" t="s">
        <v>2201</v>
      </c>
      <c r="I1061" s="257" t="s">
        <v>2202</v>
      </c>
      <c r="J1061" s="165">
        <v>2</v>
      </c>
      <c r="K1061" s="165">
        <v>3</v>
      </c>
      <c r="L1061" s="165">
        <v>3</v>
      </c>
      <c r="M1061" s="165">
        <v>3</v>
      </c>
      <c r="N1061" s="165">
        <v>1</v>
      </c>
      <c r="O1061" s="242">
        <v>7377900</v>
      </c>
      <c r="P1061" s="237"/>
      <c r="Q1061" s="167"/>
      <c r="R106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61" s="167">
        <v>1</v>
      </c>
      <c r="T1061" s="167" t="b">
        <f>Data[[#This Row],[Day Rank]]=Data[[#This Row],[W Rank]]</f>
        <v>1</v>
      </c>
      <c r="U1061" s="324"/>
    </row>
    <row r="1062" spans="1:21" ht="15" customHeight="1">
      <c r="A1062" s="325">
        <v>45840</v>
      </c>
      <c r="B1062" s="325"/>
      <c r="C1062" s="338" t="str" cm="1">
        <f t="array" ref="C1062">_xlfn.LET(_xlpm.matches, _xlfn._xlws.FILTER(Data[Poster], (Data[Date]=A1062)*(Data[Winner]=TRUE)), IF(ROWS(_xlpm.matches)&gt;1, "TIE", _xlpm.matches))</f>
        <v>currydestroyer27</v>
      </c>
      <c r="D1062" s="147">
        <f>A1062</f>
        <v>45840</v>
      </c>
      <c r="E1062" s="181" t="str">
        <f>$J$1</f>
        <v>alappatjoe</v>
      </c>
      <c r="F1062" s="9">
        <f>IFERROR(AVERAGE(Data[[#This Row],[alappatjoe]:[currydestroyer27]]), "TBD")</f>
        <v>2.2000000000000002</v>
      </c>
      <c r="G1062" s="178">
        <f>IFERROR(_xlfn.STDEV.P(Data[[#This Row],[alappatjoe]:[currydestroyer27]]), "TBD")</f>
        <v>0.9797958971132712</v>
      </c>
      <c r="H1062" s="160" t="s">
        <v>2203</v>
      </c>
      <c r="I1062" s="186" t="s">
        <v>2204</v>
      </c>
      <c r="J1062" s="9">
        <v>1</v>
      </c>
      <c r="K1062" s="9">
        <v>2</v>
      </c>
      <c r="L1062" s="9">
        <v>4</v>
      </c>
      <c r="M1062" s="9">
        <v>2</v>
      </c>
      <c r="N1062" s="9">
        <v>2</v>
      </c>
      <c r="O1062" s="238">
        <v>2453077</v>
      </c>
      <c r="P1062" s="234"/>
      <c r="Q1062" s="93"/>
      <c r="R10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62" s="93">
        <v>1</v>
      </c>
      <c r="T1062" s="93" t="b">
        <f>Data[[#This Row],[Day Rank]]=Data[[#This Row],[W Rank]]</f>
        <v>0</v>
      </c>
      <c r="U1062" s="331"/>
    </row>
    <row r="1063" spans="1:21" ht="15" customHeight="1">
      <c r="A1063" s="326"/>
      <c r="B1063" s="326"/>
      <c r="C1063" s="339"/>
      <c r="D1063" s="81">
        <f>D1062</f>
        <v>45840</v>
      </c>
      <c r="E1063" s="140" t="str">
        <f>$K$1</f>
        <v>danram</v>
      </c>
      <c r="F1063" s="8">
        <f>IFERROR(AVERAGE(Data[[#This Row],[alappatjoe]:[currydestroyer27]]), "TBD")</f>
        <v>4.4000000000000004</v>
      </c>
      <c r="G1063" s="177">
        <f>IFERROR(_xlfn.STDEV.P(Data[[#This Row],[alappatjoe]:[currydestroyer27]]), "TBD")</f>
        <v>0.8</v>
      </c>
      <c r="H1063" s="135" t="s">
        <v>2205</v>
      </c>
      <c r="I1063" s="229" t="s">
        <v>2206</v>
      </c>
      <c r="J1063" s="8">
        <v>3</v>
      </c>
      <c r="K1063" s="8">
        <v>5</v>
      </c>
      <c r="L1063" s="8">
        <v>5</v>
      </c>
      <c r="M1063" s="8">
        <v>4</v>
      </c>
      <c r="N1063" s="8">
        <v>5</v>
      </c>
      <c r="O1063" s="238"/>
      <c r="P1063" s="234"/>
      <c r="Q1063" s="93"/>
      <c r="R10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63" s="93">
        <v>1</v>
      </c>
      <c r="T1063" s="93" t="b">
        <f>Data[[#This Row],[Day Rank]]=Data[[#This Row],[W Rank]]</f>
        <v>0</v>
      </c>
      <c r="U1063" s="323"/>
    </row>
    <row r="1064" spans="1:21" ht="15" customHeight="1">
      <c r="A1064" s="326"/>
      <c r="B1064" s="326"/>
      <c r="C1064" s="339"/>
      <c r="D1064" s="81">
        <f>D1062</f>
        <v>45840</v>
      </c>
      <c r="E1064" s="140" t="str">
        <f>$L$1</f>
        <v>loganworsdell</v>
      </c>
      <c r="F1064" s="8">
        <f>IFERROR(AVERAGE(Data[[#This Row],[alappatjoe]:[currydestroyer27]]), "TBD")</f>
        <v>3.8</v>
      </c>
      <c r="G1064" s="177">
        <f>IFERROR(_xlfn.STDEV.P(Data[[#This Row],[alappatjoe]:[currydestroyer27]]), "TBD")</f>
        <v>1.4696938456699069</v>
      </c>
      <c r="H1064" s="135" t="s">
        <v>2207</v>
      </c>
      <c r="I1064" s="229" t="s">
        <v>2208</v>
      </c>
      <c r="J1064" s="8">
        <v>5</v>
      </c>
      <c r="K1064" s="8">
        <v>4</v>
      </c>
      <c r="L1064" s="8">
        <v>1</v>
      </c>
      <c r="M1064" s="8">
        <v>5</v>
      </c>
      <c r="N1064" s="8">
        <v>4</v>
      </c>
      <c r="O1064" s="238">
        <v>34406954</v>
      </c>
      <c r="P1064" s="234"/>
      <c r="Q1064" s="93"/>
      <c r="R10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64" s="93">
        <v>1</v>
      </c>
      <c r="T1064" s="93" t="b">
        <f>Data[[#This Row],[Day Rank]]=Data[[#This Row],[W Rank]]</f>
        <v>0</v>
      </c>
      <c r="U1064" s="323"/>
    </row>
    <row r="1065" spans="1:21" ht="15" customHeight="1">
      <c r="A1065" s="326"/>
      <c r="B1065" s="326"/>
      <c r="C1065" s="339"/>
      <c r="D1065" s="81">
        <f>D1062</f>
        <v>45840</v>
      </c>
      <c r="E1065" s="140" t="str">
        <f>$M$1</f>
        <v>samuelbattista</v>
      </c>
      <c r="F1065" s="8">
        <f>IFERROR(AVERAGE(Data[[#This Row],[alappatjoe]:[currydestroyer27]]), "TBD")</f>
        <v>2.8</v>
      </c>
      <c r="G1065" s="177">
        <f>IFERROR(_xlfn.STDEV.P(Data[[#This Row],[alappatjoe]:[currydestroyer27]]), "TBD")</f>
        <v>0.9797958971132712</v>
      </c>
      <c r="H1065" s="245" t="s">
        <v>2209</v>
      </c>
      <c r="I1065" s="229" t="s">
        <v>2210</v>
      </c>
      <c r="J1065" s="8">
        <v>4</v>
      </c>
      <c r="K1065" s="8">
        <v>3</v>
      </c>
      <c r="L1065" s="8">
        <v>3</v>
      </c>
      <c r="M1065" s="8">
        <v>1</v>
      </c>
      <c r="N1065" s="8">
        <v>3</v>
      </c>
      <c r="O1065" s="238"/>
      <c r="P1065" s="234"/>
      <c r="Q1065" s="93"/>
      <c r="R10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65" s="93">
        <v>1</v>
      </c>
      <c r="T1065" s="93" t="b">
        <f>Data[[#This Row],[Day Rank]]=Data[[#This Row],[W Rank]]</f>
        <v>0</v>
      </c>
      <c r="U1065" s="323"/>
    </row>
    <row r="1066" spans="1:21" ht="15" customHeight="1" thickBot="1">
      <c r="A1066" s="327"/>
      <c r="B1066" s="327"/>
      <c r="C1066" s="340"/>
      <c r="D1066" s="164">
        <f>D1062</f>
        <v>45840</v>
      </c>
      <c r="E1066" s="215" t="str">
        <f>$N$1</f>
        <v>currydestroyer27</v>
      </c>
      <c r="F1066" s="165">
        <f>IFERROR(AVERAGE(Data[[#This Row],[alappatjoe]:[currydestroyer27]]), "TBD")</f>
        <v>1.8</v>
      </c>
      <c r="G1066" s="256">
        <f>IFERROR(_xlfn.STDEV.P(Data[[#This Row],[alappatjoe]:[currydestroyer27]]), "TBD")</f>
        <v>0.74833147735478833</v>
      </c>
      <c r="H1066" s="227" t="s">
        <v>2211</v>
      </c>
      <c r="I1066" s="257" t="s">
        <v>2212</v>
      </c>
      <c r="J1066" s="165">
        <v>2</v>
      </c>
      <c r="K1066" s="165">
        <v>1</v>
      </c>
      <c r="L1066" s="165">
        <v>2</v>
      </c>
      <c r="M1066" s="165">
        <v>3</v>
      </c>
      <c r="N1066" s="165">
        <v>1</v>
      </c>
      <c r="O1066" s="242">
        <v>368754609</v>
      </c>
      <c r="P1066" s="237"/>
      <c r="Q1066" s="167"/>
      <c r="R106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66" s="167">
        <v>1</v>
      </c>
      <c r="T1066" s="167" t="b">
        <f>Data[[#This Row],[Day Rank]]=Data[[#This Row],[W Rank]]</f>
        <v>1</v>
      </c>
      <c r="U1066" s="324"/>
    </row>
    <row r="1067" spans="1:21" ht="15" customHeight="1">
      <c r="A1067" s="325">
        <v>45841</v>
      </c>
      <c r="B1067" s="325"/>
      <c r="C1067" s="328" t="str" cm="1">
        <f t="array" ref="C1067">_xlfn.LET(_xlpm.matches, _xlfn._xlws.FILTER(Data[Poster], (Data[Date]=A1067)*(Data[Winner]=TRUE)), IF(ROWS(_xlpm.matches)&gt;1, "TIE", _xlpm.matches))</f>
        <v>loganworsdell</v>
      </c>
      <c r="D1067" s="147">
        <f>A1067</f>
        <v>45841</v>
      </c>
      <c r="E1067" s="181" t="str">
        <f>$J$1</f>
        <v>alappatjoe</v>
      </c>
      <c r="F1067" s="9">
        <f>IFERROR(AVERAGE(Data[[#This Row],[alappatjoe]:[currydestroyer27]]), "TBD")</f>
        <v>4.2</v>
      </c>
      <c r="G1067" s="178">
        <f>IFERROR(_xlfn.STDEV.P(Data[[#This Row],[alappatjoe]:[currydestroyer27]]), "TBD")</f>
        <v>1.1661903789690602</v>
      </c>
      <c r="H1067" s="160" t="s">
        <v>2213</v>
      </c>
      <c r="I1067" s="186" t="s">
        <v>2214</v>
      </c>
      <c r="J1067" s="9">
        <v>2</v>
      </c>
      <c r="K1067" s="9">
        <v>5</v>
      </c>
      <c r="L1067" s="9">
        <v>5</v>
      </c>
      <c r="M1067" s="9">
        <v>4</v>
      </c>
      <c r="N1067" s="9">
        <v>5</v>
      </c>
      <c r="O1067" s="238">
        <v>6457888</v>
      </c>
      <c r="P1067" s="234"/>
      <c r="Q1067" s="93"/>
      <c r="R10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67" s="93">
        <v>1</v>
      </c>
      <c r="T1067" s="93" t="b">
        <f>Data[[#This Row],[Day Rank]]=Data[[#This Row],[W Rank]]</f>
        <v>0</v>
      </c>
      <c r="U1067" s="331" t="s">
        <v>2215</v>
      </c>
    </row>
    <row r="1068" spans="1:21" ht="15" customHeight="1">
      <c r="A1068" s="326"/>
      <c r="B1068" s="326"/>
      <c r="C1068" s="329"/>
      <c r="D1068" s="81">
        <f>D1067</f>
        <v>45841</v>
      </c>
      <c r="E1068" s="140" t="str">
        <f>$K$1</f>
        <v>danram</v>
      </c>
      <c r="F1068" s="8">
        <f>IFERROR(AVERAGE(Data[[#This Row],[alappatjoe]:[currydestroyer27]]), "TBD")</f>
        <v>3.8</v>
      </c>
      <c r="G1068" s="177">
        <f>IFERROR(_xlfn.STDEV.P(Data[[#This Row],[alappatjoe]:[currydestroyer27]]), "TBD")</f>
        <v>1.4696938456699069</v>
      </c>
      <c r="H1068" s="135" t="s">
        <v>2216</v>
      </c>
      <c r="I1068" s="229" t="s">
        <v>2217</v>
      </c>
      <c r="J1068" s="8">
        <v>5</v>
      </c>
      <c r="K1068" s="8">
        <v>1</v>
      </c>
      <c r="L1068" s="8">
        <v>4</v>
      </c>
      <c r="M1068" s="8">
        <v>5</v>
      </c>
      <c r="N1068" s="8">
        <v>4</v>
      </c>
      <c r="O1068" s="238"/>
      <c r="P1068" s="234"/>
      <c r="Q1068" s="93"/>
      <c r="R10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68" s="93">
        <v>1</v>
      </c>
      <c r="T1068" s="93" t="b">
        <f>Data[[#This Row],[Day Rank]]=Data[[#This Row],[W Rank]]</f>
        <v>0</v>
      </c>
      <c r="U1068" s="323"/>
    </row>
    <row r="1069" spans="1:21" ht="15" customHeight="1">
      <c r="A1069" s="326"/>
      <c r="B1069" s="326"/>
      <c r="C1069" s="329"/>
      <c r="D1069" s="81">
        <f>D1067</f>
        <v>45841</v>
      </c>
      <c r="E1069" s="140" t="str">
        <f>$L$1</f>
        <v>loganworsdell</v>
      </c>
      <c r="F1069" s="8">
        <f>IFERROR(AVERAGE(Data[[#This Row],[alappatjoe]:[currydestroyer27]]), "TBD")</f>
        <v>2</v>
      </c>
      <c r="G1069" s="177">
        <f>IFERROR(_xlfn.STDEV.P(Data[[#This Row],[alappatjoe]:[currydestroyer27]]), "TBD")</f>
        <v>0.63245553203367588</v>
      </c>
      <c r="H1069" s="135" t="s">
        <v>2218</v>
      </c>
      <c r="I1069" s="229" t="s">
        <v>1621</v>
      </c>
      <c r="J1069" s="8">
        <v>3</v>
      </c>
      <c r="K1069" s="8">
        <v>2</v>
      </c>
      <c r="L1069" s="8">
        <v>1</v>
      </c>
      <c r="M1069" s="8">
        <v>2</v>
      </c>
      <c r="N1069" s="8">
        <v>2</v>
      </c>
      <c r="O1069" s="238">
        <v>10420472</v>
      </c>
      <c r="P1069" s="234"/>
      <c r="Q1069" s="93"/>
      <c r="R10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69" s="93">
        <v>1</v>
      </c>
      <c r="T1069" s="93" t="b">
        <f>Data[[#This Row],[Day Rank]]=Data[[#This Row],[W Rank]]</f>
        <v>1</v>
      </c>
      <c r="U1069" s="323"/>
    </row>
    <row r="1070" spans="1:21" ht="15" customHeight="1">
      <c r="A1070" s="326"/>
      <c r="B1070" s="326"/>
      <c r="C1070" s="329"/>
      <c r="D1070" s="81">
        <f>D1067</f>
        <v>45841</v>
      </c>
      <c r="E1070" s="140" t="str">
        <f>$M$1</f>
        <v>samuelbattista</v>
      </c>
      <c r="F1070" s="8">
        <f>IFERROR(AVERAGE(Data[[#This Row],[alappatjoe]:[currydestroyer27]]), "TBD")</f>
        <v>2</v>
      </c>
      <c r="G1070" s="177">
        <f>IFERROR(_xlfn.STDEV.P(Data[[#This Row],[alappatjoe]:[currydestroyer27]]), "TBD")</f>
        <v>1.2649110640673518</v>
      </c>
      <c r="H1070" s="245" t="s">
        <v>2219</v>
      </c>
      <c r="I1070" s="229" t="s">
        <v>2220</v>
      </c>
      <c r="J1070" s="8">
        <v>1</v>
      </c>
      <c r="K1070" s="8">
        <v>4</v>
      </c>
      <c r="L1070" s="8">
        <v>3</v>
      </c>
      <c r="M1070" s="8">
        <v>1</v>
      </c>
      <c r="N1070" s="8">
        <v>1</v>
      </c>
      <c r="O1070" s="238"/>
      <c r="P1070" s="234"/>
      <c r="Q1070" s="93"/>
      <c r="R10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70" s="93">
        <v>1</v>
      </c>
      <c r="T1070" s="93" t="b">
        <f>Data[[#This Row],[Day Rank]]=Data[[#This Row],[W Rank]]</f>
        <v>0</v>
      </c>
      <c r="U1070" s="323"/>
    </row>
    <row r="1071" spans="1:21" ht="15" customHeight="1" thickBot="1">
      <c r="A1071" s="327"/>
      <c r="B1071" s="327"/>
      <c r="C1071" s="330"/>
      <c r="D1071" s="164">
        <f>D1067</f>
        <v>45841</v>
      </c>
      <c r="E1071" s="215" t="str">
        <f>$N$1</f>
        <v>currydestroyer27</v>
      </c>
      <c r="F1071" s="165">
        <f>IFERROR(AVERAGE(Data[[#This Row],[alappatjoe]:[currydestroyer27]]), "TBD")</f>
        <v>3</v>
      </c>
      <c r="G1071" s="256">
        <f>IFERROR(_xlfn.STDEV.P(Data[[#This Row],[alappatjoe]:[currydestroyer27]]), "TBD")</f>
        <v>0.63245553203367588</v>
      </c>
      <c r="H1071" s="227" t="s">
        <v>2221</v>
      </c>
      <c r="I1071" s="257" t="s">
        <v>1456</v>
      </c>
      <c r="J1071" s="165">
        <v>4</v>
      </c>
      <c r="K1071" s="165">
        <v>3</v>
      </c>
      <c r="L1071" s="165">
        <v>2</v>
      </c>
      <c r="M1071" s="165">
        <v>3</v>
      </c>
      <c r="N1071" s="165">
        <v>3</v>
      </c>
      <c r="O1071" s="242">
        <v>791066104</v>
      </c>
      <c r="P1071" s="237"/>
      <c r="Q1071" s="167"/>
      <c r="R107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71" s="167">
        <v>1</v>
      </c>
      <c r="T1071" s="167" t="b">
        <f>Data[[#This Row],[Day Rank]]=Data[[#This Row],[W Rank]]</f>
        <v>0</v>
      </c>
      <c r="U1071" s="324"/>
    </row>
    <row r="1072" spans="1:21" ht="15" customHeight="1">
      <c r="A1072" s="325">
        <v>45845</v>
      </c>
      <c r="B1072" s="325"/>
      <c r="C1072" s="338" t="str" cm="1">
        <f t="array" ref="C1072">_xlfn.LET(_xlpm.matches, _xlfn._xlws.FILTER(Data[Poster], (Data[Date]=A1072)*(Data[Winner]=TRUE)), IF(ROWS(_xlpm.matches)&gt;1, "TIE", _xlpm.matches))</f>
        <v>samuelbattista</v>
      </c>
      <c r="D1072" s="147">
        <f>A1072</f>
        <v>45845</v>
      </c>
      <c r="E1072" s="181" t="str">
        <f>$J$1</f>
        <v>alappatjoe</v>
      </c>
      <c r="F1072" s="9">
        <f>IFERROR(AVERAGE(Data[[#This Row],[alappatjoe]:[currydestroyer27]]), "TBD")</f>
        <v>2.6</v>
      </c>
      <c r="G1072" s="178">
        <f>IFERROR(_xlfn.STDEV.P(Data[[#This Row],[alappatjoe]:[currydestroyer27]]), "TBD")</f>
        <v>1.3564659966250536</v>
      </c>
      <c r="H1072" s="160" t="s">
        <v>2222</v>
      </c>
      <c r="I1072" s="186" t="s">
        <v>2223</v>
      </c>
      <c r="J1072" s="9">
        <v>1</v>
      </c>
      <c r="K1072" s="9">
        <v>4</v>
      </c>
      <c r="L1072" s="9">
        <v>4</v>
      </c>
      <c r="M1072" s="9">
        <v>3</v>
      </c>
      <c r="N1072" s="9">
        <v>1</v>
      </c>
      <c r="O1072" s="238">
        <v>204227731</v>
      </c>
      <c r="P1072" s="234"/>
      <c r="Q1072" s="93"/>
      <c r="R10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72" s="93">
        <v>1</v>
      </c>
      <c r="T1072" s="93" t="b">
        <f>Data[[#This Row],[Day Rank]]=Data[[#This Row],[W Rank]]</f>
        <v>0</v>
      </c>
      <c r="U1072" s="331"/>
    </row>
    <row r="1073" spans="1:21" ht="15" customHeight="1">
      <c r="A1073" s="326"/>
      <c r="B1073" s="326"/>
      <c r="C1073" s="339"/>
      <c r="D1073" s="81">
        <f>D1072</f>
        <v>45845</v>
      </c>
      <c r="E1073" s="140" t="str">
        <f>$K$1</f>
        <v>danram</v>
      </c>
      <c r="F1073" s="8">
        <f>IFERROR(AVERAGE(Data[[#This Row],[alappatjoe]:[currydestroyer27]]), "TBD")</f>
        <v>3.4</v>
      </c>
      <c r="G1073" s="177">
        <f>IFERROR(_xlfn.STDEV.P(Data[[#This Row],[alappatjoe]:[currydestroyer27]]), "TBD")</f>
        <v>1.9595917942265424</v>
      </c>
      <c r="H1073" s="135" t="s">
        <v>2224</v>
      </c>
      <c r="I1073" s="229" t="s">
        <v>2225</v>
      </c>
      <c r="J1073" s="8">
        <v>5</v>
      </c>
      <c r="K1073" s="8">
        <v>1</v>
      </c>
      <c r="L1073" s="8">
        <v>1</v>
      </c>
      <c r="M1073" s="8">
        <v>5</v>
      </c>
      <c r="N1073" s="8">
        <v>5</v>
      </c>
      <c r="O1073" s="238"/>
      <c r="P1073" s="234"/>
      <c r="Q1073" s="93"/>
      <c r="R10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73" s="93">
        <v>1</v>
      </c>
      <c r="T1073" s="93" t="b">
        <f>Data[[#This Row],[Day Rank]]=Data[[#This Row],[W Rank]]</f>
        <v>0</v>
      </c>
      <c r="U1073" s="323"/>
    </row>
    <row r="1074" spans="1:21" ht="15" customHeight="1">
      <c r="A1074" s="326"/>
      <c r="B1074" s="326"/>
      <c r="C1074" s="339"/>
      <c r="D1074" s="81">
        <f>D1072</f>
        <v>45845</v>
      </c>
      <c r="E1074" s="140" t="str">
        <f>$L$1</f>
        <v>loganworsdell</v>
      </c>
      <c r="F1074" s="8">
        <f>IFERROR(AVERAGE(Data[[#This Row],[alappatjoe]:[currydestroyer27]]), "TBD")</f>
        <v>2.8</v>
      </c>
      <c r="G1074" s="177">
        <f>IFERROR(_xlfn.STDEV.P(Data[[#This Row],[alappatjoe]:[currydestroyer27]]), "TBD")</f>
        <v>0.74833147735478833</v>
      </c>
      <c r="H1074" s="135" t="s">
        <v>2226</v>
      </c>
      <c r="I1074" s="229" t="s">
        <v>2227</v>
      </c>
      <c r="J1074" s="8">
        <v>2</v>
      </c>
      <c r="K1074" s="8">
        <v>3</v>
      </c>
      <c r="L1074" s="8">
        <v>3</v>
      </c>
      <c r="M1074" s="8">
        <v>2</v>
      </c>
      <c r="N1074" s="8">
        <v>4</v>
      </c>
      <c r="O1074" s="238">
        <v>288280</v>
      </c>
      <c r="P1074" s="234"/>
      <c r="Q1074" s="93"/>
      <c r="R10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74" s="93">
        <v>1</v>
      </c>
      <c r="T1074" s="93" t="b">
        <f>Data[[#This Row],[Day Rank]]=Data[[#This Row],[W Rank]]</f>
        <v>0</v>
      </c>
      <c r="U1074" s="323"/>
    </row>
    <row r="1075" spans="1:21" ht="15" customHeight="1">
      <c r="A1075" s="326"/>
      <c r="B1075" s="326"/>
      <c r="C1075" s="339"/>
      <c r="D1075" s="81">
        <f>D1072</f>
        <v>45845</v>
      </c>
      <c r="E1075" s="140" t="str">
        <f>$M$1</f>
        <v>samuelbattista</v>
      </c>
      <c r="F1075" s="8">
        <f>IFERROR(AVERAGE(Data[[#This Row],[alappatjoe]:[currydestroyer27]]), "TBD")</f>
        <v>2.2000000000000002</v>
      </c>
      <c r="G1075" s="177">
        <f>IFERROR(_xlfn.STDEV.P(Data[[#This Row],[alappatjoe]:[currydestroyer27]]), "TBD")</f>
        <v>0.9797958971132712</v>
      </c>
      <c r="H1075" s="245" t="s">
        <v>2228</v>
      </c>
      <c r="I1075" s="229" t="s">
        <v>868</v>
      </c>
      <c r="J1075" s="8">
        <v>4</v>
      </c>
      <c r="K1075" s="8">
        <v>2</v>
      </c>
      <c r="L1075" s="8">
        <v>2</v>
      </c>
      <c r="M1075" s="8">
        <v>1</v>
      </c>
      <c r="N1075" s="8">
        <v>2</v>
      </c>
      <c r="O1075" s="238"/>
      <c r="P1075" s="234"/>
      <c r="Q1075" s="93"/>
      <c r="R10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75" s="93">
        <v>1</v>
      </c>
      <c r="T1075" s="93" t="b">
        <f>Data[[#This Row],[Day Rank]]=Data[[#This Row],[W Rank]]</f>
        <v>1</v>
      </c>
      <c r="U1075" s="323"/>
    </row>
    <row r="1076" spans="1:21" ht="15" customHeight="1" thickBot="1">
      <c r="A1076" s="327"/>
      <c r="B1076" s="327"/>
      <c r="C1076" s="340"/>
      <c r="D1076" s="164">
        <f>D1072</f>
        <v>45845</v>
      </c>
      <c r="E1076" s="215" t="str">
        <f>$N$1</f>
        <v>currydestroyer27</v>
      </c>
      <c r="F1076" s="165">
        <f>IFERROR(AVERAGE(Data[[#This Row],[alappatjoe]:[currydestroyer27]]), "TBD")</f>
        <v>4</v>
      </c>
      <c r="G1076" s="256">
        <f>IFERROR(_xlfn.STDEV.P(Data[[#This Row],[alappatjoe]:[currydestroyer27]]), "TBD")</f>
        <v>0.89442719099991586</v>
      </c>
      <c r="H1076" s="227" t="s">
        <v>2229</v>
      </c>
      <c r="I1076" s="257" t="s">
        <v>2230</v>
      </c>
      <c r="J1076" s="165">
        <v>3</v>
      </c>
      <c r="K1076" s="165">
        <v>5</v>
      </c>
      <c r="L1076" s="165">
        <v>5</v>
      </c>
      <c r="M1076" s="165">
        <v>4</v>
      </c>
      <c r="N1076" s="165">
        <v>3</v>
      </c>
      <c r="O1076" s="242">
        <v>1223072</v>
      </c>
      <c r="P1076" s="237"/>
      <c r="Q1076" s="167"/>
      <c r="R107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76" s="167">
        <v>1</v>
      </c>
      <c r="T1076" s="167" t="b">
        <f>Data[[#This Row],[Day Rank]]=Data[[#This Row],[W Rank]]</f>
        <v>0</v>
      </c>
      <c r="U1076" s="324"/>
    </row>
    <row r="1077" spans="1:21" ht="15" customHeight="1">
      <c r="A1077" s="325">
        <v>45846</v>
      </c>
      <c r="B1077" s="325"/>
      <c r="C1077" s="328" t="str" cm="1">
        <f t="array" ref="C1077">_xlfn.LET(_xlpm.matches, _xlfn._xlws.FILTER(Data[Poster], (Data[Date]=A1077)*(Data[Winner]=TRUE)), IF(ROWS(_xlpm.matches)&gt;1, "TIE", _xlpm.matches))</f>
        <v>alappatjoe</v>
      </c>
      <c r="D1077" s="147">
        <f>A1077</f>
        <v>45846</v>
      </c>
      <c r="E1077" s="181" t="str">
        <f>$J$1</f>
        <v>alappatjoe</v>
      </c>
      <c r="F1077" s="9">
        <f>IFERROR(AVERAGE(Data[[#This Row],[alappatjoe]:[currydestroyer27]]), "TBD")</f>
        <v>1.6</v>
      </c>
      <c r="G1077" s="178">
        <f>IFERROR(_xlfn.STDEV.P(Data[[#This Row],[alappatjoe]:[currydestroyer27]]), "TBD")</f>
        <v>0.4898979485566356</v>
      </c>
      <c r="H1077" s="160" t="s">
        <v>2231</v>
      </c>
      <c r="I1077" s="186" t="s">
        <v>2232</v>
      </c>
      <c r="J1077" s="9">
        <v>1</v>
      </c>
      <c r="K1077" s="9">
        <v>2</v>
      </c>
      <c r="L1077" s="9">
        <v>1</v>
      </c>
      <c r="M1077" s="9">
        <v>2</v>
      </c>
      <c r="N1077" s="9">
        <v>2</v>
      </c>
      <c r="O1077" s="238">
        <v>806031438</v>
      </c>
      <c r="P1077" s="234"/>
      <c r="Q1077" s="93"/>
      <c r="R10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77" s="93">
        <v>1</v>
      </c>
      <c r="T1077" s="93" t="b">
        <f>Data[[#This Row],[Day Rank]]=Data[[#This Row],[W Rank]]</f>
        <v>1</v>
      </c>
      <c r="U1077" s="331"/>
    </row>
    <row r="1078" spans="1:21" ht="15" customHeight="1">
      <c r="A1078" s="326"/>
      <c r="B1078" s="326"/>
      <c r="C1078" s="329"/>
      <c r="D1078" s="81">
        <f>D1077</f>
        <v>45846</v>
      </c>
      <c r="E1078" s="140" t="str">
        <f>$K$1</f>
        <v>danram</v>
      </c>
      <c r="F1078" s="8">
        <f>IFERROR(AVERAGE(Data[[#This Row],[alappatjoe]:[currydestroyer27]]), "TBD")</f>
        <v>4</v>
      </c>
      <c r="G1078" s="177">
        <f>IFERROR(_xlfn.STDEV.P(Data[[#This Row],[alappatjoe]:[currydestroyer27]]), "TBD")</f>
        <v>0.63245553203367588</v>
      </c>
      <c r="H1078" s="135" t="s">
        <v>2233</v>
      </c>
      <c r="I1078" s="229" t="s">
        <v>2234</v>
      </c>
      <c r="J1078" s="8">
        <v>4</v>
      </c>
      <c r="K1078" s="8">
        <v>3</v>
      </c>
      <c r="L1078" s="8">
        <v>4</v>
      </c>
      <c r="M1078" s="8">
        <v>5</v>
      </c>
      <c r="N1078" s="8">
        <v>4</v>
      </c>
      <c r="O1078" s="238"/>
      <c r="P1078" s="234"/>
      <c r="Q1078" s="93"/>
      <c r="R10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78" s="93">
        <v>1</v>
      </c>
      <c r="T1078" s="93" t="b">
        <f>Data[[#This Row],[Day Rank]]=Data[[#This Row],[W Rank]]</f>
        <v>0</v>
      </c>
      <c r="U1078" s="323"/>
    </row>
    <row r="1079" spans="1:21" ht="15" customHeight="1">
      <c r="A1079" s="326"/>
      <c r="B1079" s="326"/>
      <c r="C1079" s="329"/>
      <c r="D1079" s="81">
        <f>D1077</f>
        <v>45846</v>
      </c>
      <c r="E1079" s="140" t="str">
        <f>$L$1</f>
        <v>loganworsdell</v>
      </c>
      <c r="F1079" s="8">
        <f>IFERROR(AVERAGE(Data[[#This Row],[alappatjoe]:[currydestroyer27]]), "TBD")</f>
        <v>3</v>
      </c>
      <c r="G1079" s="177">
        <f>IFERROR(_xlfn.STDEV.P(Data[[#This Row],[alappatjoe]:[currydestroyer27]]), "TBD")</f>
        <v>1.4142135623730951</v>
      </c>
      <c r="H1079" s="135" t="s">
        <v>2235</v>
      </c>
      <c r="I1079" s="229" t="s">
        <v>2236</v>
      </c>
      <c r="J1079" s="8">
        <v>3</v>
      </c>
      <c r="K1079" s="8">
        <v>5</v>
      </c>
      <c r="L1079" s="8">
        <v>2</v>
      </c>
      <c r="M1079" s="8">
        <v>4</v>
      </c>
      <c r="N1079" s="8">
        <v>1</v>
      </c>
      <c r="O1079" s="238">
        <v>76810663</v>
      </c>
      <c r="P1079" s="234"/>
      <c r="Q1079" s="93"/>
      <c r="R10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79" s="93">
        <v>1</v>
      </c>
      <c r="T1079" s="93" t="b">
        <f>Data[[#This Row],[Day Rank]]=Data[[#This Row],[W Rank]]</f>
        <v>0</v>
      </c>
      <c r="U1079" s="323"/>
    </row>
    <row r="1080" spans="1:21" ht="15" customHeight="1">
      <c r="A1080" s="326"/>
      <c r="B1080" s="326"/>
      <c r="C1080" s="329"/>
      <c r="D1080" s="81">
        <f>D1077</f>
        <v>45846</v>
      </c>
      <c r="E1080" s="140" t="str">
        <f>$M$1</f>
        <v>samuelbattista</v>
      </c>
      <c r="F1080" s="8">
        <f>IFERROR(AVERAGE(Data[[#This Row],[alappatjoe]:[currydestroyer27]]), "TBD")</f>
        <v>2.4</v>
      </c>
      <c r="G1080" s="177">
        <f>IFERROR(_xlfn.STDEV.P(Data[[#This Row],[alappatjoe]:[currydestroyer27]]), "TBD")</f>
        <v>1.4966629547095767</v>
      </c>
      <c r="H1080" s="245" t="s">
        <v>2237</v>
      </c>
      <c r="I1080" s="229" t="s">
        <v>2020</v>
      </c>
      <c r="J1080" s="8">
        <v>2</v>
      </c>
      <c r="K1080" s="8">
        <v>1</v>
      </c>
      <c r="L1080" s="8">
        <v>3</v>
      </c>
      <c r="M1080" s="8">
        <v>1</v>
      </c>
      <c r="N1080" s="8">
        <v>5</v>
      </c>
      <c r="O1080" s="238"/>
      <c r="P1080" s="234"/>
      <c r="Q1080" s="93"/>
      <c r="R10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80" s="93">
        <v>1</v>
      </c>
      <c r="T1080" s="93" t="b">
        <f>Data[[#This Row],[Day Rank]]=Data[[#This Row],[W Rank]]</f>
        <v>0</v>
      </c>
      <c r="U1080" s="323"/>
    </row>
    <row r="1081" spans="1:21" ht="15" customHeight="1" thickBot="1">
      <c r="A1081" s="327"/>
      <c r="B1081" s="327"/>
      <c r="C1081" s="330"/>
      <c r="D1081" s="164">
        <f>D1077</f>
        <v>45846</v>
      </c>
      <c r="E1081" s="215" t="str">
        <f>$N$1</f>
        <v>currydestroyer27</v>
      </c>
      <c r="F1081" s="165">
        <f>IFERROR(AVERAGE(Data[[#This Row],[alappatjoe]:[currydestroyer27]]), "TBD")</f>
        <v>4</v>
      </c>
      <c r="G1081" s="256">
        <f>IFERROR(_xlfn.STDEV.P(Data[[#This Row],[alappatjoe]:[currydestroyer27]]), "TBD")</f>
        <v>0.89442719099991586</v>
      </c>
      <c r="H1081" s="227" t="s">
        <v>2238</v>
      </c>
      <c r="I1081" s="257" t="s">
        <v>2239</v>
      </c>
      <c r="J1081" s="165">
        <v>5</v>
      </c>
      <c r="K1081" s="165">
        <v>4</v>
      </c>
      <c r="L1081" s="165">
        <v>5</v>
      </c>
      <c r="M1081" s="165">
        <v>3</v>
      </c>
      <c r="N1081" s="165">
        <v>3</v>
      </c>
      <c r="O1081" s="242">
        <v>2649298</v>
      </c>
      <c r="P1081" s="237"/>
      <c r="Q1081" s="167"/>
      <c r="R108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81" s="167">
        <v>1</v>
      </c>
      <c r="T1081" s="167" t="b">
        <f>Data[[#This Row],[Day Rank]]=Data[[#This Row],[W Rank]]</f>
        <v>0</v>
      </c>
      <c r="U1081" s="324"/>
    </row>
    <row r="1082" spans="1:21" ht="15" customHeight="1">
      <c r="A1082" s="325">
        <v>45847</v>
      </c>
      <c r="B1082" s="325"/>
      <c r="C1082" s="338" t="str" cm="1">
        <f t="array" ref="C1082">_xlfn.LET(_xlpm.matches, _xlfn._xlws.FILTER(Data[Poster], (Data[Date]=A1082)*(Data[Winner]=TRUE)), IF(ROWS(_xlpm.matches)&gt;1, "TIE", _xlpm.matches))</f>
        <v>danram</v>
      </c>
      <c r="D1082" s="147">
        <f>A1082</f>
        <v>45847</v>
      </c>
      <c r="E1082" s="181" t="str">
        <f>$J$1</f>
        <v>alappatjoe</v>
      </c>
      <c r="F1082" s="9">
        <f>IFERROR(AVERAGE(Data[[#This Row],[alappatjoe]:[currydestroyer27]]), "TBD")</f>
        <v>3.2</v>
      </c>
      <c r="G1082" s="178">
        <f>IFERROR(_xlfn.STDEV.P(Data[[#This Row],[alappatjoe]:[currydestroyer27]]), "TBD")</f>
        <v>1.4696938456699069</v>
      </c>
      <c r="H1082" s="160" t="s">
        <v>2240</v>
      </c>
      <c r="I1082" s="186" t="s">
        <v>2241</v>
      </c>
      <c r="J1082" s="9">
        <v>1</v>
      </c>
      <c r="K1082" s="9">
        <v>4</v>
      </c>
      <c r="L1082" s="9">
        <v>5</v>
      </c>
      <c r="M1082" s="9">
        <v>4</v>
      </c>
      <c r="N1082" s="9">
        <v>2</v>
      </c>
      <c r="O1082" s="238"/>
      <c r="P1082" s="234"/>
      <c r="Q1082" s="93"/>
      <c r="R10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82" s="93">
        <v>1</v>
      </c>
      <c r="T1082" s="93" t="b">
        <f>Data[[#This Row],[Day Rank]]=Data[[#This Row],[W Rank]]</f>
        <v>0</v>
      </c>
      <c r="U1082" s="331"/>
    </row>
    <row r="1083" spans="1:21" ht="15" customHeight="1">
      <c r="A1083" s="326"/>
      <c r="B1083" s="326"/>
      <c r="C1083" s="339"/>
      <c r="D1083" s="81">
        <f>D1082</f>
        <v>45847</v>
      </c>
      <c r="E1083" s="140" t="str">
        <f>$K$1</f>
        <v>danram</v>
      </c>
      <c r="F1083" s="8">
        <f>IFERROR(AVERAGE(Data[[#This Row],[alappatjoe]:[currydestroyer27]]), "TBD")</f>
        <v>2.8</v>
      </c>
      <c r="G1083" s="177">
        <f>IFERROR(_xlfn.STDEV.P(Data[[#This Row],[alappatjoe]:[currydestroyer27]]), "TBD")</f>
        <v>1.1661903789690602</v>
      </c>
      <c r="H1083" s="135" t="s">
        <v>2242</v>
      </c>
      <c r="I1083" s="229" t="s">
        <v>2243</v>
      </c>
      <c r="J1083" s="8">
        <v>4</v>
      </c>
      <c r="K1083" s="8">
        <v>1</v>
      </c>
      <c r="L1083" s="8">
        <v>3</v>
      </c>
      <c r="M1083" s="8">
        <v>2</v>
      </c>
      <c r="N1083" s="8">
        <v>4</v>
      </c>
      <c r="O1083" s="238"/>
      <c r="P1083" s="234"/>
      <c r="Q1083" s="93"/>
      <c r="R10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83" s="93">
        <v>1</v>
      </c>
      <c r="T1083" s="93" t="b">
        <f>Data[[#This Row],[Day Rank]]=Data[[#This Row],[W Rank]]</f>
        <v>1</v>
      </c>
      <c r="U1083" s="323"/>
    </row>
    <row r="1084" spans="1:21" ht="15" customHeight="1">
      <c r="A1084" s="326"/>
      <c r="B1084" s="326"/>
      <c r="C1084" s="339"/>
      <c r="D1084" s="81">
        <f>D1082</f>
        <v>45847</v>
      </c>
      <c r="E1084" s="140" t="str">
        <f>$L$1</f>
        <v>loganworsdell</v>
      </c>
      <c r="F1084" s="8">
        <f>IFERROR(AVERAGE(Data[[#This Row],[alappatjoe]:[currydestroyer27]]), "TBD")</f>
        <v>3.4</v>
      </c>
      <c r="G1084" s="177">
        <f>IFERROR(_xlfn.STDEV.P(Data[[#This Row],[alappatjoe]:[currydestroyer27]]), "TBD")</f>
        <v>1.4966629547095767</v>
      </c>
      <c r="H1084" s="135" t="s">
        <v>2244</v>
      </c>
      <c r="I1084" s="229" t="s">
        <v>2245</v>
      </c>
      <c r="J1084" s="8">
        <v>5</v>
      </c>
      <c r="K1084" s="8">
        <v>3</v>
      </c>
      <c r="L1084" s="8">
        <v>1</v>
      </c>
      <c r="M1084" s="8">
        <v>5</v>
      </c>
      <c r="N1084" s="8">
        <v>3</v>
      </c>
      <c r="O1084" s="238">
        <v>23824322</v>
      </c>
      <c r="P1084" s="234"/>
      <c r="Q1084" s="93"/>
      <c r="R10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84" s="93">
        <v>1</v>
      </c>
      <c r="T1084" s="93" t="b">
        <f>Data[[#This Row],[Day Rank]]=Data[[#This Row],[W Rank]]</f>
        <v>0</v>
      </c>
      <c r="U1084" s="323"/>
    </row>
    <row r="1085" spans="1:21" ht="15" customHeight="1">
      <c r="A1085" s="326"/>
      <c r="B1085" s="326"/>
      <c r="C1085" s="339"/>
      <c r="D1085" s="81">
        <f>D1082</f>
        <v>45847</v>
      </c>
      <c r="E1085" s="140" t="str">
        <f>$M$1</f>
        <v>samuelbattista</v>
      </c>
      <c r="F1085" s="8">
        <f>IFERROR(AVERAGE(Data[[#This Row],[alappatjoe]:[currydestroyer27]]), "TBD")</f>
        <v>2.8</v>
      </c>
      <c r="G1085" s="177">
        <f>IFERROR(_xlfn.STDEV.P(Data[[#This Row],[alappatjoe]:[currydestroyer27]]), "TBD")</f>
        <v>1.4696938456699069</v>
      </c>
      <c r="H1085" s="245" t="s">
        <v>2246</v>
      </c>
      <c r="I1085" s="229" t="s">
        <v>2247</v>
      </c>
      <c r="J1085" s="8">
        <v>2</v>
      </c>
      <c r="K1085" s="8">
        <v>2</v>
      </c>
      <c r="L1085" s="8">
        <v>4</v>
      </c>
      <c r="M1085" s="8">
        <v>1</v>
      </c>
      <c r="N1085" s="8">
        <v>5</v>
      </c>
      <c r="O1085" s="238"/>
      <c r="P1085" s="234"/>
      <c r="Q1085" s="93"/>
      <c r="R10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85" s="93">
        <v>1</v>
      </c>
      <c r="T1085" s="93" t="b">
        <f>Data[[#This Row],[Day Rank]]=Data[[#This Row],[W Rank]]</f>
        <v>0</v>
      </c>
      <c r="U1085" s="323"/>
    </row>
    <row r="1086" spans="1:21" ht="15" customHeight="1" thickBot="1">
      <c r="A1086" s="327"/>
      <c r="B1086" s="327"/>
      <c r="C1086" s="340"/>
      <c r="D1086" s="164">
        <f>D1082</f>
        <v>45847</v>
      </c>
      <c r="E1086" s="215" t="str">
        <f>$N$1</f>
        <v>currydestroyer27</v>
      </c>
      <c r="F1086" s="165">
        <f>IFERROR(AVERAGE(Data[[#This Row],[alappatjoe]:[currydestroyer27]]), "TBD")</f>
        <v>2.8</v>
      </c>
      <c r="G1086" s="256">
        <f>IFERROR(_xlfn.STDEV.P(Data[[#This Row],[alappatjoe]:[currydestroyer27]]), "TBD")</f>
        <v>1.3266499161421599</v>
      </c>
      <c r="H1086" s="227" t="s">
        <v>2248</v>
      </c>
      <c r="I1086" s="257" t="s">
        <v>2249</v>
      </c>
      <c r="J1086" s="165">
        <v>3</v>
      </c>
      <c r="K1086" s="165">
        <v>5</v>
      </c>
      <c r="L1086" s="165">
        <v>2</v>
      </c>
      <c r="M1086" s="165">
        <v>3</v>
      </c>
      <c r="N1086" s="165">
        <v>1</v>
      </c>
      <c r="O1086" s="242">
        <v>75861060</v>
      </c>
      <c r="P1086" s="237"/>
      <c r="Q1086" s="167"/>
      <c r="R108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86" s="167">
        <v>1</v>
      </c>
      <c r="T1086" s="167" t="b">
        <f>Data[[#This Row],[Day Rank]]=Data[[#This Row],[W Rank]]</f>
        <v>0</v>
      </c>
      <c r="U1086" s="324"/>
    </row>
    <row r="1087" spans="1:21" ht="15" customHeight="1">
      <c r="A1087" s="325">
        <v>45848</v>
      </c>
      <c r="B1087" s="325"/>
      <c r="C1087" s="328" t="str" cm="1">
        <f t="array" ref="C1087">_xlfn.LET(_xlpm.matches, _xlfn._xlws.FILTER(Data[Poster], (Data[Date]=A1087)*(Data[Winner]=TRUE)), IF(ROWS(_xlpm.matches)&gt;1, "TIE", _xlpm.matches))</f>
        <v>danram</v>
      </c>
      <c r="D1087" s="147">
        <f>A1087</f>
        <v>45848</v>
      </c>
      <c r="E1087" s="181" t="str">
        <f>$J$1</f>
        <v>alappatjoe</v>
      </c>
      <c r="F1087" s="9">
        <f>IFERROR(AVERAGE(Data[[#This Row],[alappatjoe]:[currydestroyer27]]), "TBD")</f>
        <v>2.6</v>
      </c>
      <c r="G1087" s="178">
        <f>IFERROR(_xlfn.STDEV.P(Data[[#This Row],[alappatjoe]:[currydestroyer27]]), "TBD")</f>
        <v>1.2</v>
      </c>
      <c r="H1087" s="160" t="s">
        <v>2250</v>
      </c>
      <c r="I1087" s="186" t="s">
        <v>2251</v>
      </c>
      <c r="J1087" s="9">
        <v>1</v>
      </c>
      <c r="K1087" s="9">
        <v>4</v>
      </c>
      <c r="L1087" s="9">
        <v>4</v>
      </c>
      <c r="M1087" s="9">
        <v>2</v>
      </c>
      <c r="N1087" s="9">
        <v>2</v>
      </c>
      <c r="O1087" s="238">
        <v>113950</v>
      </c>
      <c r="P1087" s="234"/>
      <c r="Q1087" s="93"/>
      <c r="R10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87" s="93">
        <v>1</v>
      </c>
      <c r="T1087" s="93" t="b">
        <f>Data[[#This Row],[Day Rank]]=Data[[#This Row],[W Rank]]</f>
        <v>0</v>
      </c>
      <c r="U1087" s="331" t="s">
        <v>2252</v>
      </c>
    </row>
    <row r="1088" spans="1:21" ht="15" customHeight="1">
      <c r="A1088" s="326"/>
      <c r="B1088" s="326"/>
      <c r="C1088" s="329"/>
      <c r="D1088" s="81">
        <f>D1087</f>
        <v>45848</v>
      </c>
      <c r="E1088" s="140" t="str">
        <f>$K$1</f>
        <v>danram</v>
      </c>
      <c r="F1088" s="8">
        <f>IFERROR(AVERAGE(Data[[#This Row],[alappatjoe]:[currydestroyer27]]), "TBD")</f>
        <v>2.2000000000000002</v>
      </c>
      <c r="G1088" s="177">
        <f>IFERROR(_xlfn.STDEV.P(Data[[#This Row],[alappatjoe]:[currydestroyer27]]), "TBD")</f>
        <v>1.1661903789690602</v>
      </c>
      <c r="H1088" s="135" t="s">
        <v>2253</v>
      </c>
      <c r="I1088" s="229" t="s">
        <v>2254</v>
      </c>
      <c r="J1088" s="8">
        <v>2</v>
      </c>
      <c r="K1088" s="8">
        <v>1</v>
      </c>
      <c r="L1088" s="8">
        <v>1</v>
      </c>
      <c r="M1088" s="8">
        <v>3</v>
      </c>
      <c r="N1088" s="8">
        <v>4</v>
      </c>
      <c r="O1088" s="238"/>
      <c r="P1088" s="234"/>
      <c r="Q1088" s="93"/>
      <c r="R10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88" s="93">
        <v>1</v>
      </c>
      <c r="T1088" s="93" t="b">
        <f>Data[[#This Row],[Day Rank]]=Data[[#This Row],[W Rank]]</f>
        <v>1</v>
      </c>
      <c r="U1088" s="323"/>
    </row>
    <row r="1089" spans="1:21" ht="15" customHeight="1">
      <c r="A1089" s="326"/>
      <c r="B1089" s="326"/>
      <c r="C1089" s="329"/>
      <c r="D1089" s="81">
        <f>D1087</f>
        <v>45848</v>
      </c>
      <c r="E1089" s="140" t="str">
        <f>$L$1</f>
        <v>loganworsdell</v>
      </c>
      <c r="F1089" s="8">
        <f>IFERROR(AVERAGE(Data[[#This Row],[alappatjoe]:[currydestroyer27]]), "TBD")</f>
        <v>4.8</v>
      </c>
      <c r="G1089" s="177">
        <f>IFERROR(_xlfn.STDEV.P(Data[[#This Row],[alappatjoe]:[currydestroyer27]]), "TBD")</f>
        <v>0.39999999999999997</v>
      </c>
      <c r="H1089" s="135" t="s">
        <v>2255</v>
      </c>
      <c r="I1089" s="229" t="s">
        <v>2256</v>
      </c>
      <c r="J1089" s="8">
        <v>4</v>
      </c>
      <c r="K1089" s="8">
        <v>5</v>
      </c>
      <c r="L1089" s="8">
        <v>5</v>
      </c>
      <c r="M1089" s="8">
        <v>5</v>
      </c>
      <c r="N1089" s="8">
        <v>5</v>
      </c>
      <c r="O1089" s="238">
        <v>61525</v>
      </c>
      <c r="P1089" s="234"/>
      <c r="Q1089" s="93"/>
      <c r="R10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89" s="93">
        <v>1</v>
      </c>
      <c r="T1089" s="93" t="b">
        <f>Data[[#This Row],[Day Rank]]=Data[[#This Row],[W Rank]]</f>
        <v>0</v>
      </c>
      <c r="U1089" s="323"/>
    </row>
    <row r="1090" spans="1:21" ht="15" customHeight="1">
      <c r="A1090" s="326"/>
      <c r="B1090" s="326"/>
      <c r="C1090" s="329"/>
      <c r="D1090" s="81">
        <f>D1087</f>
        <v>45848</v>
      </c>
      <c r="E1090" s="140" t="str">
        <f>$M$1</f>
        <v>samuelbattista</v>
      </c>
      <c r="F1090" s="8">
        <f>IFERROR(AVERAGE(Data[[#This Row],[alappatjoe]:[currydestroyer27]]), "TBD")</f>
        <v>2.4</v>
      </c>
      <c r="G1090" s="177">
        <f>IFERROR(_xlfn.STDEV.P(Data[[#This Row],[alappatjoe]:[currydestroyer27]]), "TBD")</f>
        <v>0.8</v>
      </c>
      <c r="H1090" s="245" t="s">
        <v>2257</v>
      </c>
      <c r="I1090" s="229" t="s">
        <v>2258</v>
      </c>
      <c r="J1090" s="8">
        <v>3</v>
      </c>
      <c r="K1090" s="8">
        <v>3</v>
      </c>
      <c r="L1090" s="8">
        <v>2</v>
      </c>
      <c r="M1090" s="8">
        <v>1</v>
      </c>
      <c r="N1090" s="8">
        <v>3</v>
      </c>
      <c r="O1090" s="238"/>
      <c r="P1090" s="234"/>
      <c r="Q1090" s="93"/>
      <c r="R10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90" s="93">
        <v>1</v>
      </c>
      <c r="T1090" s="93" t="b">
        <f>Data[[#This Row],[Day Rank]]=Data[[#This Row],[W Rank]]</f>
        <v>0</v>
      </c>
      <c r="U1090" s="323"/>
    </row>
    <row r="1091" spans="1:21" ht="15" customHeight="1" thickBot="1">
      <c r="A1091" s="327"/>
      <c r="B1091" s="327"/>
      <c r="C1091" s="330"/>
      <c r="D1091" s="164">
        <f>D1087</f>
        <v>45848</v>
      </c>
      <c r="E1091" s="215" t="str">
        <f>$N$1</f>
        <v>currydestroyer27</v>
      </c>
      <c r="F1091" s="165">
        <f>IFERROR(AVERAGE(Data[[#This Row],[alappatjoe]:[currydestroyer27]]), "TBD")</f>
        <v>3</v>
      </c>
      <c r="G1091" s="256">
        <f>IFERROR(_xlfn.STDEV.P(Data[[#This Row],[alappatjoe]:[currydestroyer27]]), "TBD")</f>
        <v>1.4142135623730951</v>
      </c>
      <c r="H1091" s="227" t="s">
        <v>2259</v>
      </c>
      <c r="I1091" s="257" t="s">
        <v>2260</v>
      </c>
      <c r="J1091" s="165">
        <v>5</v>
      </c>
      <c r="K1091" s="165">
        <v>2</v>
      </c>
      <c r="L1091" s="165">
        <v>3</v>
      </c>
      <c r="M1091" s="165">
        <v>4</v>
      </c>
      <c r="N1091" s="165">
        <v>1</v>
      </c>
      <c r="O1091" s="242">
        <v>220009814</v>
      </c>
      <c r="P1091" s="237"/>
      <c r="Q1091" s="167"/>
      <c r="R109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91" s="167">
        <v>1</v>
      </c>
      <c r="T1091" s="167" t="b">
        <f>Data[[#This Row],[Day Rank]]=Data[[#This Row],[W Rank]]</f>
        <v>0</v>
      </c>
      <c r="U1091" s="324"/>
    </row>
    <row r="1092" spans="1:21" ht="15" customHeight="1">
      <c r="A1092" s="325">
        <v>45852</v>
      </c>
      <c r="B1092" s="325"/>
      <c r="C1092" s="338" t="str" cm="1">
        <f t="array" ref="C1092">_xlfn.LET(_xlpm.matches, _xlfn._xlws.FILTER(Data[Poster], (Data[Date]=A1092)*(Data[Winner]=TRUE)), IF(ROWS(_xlpm.matches)&gt;1, "TIE", _xlpm.matches))</f>
        <v>loganworsdell</v>
      </c>
      <c r="D1092" s="147">
        <f>A1092</f>
        <v>45852</v>
      </c>
      <c r="E1092" s="181" t="str">
        <f>$J$1</f>
        <v>alappatjoe</v>
      </c>
      <c r="F1092" s="9">
        <f>IFERROR(AVERAGE(Data[[#This Row],[alappatjoe]:[currydestroyer27]]), "TBD")</f>
        <v>3.2</v>
      </c>
      <c r="G1092" s="178">
        <f>IFERROR(_xlfn.STDEV.P(Data[[#This Row],[alappatjoe]:[currydestroyer27]]), "TBD")</f>
        <v>1.6</v>
      </c>
      <c r="H1092" s="160" t="s">
        <v>2261</v>
      </c>
      <c r="I1092" s="186" t="s">
        <v>260</v>
      </c>
      <c r="J1092" s="9">
        <v>1</v>
      </c>
      <c r="K1092" s="9">
        <v>3</v>
      </c>
      <c r="L1092" s="9">
        <v>5</v>
      </c>
      <c r="M1092" s="9">
        <v>2</v>
      </c>
      <c r="N1092" s="9">
        <v>5</v>
      </c>
      <c r="O1092" s="238">
        <v>13504029</v>
      </c>
      <c r="P1092" s="234"/>
      <c r="Q1092" s="93"/>
      <c r="R10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092" s="93">
        <v>1</v>
      </c>
      <c r="T1092" s="93" t="b">
        <f>Data[[#This Row],[Day Rank]]=Data[[#This Row],[W Rank]]</f>
        <v>0</v>
      </c>
      <c r="U1092" s="331"/>
    </row>
    <row r="1093" spans="1:21" ht="15" customHeight="1">
      <c r="A1093" s="326"/>
      <c r="B1093" s="326"/>
      <c r="C1093" s="339"/>
      <c r="D1093" s="81">
        <f>D1092</f>
        <v>45852</v>
      </c>
      <c r="E1093" s="140" t="str">
        <f>$K$1</f>
        <v>danram</v>
      </c>
      <c r="F1093" s="8">
        <f>IFERROR(AVERAGE(Data[[#This Row],[alappatjoe]:[currydestroyer27]]), "TBD")</f>
        <v>2.6</v>
      </c>
      <c r="G1093" s="177">
        <f>IFERROR(_xlfn.STDEV.P(Data[[#This Row],[alappatjoe]:[currydestroyer27]]), "TBD")</f>
        <v>1.4966629547095767</v>
      </c>
      <c r="H1093" s="135" t="s">
        <v>2262</v>
      </c>
      <c r="I1093" s="229" t="s">
        <v>2263</v>
      </c>
      <c r="J1093" s="8">
        <v>3</v>
      </c>
      <c r="K1093" s="8">
        <v>1</v>
      </c>
      <c r="L1093" s="8">
        <v>3</v>
      </c>
      <c r="M1093" s="8">
        <v>5</v>
      </c>
      <c r="N1093" s="8">
        <v>1</v>
      </c>
      <c r="O1093" s="238"/>
      <c r="P1093" s="234"/>
      <c r="Q1093" s="93"/>
      <c r="R10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093" s="93">
        <v>1</v>
      </c>
      <c r="T1093" s="93" t="b">
        <f>Data[[#This Row],[Day Rank]]=Data[[#This Row],[W Rank]]</f>
        <v>0</v>
      </c>
      <c r="U1093" s="323"/>
    </row>
    <row r="1094" spans="1:21" ht="15" customHeight="1">
      <c r="A1094" s="326"/>
      <c r="B1094" s="326"/>
      <c r="C1094" s="339"/>
      <c r="D1094" s="81">
        <f>D1092</f>
        <v>45852</v>
      </c>
      <c r="E1094" s="140" t="str">
        <f>$L$1</f>
        <v>loganworsdell</v>
      </c>
      <c r="F1094" s="8">
        <f>IFERROR(AVERAGE(Data[[#This Row],[alappatjoe]:[currydestroyer27]]), "TBD")</f>
        <v>2.4</v>
      </c>
      <c r="G1094" s="177">
        <f>IFERROR(_xlfn.STDEV.P(Data[[#This Row],[alappatjoe]:[currydestroyer27]]), "TBD")</f>
        <v>1.019803902718557</v>
      </c>
      <c r="H1094" s="135" t="s">
        <v>2264</v>
      </c>
      <c r="I1094" s="229" t="s">
        <v>399</v>
      </c>
      <c r="J1094" s="8">
        <v>2</v>
      </c>
      <c r="K1094" s="8">
        <v>2</v>
      </c>
      <c r="L1094" s="8">
        <v>1</v>
      </c>
      <c r="M1094" s="8">
        <v>3</v>
      </c>
      <c r="N1094" s="8">
        <v>4</v>
      </c>
      <c r="O1094" s="238">
        <v>141140317</v>
      </c>
      <c r="P1094" s="234"/>
      <c r="Q1094" s="93"/>
      <c r="R10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94" s="93">
        <v>1</v>
      </c>
      <c r="T1094" s="93" t="b">
        <f>Data[[#This Row],[Day Rank]]=Data[[#This Row],[W Rank]]</f>
        <v>1</v>
      </c>
      <c r="U1094" s="323"/>
    </row>
    <row r="1095" spans="1:21" ht="15" customHeight="1">
      <c r="A1095" s="326"/>
      <c r="B1095" s="326"/>
      <c r="C1095" s="339"/>
      <c r="D1095" s="81">
        <f>D1092</f>
        <v>45852</v>
      </c>
      <c r="E1095" s="140" t="str">
        <f>$M$1</f>
        <v>samuelbattista</v>
      </c>
      <c r="F1095" s="8">
        <f>IFERROR(AVERAGE(Data[[#This Row],[alappatjoe]:[currydestroyer27]]), "TBD")</f>
        <v>3.4</v>
      </c>
      <c r="G1095" s="177">
        <f>IFERROR(_xlfn.STDEV.P(Data[[#This Row],[alappatjoe]:[currydestroyer27]]), "TBD")</f>
        <v>1.3564659966250536</v>
      </c>
      <c r="H1095" s="245" t="s">
        <v>2265</v>
      </c>
      <c r="I1095" s="229" t="s">
        <v>1233</v>
      </c>
      <c r="J1095" s="8">
        <v>5</v>
      </c>
      <c r="K1095" s="8">
        <v>4</v>
      </c>
      <c r="L1095" s="8">
        <v>4</v>
      </c>
      <c r="M1095" s="8">
        <v>1</v>
      </c>
      <c r="N1095" s="8">
        <v>3</v>
      </c>
      <c r="O1095" s="238"/>
      <c r="P1095" s="234"/>
      <c r="Q1095" s="93"/>
      <c r="R10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095" s="93">
        <v>1</v>
      </c>
      <c r="T1095" s="93" t="b">
        <f>Data[[#This Row],[Day Rank]]=Data[[#This Row],[W Rank]]</f>
        <v>0</v>
      </c>
      <c r="U1095" s="323"/>
    </row>
    <row r="1096" spans="1:21" ht="15" customHeight="1" thickBot="1">
      <c r="A1096" s="327"/>
      <c r="B1096" s="327"/>
      <c r="C1096" s="340"/>
      <c r="D1096" s="164">
        <f>D1092</f>
        <v>45852</v>
      </c>
      <c r="E1096" s="215" t="str">
        <f>$N$1</f>
        <v>currydestroyer27</v>
      </c>
      <c r="F1096" s="165">
        <f>IFERROR(AVERAGE(Data[[#This Row],[alappatjoe]:[currydestroyer27]]), "TBD")</f>
        <v>3.4</v>
      </c>
      <c r="G1096" s="256">
        <f>IFERROR(_xlfn.STDEV.P(Data[[#This Row],[alappatjoe]:[currydestroyer27]]), "TBD")</f>
        <v>1.2</v>
      </c>
      <c r="H1096" s="227" t="s">
        <v>2266</v>
      </c>
      <c r="I1096" s="257" t="s">
        <v>2267</v>
      </c>
      <c r="J1096" s="165">
        <v>4</v>
      </c>
      <c r="K1096" s="165">
        <v>5</v>
      </c>
      <c r="L1096" s="165">
        <v>2</v>
      </c>
      <c r="M1096" s="165">
        <v>4</v>
      </c>
      <c r="N1096" s="165">
        <v>2</v>
      </c>
      <c r="O1096" s="242">
        <v>434166546</v>
      </c>
      <c r="P1096" s="237"/>
      <c r="Q1096" s="167"/>
      <c r="R109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96" s="167">
        <v>1</v>
      </c>
      <c r="T1096" s="167" t="b">
        <f>Data[[#This Row],[Day Rank]]=Data[[#This Row],[W Rank]]</f>
        <v>0</v>
      </c>
      <c r="U1096" s="324"/>
    </row>
    <row r="1097" spans="1:21" ht="15" customHeight="1">
      <c r="A1097" s="325">
        <v>45853</v>
      </c>
      <c r="B1097" s="325"/>
      <c r="C1097" s="328" t="str" cm="1">
        <f t="array" ref="C1097">_xlfn.LET(_xlpm.matches, _xlfn._xlws.FILTER(Data[Poster], (Data[Date]=A1097)*(Data[Winner]=TRUE)), IF(ROWS(_xlpm.matches)&gt;1, "TIE", _xlpm.matches))</f>
        <v>loganworsdell</v>
      </c>
      <c r="D1097" s="147">
        <f>A1097</f>
        <v>45853</v>
      </c>
      <c r="E1097" s="181" t="str">
        <f>$J$1</f>
        <v>alappatjoe</v>
      </c>
      <c r="F1097" s="9">
        <f>IFERROR(AVERAGE(Data[[#This Row],[alappatjoe]:[currydestroyer27]]), "TBD")</f>
        <v>3.4</v>
      </c>
      <c r="G1097" s="178">
        <f>IFERROR(_xlfn.STDEV.P(Data[[#This Row],[alappatjoe]:[currydestroyer27]]), "TBD")</f>
        <v>1.6248076809271921</v>
      </c>
      <c r="H1097" s="160" t="s">
        <v>2268</v>
      </c>
      <c r="I1097" s="186" t="s">
        <v>1228</v>
      </c>
      <c r="J1097" s="9">
        <v>1</v>
      </c>
      <c r="K1097" s="9">
        <v>2</v>
      </c>
      <c r="L1097" s="9">
        <v>4</v>
      </c>
      <c r="M1097" s="9">
        <v>5</v>
      </c>
      <c r="N1097" s="9">
        <v>5</v>
      </c>
      <c r="O1097" s="238">
        <v>6119564</v>
      </c>
      <c r="P1097" s="234"/>
      <c r="Q1097" s="93"/>
      <c r="R10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97" s="93">
        <v>1</v>
      </c>
      <c r="T1097" s="93" t="b">
        <f>Data[[#This Row],[Day Rank]]=Data[[#This Row],[W Rank]]</f>
        <v>0</v>
      </c>
      <c r="U1097" s="331"/>
    </row>
    <row r="1098" spans="1:21" ht="15" customHeight="1">
      <c r="A1098" s="326"/>
      <c r="B1098" s="326"/>
      <c r="C1098" s="329"/>
      <c r="D1098" s="81">
        <f>D1097</f>
        <v>45853</v>
      </c>
      <c r="E1098" s="140" t="str">
        <f>$K$1</f>
        <v>danram</v>
      </c>
      <c r="F1098" s="8">
        <f>IFERROR(AVERAGE(Data[[#This Row],[alappatjoe]:[currydestroyer27]]), "TBD")</f>
        <v>3.4</v>
      </c>
      <c r="G1098" s="177">
        <f>IFERROR(_xlfn.STDEV.P(Data[[#This Row],[alappatjoe]:[currydestroyer27]]), "TBD")</f>
        <v>1.6248076809271921</v>
      </c>
      <c r="H1098" s="135" t="s">
        <v>2269</v>
      </c>
      <c r="I1098" s="229" t="s">
        <v>457</v>
      </c>
      <c r="J1098" s="8">
        <v>5</v>
      </c>
      <c r="K1098" s="8">
        <v>1</v>
      </c>
      <c r="L1098" s="8">
        <v>5</v>
      </c>
      <c r="M1098" s="8">
        <v>2</v>
      </c>
      <c r="N1098" s="8">
        <v>4</v>
      </c>
      <c r="O1098" s="238"/>
      <c r="P1098" s="234"/>
      <c r="Q1098" s="93"/>
      <c r="R10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098" s="93">
        <v>1</v>
      </c>
      <c r="T1098" s="93" t="b">
        <f>Data[[#This Row],[Day Rank]]=Data[[#This Row],[W Rank]]</f>
        <v>0</v>
      </c>
      <c r="U1098" s="323"/>
    </row>
    <row r="1099" spans="1:21" ht="15" customHeight="1">
      <c r="A1099" s="326"/>
      <c r="B1099" s="326"/>
      <c r="C1099" s="329"/>
      <c r="D1099" s="81">
        <f>D1097</f>
        <v>45853</v>
      </c>
      <c r="E1099" s="140" t="str">
        <f>$L$1</f>
        <v>loganworsdell</v>
      </c>
      <c r="F1099" s="8">
        <f>IFERROR(AVERAGE(Data[[#This Row],[alappatjoe]:[currydestroyer27]]), "TBD")</f>
        <v>2.6</v>
      </c>
      <c r="G1099" s="177">
        <f>IFERROR(_xlfn.STDEV.P(Data[[#This Row],[alappatjoe]:[currydestroyer27]]), "TBD")</f>
        <v>1.3564659966250536</v>
      </c>
      <c r="H1099" s="135" t="s">
        <v>2270</v>
      </c>
      <c r="I1099" s="229" t="s">
        <v>2271</v>
      </c>
      <c r="J1099" s="8">
        <v>2</v>
      </c>
      <c r="K1099" s="8">
        <v>5</v>
      </c>
      <c r="L1099" s="8">
        <v>1</v>
      </c>
      <c r="M1099" s="8">
        <v>3</v>
      </c>
      <c r="N1099" s="8">
        <v>2</v>
      </c>
      <c r="O1099" s="238">
        <v>73990674</v>
      </c>
      <c r="P1099" s="234"/>
      <c r="Q1099" s="93"/>
      <c r="R10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099" s="93">
        <v>1</v>
      </c>
      <c r="T1099" s="93" t="b">
        <f>Data[[#This Row],[Day Rank]]=Data[[#This Row],[W Rank]]</f>
        <v>1</v>
      </c>
      <c r="U1099" s="323"/>
    </row>
    <row r="1100" spans="1:21" ht="15" customHeight="1">
      <c r="A1100" s="326"/>
      <c r="B1100" s="326"/>
      <c r="C1100" s="329"/>
      <c r="D1100" s="81">
        <f>D1097</f>
        <v>45853</v>
      </c>
      <c r="E1100" s="140" t="str">
        <f>$M$1</f>
        <v>samuelbattista</v>
      </c>
      <c r="F1100" s="8">
        <f>IFERROR(AVERAGE(Data[[#This Row],[alappatjoe]:[currydestroyer27]]), "TBD")</f>
        <v>2.8</v>
      </c>
      <c r="G1100" s="177">
        <f>IFERROR(_xlfn.STDEV.P(Data[[#This Row],[alappatjoe]:[currydestroyer27]]), "TBD")</f>
        <v>0.9797958971132712</v>
      </c>
      <c r="H1100" s="245" t="s">
        <v>2272</v>
      </c>
      <c r="I1100" s="229" t="s">
        <v>1773</v>
      </c>
      <c r="J1100" s="8">
        <v>4</v>
      </c>
      <c r="K1100" s="8">
        <v>3</v>
      </c>
      <c r="L1100" s="8">
        <v>3</v>
      </c>
      <c r="M1100" s="8">
        <v>1</v>
      </c>
      <c r="N1100" s="8">
        <v>3</v>
      </c>
      <c r="O1100" s="238"/>
      <c r="P1100" s="234"/>
      <c r="Q1100" s="93"/>
      <c r="R11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00" s="93">
        <v>1</v>
      </c>
      <c r="T1100" s="93" t="b">
        <f>Data[[#This Row],[Day Rank]]=Data[[#This Row],[W Rank]]</f>
        <v>0</v>
      </c>
      <c r="U1100" s="323"/>
    </row>
    <row r="1101" spans="1:21" ht="15" customHeight="1" thickBot="1">
      <c r="A1101" s="327"/>
      <c r="B1101" s="327"/>
      <c r="C1101" s="330"/>
      <c r="D1101" s="164">
        <f>D1097</f>
        <v>45853</v>
      </c>
      <c r="E1101" s="215" t="str">
        <f>$N$1</f>
        <v>currydestroyer27</v>
      </c>
      <c r="F1101" s="165">
        <f>IFERROR(AVERAGE(Data[[#This Row],[alappatjoe]:[currydestroyer27]]), "TBD")</f>
        <v>2.8</v>
      </c>
      <c r="G1101" s="256">
        <f>IFERROR(_xlfn.STDEV.P(Data[[#This Row],[alappatjoe]:[currydestroyer27]]), "TBD")</f>
        <v>1.1661903789690602</v>
      </c>
      <c r="H1101" s="227" t="s">
        <v>2273</v>
      </c>
      <c r="I1101" s="257" t="s">
        <v>2274</v>
      </c>
      <c r="J1101" s="165">
        <v>3</v>
      </c>
      <c r="K1101" s="165">
        <v>4</v>
      </c>
      <c r="L1101" s="165">
        <v>2</v>
      </c>
      <c r="M1101" s="165">
        <v>4</v>
      </c>
      <c r="N1101" s="165">
        <v>1</v>
      </c>
      <c r="O1101" s="242">
        <v>84311495</v>
      </c>
      <c r="P1101" s="237"/>
      <c r="Q1101" s="167"/>
      <c r="R110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01" s="167">
        <v>1</v>
      </c>
      <c r="T1101" s="167" t="b">
        <f>Data[[#This Row],[Day Rank]]=Data[[#This Row],[W Rank]]</f>
        <v>0</v>
      </c>
      <c r="U1101" s="324"/>
    </row>
    <row r="1102" spans="1:21" ht="15" customHeight="1">
      <c r="A1102" s="325">
        <v>45854</v>
      </c>
      <c r="B1102" s="325"/>
      <c r="C1102" s="338" t="str" cm="1">
        <f t="array" ref="C1102">_xlfn.LET(_xlpm.matches, _xlfn._xlws.FILTER(Data[Poster], (Data[Date]=A1102)*(Data[Winner]=TRUE)), IF(ROWS(_xlpm.matches)&gt;1, "TIE", _xlpm.matches))</f>
        <v>currydestroyer27</v>
      </c>
      <c r="D1102" s="147">
        <f>A1102</f>
        <v>45854</v>
      </c>
      <c r="E1102" s="181" t="str">
        <f>$J$1</f>
        <v>alappatjoe</v>
      </c>
      <c r="F1102" s="9">
        <f>IFERROR(AVERAGE(Data[[#This Row],[alappatjoe]:[currydestroyer27]]), "TBD")</f>
        <v>2.8</v>
      </c>
      <c r="G1102" s="178">
        <f>IFERROR(_xlfn.STDEV.P(Data[[#This Row],[alappatjoe]:[currydestroyer27]]), "TBD")</f>
        <v>0.9797958971132712</v>
      </c>
      <c r="H1102" s="160" t="s">
        <v>2275</v>
      </c>
      <c r="I1102" s="186" t="s">
        <v>767</v>
      </c>
      <c r="J1102" s="9">
        <v>1</v>
      </c>
      <c r="K1102" s="9">
        <v>4</v>
      </c>
      <c r="L1102" s="9">
        <v>3</v>
      </c>
      <c r="M1102" s="9">
        <v>3</v>
      </c>
      <c r="N1102" s="9">
        <v>3</v>
      </c>
      <c r="O1102" s="238">
        <v>5252962</v>
      </c>
      <c r="P1102" s="234"/>
      <c r="Q1102" s="93"/>
      <c r="R11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02" s="93">
        <v>1</v>
      </c>
      <c r="T1102" s="93" t="b">
        <f>Data[[#This Row],[Day Rank]]=Data[[#This Row],[W Rank]]</f>
        <v>0</v>
      </c>
      <c r="U1102" s="331"/>
    </row>
    <row r="1103" spans="1:21" ht="15" customHeight="1">
      <c r="A1103" s="326"/>
      <c r="B1103" s="326"/>
      <c r="C1103" s="339"/>
      <c r="D1103" s="81">
        <f>D1102</f>
        <v>45854</v>
      </c>
      <c r="E1103" s="140" t="str">
        <f>$K$1</f>
        <v>danram</v>
      </c>
      <c r="F1103" s="8">
        <f>IFERROR(AVERAGE(Data[[#This Row],[alappatjoe]:[currydestroyer27]]), "TBD")</f>
        <v>4.2</v>
      </c>
      <c r="G1103" s="177">
        <f>IFERROR(_xlfn.STDEV.P(Data[[#This Row],[alappatjoe]:[currydestroyer27]]), "TBD")</f>
        <v>1.1661903789690602</v>
      </c>
      <c r="H1103" s="135" t="s">
        <v>2276</v>
      </c>
      <c r="I1103" s="229" t="s">
        <v>2277</v>
      </c>
      <c r="J1103" s="8">
        <v>5</v>
      </c>
      <c r="K1103" s="8">
        <v>2</v>
      </c>
      <c r="L1103" s="8">
        <v>4</v>
      </c>
      <c r="M1103" s="8">
        <v>5</v>
      </c>
      <c r="N1103" s="8">
        <v>5</v>
      </c>
      <c r="O1103" s="238"/>
      <c r="P1103" s="234"/>
      <c r="Q1103" s="93"/>
      <c r="R11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03" s="93">
        <v>1</v>
      </c>
      <c r="T1103" s="93" t="b">
        <f>Data[[#This Row],[Day Rank]]=Data[[#This Row],[W Rank]]</f>
        <v>0</v>
      </c>
      <c r="U1103" s="323"/>
    </row>
    <row r="1104" spans="1:21" ht="15" customHeight="1">
      <c r="A1104" s="326"/>
      <c r="B1104" s="326"/>
      <c r="C1104" s="339"/>
      <c r="D1104" s="81">
        <f>D1102</f>
        <v>45854</v>
      </c>
      <c r="E1104" s="140" t="str">
        <f>$L$1</f>
        <v>loganworsdell</v>
      </c>
      <c r="F1104" s="8">
        <f>IFERROR(AVERAGE(Data[[#This Row],[alappatjoe]:[currydestroyer27]]), "TBD")</f>
        <v>2.4</v>
      </c>
      <c r="G1104" s="177">
        <f>IFERROR(_xlfn.STDEV.P(Data[[#This Row],[alappatjoe]:[currydestroyer27]]), "TBD")</f>
        <v>1.019803902718557</v>
      </c>
      <c r="H1104" s="135" t="s">
        <v>2278</v>
      </c>
      <c r="I1104" s="229" t="s">
        <v>1494</v>
      </c>
      <c r="J1104" s="8">
        <v>2</v>
      </c>
      <c r="K1104" s="8">
        <v>3</v>
      </c>
      <c r="L1104" s="8">
        <v>1</v>
      </c>
      <c r="M1104" s="8">
        <v>4</v>
      </c>
      <c r="N1104" s="8">
        <v>2</v>
      </c>
      <c r="O1104" s="238">
        <v>1166364796</v>
      </c>
      <c r="P1104" s="234"/>
      <c r="Q1104" s="93"/>
      <c r="R11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04" s="93">
        <v>1</v>
      </c>
      <c r="T1104" s="93" t="b">
        <f>Data[[#This Row],[Day Rank]]=Data[[#This Row],[W Rank]]</f>
        <v>0</v>
      </c>
      <c r="U1104" s="323"/>
    </row>
    <row r="1105" spans="1:21" ht="15" customHeight="1">
      <c r="A1105" s="326"/>
      <c r="B1105" s="326"/>
      <c r="C1105" s="339"/>
      <c r="D1105" s="81">
        <f>D1102</f>
        <v>45854</v>
      </c>
      <c r="E1105" s="140" t="str">
        <f>$M$1</f>
        <v>samuelbattista</v>
      </c>
      <c r="F1105" s="8">
        <f>IFERROR(AVERAGE(Data[[#This Row],[alappatjoe]:[currydestroyer27]]), "TBD")</f>
        <v>3.8</v>
      </c>
      <c r="G1105" s="177">
        <f>IFERROR(_xlfn.STDEV.P(Data[[#This Row],[alappatjoe]:[currydestroyer27]]), "TBD")</f>
        <v>1.1661903789690602</v>
      </c>
      <c r="H1105" s="245" t="s">
        <v>2279</v>
      </c>
      <c r="I1105" s="229" t="s">
        <v>2280</v>
      </c>
      <c r="J1105" s="8">
        <v>3</v>
      </c>
      <c r="K1105" s="8">
        <v>5</v>
      </c>
      <c r="L1105" s="8">
        <v>5</v>
      </c>
      <c r="M1105" s="8">
        <v>2</v>
      </c>
      <c r="N1105" s="8">
        <v>4</v>
      </c>
      <c r="O1105" s="238"/>
      <c r="P1105" s="234"/>
      <c r="Q1105" s="93"/>
      <c r="R11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05" s="93">
        <v>1</v>
      </c>
      <c r="T1105" s="93" t="b">
        <f>Data[[#This Row],[Day Rank]]=Data[[#This Row],[W Rank]]</f>
        <v>0</v>
      </c>
      <c r="U1105" s="323"/>
    </row>
    <row r="1106" spans="1:21" ht="15" customHeight="1" thickBot="1">
      <c r="A1106" s="327"/>
      <c r="B1106" s="327"/>
      <c r="C1106" s="340"/>
      <c r="D1106" s="164">
        <f>D1102</f>
        <v>45854</v>
      </c>
      <c r="E1106" s="215" t="str">
        <f>$N$1</f>
        <v>currydestroyer27</v>
      </c>
      <c r="F1106" s="165">
        <f>IFERROR(AVERAGE(Data[[#This Row],[alappatjoe]:[currydestroyer27]]), "TBD")</f>
        <v>1.8</v>
      </c>
      <c r="G1106" s="256">
        <f>IFERROR(_xlfn.STDEV.P(Data[[#This Row],[alappatjoe]:[currydestroyer27]]), "TBD")</f>
        <v>1.1661903789690602</v>
      </c>
      <c r="H1106" s="227" t="s">
        <v>2281</v>
      </c>
      <c r="I1106" s="257" t="s">
        <v>195</v>
      </c>
      <c r="J1106" s="165">
        <v>4</v>
      </c>
      <c r="K1106" s="165">
        <v>1</v>
      </c>
      <c r="L1106" s="165">
        <v>2</v>
      </c>
      <c r="M1106" s="165">
        <v>1</v>
      </c>
      <c r="N1106" s="165">
        <v>1</v>
      </c>
      <c r="O1106" s="242">
        <v>997035997</v>
      </c>
      <c r="P1106" s="237"/>
      <c r="Q1106" s="167"/>
      <c r="R110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06" s="167">
        <v>1</v>
      </c>
      <c r="T1106" s="167" t="b">
        <f>Data[[#This Row],[Day Rank]]=Data[[#This Row],[W Rank]]</f>
        <v>1</v>
      </c>
      <c r="U1106" s="324"/>
    </row>
    <row r="1107" spans="1:21" ht="15" customHeight="1">
      <c r="A1107" s="325">
        <v>45855</v>
      </c>
      <c r="B1107" s="325"/>
      <c r="C1107" s="328" t="str" cm="1">
        <f t="array" ref="C1107">_xlfn.LET(_xlpm.matches, _xlfn._xlws.FILTER(Data[Poster], (Data[Date]=A1107)*(Data[Winner]=TRUE)), IF(ROWS(_xlpm.matches)&gt;1, "TIE", _xlpm.matches))</f>
        <v>samuelbattista</v>
      </c>
      <c r="D1107" s="147">
        <f>A1107</f>
        <v>45855</v>
      </c>
      <c r="E1107" s="181" t="str">
        <f>$J$1</f>
        <v>alappatjoe</v>
      </c>
      <c r="F1107" s="9">
        <f>IFERROR(AVERAGE(Data[[#This Row],[alappatjoe]:[currydestroyer27]]), "TBD")</f>
        <v>2.8</v>
      </c>
      <c r="G1107" s="178">
        <f>IFERROR(_xlfn.STDEV.P(Data[[#This Row],[alappatjoe]:[currydestroyer27]]), "TBD")</f>
        <v>1.3266499161421599</v>
      </c>
      <c r="H1107" s="160" t="s">
        <v>2282</v>
      </c>
      <c r="I1107" s="186" t="s">
        <v>2283</v>
      </c>
      <c r="J1107" s="9">
        <v>1</v>
      </c>
      <c r="K1107" s="9">
        <v>5</v>
      </c>
      <c r="L1107" s="9">
        <v>3</v>
      </c>
      <c r="M1107" s="9">
        <v>3</v>
      </c>
      <c r="N1107" s="9">
        <v>2</v>
      </c>
      <c r="O1107" s="238">
        <v>584102077</v>
      </c>
      <c r="P1107" s="234"/>
      <c r="Q1107" s="93"/>
      <c r="R11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07" s="93">
        <v>1</v>
      </c>
      <c r="T1107" s="93" t="b">
        <f>Data[[#This Row],[Day Rank]]=Data[[#This Row],[W Rank]]</f>
        <v>0</v>
      </c>
      <c r="U1107" s="331" t="s">
        <v>2284</v>
      </c>
    </row>
    <row r="1108" spans="1:21" ht="15" customHeight="1">
      <c r="A1108" s="326"/>
      <c r="B1108" s="326"/>
      <c r="C1108" s="329"/>
      <c r="D1108" s="81">
        <f>D1107</f>
        <v>45855</v>
      </c>
      <c r="E1108" s="140" t="str">
        <f>$K$1</f>
        <v>danram</v>
      </c>
      <c r="F1108" s="8">
        <f>IFERROR(AVERAGE(Data[[#This Row],[alappatjoe]:[currydestroyer27]]), "TBD")</f>
        <v>3.2</v>
      </c>
      <c r="G1108" s="177">
        <f>IFERROR(_xlfn.STDEV.P(Data[[#This Row],[alappatjoe]:[currydestroyer27]]), "TBD")</f>
        <v>1.4696938456699069</v>
      </c>
      <c r="H1108" s="135" t="s">
        <v>2285</v>
      </c>
      <c r="I1108" s="229" t="s">
        <v>2286</v>
      </c>
      <c r="J1108" s="8">
        <v>4</v>
      </c>
      <c r="K1108" s="8">
        <v>1</v>
      </c>
      <c r="L1108" s="8">
        <v>5</v>
      </c>
      <c r="M1108" s="8">
        <v>2</v>
      </c>
      <c r="N1108" s="8">
        <v>4</v>
      </c>
      <c r="O1108" s="238"/>
      <c r="P1108" s="234"/>
      <c r="Q1108" s="93"/>
      <c r="R11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08" s="93">
        <v>1</v>
      </c>
      <c r="T1108" s="93" t="b">
        <f>Data[[#This Row],[Day Rank]]=Data[[#This Row],[W Rank]]</f>
        <v>0</v>
      </c>
      <c r="U1108" s="323"/>
    </row>
    <row r="1109" spans="1:21" ht="15" customHeight="1">
      <c r="A1109" s="326"/>
      <c r="B1109" s="326"/>
      <c r="C1109" s="329"/>
      <c r="D1109" s="81">
        <f>D1107</f>
        <v>45855</v>
      </c>
      <c r="E1109" s="140" t="str">
        <f>$L$1</f>
        <v>loganworsdell</v>
      </c>
      <c r="F1109" s="8">
        <f>IFERROR(AVERAGE(Data[[#This Row],[alappatjoe]:[currydestroyer27]]), "TBD")</f>
        <v>3.6</v>
      </c>
      <c r="G1109" s="177">
        <f>IFERROR(_xlfn.STDEV.P(Data[[#This Row],[alappatjoe]:[currydestroyer27]]), "TBD")</f>
        <v>1.4966629547095767</v>
      </c>
      <c r="H1109" s="135" t="s">
        <v>2287</v>
      </c>
      <c r="I1109" s="229" t="s">
        <v>2288</v>
      </c>
      <c r="J1109" s="8">
        <v>5</v>
      </c>
      <c r="K1109" s="8">
        <v>3</v>
      </c>
      <c r="L1109" s="8">
        <v>1</v>
      </c>
      <c r="M1109" s="8">
        <v>4</v>
      </c>
      <c r="N1109" s="8">
        <v>5</v>
      </c>
      <c r="O1109" s="238">
        <v>5564892</v>
      </c>
      <c r="P1109" s="234"/>
      <c r="Q1109" s="93"/>
      <c r="R11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09" s="93">
        <v>1</v>
      </c>
      <c r="T1109" s="93" t="b">
        <f>Data[[#This Row],[Day Rank]]=Data[[#This Row],[W Rank]]</f>
        <v>0</v>
      </c>
      <c r="U1109" s="323"/>
    </row>
    <row r="1110" spans="1:21" ht="15" customHeight="1">
      <c r="A1110" s="326"/>
      <c r="B1110" s="326"/>
      <c r="C1110" s="329"/>
      <c r="D1110" s="81">
        <f>D1107</f>
        <v>45855</v>
      </c>
      <c r="E1110" s="140" t="str">
        <f>$M$1</f>
        <v>samuelbattista</v>
      </c>
      <c r="F1110" s="8">
        <f>IFERROR(AVERAGE(Data[[#This Row],[alappatjoe]:[currydestroyer27]]), "TBD")</f>
        <v>2.4</v>
      </c>
      <c r="G1110" s="177">
        <f>IFERROR(_xlfn.STDEV.P(Data[[#This Row],[alappatjoe]:[currydestroyer27]]), "TBD")</f>
        <v>1.019803902718557</v>
      </c>
      <c r="H1110" s="245" t="s">
        <v>2289</v>
      </c>
      <c r="I1110" s="229" t="s">
        <v>2290</v>
      </c>
      <c r="J1110" s="8">
        <v>2</v>
      </c>
      <c r="K1110" s="8">
        <v>2</v>
      </c>
      <c r="L1110" s="8">
        <v>4</v>
      </c>
      <c r="M1110" s="8">
        <v>1</v>
      </c>
      <c r="N1110" s="8">
        <v>3</v>
      </c>
      <c r="O1110" s="238"/>
      <c r="P1110" s="234"/>
      <c r="Q1110" s="93"/>
      <c r="R11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10" s="93">
        <v>1</v>
      </c>
      <c r="T1110" s="93" t="b">
        <f>Data[[#This Row],[Day Rank]]=Data[[#This Row],[W Rank]]</f>
        <v>1</v>
      </c>
      <c r="U1110" s="323"/>
    </row>
    <row r="1111" spans="1:21" ht="15" customHeight="1" thickBot="1">
      <c r="A1111" s="327"/>
      <c r="B1111" s="327"/>
      <c r="C1111" s="330"/>
      <c r="D1111" s="164">
        <f>D1107</f>
        <v>45855</v>
      </c>
      <c r="E1111" s="215" t="str">
        <f>$N$1</f>
        <v>currydestroyer27</v>
      </c>
      <c r="F1111" s="165">
        <f>IFERROR(AVERAGE(Data[[#This Row],[alappatjoe]:[currydestroyer27]]), "TBD")</f>
        <v>3</v>
      </c>
      <c r="G1111" s="256">
        <f>IFERROR(_xlfn.STDEV.P(Data[[#This Row],[alappatjoe]:[currydestroyer27]]), "TBD")</f>
        <v>1.4142135623730951</v>
      </c>
      <c r="H1111" s="227" t="s">
        <v>2291</v>
      </c>
      <c r="I1111" s="257" t="s">
        <v>2292</v>
      </c>
      <c r="J1111" s="165">
        <v>3</v>
      </c>
      <c r="K1111" s="165">
        <v>4</v>
      </c>
      <c r="L1111" s="165">
        <v>2</v>
      </c>
      <c r="M1111" s="165">
        <v>5</v>
      </c>
      <c r="N1111" s="165">
        <v>1</v>
      </c>
      <c r="O1111" s="242">
        <v>53194130</v>
      </c>
      <c r="P1111" s="237"/>
      <c r="Q1111" s="167"/>
      <c r="R11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11" s="167">
        <v>1</v>
      </c>
      <c r="T1111" s="167" t="b">
        <f>Data[[#This Row],[Day Rank]]=Data[[#This Row],[W Rank]]</f>
        <v>0</v>
      </c>
      <c r="U1111" s="324"/>
    </row>
    <row r="1112" spans="1:21" ht="15" customHeight="1">
      <c r="A1112" s="325">
        <v>45859</v>
      </c>
      <c r="B1112" s="325"/>
      <c r="C1112" s="338" t="str" cm="1">
        <f t="array" ref="C1112">_xlfn.LET(_xlpm.matches, _xlfn._xlws.FILTER(Data[Poster], (Data[Date]=A1112)*(Data[Winner]=TRUE)), IF(ROWS(_xlpm.matches)&gt;1, "TIE", _xlpm.matches))</f>
        <v>danram</v>
      </c>
      <c r="D1112" s="147">
        <f>A1112</f>
        <v>45859</v>
      </c>
      <c r="E1112" s="181" t="str">
        <f>$J$1</f>
        <v>alappatjoe</v>
      </c>
      <c r="F1112" s="9">
        <f>IFERROR(AVERAGE(Data[[#This Row],[alappatjoe]:[currydestroyer27]]), "TBD")</f>
        <v>3</v>
      </c>
      <c r="G1112" s="178">
        <f>IFERROR(_xlfn.STDEV.P(Data[[#This Row],[alappatjoe]:[currydestroyer27]]), "TBD")</f>
        <v>1.4142135623730951</v>
      </c>
      <c r="H1112" s="160" t="s">
        <v>2293</v>
      </c>
      <c r="I1112" s="186" t="s">
        <v>2294</v>
      </c>
      <c r="J1112" s="9">
        <v>1</v>
      </c>
      <c r="K1112" s="9">
        <v>3</v>
      </c>
      <c r="L1112" s="9">
        <v>5</v>
      </c>
      <c r="M1112" s="9">
        <v>2</v>
      </c>
      <c r="N1112" s="9">
        <v>4</v>
      </c>
      <c r="O1112" s="238">
        <v>65273263</v>
      </c>
      <c r="P1112" s="234"/>
      <c r="Q1112" s="93"/>
      <c r="R11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12" s="93">
        <v>1</v>
      </c>
      <c r="T1112" s="93" t="b">
        <f>Data[[#This Row],[Day Rank]]=Data[[#This Row],[W Rank]]</f>
        <v>0</v>
      </c>
      <c r="U1112" s="331"/>
    </row>
    <row r="1113" spans="1:21" ht="15" customHeight="1">
      <c r="A1113" s="326"/>
      <c r="B1113" s="326"/>
      <c r="C1113" s="339"/>
      <c r="D1113" s="81">
        <f>D1112</f>
        <v>45859</v>
      </c>
      <c r="E1113" s="140" t="str">
        <f>$K$1</f>
        <v>danram</v>
      </c>
      <c r="F1113" s="8">
        <f>IFERROR(AVERAGE(Data[[#This Row],[alappatjoe]:[currydestroyer27]]), "TBD")</f>
        <v>2.2000000000000002</v>
      </c>
      <c r="G1113" s="177">
        <f>IFERROR(_xlfn.STDEV.P(Data[[#This Row],[alappatjoe]:[currydestroyer27]]), "TBD")</f>
        <v>0.74833147735478833</v>
      </c>
      <c r="H1113" s="135" t="s">
        <v>2295</v>
      </c>
      <c r="I1113" s="229" t="s">
        <v>2296</v>
      </c>
      <c r="J1113" s="8">
        <v>2</v>
      </c>
      <c r="K1113" s="8">
        <v>1</v>
      </c>
      <c r="L1113" s="8">
        <v>3</v>
      </c>
      <c r="M1113" s="8">
        <v>3</v>
      </c>
      <c r="N1113" s="8">
        <v>2</v>
      </c>
      <c r="O1113" s="238"/>
      <c r="P1113" s="234"/>
      <c r="Q1113" s="93"/>
      <c r="R11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13" s="93">
        <v>1</v>
      </c>
      <c r="T1113" s="93" t="b">
        <f>Data[[#This Row],[Day Rank]]=Data[[#This Row],[W Rank]]</f>
        <v>1</v>
      </c>
      <c r="U1113" s="323"/>
    </row>
    <row r="1114" spans="1:21" ht="15" customHeight="1">
      <c r="A1114" s="326"/>
      <c r="B1114" s="326"/>
      <c r="C1114" s="339"/>
      <c r="D1114" s="81">
        <f>D1112</f>
        <v>45859</v>
      </c>
      <c r="E1114" s="140" t="str">
        <f>$L$1</f>
        <v>loganworsdell</v>
      </c>
      <c r="F1114" s="8">
        <f>IFERROR(AVERAGE(Data[[#This Row],[alappatjoe]:[currydestroyer27]]), "TBD")</f>
        <v>3.4</v>
      </c>
      <c r="G1114" s="177">
        <f>IFERROR(_xlfn.STDEV.P(Data[[#This Row],[alappatjoe]:[currydestroyer27]]), "TBD")</f>
        <v>1.3564659966250536</v>
      </c>
      <c r="H1114" s="135" t="s">
        <v>2297</v>
      </c>
      <c r="I1114" s="229" t="s">
        <v>2298</v>
      </c>
      <c r="J1114" s="8">
        <v>4</v>
      </c>
      <c r="K1114" s="8">
        <v>5</v>
      </c>
      <c r="L1114" s="8">
        <v>1</v>
      </c>
      <c r="M1114" s="8">
        <v>4</v>
      </c>
      <c r="N1114" s="8">
        <v>3</v>
      </c>
      <c r="O1114" s="238">
        <v>161171</v>
      </c>
      <c r="P1114" s="234"/>
      <c r="Q1114" s="93"/>
      <c r="R11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14" s="93">
        <v>1</v>
      </c>
      <c r="T1114" s="93" t="b">
        <f>Data[[#This Row],[Day Rank]]=Data[[#This Row],[W Rank]]</f>
        <v>0</v>
      </c>
      <c r="U1114" s="323"/>
    </row>
    <row r="1115" spans="1:21" ht="15" customHeight="1">
      <c r="A1115" s="326"/>
      <c r="B1115" s="326"/>
      <c r="C1115" s="339"/>
      <c r="D1115" s="81">
        <f>D1112</f>
        <v>45859</v>
      </c>
      <c r="E1115" s="140" t="str">
        <f>$M$1</f>
        <v>samuelbattista</v>
      </c>
      <c r="F1115" s="8">
        <f>IFERROR(AVERAGE(Data[[#This Row],[alappatjoe]:[currydestroyer27]]), "TBD")</f>
        <v>3.4</v>
      </c>
      <c r="G1115" s="177">
        <f>IFERROR(_xlfn.STDEV.P(Data[[#This Row],[alappatjoe]:[currydestroyer27]]), "TBD")</f>
        <v>1.6248076809271921</v>
      </c>
      <c r="H1115" s="245" t="s">
        <v>2299</v>
      </c>
      <c r="I1115" s="229" t="s">
        <v>2300</v>
      </c>
      <c r="J1115" s="8">
        <v>5</v>
      </c>
      <c r="K1115" s="8">
        <v>2</v>
      </c>
      <c r="L1115" s="8">
        <v>4</v>
      </c>
      <c r="M1115" s="8">
        <v>1</v>
      </c>
      <c r="N1115" s="8">
        <v>5</v>
      </c>
      <c r="O1115" s="238"/>
      <c r="P1115" s="234"/>
      <c r="Q1115" s="93"/>
      <c r="R11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15" s="93">
        <v>1</v>
      </c>
      <c r="T1115" s="93" t="b">
        <f>Data[[#This Row],[Day Rank]]=Data[[#This Row],[W Rank]]</f>
        <v>0</v>
      </c>
      <c r="U1115" s="323"/>
    </row>
    <row r="1116" spans="1:21" ht="15" customHeight="1" thickBot="1">
      <c r="A1116" s="327"/>
      <c r="B1116" s="327"/>
      <c r="C1116" s="340"/>
      <c r="D1116" s="164">
        <f>D1112</f>
        <v>45859</v>
      </c>
      <c r="E1116" s="215" t="str">
        <f>$N$1</f>
        <v>currydestroyer27</v>
      </c>
      <c r="F1116" s="165">
        <f>IFERROR(AVERAGE(Data[[#This Row],[alappatjoe]:[currydestroyer27]]), "TBD")</f>
        <v>3</v>
      </c>
      <c r="G1116" s="256">
        <f>IFERROR(_xlfn.STDEV.P(Data[[#This Row],[alappatjoe]:[currydestroyer27]]), "TBD")</f>
        <v>1.4142135623730951</v>
      </c>
      <c r="H1116" s="227" t="s">
        <v>2301</v>
      </c>
      <c r="I1116" s="257" t="s">
        <v>2302</v>
      </c>
      <c r="J1116" s="165">
        <v>3</v>
      </c>
      <c r="K1116" s="165">
        <v>4</v>
      </c>
      <c r="L1116" s="165">
        <v>2</v>
      </c>
      <c r="M1116" s="165">
        <v>5</v>
      </c>
      <c r="N1116" s="165">
        <v>1</v>
      </c>
      <c r="O1116" s="242">
        <v>6154859</v>
      </c>
      <c r="P1116" s="237" t="s">
        <v>76</v>
      </c>
      <c r="Q1116" s="167" t="s">
        <v>99</v>
      </c>
      <c r="R11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16" s="167">
        <v>1</v>
      </c>
      <c r="T1116" s="167" t="b">
        <f>Data[[#This Row],[Day Rank]]=Data[[#This Row],[W Rank]]</f>
        <v>0</v>
      </c>
      <c r="U1116" s="324"/>
    </row>
    <row r="1117" spans="1:21" ht="15" customHeight="1">
      <c r="A1117" s="325">
        <v>45860</v>
      </c>
      <c r="B1117" s="325"/>
      <c r="C1117" s="328" t="str" cm="1">
        <f t="array" ref="C1117">_xlfn.LET(_xlpm.matches, _xlfn._xlws.FILTER(Data[Poster], (Data[Date]=A1117)*(Data[Winner]=TRUE)), IF(ROWS(_xlpm.matches)&gt;1, "TIE", _xlpm.matches))</f>
        <v>samuelbattista</v>
      </c>
      <c r="D1117" s="147">
        <f>A1117</f>
        <v>45860</v>
      </c>
      <c r="E1117" s="181" t="str">
        <f>$J$1</f>
        <v>alappatjoe</v>
      </c>
      <c r="F1117" s="9">
        <f>IFERROR(AVERAGE(Data[[#This Row],[alappatjoe]:[currydestroyer27]]), "TBD")</f>
        <v>3</v>
      </c>
      <c r="G1117" s="178">
        <f>IFERROR(_xlfn.STDEV.P(Data[[#This Row],[alappatjoe]:[currydestroyer27]]), "TBD")</f>
        <v>1.4142135623730951</v>
      </c>
      <c r="H1117" s="160" t="s">
        <v>2303</v>
      </c>
      <c r="I1117" s="186" t="s">
        <v>2304</v>
      </c>
      <c r="J1117" s="9">
        <v>1</v>
      </c>
      <c r="K1117" s="9">
        <v>3</v>
      </c>
      <c r="L1117" s="9">
        <v>5</v>
      </c>
      <c r="M1117" s="9">
        <v>4</v>
      </c>
      <c r="N1117" s="9">
        <v>2</v>
      </c>
      <c r="O1117" s="238">
        <v>4297598</v>
      </c>
      <c r="P1117" s="234"/>
      <c r="Q1117" s="93"/>
      <c r="R11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17" s="93">
        <v>1</v>
      </c>
      <c r="T1117" s="93" t="b">
        <f>Data[[#This Row],[Day Rank]]=Data[[#This Row],[W Rank]]</f>
        <v>0</v>
      </c>
      <c r="U1117" s="331"/>
    </row>
    <row r="1118" spans="1:21" ht="15" customHeight="1">
      <c r="A1118" s="326"/>
      <c r="B1118" s="326"/>
      <c r="C1118" s="329"/>
      <c r="D1118" s="81">
        <f>D1117</f>
        <v>45860</v>
      </c>
      <c r="E1118" s="140" t="str">
        <f>$K$1</f>
        <v>danram</v>
      </c>
      <c r="F1118" s="8">
        <f>IFERROR(AVERAGE(Data[[#This Row],[alappatjoe]:[currydestroyer27]]), "TBD")</f>
        <v>3.2</v>
      </c>
      <c r="G1118" s="177">
        <f>IFERROR(_xlfn.STDEV.P(Data[[#This Row],[alappatjoe]:[currydestroyer27]]), "TBD")</f>
        <v>1.4696938456699069</v>
      </c>
      <c r="H1118" s="135" t="s">
        <v>2305</v>
      </c>
      <c r="I1118" s="229" t="s">
        <v>2306</v>
      </c>
      <c r="J1118" s="8">
        <v>5</v>
      </c>
      <c r="K1118" s="8">
        <v>1</v>
      </c>
      <c r="L1118" s="8">
        <v>4</v>
      </c>
      <c r="M1118" s="8">
        <v>2</v>
      </c>
      <c r="N1118" s="8">
        <v>4</v>
      </c>
      <c r="O1118" s="238"/>
      <c r="P1118" s="234"/>
      <c r="Q1118" s="93"/>
      <c r="R11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18" s="93">
        <v>1</v>
      </c>
      <c r="T1118" s="93" t="b">
        <f>Data[[#This Row],[Day Rank]]=Data[[#This Row],[W Rank]]</f>
        <v>0</v>
      </c>
      <c r="U1118" s="323"/>
    </row>
    <row r="1119" spans="1:21" ht="15" customHeight="1">
      <c r="A1119" s="326"/>
      <c r="B1119" s="326"/>
      <c r="C1119" s="329"/>
      <c r="D1119" s="81">
        <f>D1117</f>
        <v>45860</v>
      </c>
      <c r="E1119" s="140" t="str">
        <f>$L$1</f>
        <v>loganworsdell</v>
      </c>
      <c r="F1119" s="8">
        <f>IFERROR(AVERAGE(Data[[#This Row],[alappatjoe]:[currydestroyer27]]), "TBD")</f>
        <v>4.2</v>
      </c>
      <c r="G1119" s="177">
        <f>IFERROR(_xlfn.STDEV.P(Data[[#This Row],[alappatjoe]:[currydestroyer27]]), "TBD")</f>
        <v>0.74833147735478833</v>
      </c>
      <c r="H1119" s="135" t="s">
        <v>2307</v>
      </c>
      <c r="I1119" s="229" t="s">
        <v>2308</v>
      </c>
      <c r="J1119" s="8">
        <v>4</v>
      </c>
      <c r="K1119" s="8">
        <v>4</v>
      </c>
      <c r="L1119" s="8">
        <v>3</v>
      </c>
      <c r="M1119" s="8">
        <v>5</v>
      </c>
      <c r="N1119" s="8">
        <v>5</v>
      </c>
      <c r="O1119" s="238">
        <v>1201571</v>
      </c>
      <c r="P1119" s="234"/>
      <c r="Q1119" s="93"/>
      <c r="R11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19" s="93">
        <v>1</v>
      </c>
      <c r="T1119" s="93" t="b">
        <f>Data[[#This Row],[Day Rank]]=Data[[#This Row],[W Rank]]</f>
        <v>0</v>
      </c>
      <c r="U1119" s="323"/>
    </row>
    <row r="1120" spans="1:21" ht="15" customHeight="1">
      <c r="A1120" s="326"/>
      <c r="B1120" s="326"/>
      <c r="C1120" s="329"/>
      <c r="D1120" s="81">
        <f>D1117</f>
        <v>45860</v>
      </c>
      <c r="E1120" s="140" t="str">
        <f>$M$1</f>
        <v>samuelbattista</v>
      </c>
      <c r="F1120" s="8">
        <f>IFERROR(AVERAGE(Data[[#This Row],[alappatjoe]:[currydestroyer27]]), "TBD")</f>
        <v>1.8</v>
      </c>
      <c r="G1120" s="177">
        <f>IFERROR(_xlfn.STDEV.P(Data[[#This Row],[alappatjoe]:[currydestroyer27]]), "TBD")</f>
        <v>0.74833147735478833</v>
      </c>
      <c r="H1120" s="245" t="s">
        <v>2309</v>
      </c>
      <c r="I1120" s="229" t="s">
        <v>2310</v>
      </c>
      <c r="J1120" s="8">
        <v>3</v>
      </c>
      <c r="K1120" s="8">
        <v>2</v>
      </c>
      <c r="L1120" s="8">
        <v>2</v>
      </c>
      <c r="M1120" s="8">
        <v>1</v>
      </c>
      <c r="N1120" s="8">
        <v>1</v>
      </c>
      <c r="O1120" s="238"/>
      <c r="P1120" s="234"/>
      <c r="Q1120" s="93"/>
      <c r="R11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20" s="93">
        <v>1</v>
      </c>
      <c r="T1120" s="93" t="b">
        <f>Data[[#This Row],[Day Rank]]=Data[[#This Row],[W Rank]]</f>
        <v>1</v>
      </c>
      <c r="U1120" s="323"/>
    </row>
    <row r="1121" spans="1:21" ht="15" customHeight="1" thickBot="1">
      <c r="A1121" s="327"/>
      <c r="B1121" s="327"/>
      <c r="C1121" s="330"/>
      <c r="D1121" s="164">
        <f>D1117</f>
        <v>45860</v>
      </c>
      <c r="E1121" s="215" t="str">
        <f>$N$1</f>
        <v>currydestroyer27</v>
      </c>
      <c r="F1121" s="165">
        <f>IFERROR(AVERAGE(Data[[#This Row],[alappatjoe]:[currydestroyer27]]), "TBD")</f>
        <v>2.8</v>
      </c>
      <c r="G1121" s="256">
        <f>IFERROR(_xlfn.STDEV.P(Data[[#This Row],[alappatjoe]:[currydestroyer27]]), "TBD")</f>
        <v>1.3266499161421599</v>
      </c>
      <c r="H1121" s="227" t="s">
        <v>2311</v>
      </c>
      <c r="I1121" s="257" t="s">
        <v>2312</v>
      </c>
      <c r="J1121" s="165">
        <v>2</v>
      </c>
      <c r="K1121" s="165">
        <v>5</v>
      </c>
      <c r="L1121" s="165">
        <v>1</v>
      </c>
      <c r="M1121" s="165">
        <v>3</v>
      </c>
      <c r="N1121" s="165">
        <v>3</v>
      </c>
      <c r="O1121" s="242">
        <v>3000</v>
      </c>
      <c r="P1121" s="237"/>
      <c r="Q1121" s="167"/>
      <c r="R11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21" s="167">
        <v>1</v>
      </c>
      <c r="T1121" s="167" t="b">
        <f>Data[[#This Row],[Day Rank]]=Data[[#This Row],[W Rank]]</f>
        <v>0</v>
      </c>
      <c r="U1121" s="324"/>
    </row>
    <row r="1122" spans="1:21" ht="15" customHeight="1">
      <c r="A1122" s="325">
        <v>45861</v>
      </c>
      <c r="B1122" s="325"/>
      <c r="C1122" s="338" t="str" cm="1">
        <f t="array" ref="C1122">_xlfn.LET(_xlpm.matches, _xlfn._xlws.FILTER(Data[Poster], (Data[Date]=A1122)*(Data[Winner]=TRUE)), IF(ROWS(_xlpm.matches)&gt;1, "TIE", _xlpm.matches))</f>
        <v>danram</v>
      </c>
      <c r="D1122" s="147">
        <f>A1122</f>
        <v>45861</v>
      </c>
      <c r="E1122" s="181" t="str">
        <f>$J$1</f>
        <v>alappatjoe</v>
      </c>
      <c r="F1122" s="9">
        <f>IFERROR(AVERAGE(Data[[#This Row],[alappatjoe]:[currydestroyer27]]), "TBD")</f>
        <v>2.6</v>
      </c>
      <c r="G1122" s="178">
        <f>IFERROR(_xlfn.STDEV.P(Data[[#This Row],[alappatjoe]:[currydestroyer27]]), "TBD")</f>
        <v>1.6248076809271921</v>
      </c>
      <c r="H1122" s="160" t="s">
        <v>2313</v>
      </c>
      <c r="I1122" s="186" t="s">
        <v>2314</v>
      </c>
      <c r="J1122" s="9">
        <v>1</v>
      </c>
      <c r="K1122" s="9">
        <v>4</v>
      </c>
      <c r="L1122" s="9">
        <v>1</v>
      </c>
      <c r="M1122" s="9">
        <v>5</v>
      </c>
      <c r="N1122" s="9">
        <v>2</v>
      </c>
      <c r="O1122" s="238">
        <v>794320</v>
      </c>
      <c r="P1122" s="234"/>
      <c r="Q1122" s="93"/>
      <c r="R11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22" s="93">
        <v>1</v>
      </c>
      <c r="T1122" s="93" t="b">
        <f>Data[[#This Row],[Day Rank]]=Data[[#This Row],[W Rank]]</f>
        <v>0</v>
      </c>
      <c r="U1122" s="331"/>
    </row>
    <row r="1123" spans="1:21" ht="15" customHeight="1">
      <c r="A1123" s="326"/>
      <c r="B1123" s="326"/>
      <c r="C1123" s="339"/>
      <c r="D1123" s="81">
        <f>D1122</f>
        <v>45861</v>
      </c>
      <c r="E1123" s="140" t="str">
        <f>$K$1</f>
        <v>danram</v>
      </c>
      <c r="F1123" s="8">
        <f>IFERROR(AVERAGE(Data[[#This Row],[alappatjoe]:[currydestroyer27]]), "TBD")</f>
        <v>2.2000000000000002</v>
      </c>
      <c r="G1123" s="177">
        <f>IFERROR(_xlfn.STDEV.P(Data[[#This Row],[alappatjoe]:[currydestroyer27]]), "TBD")</f>
        <v>0.9797958971132712</v>
      </c>
      <c r="H1123" s="135" t="s">
        <v>2315</v>
      </c>
      <c r="I1123" s="229" t="s">
        <v>373</v>
      </c>
      <c r="J1123" s="8">
        <v>2</v>
      </c>
      <c r="K1123" s="8">
        <v>1</v>
      </c>
      <c r="L1123" s="8">
        <v>2</v>
      </c>
      <c r="M1123" s="8">
        <v>2</v>
      </c>
      <c r="N1123" s="8">
        <v>4</v>
      </c>
      <c r="O1123" s="238"/>
      <c r="P1123" s="234"/>
      <c r="Q1123" s="93"/>
      <c r="R11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23" s="93">
        <v>1</v>
      </c>
      <c r="T1123" s="93" t="b">
        <f>Data[[#This Row],[Day Rank]]=Data[[#This Row],[W Rank]]</f>
        <v>1</v>
      </c>
      <c r="U1123" s="323"/>
    </row>
    <row r="1124" spans="1:21" ht="15" customHeight="1">
      <c r="A1124" s="326"/>
      <c r="B1124" s="326"/>
      <c r="C1124" s="339"/>
      <c r="D1124" s="81">
        <f>D1122</f>
        <v>45861</v>
      </c>
      <c r="E1124" s="140" t="str">
        <f>$L$1</f>
        <v>loganworsdell</v>
      </c>
      <c r="F1124" s="8">
        <f>IFERROR(AVERAGE(Data[[#This Row],[alappatjoe]:[currydestroyer27]]), "TBD")</f>
        <v>3</v>
      </c>
      <c r="G1124" s="177">
        <f>IFERROR(_xlfn.STDEV.P(Data[[#This Row],[alappatjoe]:[currydestroyer27]]), "TBD")</f>
        <v>0</v>
      </c>
      <c r="H1124" s="135" t="s">
        <v>2316</v>
      </c>
      <c r="I1124" s="229" t="s">
        <v>2317</v>
      </c>
      <c r="J1124" s="8">
        <v>3</v>
      </c>
      <c r="K1124" s="8">
        <v>3</v>
      </c>
      <c r="L1124" s="8">
        <v>3</v>
      </c>
      <c r="M1124" s="8">
        <v>3</v>
      </c>
      <c r="N1124" s="8">
        <v>3</v>
      </c>
      <c r="O1124" s="238">
        <v>2229938</v>
      </c>
      <c r="P1124" s="234"/>
      <c r="Q1124" s="93"/>
      <c r="R11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24" s="93">
        <v>1</v>
      </c>
      <c r="T1124" s="93" t="b">
        <f>Data[[#This Row],[Day Rank]]=Data[[#This Row],[W Rank]]</f>
        <v>0</v>
      </c>
      <c r="U1124" s="323"/>
    </row>
    <row r="1125" spans="1:21" ht="15" customHeight="1">
      <c r="A1125" s="326"/>
      <c r="B1125" s="326"/>
      <c r="C1125" s="339"/>
      <c r="D1125" s="81">
        <f>D1122</f>
        <v>45861</v>
      </c>
      <c r="E1125" s="140" t="str">
        <f>$M$1</f>
        <v>samuelbattista</v>
      </c>
      <c r="F1125" s="8">
        <f>IFERROR(AVERAGE(Data[[#This Row],[alappatjoe]:[currydestroyer27]]), "TBD")</f>
        <v>4.2</v>
      </c>
      <c r="G1125" s="177">
        <f>IFERROR(_xlfn.STDEV.P(Data[[#This Row],[alappatjoe]:[currydestroyer27]]), "TBD")</f>
        <v>1.6</v>
      </c>
      <c r="H1125" s="245" t="s">
        <v>2318</v>
      </c>
      <c r="I1125" s="229" t="s">
        <v>2319</v>
      </c>
      <c r="J1125" s="8">
        <v>5</v>
      </c>
      <c r="K1125" s="8">
        <v>5</v>
      </c>
      <c r="L1125" s="8">
        <v>5</v>
      </c>
      <c r="M1125" s="8">
        <v>1</v>
      </c>
      <c r="N1125" s="8">
        <v>5</v>
      </c>
      <c r="O1125" s="238"/>
      <c r="P1125" s="234"/>
      <c r="Q1125" s="93"/>
      <c r="R11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25" s="93">
        <v>1</v>
      </c>
      <c r="T1125" s="93" t="b">
        <f>Data[[#This Row],[Day Rank]]=Data[[#This Row],[W Rank]]</f>
        <v>0</v>
      </c>
      <c r="U1125" s="323"/>
    </row>
    <row r="1126" spans="1:21" ht="15" customHeight="1" thickBot="1">
      <c r="A1126" s="327"/>
      <c r="B1126" s="327"/>
      <c r="C1126" s="340"/>
      <c r="D1126" s="164">
        <f>D1122</f>
        <v>45861</v>
      </c>
      <c r="E1126" s="215" t="str">
        <f>$N$1</f>
        <v>currydestroyer27</v>
      </c>
      <c r="F1126" s="165">
        <f>IFERROR(AVERAGE(Data[[#This Row],[alappatjoe]:[currydestroyer27]]), "TBD")</f>
        <v>3</v>
      </c>
      <c r="G1126" s="256">
        <f>IFERROR(_xlfn.STDEV.P(Data[[#This Row],[alappatjoe]:[currydestroyer27]]), "TBD")</f>
        <v>1.2649110640673518</v>
      </c>
      <c r="H1126" s="227" t="s">
        <v>2320</v>
      </c>
      <c r="I1126" s="257" t="s">
        <v>2321</v>
      </c>
      <c r="J1126" s="165">
        <v>4</v>
      </c>
      <c r="K1126" s="165">
        <v>2</v>
      </c>
      <c r="L1126" s="165">
        <v>4</v>
      </c>
      <c r="M1126" s="165">
        <v>4</v>
      </c>
      <c r="N1126" s="165">
        <v>1</v>
      </c>
      <c r="O1126" s="242">
        <v>61563066</v>
      </c>
      <c r="P1126" s="237"/>
      <c r="Q1126" s="167"/>
      <c r="R11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26" s="167">
        <v>1</v>
      </c>
      <c r="T1126" s="167" t="b">
        <f>Data[[#This Row],[Day Rank]]=Data[[#This Row],[W Rank]]</f>
        <v>0</v>
      </c>
      <c r="U1126" s="324"/>
    </row>
    <row r="1127" spans="1:21" ht="15" customHeight="1">
      <c r="A1127" s="325">
        <v>45862</v>
      </c>
      <c r="B1127" s="325"/>
      <c r="C1127" s="328" t="str" cm="1">
        <f t="array" ref="C1127">_xlfn.LET(_xlpm.matches, _xlfn._xlws.FILTER(Data[Poster], (Data[Date]=A1127)*(Data[Winner]=TRUE)), IF(ROWS(_xlpm.matches)&gt;1, "TIE", _xlpm.matches))</f>
        <v>loganworsdell</v>
      </c>
      <c r="D1127" s="147">
        <f>A1127</f>
        <v>45862</v>
      </c>
      <c r="E1127" s="181" t="str">
        <f>$J$1</f>
        <v>alappatjoe</v>
      </c>
      <c r="F1127" s="9">
        <f>IFERROR(AVERAGE(Data[[#This Row],[alappatjoe]:[currydestroyer27]]), "TBD")</f>
        <v>4.2</v>
      </c>
      <c r="G1127" s="178">
        <f>IFERROR(_xlfn.STDEV.P(Data[[#This Row],[alappatjoe]:[currydestroyer27]]), "TBD")</f>
        <v>1.6</v>
      </c>
      <c r="H1127" s="160" t="s">
        <v>2322</v>
      </c>
      <c r="I1127" s="186" t="s">
        <v>2323</v>
      </c>
      <c r="J1127" s="9">
        <v>1</v>
      </c>
      <c r="K1127" s="9">
        <v>5</v>
      </c>
      <c r="L1127" s="9">
        <v>5</v>
      </c>
      <c r="M1127" s="9">
        <v>5</v>
      </c>
      <c r="N1127" s="9">
        <v>5</v>
      </c>
      <c r="O1127" s="238">
        <v>2680962</v>
      </c>
      <c r="P1127" s="234"/>
      <c r="Q1127" s="93"/>
      <c r="R11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27" s="93">
        <v>1</v>
      </c>
      <c r="T1127" s="93" t="b">
        <f>Data[[#This Row],[Day Rank]]=Data[[#This Row],[W Rank]]</f>
        <v>0</v>
      </c>
      <c r="U1127" s="331" t="s">
        <v>2324</v>
      </c>
    </row>
    <row r="1128" spans="1:21" ht="15" customHeight="1">
      <c r="A1128" s="326"/>
      <c r="B1128" s="326"/>
      <c r="C1128" s="329"/>
      <c r="D1128" s="81">
        <f>D1127</f>
        <v>45862</v>
      </c>
      <c r="E1128" s="140" t="str">
        <f>$K$1</f>
        <v>danram</v>
      </c>
      <c r="F1128" s="8">
        <f>IFERROR(AVERAGE(Data[[#This Row],[alappatjoe]:[currydestroyer27]]), "TBD")</f>
        <v>2.8</v>
      </c>
      <c r="G1128" s="177">
        <f>IFERROR(_xlfn.STDEV.P(Data[[#This Row],[alappatjoe]:[currydestroyer27]]), "TBD")</f>
        <v>0.74833147735478833</v>
      </c>
      <c r="H1128" s="135" t="s">
        <v>2325</v>
      </c>
      <c r="I1128" s="229" t="s">
        <v>2182</v>
      </c>
      <c r="J1128" s="8">
        <v>2</v>
      </c>
      <c r="K1128" s="8">
        <v>3</v>
      </c>
      <c r="L1128" s="8">
        <v>3</v>
      </c>
      <c r="M1128" s="8">
        <v>2</v>
      </c>
      <c r="N1128" s="8">
        <v>4</v>
      </c>
      <c r="O1128" s="238"/>
      <c r="P1128" s="234"/>
      <c r="Q1128" s="93"/>
      <c r="R11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28" s="93">
        <v>1</v>
      </c>
      <c r="T1128" s="93" t="b">
        <f>Data[[#This Row],[Day Rank]]=Data[[#This Row],[W Rank]]</f>
        <v>0</v>
      </c>
      <c r="U1128" s="323"/>
    </row>
    <row r="1129" spans="1:21" ht="15" customHeight="1">
      <c r="A1129" s="326"/>
      <c r="B1129" s="326"/>
      <c r="C1129" s="329"/>
      <c r="D1129" s="81">
        <f>D1127</f>
        <v>45862</v>
      </c>
      <c r="E1129" s="140" t="str">
        <f>$L$1</f>
        <v>loganworsdell</v>
      </c>
      <c r="F1129" s="8">
        <f>IFERROR(AVERAGE(Data[[#This Row],[alappatjoe]:[currydestroyer27]]), "TBD")</f>
        <v>2.6</v>
      </c>
      <c r="G1129" s="177">
        <f>IFERROR(_xlfn.STDEV.P(Data[[#This Row],[alappatjoe]:[currydestroyer27]]), "TBD")</f>
        <v>1.019803902718557</v>
      </c>
      <c r="H1129" s="135" t="s">
        <v>2326</v>
      </c>
      <c r="I1129" s="229" t="s">
        <v>2327</v>
      </c>
      <c r="J1129" s="8">
        <v>4</v>
      </c>
      <c r="K1129" s="8">
        <v>1</v>
      </c>
      <c r="L1129" s="8">
        <v>2</v>
      </c>
      <c r="M1129" s="8">
        <v>3</v>
      </c>
      <c r="N1129" s="8">
        <v>3</v>
      </c>
      <c r="O1129" s="238">
        <v>484151225</v>
      </c>
      <c r="P1129" s="234"/>
      <c r="Q1129" s="93"/>
      <c r="R11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29" s="93">
        <v>1</v>
      </c>
      <c r="T1129" s="93" t="b">
        <f>Data[[#This Row],[Day Rank]]=Data[[#This Row],[W Rank]]</f>
        <v>1</v>
      </c>
      <c r="U1129" s="323"/>
    </row>
    <row r="1130" spans="1:21" ht="15" customHeight="1">
      <c r="A1130" s="326"/>
      <c r="B1130" s="326"/>
      <c r="C1130" s="329"/>
      <c r="D1130" s="81">
        <f>D1127</f>
        <v>45862</v>
      </c>
      <c r="E1130" s="140" t="str">
        <f>$M$1</f>
        <v>samuelbattista</v>
      </c>
      <c r="F1130" s="8">
        <f>IFERROR(AVERAGE(Data[[#This Row],[alappatjoe]:[currydestroyer27]]), "TBD")</f>
        <v>2.6</v>
      </c>
      <c r="G1130" s="177">
        <f>IFERROR(_xlfn.STDEV.P(Data[[#This Row],[alappatjoe]:[currydestroyer27]]), "TBD")</f>
        <v>1.6248076809271921</v>
      </c>
      <c r="H1130" s="245" t="s">
        <v>2328</v>
      </c>
      <c r="I1130" s="229" t="s">
        <v>2329</v>
      </c>
      <c r="J1130" s="8">
        <v>5</v>
      </c>
      <c r="K1130" s="8">
        <v>4</v>
      </c>
      <c r="L1130" s="8">
        <v>1</v>
      </c>
      <c r="M1130" s="8">
        <v>1</v>
      </c>
      <c r="N1130" s="8">
        <v>2</v>
      </c>
      <c r="O1130" s="238"/>
      <c r="P1130" s="234"/>
      <c r="Q1130" s="93"/>
      <c r="R11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30" s="93">
        <v>1</v>
      </c>
      <c r="T1130" s="93" t="b">
        <f>Data[[#This Row],[Day Rank]]=Data[[#This Row],[W Rank]]</f>
        <v>0</v>
      </c>
      <c r="U1130" s="323"/>
    </row>
    <row r="1131" spans="1:21" ht="15" customHeight="1" thickBot="1">
      <c r="A1131" s="327"/>
      <c r="B1131" s="327"/>
      <c r="C1131" s="330"/>
      <c r="D1131" s="164">
        <f>D1127</f>
        <v>45862</v>
      </c>
      <c r="E1131" s="215" t="str">
        <f>$N$1</f>
        <v>currydestroyer27</v>
      </c>
      <c r="F1131" s="165">
        <f>IFERROR(AVERAGE(Data[[#This Row],[alappatjoe]:[currydestroyer27]]), "TBD")</f>
        <v>2.8</v>
      </c>
      <c r="G1131" s="256">
        <f>IFERROR(_xlfn.STDEV.P(Data[[#This Row],[alappatjoe]:[currydestroyer27]]), "TBD")</f>
        <v>1.1661903789690602</v>
      </c>
      <c r="H1131" s="227" t="s">
        <v>2330</v>
      </c>
      <c r="I1131" s="257" t="s">
        <v>2331</v>
      </c>
      <c r="J1131" s="165">
        <v>3</v>
      </c>
      <c r="K1131" s="165">
        <v>2</v>
      </c>
      <c r="L1131" s="165">
        <v>4</v>
      </c>
      <c r="M1131" s="165">
        <v>4</v>
      </c>
      <c r="N1131" s="165">
        <v>1</v>
      </c>
      <c r="O1131" s="242">
        <v>908103512</v>
      </c>
      <c r="P1131" s="237"/>
      <c r="Q1131" s="167"/>
      <c r="R113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31" s="167">
        <v>1</v>
      </c>
      <c r="T1131" s="167" t="b">
        <f>Data[[#This Row],[Day Rank]]=Data[[#This Row],[W Rank]]</f>
        <v>0</v>
      </c>
      <c r="U1131" s="324"/>
    </row>
    <row r="1132" spans="1:21" ht="15" customHeight="1">
      <c r="A1132" s="325">
        <v>45866</v>
      </c>
      <c r="B1132" s="325"/>
      <c r="C1132" s="338" t="str" cm="1">
        <f t="array" ref="C1132">_xlfn.LET(_xlpm.matches, _xlfn._xlws.FILTER(Data[Poster], (Data[Date]=A1132)*(Data[Winner]=TRUE)), IF(ROWS(_xlpm.matches)&gt;1, "TIE", _xlpm.matches))</f>
        <v>currydestroyer27</v>
      </c>
      <c r="D1132" s="147">
        <f>A1132</f>
        <v>45866</v>
      </c>
      <c r="E1132" s="181" t="str">
        <f>$J$1</f>
        <v>alappatjoe</v>
      </c>
      <c r="F1132" s="9">
        <f>IFERROR(AVERAGE(Data[[#This Row],[alappatjoe]:[currydestroyer27]]), "TBD")</f>
        <v>4</v>
      </c>
      <c r="G1132" s="178">
        <f>IFERROR(_xlfn.STDEV.P(Data[[#This Row],[alappatjoe]:[currydestroyer27]]), "TBD")</f>
        <v>1.2649110640673518</v>
      </c>
      <c r="H1132" s="160" t="s">
        <v>2332</v>
      </c>
      <c r="I1132" s="186" t="s">
        <v>2333</v>
      </c>
      <c r="J1132" s="9">
        <v>2</v>
      </c>
      <c r="K1132" s="9">
        <v>3</v>
      </c>
      <c r="L1132" s="9">
        <v>5</v>
      </c>
      <c r="M1132" s="9">
        <v>5</v>
      </c>
      <c r="N1132" s="9">
        <v>5</v>
      </c>
      <c r="O1132" s="238">
        <v>2089841</v>
      </c>
      <c r="P1132" s="234"/>
      <c r="Q1132" s="93"/>
      <c r="R11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32" s="93">
        <v>1</v>
      </c>
      <c r="T1132" s="93" t="b">
        <f>Data[[#This Row],[Day Rank]]=Data[[#This Row],[W Rank]]</f>
        <v>0</v>
      </c>
      <c r="U1132" s="331"/>
    </row>
    <row r="1133" spans="1:21" ht="15" customHeight="1">
      <c r="A1133" s="326"/>
      <c r="B1133" s="326"/>
      <c r="C1133" s="339"/>
      <c r="D1133" s="81">
        <f>D1132</f>
        <v>45866</v>
      </c>
      <c r="E1133" s="140" t="str">
        <f>$K$1</f>
        <v>danram</v>
      </c>
      <c r="F1133" s="8">
        <f>IFERROR(AVERAGE(Data[[#This Row],[alappatjoe]:[currydestroyer27]]), "TBD")</f>
        <v>2</v>
      </c>
      <c r="G1133" s="177">
        <f>IFERROR(_xlfn.STDEV.P(Data[[#This Row],[alappatjoe]:[currydestroyer27]]), "TBD")</f>
        <v>0.89442719099991586</v>
      </c>
      <c r="H1133" s="135" t="s">
        <v>2334</v>
      </c>
      <c r="I1133" s="229" t="s">
        <v>287</v>
      </c>
      <c r="J1133" s="8">
        <v>1</v>
      </c>
      <c r="K1133" s="8">
        <v>1</v>
      </c>
      <c r="L1133" s="8">
        <v>2</v>
      </c>
      <c r="M1133" s="8">
        <v>3</v>
      </c>
      <c r="N1133" s="8">
        <v>3</v>
      </c>
      <c r="O1133" s="238"/>
      <c r="P1133" s="234"/>
      <c r="Q1133" s="93"/>
      <c r="R11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33" s="93">
        <v>1</v>
      </c>
      <c r="T1133" s="93" t="b">
        <f>Data[[#This Row],[Day Rank]]=Data[[#This Row],[W Rank]]</f>
        <v>0</v>
      </c>
      <c r="U1133" s="323"/>
    </row>
    <row r="1134" spans="1:21" ht="15" customHeight="1">
      <c r="A1134" s="326"/>
      <c r="B1134" s="326"/>
      <c r="C1134" s="339"/>
      <c r="D1134" s="81">
        <f>D1132</f>
        <v>45866</v>
      </c>
      <c r="E1134" s="140" t="str">
        <f>$L$1</f>
        <v>loganworsdell</v>
      </c>
      <c r="F1134" s="8">
        <f>IFERROR(AVERAGE(Data[[#This Row],[alappatjoe]:[currydestroyer27]]), "TBD")</f>
        <v>3.4</v>
      </c>
      <c r="G1134" s="177">
        <f>IFERROR(_xlfn.STDEV.P(Data[[#This Row],[alappatjoe]:[currydestroyer27]]), "TBD")</f>
        <v>0.8</v>
      </c>
      <c r="H1134" s="135" t="s">
        <v>2335</v>
      </c>
      <c r="I1134" s="229" t="s">
        <v>2336</v>
      </c>
      <c r="J1134" s="8">
        <v>4</v>
      </c>
      <c r="K1134" s="8">
        <v>4</v>
      </c>
      <c r="L1134" s="8">
        <v>3</v>
      </c>
      <c r="M1134" s="8">
        <v>4</v>
      </c>
      <c r="N1134" s="8">
        <v>2</v>
      </c>
      <c r="O1134" s="238">
        <v>3870262</v>
      </c>
      <c r="P1134" s="234"/>
      <c r="Q1134" s="93"/>
      <c r="R11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34" s="93">
        <v>1</v>
      </c>
      <c r="T1134" s="93" t="b">
        <f>Data[[#This Row],[Day Rank]]=Data[[#This Row],[W Rank]]</f>
        <v>0</v>
      </c>
      <c r="U1134" s="323"/>
    </row>
    <row r="1135" spans="1:21" ht="15" customHeight="1">
      <c r="A1135" s="326"/>
      <c r="B1135" s="326"/>
      <c r="C1135" s="339"/>
      <c r="D1135" s="81">
        <f>D1132</f>
        <v>45866</v>
      </c>
      <c r="E1135" s="140" t="str">
        <f>$M$1</f>
        <v>samuelbattista</v>
      </c>
      <c r="F1135" s="8">
        <f>IFERROR(AVERAGE(Data[[#This Row],[alappatjoe]:[currydestroyer27]]), "TBD")</f>
        <v>4</v>
      </c>
      <c r="G1135" s="177">
        <f>IFERROR(_xlfn.STDEV.P(Data[[#This Row],[alappatjoe]:[currydestroyer27]]), "TBD")</f>
        <v>1.0954451150103321</v>
      </c>
      <c r="H1135" s="245" t="s">
        <v>2337</v>
      </c>
      <c r="I1135" s="229" t="s">
        <v>2338</v>
      </c>
      <c r="J1135" s="8">
        <v>5</v>
      </c>
      <c r="K1135" s="8">
        <v>5</v>
      </c>
      <c r="L1135" s="8">
        <v>4</v>
      </c>
      <c r="M1135" s="8">
        <v>2</v>
      </c>
      <c r="N1135" s="8">
        <v>4</v>
      </c>
      <c r="O1135" s="238"/>
      <c r="P1135" s="234"/>
      <c r="Q1135" s="93"/>
      <c r="R11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35" s="93">
        <v>1</v>
      </c>
      <c r="T1135" s="93" t="b">
        <f>Data[[#This Row],[Day Rank]]=Data[[#This Row],[W Rank]]</f>
        <v>0</v>
      </c>
      <c r="U1135" s="323"/>
    </row>
    <row r="1136" spans="1:21" ht="15" customHeight="1" thickBot="1">
      <c r="A1136" s="327"/>
      <c r="B1136" s="327"/>
      <c r="C1136" s="340"/>
      <c r="D1136" s="164">
        <f>D1132</f>
        <v>45866</v>
      </c>
      <c r="E1136" s="215" t="str">
        <f>$N$1</f>
        <v>currydestroyer27</v>
      </c>
      <c r="F1136" s="165">
        <f>IFERROR(AVERAGE(Data[[#This Row],[alappatjoe]:[currydestroyer27]]), "TBD")</f>
        <v>1.6</v>
      </c>
      <c r="G1136" s="256">
        <f>IFERROR(_xlfn.STDEV.P(Data[[#This Row],[alappatjoe]:[currydestroyer27]]), "TBD")</f>
        <v>0.8</v>
      </c>
      <c r="H1136" s="227" t="s">
        <v>2339</v>
      </c>
      <c r="I1136" s="257" t="s">
        <v>1974</v>
      </c>
      <c r="J1136" s="165">
        <v>3</v>
      </c>
      <c r="K1136" s="165">
        <v>2</v>
      </c>
      <c r="L1136" s="165">
        <v>1</v>
      </c>
      <c r="M1136" s="165">
        <v>1</v>
      </c>
      <c r="N1136" s="165">
        <v>1</v>
      </c>
      <c r="O1136" s="242">
        <v>813985318</v>
      </c>
      <c r="P1136" s="237"/>
      <c r="Q1136" s="167"/>
      <c r="R113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36" s="167">
        <v>1</v>
      </c>
      <c r="T1136" s="167" t="b">
        <f>Data[[#This Row],[Day Rank]]=Data[[#This Row],[W Rank]]</f>
        <v>1</v>
      </c>
      <c r="U1136" s="324"/>
    </row>
    <row r="1137" spans="1:21" ht="15" customHeight="1">
      <c r="A1137" s="325">
        <v>45867</v>
      </c>
      <c r="B1137" s="325"/>
      <c r="C1137" s="328" t="str" cm="1">
        <f t="array" ref="C1137">_xlfn.LET(_xlpm.matches, _xlfn._xlws.FILTER(Data[Poster], (Data[Date]=A1137)*(Data[Winner]=TRUE)), IF(ROWS(_xlpm.matches)&gt;1, "TIE", _xlpm.matches))</f>
        <v>alappatjoe</v>
      </c>
      <c r="D1137" s="147">
        <f>A1137</f>
        <v>45867</v>
      </c>
      <c r="E1137" s="181" t="str">
        <f>$J$1</f>
        <v>alappatjoe</v>
      </c>
      <c r="F1137" s="9">
        <f>IFERROR(AVERAGE(Data[[#This Row],[alappatjoe]:[currydestroyer27]]), "TBD")</f>
        <v>2</v>
      </c>
      <c r="G1137" s="178">
        <f>IFERROR(_xlfn.STDEV.P(Data[[#This Row],[alappatjoe]:[currydestroyer27]]), "TBD")</f>
        <v>0.89442719099991586</v>
      </c>
      <c r="H1137" s="160" t="s">
        <v>2340</v>
      </c>
      <c r="I1137" s="186" t="s">
        <v>2341</v>
      </c>
      <c r="J1137" s="9">
        <v>3</v>
      </c>
      <c r="K1137" s="9">
        <v>1</v>
      </c>
      <c r="L1137" s="9">
        <v>2</v>
      </c>
      <c r="M1137" s="9">
        <v>3</v>
      </c>
      <c r="N1137" s="9">
        <v>1</v>
      </c>
      <c r="O1137" s="238">
        <v>359993</v>
      </c>
      <c r="P1137" s="234"/>
      <c r="Q1137" s="93"/>
      <c r="R11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37" s="93">
        <v>1</v>
      </c>
      <c r="T1137" s="93" t="b">
        <f>Data[[#This Row],[Day Rank]]=Data[[#This Row],[W Rank]]</f>
        <v>1</v>
      </c>
      <c r="U1137" s="331"/>
    </row>
    <row r="1138" spans="1:21" ht="15" customHeight="1">
      <c r="A1138" s="326"/>
      <c r="B1138" s="326"/>
      <c r="C1138" s="329"/>
      <c r="D1138" s="81">
        <f>D1137</f>
        <v>45867</v>
      </c>
      <c r="E1138" s="140" t="str">
        <f>$K$1</f>
        <v>danram</v>
      </c>
      <c r="F1138" s="8">
        <f>IFERROR(AVERAGE(Data[[#This Row],[alappatjoe]:[currydestroyer27]]), "TBD")</f>
        <v>3</v>
      </c>
      <c r="G1138" s="177">
        <f>IFERROR(_xlfn.STDEV.P(Data[[#This Row],[alappatjoe]:[currydestroyer27]]), "TBD")</f>
        <v>1.4142135623730951</v>
      </c>
      <c r="H1138" s="135" t="s">
        <v>2342</v>
      </c>
      <c r="I1138" s="229" t="s">
        <v>909</v>
      </c>
      <c r="J1138" s="8">
        <v>4</v>
      </c>
      <c r="K1138" s="8">
        <v>2</v>
      </c>
      <c r="L1138" s="8">
        <v>3</v>
      </c>
      <c r="M1138" s="8">
        <v>1</v>
      </c>
      <c r="N1138" s="8">
        <v>5</v>
      </c>
      <c r="O1138" s="238"/>
      <c r="P1138" s="234"/>
      <c r="Q1138" s="93"/>
      <c r="R11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38" s="93">
        <v>1</v>
      </c>
      <c r="T1138" s="93" t="b">
        <f>Data[[#This Row],[Day Rank]]=Data[[#This Row],[W Rank]]</f>
        <v>0</v>
      </c>
      <c r="U1138" s="323"/>
    </row>
    <row r="1139" spans="1:21" ht="15" customHeight="1">
      <c r="A1139" s="326"/>
      <c r="B1139" s="326"/>
      <c r="C1139" s="329"/>
      <c r="D1139" s="81">
        <f>D1137</f>
        <v>45867</v>
      </c>
      <c r="E1139" s="140" t="str">
        <f>$L$1</f>
        <v>loganworsdell</v>
      </c>
      <c r="F1139" s="8">
        <f>IFERROR(AVERAGE(Data[[#This Row],[alappatjoe]:[currydestroyer27]]), "TBD")</f>
        <v>3</v>
      </c>
      <c r="G1139" s="177">
        <f>IFERROR(_xlfn.STDEV.P(Data[[#This Row],[alappatjoe]:[currydestroyer27]]), "TBD")</f>
        <v>1.6733200530681511</v>
      </c>
      <c r="H1139" s="135" t="s">
        <v>2343</v>
      </c>
      <c r="I1139" s="229" t="s">
        <v>778</v>
      </c>
      <c r="J1139" s="8">
        <v>1</v>
      </c>
      <c r="K1139" s="8">
        <v>5</v>
      </c>
      <c r="L1139" s="8">
        <v>1</v>
      </c>
      <c r="M1139" s="8">
        <v>4</v>
      </c>
      <c r="N1139" s="8">
        <v>4</v>
      </c>
      <c r="O1139" s="238">
        <v>482271128</v>
      </c>
      <c r="P1139" s="234"/>
      <c r="Q1139" s="93"/>
      <c r="R11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39" s="93">
        <v>1</v>
      </c>
      <c r="T1139" s="93" t="b">
        <f>Data[[#This Row],[Day Rank]]=Data[[#This Row],[W Rank]]</f>
        <v>0</v>
      </c>
      <c r="U1139" s="323"/>
    </row>
    <row r="1140" spans="1:21" ht="15" customHeight="1">
      <c r="A1140" s="326"/>
      <c r="B1140" s="326"/>
      <c r="C1140" s="329"/>
      <c r="D1140" s="81">
        <f>D1137</f>
        <v>45867</v>
      </c>
      <c r="E1140" s="140" t="str">
        <f>$M$1</f>
        <v>samuelbattista</v>
      </c>
      <c r="F1140" s="8">
        <f>IFERROR(AVERAGE(Data[[#This Row],[alappatjoe]:[currydestroyer27]]), "TBD")</f>
        <v>3</v>
      </c>
      <c r="G1140" s="177">
        <f>IFERROR(_xlfn.STDEV.P(Data[[#This Row],[alappatjoe]:[currydestroyer27]]), "TBD")</f>
        <v>1.0954451150103321</v>
      </c>
      <c r="H1140" s="245" t="s">
        <v>2344</v>
      </c>
      <c r="I1140" s="229" t="s">
        <v>326</v>
      </c>
      <c r="J1140" s="8">
        <v>2</v>
      </c>
      <c r="K1140" s="8">
        <v>3</v>
      </c>
      <c r="L1140" s="8">
        <v>5</v>
      </c>
      <c r="M1140" s="8">
        <v>2</v>
      </c>
      <c r="N1140" s="8">
        <v>3</v>
      </c>
      <c r="O1140" s="238"/>
      <c r="P1140" s="234"/>
      <c r="Q1140" s="93"/>
      <c r="R11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40" s="93">
        <v>1</v>
      </c>
      <c r="T1140" s="93" t="b">
        <f>Data[[#This Row],[Day Rank]]=Data[[#This Row],[W Rank]]</f>
        <v>0</v>
      </c>
      <c r="U1140" s="323"/>
    </row>
    <row r="1141" spans="1:21" ht="15" customHeight="1" thickBot="1">
      <c r="A1141" s="327"/>
      <c r="B1141" s="327"/>
      <c r="C1141" s="330"/>
      <c r="D1141" s="164">
        <f>D1137</f>
        <v>45867</v>
      </c>
      <c r="E1141" s="215" t="str">
        <f>$N$1</f>
        <v>currydestroyer27</v>
      </c>
      <c r="F1141" s="165">
        <f>IFERROR(AVERAGE(Data[[#This Row],[alappatjoe]:[currydestroyer27]]), "TBD")</f>
        <v>4</v>
      </c>
      <c r="G1141" s="256">
        <f>IFERROR(_xlfn.STDEV.P(Data[[#This Row],[alappatjoe]:[currydestroyer27]]), "TBD")</f>
        <v>1.0954451150103321</v>
      </c>
      <c r="H1141" s="227" t="s">
        <v>2345</v>
      </c>
      <c r="I1141" s="257" t="s">
        <v>2346</v>
      </c>
      <c r="J1141" s="165">
        <v>5</v>
      </c>
      <c r="K1141" s="165">
        <v>4</v>
      </c>
      <c r="L1141" s="165">
        <v>4</v>
      </c>
      <c r="M1141" s="165">
        <v>5</v>
      </c>
      <c r="N1141" s="165">
        <v>2</v>
      </c>
      <c r="O1141" s="242">
        <v>1978027</v>
      </c>
      <c r="P1141" s="237"/>
      <c r="Q1141" s="167"/>
      <c r="R114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41" s="167">
        <v>1</v>
      </c>
      <c r="T1141" s="167" t="b">
        <f>Data[[#This Row],[Day Rank]]=Data[[#This Row],[W Rank]]</f>
        <v>0</v>
      </c>
      <c r="U1141" s="324"/>
    </row>
    <row r="1142" spans="1:21" ht="15" customHeight="1">
      <c r="A1142" s="325">
        <v>45868</v>
      </c>
      <c r="B1142" s="325"/>
      <c r="C1142" s="338" t="str" cm="1">
        <f t="array" ref="C1142">_xlfn.LET(_xlpm.matches, _xlfn._xlws.FILTER(Data[Poster], (Data[Date]=A1142)*(Data[Winner]=TRUE)), IF(ROWS(_xlpm.matches)&gt;1, "TIE", _xlpm.matches))</f>
        <v>alappatjoe</v>
      </c>
      <c r="D1142" s="147">
        <f>A1142</f>
        <v>45868</v>
      </c>
      <c r="E1142" s="181" t="str">
        <f>$J$1</f>
        <v>alappatjoe</v>
      </c>
      <c r="F1142" s="9">
        <f>IFERROR(AVERAGE(Data[[#This Row],[alappatjoe]:[currydestroyer27]]), "TBD")</f>
        <v>2.2000000000000002</v>
      </c>
      <c r="G1142" s="178">
        <f>IFERROR(_xlfn.STDEV.P(Data[[#This Row],[alappatjoe]:[currydestroyer27]]), "TBD")</f>
        <v>0.74833147735478833</v>
      </c>
      <c r="H1142" s="160" t="s">
        <v>2347</v>
      </c>
      <c r="I1142" s="186" t="s">
        <v>2348</v>
      </c>
      <c r="J1142" s="9">
        <v>1</v>
      </c>
      <c r="K1142" s="9">
        <v>3</v>
      </c>
      <c r="L1142" s="9">
        <v>2</v>
      </c>
      <c r="M1142" s="9">
        <v>3</v>
      </c>
      <c r="N1142" s="9">
        <v>2</v>
      </c>
      <c r="O1142" s="238">
        <v>4425965</v>
      </c>
      <c r="P1142" s="234"/>
      <c r="Q1142" s="93"/>
      <c r="R11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42" s="93">
        <v>1</v>
      </c>
      <c r="T1142" s="93" t="b">
        <f>Data[[#This Row],[Day Rank]]=Data[[#This Row],[W Rank]]</f>
        <v>1</v>
      </c>
      <c r="U1142" s="331"/>
    </row>
    <row r="1143" spans="1:21" ht="15" customHeight="1">
      <c r="A1143" s="326"/>
      <c r="B1143" s="326"/>
      <c r="C1143" s="339"/>
      <c r="D1143" s="81">
        <f>D1142</f>
        <v>45868</v>
      </c>
      <c r="E1143" s="140" t="str">
        <f>$K$1</f>
        <v>danram</v>
      </c>
      <c r="F1143" s="8">
        <f>IFERROR(AVERAGE(Data[[#This Row],[alappatjoe]:[currydestroyer27]]), "TBD")</f>
        <v>2.8</v>
      </c>
      <c r="G1143" s="177">
        <f>IFERROR(_xlfn.STDEV.P(Data[[#This Row],[alappatjoe]:[currydestroyer27]]), "TBD")</f>
        <v>1.1661903789690602</v>
      </c>
      <c r="H1143" s="268">
        <v>1995</v>
      </c>
      <c r="I1143" s="229" t="s">
        <v>2349</v>
      </c>
      <c r="J1143" s="8">
        <v>3</v>
      </c>
      <c r="K1143" s="8">
        <v>1</v>
      </c>
      <c r="L1143" s="8">
        <v>4</v>
      </c>
      <c r="M1143" s="8">
        <v>2</v>
      </c>
      <c r="N1143" s="8">
        <v>4</v>
      </c>
      <c r="O1143" s="238"/>
      <c r="P1143" s="234"/>
      <c r="Q1143" s="93"/>
      <c r="R11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43" s="93">
        <v>1</v>
      </c>
      <c r="T1143" s="93" t="b">
        <f>Data[[#This Row],[Day Rank]]=Data[[#This Row],[W Rank]]</f>
        <v>0</v>
      </c>
      <c r="U1143" s="323"/>
    </row>
    <row r="1144" spans="1:21" ht="15" customHeight="1">
      <c r="A1144" s="326"/>
      <c r="B1144" s="326"/>
      <c r="C1144" s="339"/>
      <c r="D1144" s="81">
        <f>D1142</f>
        <v>45868</v>
      </c>
      <c r="E1144" s="140" t="str">
        <f>$L$1</f>
        <v>loganworsdell</v>
      </c>
      <c r="F1144" s="8">
        <f>IFERROR(AVERAGE(Data[[#This Row],[alappatjoe]:[currydestroyer27]]), "TBD")</f>
        <v>2.4</v>
      </c>
      <c r="G1144" s="177">
        <f>IFERROR(_xlfn.STDEV.P(Data[[#This Row],[alappatjoe]:[currydestroyer27]]), "TBD")</f>
        <v>1.019803902718557</v>
      </c>
      <c r="H1144" s="135" t="s">
        <v>2350</v>
      </c>
      <c r="I1144" s="229" t="s">
        <v>2351</v>
      </c>
      <c r="J1144" s="3">
        <v>2</v>
      </c>
      <c r="K1144" s="8">
        <v>2</v>
      </c>
      <c r="L1144" s="8">
        <v>1</v>
      </c>
      <c r="M1144" s="8">
        <v>4</v>
      </c>
      <c r="N1144" s="8">
        <v>3</v>
      </c>
      <c r="O1144" s="238">
        <v>1518353</v>
      </c>
      <c r="P1144" s="234"/>
      <c r="Q1144" s="93"/>
      <c r="R11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44" s="93">
        <v>1</v>
      </c>
      <c r="T1144" s="93" t="b">
        <f>Data[[#This Row],[Day Rank]]=Data[[#This Row],[W Rank]]</f>
        <v>0</v>
      </c>
      <c r="U1144" s="323"/>
    </row>
    <row r="1145" spans="1:21" ht="15" customHeight="1">
      <c r="A1145" s="326"/>
      <c r="B1145" s="326"/>
      <c r="C1145" s="339"/>
      <c r="D1145" s="81">
        <f>D1142</f>
        <v>45868</v>
      </c>
      <c r="E1145" s="140" t="str">
        <f>$M$1</f>
        <v>samuelbattista</v>
      </c>
      <c r="F1145" s="8">
        <f>IFERROR(AVERAGE(Data[[#This Row],[alappatjoe]:[currydestroyer27]]), "TBD")</f>
        <v>4</v>
      </c>
      <c r="G1145" s="177">
        <f>IFERROR(_xlfn.STDEV.P(Data[[#This Row],[alappatjoe]:[currydestroyer27]]), "TBD")</f>
        <v>1.5491933384829668</v>
      </c>
      <c r="H1145" s="245" t="s">
        <v>2352</v>
      </c>
      <c r="I1145" s="229" t="s">
        <v>2353</v>
      </c>
      <c r="J1145" s="8">
        <v>5</v>
      </c>
      <c r="K1145" s="8">
        <v>4</v>
      </c>
      <c r="L1145" s="8">
        <v>5</v>
      </c>
      <c r="M1145" s="8">
        <v>1</v>
      </c>
      <c r="N1145" s="8">
        <v>5</v>
      </c>
      <c r="O1145" s="238"/>
      <c r="P1145" s="234"/>
      <c r="Q1145" s="93"/>
      <c r="R11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45" s="93">
        <v>1</v>
      </c>
      <c r="T1145" s="93" t="b">
        <f>Data[[#This Row],[Day Rank]]=Data[[#This Row],[W Rank]]</f>
        <v>0</v>
      </c>
      <c r="U1145" s="323"/>
    </row>
    <row r="1146" spans="1:21" ht="15" customHeight="1" thickBot="1">
      <c r="A1146" s="327"/>
      <c r="B1146" s="327"/>
      <c r="C1146" s="340"/>
      <c r="D1146" s="164">
        <f>D1142</f>
        <v>45868</v>
      </c>
      <c r="E1146" s="215" t="str">
        <f>$N$1</f>
        <v>currydestroyer27</v>
      </c>
      <c r="F1146" s="165">
        <f>IFERROR(AVERAGE(Data[[#This Row],[alappatjoe]:[currydestroyer27]]), "TBD")</f>
        <v>3.6</v>
      </c>
      <c r="G1146" s="256">
        <f>IFERROR(_xlfn.STDEV.P(Data[[#This Row],[alappatjoe]:[currydestroyer27]]), "TBD")</f>
        <v>1.4966629547095767</v>
      </c>
      <c r="H1146" s="227" t="s">
        <v>2354</v>
      </c>
      <c r="I1146" s="257" t="s">
        <v>1852</v>
      </c>
      <c r="J1146" s="165">
        <v>4</v>
      </c>
      <c r="K1146" s="165">
        <v>5</v>
      </c>
      <c r="L1146" s="165">
        <v>3</v>
      </c>
      <c r="M1146" s="165">
        <v>5</v>
      </c>
      <c r="N1146" s="165">
        <v>1</v>
      </c>
      <c r="O1146" s="242">
        <v>808250</v>
      </c>
      <c r="P1146" s="237" t="s">
        <v>76</v>
      </c>
      <c r="Q1146" s="167" t="s">
        <v>590</v>
      </c>
      <c r="R114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46" s="167">
        <v>1</v>
      </c>
      <c r="T1146" s="167" t="b">
        <f>Data[[#This Row],[Day Rank]]=Data[[#This Row],[W Rank]]</f>
        <v>0</v>
      </c>
      <c r="U1146" s="324"/>
    </row>
    <row r="1147" spans="1:21" ht="15" customHeight="1">
      <c r="A1147" s="325">
        <v>45869</v>
      </c>
      <c r="B1147" s="325"/>
      <c r="C1147" s="328" t="str" cm="1">
        <f t="array" ref="C1147">_xlfn.LET(_xlpm.matches, _xlfn._xlws.FILTER(Data[Poster], (Data[Date]=A1147)*(Data[Winner]=TRUE)), IF(ROWS(_xlpm.matches)&gt;1, "TIE", _xlpm.matches))</f>
        <v>samuelbattista</v>
      </c>
      <c r="D1147" s="147">
        <f>A1147</f>
        <v>45869</v>
      </c>
      <c r="E1147" s="181" t="str">
        <f>$J$1</f>
        <v>alappatjoe</v>
      </c>
      <c r="F1147" s="9">
        <f>IFERROR(AVERAGE(Data[[#This Row],[alappatjoe]:[currydestroyer27]]), "TBD")</f>
        <v>3</v>
      </c>
      <c r="G1147" s="178">
        <f>IFERROR(_xlfn.STDEV.P(Data[[#This Row],[alappatjoe]:[currydestroyer27]]), "TBD")</f>
        <v>1.6733200530681511</v>
      </c>
      <c r="H1147" s="160" t="s">
        <v>2355</v>
      </c>
      <c r="I1147" s="186" t="s">
        <v>2356</v>
      </c>
      <c r="J1147" s="9">
        <v>1</v>
      </c>
      <c r="K1147" s="9">
        <v>5</v>
      </c>
      <c r="L1147" s="9">
        <v>2</v>
      </c>
      <c r="M1147" s="9">
        <v>2</v>
      </c>
      <c r="N1147" s="9">
        <v>5</v>
      </c>
      <c r="O1147" s="238">
        <v>50285626</v>
      </c>
      <c r="P1147" s="234"/>
      <c r="Q1147" s="93"/>
      <c r="R11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47" s="93">
        <v>1</v>
      </c>
      <c r="T1147" s="93" t="b">
        <f>Data[[#This Row],[Day Rank]]=Data[[#This Row],[W Rank]]</f>
        <v>0</v>
      </c>
      <c r="U1147" s="331" t="s">
        <v>2357</v>
      </c>
    </row>
    <row r="1148" spans="1:21" ht="15" customHeight="1">
      <c r="A1148" s="326"/>
      <c r="B1148" s="326"/>
      <c r="C1148" s="329"/>
      <c r="D1148" s="81">
        <f>D1147</f>
        <v>45869</v>
      </c>
      <c r="E1148" s="140" t="str">
        <f>$K$1</f>
        <v>danram</v>
      </c>
      <c r="F1148" s="8">
        <f>IFERROR(AVERAGE(Data[[#This Row],[alappatjoe]:[currydestroyer27]]), "TBD")</f>
        <v>3</v>
      </c>
      <c r="G1148" s="177">
        <f>IFERROR(_xlfn.STDEV.P(Data[[#This Row],[alappatjoe]:[currydestroyer27]]), "TBD")</f>
        <v>0.63245553203367588</v>
      </c>
      <c r="H1148" s="135" t="s">
        <v>2358</v>
      </c>
      <c r="I1148" s="229" t="s">
        <v>373</v>
      </c>
      <c r="J1148" s="8">
        <v>2</v>
      </c>
      <c r="K1148" s="8">
        <v>3</v>
      </c>
      <c r="L1148" s="8">
        <v>3</v>
      </c>
      <c r="M1148" s="8">
        <v>4</v>
      </c>
      <c r="N1148" s="8">
        <v>3</v>
      </c>
      <c r="O1148" s="238"/>
      <c r="P1148" s="234"/>
      <c r="Q1148" s="93"/>
      <c r="R11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48" s="93">
        <v>1</v>
      </c>
      <c r="T1148" s="93" t="b">
        <f>Data[[#This Row],[Day Rank]]=Data[[#This Row],[W Rank]]</f>
        <v>0</v>
      </c>
      <c r="U1148" s="323"/>
    </row>
    <row r="1149" spans="1:21" ht="15" customHeight="1">
      <c r="A1149" s="326"/>
      <c r="B1149" s="326"/>
      <c r="C1149" s="329"/>
      <c r="D1149" s="81">
        <f>D1147</f>
        <v>45869</v>
      </c>
      <c r="E1149" s="140" t="str">
        <f>$L$1</f>
        <v>loganworsdell</v>
      </c>
      <c r="F1149" s="8">
        <f>IFERROR(AVERAGE(Data[[#This Row],[alappatjoe]:[currydestroyer27]]), "TBD")</f>
        <v>3.2</v>
      </c>
      <c r="G1149" s="177">
        <f>IFERROR(_xlfn.STDEV.P(Data[[#This Row],[alappatjoe]:[currydestroyer27]]), "TBD")</f>
        <v>1.1661903789690602</v>
      </c>
      <c r="H1149" s="135" t="s">
        <v>2359</v>
      </c>
      <c r="I1149" s="229" t="s">
        <v>1295</v>
      </c>
      <c r="J1149" s="8">
        <v>4</v>
      </c>
      <c r="K1149" s="8">
        <v>4</v>
      </c>
      <c r="L1149" s="8">
        <v>1</v>
      </c>
      <c r="M1149" s="8">
        <v>3</v>
      </c>
      <c r="N1149" s="8">
        <v>4</v>
      </c>
      <c r="O1149" s="238">
        <v>1043768</v>
      </c>
      <c r="P1149" s="234"/>
      <c r="Q1149" s="93"/>
      <c r="R11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49" s="93">
        <v>1</v>
      </c>
      <c r="T1149" s="93" t="b">
        <f>Data[[#This Row],[Day Rank]]=Data[[#This Row],[W Rank]]</f>
        <v>0</v>
      </c>
      <c r="U1149" s="323"/>
    </row>
    <row r="1150" spans="1:21" ht="15" customHeight="1">
      <c r="A1150" s="326"/>
      <c r="B1150" s="326"/>
      <c r="C1150" s="329"/>
      <c r="D1150" s="81">
        <f>D1147</f>
        <v>45869</v>
      </c>
      <c r="E1150" s="140" t="str">
        <f>$M$1</f>
        <v>samuelbattista</v>
      </c>
      <c r="F1150" s="8">
        <f>IFERROR(AVERAGE(Data[[#This Row],[alappatjoe]:[currydestroyer27]]), "TBD")</f>
        <v>2.6</v>
      </c>
      <c r="G1150" s="177">
        <f>IFERROR(_xlfn.STDEV.P(Data[[#This Row],[alappatjoe]:[currydestroyer27]]), "TBD")</f>
        <v>1.6248076809271921</v>
      </c>
      <c r="H1150" s="245" t="s">
        <v>2360</v>
      </c>
      <c r="I1150" s="229" t="s">
        <v>2361</v>
      </c>
      <c r="J1150" s="8">
        <v>5</v>
      </c>
      <c r="K1150" s="8">
        <v>1</v>
      </c>
      <c r="L1150" s="8">
        <v>4</v>
      </c>
      <c r="M1150" s="8">
        <v>1</v>
      </c>
      <c r="N1150" s="8">
        <v>2</v>
      </c>
      <c r="O1150" s="238"/>
      <c r="P1150" s="234"/>
      <c r="Q1150" s="93"/>
      <c r="R11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50" s="93">
        <v>1</v>
      </c>
      <c r="T1150" s="93" t="b">
        <f>Data[[#This Row],[Day Rank]]=Data[[#This Row],[W Rank]]</f>
        <v>1</v>
      </c>
      <c r="U1150" s="323"/>
    </row>
    <row r="1151" spans="1:21" ht="15" customHeight="1" thickBot="1">
      <c r="A1151" s="327"/>
      <c r="B1151" s="327"/>
      <c r="C1151" s="330"/>
      <c r="D1151" s="164">
        <f>D1147</f>
        <v>45869</v>
      </c>
      <c r="E1151" s="215" t="str">
        <f>$N$1</f>
        <v>currydestroyer27</v>
      </c>
      <c r="F1151" s="165">
        <f>IFERROR(AVERAGE(Data[[#This Row],[alappatjoe]:[currydestroyer27]]), "TBD")</f>
        <v>3.2</v>
      </c>
      <c r="G1151" s="256">
        <f>IFERROR(_xlfn.STDEV.P(Data[[#This Row],[alappatjoe]:[currydestroyer27]]), "TBD")</f>
        <v>1.6</v>
      </c>
      <c r="H1151" s="227" t="s">
        <v>2362</v>
      </c>
      <c r="I1151" s="257" t="s">
        <v>728</v>
      </c>
      <c r="J1151" s="165">
        <v>3</v>
      </c>
      <c r="K1151" s="165">
        <v>2</v>
      </c>
      <c r="L1151" s="165">
        <v>5</v>
      </c>
      <c r="M1151" s="165">
        <v>5</v>
      </c>
      <c r="N1151" s="165">
        <v>1</v>
      </c>
      <c r="O1151" s="242">
        <v>10361859</v>
      </c>
      <c r="P1151" s="237" t="s">
        <v>76</v>
      </c>
      <c r="Q1151" s="167" t="s">
        <v>2363</v>
      </c>
      <c r="R115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51" s="167">
        <v>1</v>
      </c>
      <c r="T1151" s="167" t="b">
        <f>Data[[#This Row],[Day Rank]]=Data[[#This Row],[W Rank]]</f>
        <v>0</v>
      </c>
      <c r="U1151" s="324"/>
    </row>
    <row r="1152" spans="1:21" ht="15" customHeight="1">
      <c r="A1152" s="325">
        <v>45873</v>
      </c>
      <c r="B1152" s="325"/>
      <c r="C1152" s="338" t="str" cm="1">
        <f t="array" ref="C1152">_xlfn.LET(_xlpm.matches, _xlfn._xlws.FILTER(Data[Poster], (Data[Date]=A1152)*(Data[Winner]=TRUE)), IF(ROWS(_xlpm.matches)&gt;1, "TIE", _xlpm.matches))</f>
        <v>alappatjoe</v>
      </c>
      <c r="D1152" s="147">
        <f>A1152</f>
        <v>45873</v>
      </c>
      <c r="E1152" s="181" t="str">
        <f>$J$1</f>
        <v>alappatjoe</v>
      </c>
      <c r="F1152" s="9">
        <f>IFERROR(AVERAGE(Data[[#This Row],[alappatjoe]:[currydestroyer27]]), "TBD")</f>
        <v>1</v>
      </c>
      <c r="G1152" s="178">
        <f>IFERROR(_xlfn.STDEV.P(Data[[#This Row],[alappatjoe]:[currydestroyer27]]), "TBD")</f>
        <v>0</v>
      </c>
      <c r="H1152" s="160" t="s">
        <v>2364</v>
      </c>
      <c r="I1152" s="186" t="s">
        <v>952</v>
      </c>
      <c r="J1152" s="9">
        <v>1</v>
      </c>
      <c r="K1152" s="9">
        <v>1</v>
      </c>
      <c r="L1152" s="9">
        <v>1</v>
      </c>
      <c r="M1152" s="9">
        <v>1</v>
      </c>
      <c r="N1152" s="9">
        <v>1</v>
      </c>
      <c r="O1152" s="238">
        <v>2239861826</v>
      </c>
      <c r="P1152" s="234"/>
      <c r="Q1152" s="93"/>
      <c r="R11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52" s="93">
        <v>1</v>
      </c>
      <c r="T1152" s="93" t="b">
        <f>Data[[#This Row],[Day Rank]]=Data[[#This Row],[W Rank]]</f>
        <v>1</v>
      </c>
      <c r="U1152" s="331"/>
    </row>
    <row r="1153" spans="1:21" ht="15" customHeight="1">
      <c r="A1153" s="326"/>
      <c r="B1153" s="326"/>
      <c r="C1153" s="339"/>
      <c r="D1153" s="81">
        <f>D1152</f>
        <v>45873</v>
      </c>
      <c r="E1153" s="140" t="str">
        <f>$K$1</f>
        <v>danram</v>
      </c>
      <c r="F1153" s="8">
        <f>IFERROR(AVERAGE(Data[[#This Row],[alappatjoe]:[currydestroyer27]]), "TBD")</f>
        <v>4.2</v>
      </c>
      <c r="G1153" s="177">
        <f>IFERROR(_xlfn.STDEV.P(Data[[#This Row],[alappatjoe]:[currydestroyer27]]), "TBD")</f>
        <v>0.74833147735478833</v>
      </c>
      <c r="H1153" s="135" t="s">
        <v>2365</v>
      </c>
      <c r="I1153" s="229" t="s">
        <v>657</v>
      </c>
      <c r="J1153" s="8">
        <v>3</v>
      </c>
      <c r="K1153" s="8">
        <v>5</v>
      </c>
      <c r="L1153" s="8">
        <v>4</v>
      </c>
      <c r="M1153" s="8">
        <v>5</v>
      </c>
      <c r="N1153" s="8">
        <v>4</v>
      </c>
      <c r="O1153" s="238"/>
      <c r="P1153" s="234"/>
      <c r="Q1153" s="93"/>
      <c r="R11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53" s="93">
        <v>1</v>
      </c>
      <c r="T1153" s="93" t="b">
        <f>Data[[#This Row],[Day Rank]]=Data[[#This Row],[W Rank]]</f>
        <v>0</v>
      </c>
      <c r="U1153" s="323"/>
    </row>
    <row r="1154" spans="1:21" ht="15" customHeight="1">
      <c r="A1154" s="326"/>
      <c r="B1154" s="326"/>
      <c r="C1154" s="339"/>
      <c r="D1154" s="81">
        <f>D1152</f>
        <v>45873</v>
      </c>
      <c r="E1154" s="140" t="str">
        <f>$L$1</f>
        <v>loganworsdell</v>
      </c>
      <c r="F1154" s="8">
        <f>IFERROR(AVERAGE(Data[[#This Row],[alappatjoe]:[currydestroyer27]]), "TBD")</f>
        <v>4.2</v>
      </c>
      <c r="G1154" s="177">
        <f>IFERROR(_xlfn.STDEV.P(Data[[#This Row],[alappatjoe]:[currydestroyer27]]), "TBD")</f>
        <v>0.74833147735478833</v>
      </c>
      <c r="H1154" s="135" t="s">
        <v>2366</v>
      </c>
      <c r="I1154" s="229" t="s">
        <v>2367</v>
      </c>
      <c r="J1154" s="8">
        <v>5</v>
      </c>
      <c r="K1154" s="8">
        <v>4</v>
      </c>
      <c r="L1154" s="8">
        <v>3</v>
      </c>
      <c r="M1154" s="8">
        <v>4</v>
      </c>
      <c r="N1154" s="8">
        <v>5</v>
      </c>
      <c r="O1154" s="238">
        <v>256855</v>
      </c>
      <c r="P1154" s="234"/>
      <c r="Q1154" s="93"/>
      <c r="R11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54" s="93">
        <v>1</v>
      </c>
      <c r="T1154" s="93" t="b">
        <f>Data[[#This Row],[Day Rank]]=Data[[#This Row],[W Rank]]</f>
        <v>0</v>
      </c>
      <c r="U1154" s="323"/>
    </row>
    <row r="1155" spans="1:21" ht="15" customHeight="1">
      <c r="A1155" s="326"/>
      <c r="B1155" s="326"/>
      <c r="C1155" s="339"/>
      <c r="D1155" s="81">
        <f>D1152</f>
        <v>45873</v>
      </c>
      <c r="E1155" s="140" t="str">
        <f>$M$1</f>
        <v>samuelbattista</v>
      </c>
      <c r="F1155" s="8">
        <f>IFERROR(AVERAGE(Data[[#This Row],[alappatjoe]:[currydestroyer27]]), "TBD")</f>
        <v>2.8</v>
      </c>
      <c r="G1155" s="177">
        <f>IFERROR(_xlfn.STDEV.P(Data[[#This Row],[alappatjoe]:[currydestroyer27]]), "TBD")</f>
        <v>1.1661903789690602</v>
      </c>
      <c r="H1155" s="245" t="s">
        <v>2368</v>
      </c>
      <c r="I1155" s="229" t="s">
        <v>2020</v>
      </c>
      <c r="J1155" s="8">
        <v>2</v>
      </c>
      <c r="K1155" s="8">
        <v>2</v>
      </c>
      <c r="L1155" s="8">
        <v>5</v>
      </c>
      <c r="M1155" s="8">
        <v>2</v>
      </c>
      <c r="N1155" s="8">
        <v>3</v>
      </c>
      <c r="O1155" s="238"/>
      <c r="P1155" s="234"/>
      <c r="Q1155" s="93"/>
      <c r="R11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55" s="93">
        <v>1</v>
      </c>
      <c r="T1155" s="93" t="b">
        <f>Data[[#This Row],[Day Rank]]=Data[[#This Row],[W Rank]]</f>
        <v>0</v>
      </c>
      <c r="U1155" s="323"/>
    </row>
    <row r="1156" spans="1:21" ht="15" customHeight="1" thickBot="1">
      <c r="A1156" s="327"/>
      <c r="B1156" s="327"/>
      <c r="C1156" s="340"/>
      <c r="D1156" s="164">
        <f>D1152</f>
        <v>45873</v>
      </c>
      <c r="E1156" s="215" t="str">
        <f>$N$1</f>
        <v>currydestroyer27</v>
      </c>
      <c r="F1156" s="165">
        <f>IFERROR(AVERAGE(Data[[#This Row],[alappatjoe]:[currydestroyer27]]), "TBD")</f>
        <v>2.8</v>
      </c>
      <c r="G1156" s="256">
        <f>IFERROR(_xlfn.STDEV.P(Data[[#This Row],[alappatjoe]:[currydestroyer27]]), "TBD")</f>
        <v>0.74833147735478833</v>
      </c>
      <c r="H1156" s="227" t="s">
        <v>2369</v>
      </c>
      <c r="I1156" s="257" t="s">
        <v>2370</v>
      </c>
      <c r="J1156" s="165">
        <v>4</v>
      </c>
      <c r="K1156" s="165">
        <v>3</v>
      </c>
      <c r="L1156" s="165">
        <v>2</v>
      </c>
      <c r="M1156" s="165">
        <v>3</v>
      </c>
      <c r="N1156" s="165">
        <v>2</v>
      </c>
      <c r="O1156" s="242">
        <v>480290741</v>
      </c>
      <c r="P1156" s="237"/>
      <c r="Q1156" s="167"/>
      <c r="R115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56" s="167">
        <v>1</v>
      </c>
      <c r="T1156" s="167" t="b">
        <f>Data[[#This Row],[Day Rank]]=Data[[#This Row],[W Rank]]</f>
        <v>0</v>
      </c>
      <c r="U1156" s="324"/>
    </row>
    <row r="1157" spans="1:21" ht="15" customHeight="1">
      <c r="A1157" s="325">
        <v>45874</v>
      </c>
      <c r="B1157" s="325"/>
      <c r="C1157" s="328" t="str" cm="1">
        <f t="array" ref="C1157">_xlfn.LET(_xlpm.matches, _xlfn._xlws.FILTER(Data[Poster], (Data[Date]=A1157)*(Data[Winner]=TRUE)), IF(ROWS(_xlpm.matches)&gt;1, "TIE", _xlpm.matches))</f>
        <v>samuelbattista</v>
      </c>
      <c r="D1157" s="147">
        <f>A1157</f>
        <v>45874</v>
      </c>
      <c r="E1157" s="181" t="str">
        <f>$J$1</f>
        <v>alappatjoe</v>
      </c>
      <c r="F1157" s="9">
        <f>IFERROR(AVERAGE(Data[[#This Row],[alappatjoe]:[currydestroyer27]]), "TBD")</f>
        <v>4</v>
      </c>
      <c r="G1157" s="178">
        <f>IFERROR(_xlfn.STDEV.P(Data[[#This Row],[alappatjoe]:[currydestroyer27]]), "TBD")</f>
        <v>1.2649110640673518</v>
      </c>
      <c r="H1157" s="160" t="s">
        <v>2371</v>
      </c>
      <c r="I1157" s="186" t="s">
        <v>2372</v>
      </c>
      <c r="J1157" s="9">
        <v>2</v>
      </c>
      <c r="K1157" s="9">
        <v>5</v>
      </c>
      <c r="L1157" s="9">
        <v>5</v>
      </c>
      <c r="M1157" s="9">
        <v>5</v>
      </c>
      <c r="N1157" s="9">
        <v>3</v>
      </c>
      <c r="O1157" s="238">
        <v>2427769</v>
      </c>
      <c r="P1157" s="234"/>
      <c r="Q1157" s="93"/>
      <c r="R11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57" s="93">
        <v>1</v>
      </c>
      <c r="T1157" s="93" t="b">
        <f>Data[[#This Row],[Day Rank]]=Data[[#This Row],[W Rank]]</f>
        <v>0</v>
      </c>
      <c r="U1157" s="331"/>
    </row>
    <row r="1158" spans="1:21" ht="15" customHeight="1">
      <c r="A1158" s="326"/>
      <c r="B1158" s="326"/>
      <c r="C1158" s="329"/>
      <c r="D1158" s="81">
        <f>D1157</f>
        <v>45874</v>
      </c>
      <c r="E1158" s="140" t="str">
        <f>$K$1</f>
        <v>danram</v>
      </c>
      <c r="F1158" s="8">
        <f>IFERROR(AVERAGE(Data[[#This Row],[alappatjoe]:[currydestroyer27]]), "TBD")</f>
        <v>2.2000000000000002</v>
      </c>
      <c r="G1158" s="177">
        <f>IFERROR(_xlfn.STDEV.P(Data[[#This Row],[alappatjoe]:[currydestroyer27]]), "TBD")</f>
        <v>1.1661903789690602</v>
      </c>
      <c r="H1158" s="135" t="s">
        <v>2373</v>
      </c>
      <c r="I1158" s="229" t="s">
        <v>952</v>
      </c>
      <c r="J1158" s="8">
        <v>1</v>
      </c>
      <c r="K1158" s="8">
        <v>1</v>
      </c>
      <c r="L1158" s="8">
        <v>2</v>
      </c>
      <c r="M1158" s="8">
        <v>3</v>
      </c>
      <c r="N1158" s="8">
        <v>4</v>
      </c>
      <c r="O1158" s="238"/>
      <c r="P1158" s="234"/>
      <c r="Q1158" s="93"/>
      <c r="R11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58" s="93">
        <v>1</v>
      </c>
      <c r="T1158" s="93" t="b">
        <f>Data[[#This Row],[Day Rank]]=Data[[#This Row],[W Rank]]</f>
        <v>0</v>
      </c>
      <c r="U1158" s="323"/>
    </row>
    <row r="1159" spans="1:21" ht="15" customHeight="1">
      <c r="A1159" s="326"/>
      <c r="B1159" s="326"/>
      <c r="C1159" s="329"/>
      <c r="D1159" s="81">
        <f>D1157</f>
        <v>45874</v>
      </c>
      <c r="E1159" s="140" t="str">
        <f>$L$1</f>
        <v>loganworsdell</v>
      </c>
      <c r="F1159" s="8">
        <f>IFERROR(AVERAGE(Data[[#This Row],[alappatjoe]:[currydestroyer27]]), "TBD")</f>
        <v>3.4</v>
      </c>
      <c r="G1159" s="177">
        <f>IFERROR(_xlfn.STDEV.P(Data[[#This Row],[alappatjoe]:[currydestroyer27]]), "TBD")</f>
        <v>1.019803902718557</v>
      </c>
      <c r="H1159" s="135" t="s">
        <v>2374</v>
      </c>
      <c r="I1159" s="229" t="s">
        <v>2375</v>
      </c>
      <c r="J1159" s="8">
        <v>3</v>
      </c>
      <c r="K1159" s="8">
        <v>4</v>
      </c>
      <c r="L1159" s="8">
        <v>3</v>
      </c>
      <c r="M1159" s="8">
        <v>2</v>
      </c>
      <c r="N1159" s="8">
        <v>5</v>
      </c>
      <c r="O1159" s="238">
        <v>3757914</v>
      </c>
      <c r="P1159" s="234"/>
      <c r="Q1159" s="93"/>
      <c r="R11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59" s="93">
        <v>1</v>
      </c>
      <c r="T1159" s="93" t="b">
        <f>Data[[#This Row],[Day Rank]]=Data[[#This Row],[W Rank]]</f>
        <v>0</v>
      </c>
      <c r="U1159" s="323"/>
    </row>
    <row r="1160" spans="1:21" ht="15" customHeight="1">
      <c r="A1160" s="326"/>
      <c r="B1160" s="326"/>
      <c r="C1160" s="329"/>
      <c r="D1160" s="81">
        <f>D1157</f>
        <v>45874</v>
      </c>
      <c r="E1160" s="140" t="str">
        <f>$M$1</f>
        <v>samuelbattista</v>
      </c>
      <c r="F1160" s="8">
        <f>IFERROR(AVERAGE(Data[[#This Row],[alappatjoe]:[currydestroyer27]]), "TBD")</f>
        <v>2</v>
      </c>
      <c r="G1160" s="177">
        <f>IFERROR(_xlfn.STDEV.P(Data[[#This Row],[alappatjoe]:[currydestroyer27]]), "TBD")</f>
        <v>1.0954451150103321</v>
      </c>
      <c r="H1160" s="245" t="s">
        <v>2376</v>
      </c>
      <c r="I1160" s="229" t="s">
        <v>2377</v>
      </c>
      <c r="J1160" s="8">
        <v>4</v>
      </c>
      <c r="K1160" s="8">
        <v>2</v>
      </c>
      <c r="L1160" s="8">
        <v>1</v>
      </c>
      <c r="M1160" s="8">
        <v>1</v>
      </c>
      <c r="N1160" s="8">
        <v>2</v>
      </c>
      <c r="O1160" s="238"/>
      <c r="P1160" s="234"/>
      <c r="Q1160" s="93"/>
      <c r="R11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60" s="93">
        <v>1</v>
      </c>
      <c r="T1160" s="93" t="b">
        <f>Data[[#This Row],[Day Rank]]=Data[[#This Row],[W Rank]]</f>
        <v>1</v>
      </c>
      <c r="U1160" s="323"/>
    </row>
    <row r="1161" spans="1:21" ht="15" customHeight="1" thickBot="1">
      <c r="A1161" s="327"/>
      <c r="B1161" s="327"/>
      <c r="C1161" s="330"/>
      <c r="D1161" s="164">
        <f>D1157</f>
        <v>45874</v>
      </c>
      <c r="E1161" s="215" t="str">
        <f>$N$1</f>
        <v>currydestroyer27</v>
      </c>
      <c r="F1161" s="165">
        <f>IFERROR(AVERAGE(Data[[#This Row],[alappatjoe]:[currydestroyer27]]), "TBD")</f>
        <v>3.4</v>
      </c>
      <c r="G1161" s="256">
        <f>IFERROR(_xlfn.STDEV.P(Data[[#This Row],[alappatjoe]:[currydestroyer27]]), "TBD")</f>
        <v>1.3564659966250536</v>
      </c>
      <c r="H1161" s="227" t="s">
        <v>2378</v>
      </c>
      <c r="I1161" s="257" t="s">
        <v>1663</v>
      </c>
      <c r="J1161" s="165">
        <v>5</v>
      </c>
      <c r="K1161" s="165">
        <v>3</v>
      </c>
      <c r="L1161" s="165">
        <v>4</v>
      </c>
      <c r="M1161" s="165">
        <v>4</v>
      </c>
      <c r="N1161" s="165">
        <v>1</v>
      </c>
      <c r="O1161" s="242">
        <v>362527326</v>
      </c>
      <c r="P1161" s="237"/>
      <c r="Q1161" s="167"/>
      <c r="R116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61" s="167">
        <v>1</v>
      </c>
      <c r="T1161" s="167" t="b">
        <f>Data[[#This Row],[Day Rank]]=Data[[#This Row],[W Rank]]</f>
        <v>0</v>
      </c>
      <c r="U1161" s="324"/>
    </row>
    <row r="1162" spans="1:21" ht="15" customHeight="1">
      <c r="A1162" s="325">
        <v>45875</v>
      </c>
      <c r="B1162" s="325"/>
      <c r="C1162" s="338" t="str" cm="1">
        <f t="array" ref="C1162">_xlfn.LET(_xlpm.matches, _xlfn._xlws.FILTER(Data[Poster], (Data[Date]=A1162)*(Data[Winner]=TRUE)), IF(ROWS(_xlpm.matches)&gt;1, "TIE", _xlpm.matches))</f>
        <v>alappatjoe</v>
      </c>
      <c r="D1162" s="147">
        <f>A1162</f>
        <v>45875</v>
      </c>
      <c r="E1162" s="181" t="str">
        <f>$J$1</f>
        <v>alappatjoe</v>
      </c>
      <c r="F1162" s="9">
        <f>IFERROR(AVERAGE(Data[[#This Row],[alappatjoe]:[currydestroyer27]]), "TBD")</f>
        <v>2.2000000000000002</v>
      </c>
      <c r="G1162" s="178">
        <f>IFERROR(_xlfn.STDEV.P(Data[[#This Row],[alappatjoe]:[currydestroyer27]]), "TBD")</f>
        <v>0.9797958971132712</v>
      </c>
      <c r="H1162" s="160" t="s">
        <v>2379</v>
      </c>
      <c r="I1162" s="186" t="s">
        <v>373</v>
      </c>
      <c r="J1162" s="9">
        <v>1</v>
      </c>
      <c r="K1162" s="9">
        <v>1</v>
      </c>
      <c r="L1162" s="9">
        <v>3</v>
      </c>
      <c r="M1162" s="9">
        <v>3</v>
      </c>
      <c r="N1162" s="9">
        <v>3</v>
      </c>
      <c r="O1162" s="238">
        <v>33583759</v>
      </c>
      <c r="P1162" s="234"/>
      <c r="Q1162" s="93"/>
      <c r="R11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62" s="93">
        <v>1</v>
      </c>
      <c r="T1162" s="93" t="b">
        <f>Data[[#This Row],[Day Rank]]=Data[[#This Row],[W Rank]]</f>
        <v>1</v>
      </c>
      <c r="U1162" s="331"/>
    </row>
    <row r="1163" spans="1:21" ht="15" customHeight="1">
      <c r="A1163" s="326"/>
      <c r="B1163" s="326"/>
      <c r="C1163" s="339"/>
      <c r="D1163" s="81">
        <f>D1162</f>
        <v>45875</v>
      </c>
      <c r="E1163" s="140" t="str">
        <f>$K$1</f>
        <v>danram</v>
      </c>
      <c r="F1163" s="8">
        <f>IFERROR(AVERAGE(Data[[#This Row],[alappatjoe]:[currydestroyer27]]), "TBD")</f>
        <v>4.8</v>
      </c>
      <c r="G1163" s="177">
        <f>IFERROR(_xlfn.STDEV.P(Data[[#This Row],[alappatjoe]:[currydestroyer27]]), "TBD")</f>
        <v>0.39999999999999997</v>
      </c>
      <c r="H1163" s="135" t="s">
        <v>2380</v>
      </c>
      <c r="I1163" s="229" t="s">
        <v>2381</v>
      </c>
      <c r="J1163" s="8">
        <v>5</v>
      </c>
      <c r="K1163" s="8">
        <v>5</v>
      </c>
      <c r="L1163" s="8">
        <v>5</v>
      </c>
      <c r="M1163" s="8">
        <v>5</v>
      </c>
      <c r="N1163" s="8">
        <v>4</v>
      </c>
      <c r="O1163" s="238"/>
      <c r="P1163" s="234"/>
      <c r="Q1163" s="93"/>
      <c r="R11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63" s="93">
        <v>1</v>
      </c>
      <c r="T1163" s="93" t="b">
        <f>Data[[#This Row],[Day Rank]]=Data[[#This Row],[W Rank]]</f>
        <v>0</v>
      </c>
      <c r="U1163" s="323"/>
    </row>
    <row r="1164" spans="1:21" ht="15" customHeight="1">
      <c r="A1164" s="326"/>
      <c r="B1164" s="326"/>
      <c r="C1164" s="339"/>
      <c r="D1164" s="81">
        <f>D1162</f>
        <v>45875</v>
      </c>
      <c r="E1164" s="140" t="str">
        <f>$L$1</f>
        <v>loganworsdell</v>
      </c>
      <c r="F1164" s="8">
        <f>IFERROR(AVERAGE(Data[[#This Row],[alappatjoe]:[currydestroyer27]]), "TBD")</f>
        <v>2.4</v>
      </c>
      <c r="G1164" s="177">
        <f>IFERROR(_xlfn.STDEV.P(Data[[#This Row],[alappatjoe]:[currydestroyer27]]), "TBD")</f>
        <v>0.8</v>
      </c>
      <c r="H1164" s="135" t="s">
        <v>2382</v>
      </c>
      <c r="I1164" s="229" t="s">
        <v>2383</v>
      </c>
      <c r="J1164" s="8">
        <v>2</v>
      </c>
      <c r="K1164" s="8">
        <v>4</v>
      </c>
      <c r="L1164" s="8">
        <v>2</v>
      </c>
      <c r="M1164" s="8">
        <v>2</v>
      </c>
      <c r="N1164" s="8">
        <v>2</v>
      </c>
      <c r="O1164" s="238">
        <v>5845607</v>
      </c>
      <c r="P1164" s="234"/>
      <c r="Q1164" s="93"/>
      <c r="R11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64" s="93">
        <v>1</v>
      </c>
      <c r="T1164" s="93" t="b">
        <f>Data[[#This Row],[Day Rank]]=Data[[#This Row],[W Rank]]</f>
        <v>0</v>
      </c>
      <c r="U1164" s="323"/>
    </row>
    <row r="1165" spans="1:21" ht="15" customHeight="1">
      <c r="A1165" s="326"/>
      <c r="B1165" s="326"/>
      <c r="C1165" s="339"/>
      <c r="D1165" s="81">
        <f>D1162</f>
        <v>45875</v>
      </c>
      <c r="E1165" s="140" t="str">
        <f>$M$1</f>
        <v>samuelbattista</v>
      </c>
      <c r="F1165" s="8">
        <f>IFERROR(AVERAGE(Data[[#This Row],[alappatjoe]:[currydestroyer27]]), "TBD")</f>
        <v>2.4</v>
      </c>
      <c r="G1165" s="177">
        <f>IFERROR(_xlfn.STDEV.P(Data[[#This Row],[alappatjoe]:[currydestroyer27]]), "TBD")</f>
        <v>1.4966629547095767</v>
      </c>
      <c r="H1165" s="245" t="s">
        <v>2384</v>
      </c>
      <c r="I1165" s="229" t="s">
        <v>2385</v>
      </c>
      <c r="J1165" s="8">
        <v>3</v>
      </c>
      <c r="K1165" s="8">
        <v>2</v>
      </c>
      <c r="L1165" s="8">
        <v>1</v>
      </c>
      <c r="M1165" s="8">
        <v>1</v>
      </c>
      <c r="N1165" s="8">
        <v>5</v>
      </c>
      <c r="O1165" s="238"/>
      <c r="P1165" s="234"/>
      <c r="Q1165" s="93"/>
      <c r="R11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65" s="93">
        <v>1</v>
      </c>
      <c r="T1165" s="93" t="b">
        <f>Data[[#This Row],[Day Rank]]=Data[[#This Row],[W Rank]]</f>
        <v>0</v>
      </c>
      <c r="U1165" s="323"/>
    </row>
    <row r="1166" spans="1:21" ht="15" customHeight="1" thickBot="1">
      <c r="A1166" s="327"/>
      <c r="B1166" s="327"/>
      <c r="C1166" s="340"/>
      <c r="D1166" s="164">
        <f>D1162</f>
        <v>45875</v>
      </c>
      <c r="E1166" s="215" t="str">
        <f>$N$1</f>
        <v>currydestroyer27</v>
      </c>
      <c r="F1166" s="165">
        <f>IFERROR(AVERAGE(Data[[#This Row],[alappatjoe]:[currydestroyer27]]), "TBD")</f>
        <v>3.2</v>
      </c>
      <c r="G1166" s="256">
        <f>IFERROR(_xlfn.STDEV.P(Data[[#This Row],[alappatjoe]:[currydestroyer27]]), "TBD")</f>
        <v>1.1661903789690602</v>
      </c>
      <c r="H1166" s="227" t="s">
        <v>2386</v>
      </c>
      <c r="I1166" s="257" t="s">
        <v>2387</v>
      </c>
      <c r="J1166" s="165">
        <v>4</v>
      </c>
      <c r="K1166" s="165">
        <v>3</v>
      </c>
      <c r="L1166" s="165">
        <v>4</v>
      </c>
      <c r="M1166" s="165">
        <v>4</v>
      </c>
      <c r="N1166" s="165">
        <v>1</v>
      </c>
      <c r="O1166" s="242">
        <v>3878</v>
      </c>
      <c r="P1166" s="237"/>
      <c r="Q1166" s="167"/>
      <c r="R116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66" s="167">
        <v>1</v>
      </c>
      <c r="T1166" s="167" t="b">
        <f>Data[[#This Row],[Day Rank]]=Data[[#This Row],[W Rank]]</f>
        <v>0</v>
      </c>
      <c r="U1166" s="324"/>
    </row>
    <row r="1167" spans="1:21" ht="15" customHeight="1">
      <c r="A1167" s="325">
        <v>45876</v>
      </c>
      <c r="B1167" s="325"/>
      <c r="C1167" s="328" t="str" cm="1">
        <f t="array" ref="C1167">_xlfn.LET(_xlpm.matches, _xlfn._xlws.FILTER(Data[Poster], (Data[Date]=A1167)*(Data[Winner]=TRUE)), IF(ROWS(_xlpm.matches)&gt;1, "TIE", _xlpm.matches))</f>
        <v>loganworsdell</v>
      </c>
      <c r="D1167" s="147">
        <f>A1167</f>
        <v>45876</v>
      </c>
      <c r="E1167" s="181" t="str">
        <f>$J$1</f>
        <v>alappatjoe</v>
      </c>
      <c r="F1167" s="9">
        <f>IFERROR(AVERAGE(Data[[#This Row],[alappatjoe]:[currydestroyer27]]), "TBD")</f>
        <v>2.6</v>
      </c>
      <c r="G1167" s="178">
        <f>IFERROR(_xlfn.STDEV.P(Data[[#This Row],[alappatjoe]:[currydestroyer27]]), "TBD")</f>
        <v>1.019803902718557</v>
      </c>
      <c r="H1167" s="160" t="s">
        <v>2388</v>
      </c>
      <c r="I1167" s="186" t="s">
        <v>2389</v>
      </c>
      <c r="J1167" s="9">
        <v>1</v>
      </c>
      <c r="K1167" s="9">
        <v>4</v>
      </c>
      <c r="L1167" s="9">
        <v>2</v>
      </c>
      <c r="M1167" s="9">
        <v>3</v>
      </c>
      <c r="N1167" s="9">
        <v>3</v>
      </c>
      <c r="O1167" s="238">
        <v>2901063</v>
      </c>
      <c r="P1167" s="234"/>
      <c r="Q1167" s="93"/>
      <c r="R11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67" s="93">
        <v>1</v>
      </c>
      <c r="T1167" s="93" t="b">
        <f>Data[[#This Row],[Day Rank]]=Data[[#This Row],[W Rank]]</f>
        <v>0</v>
      </c>
      <c r="U1167" s="331" t="s">
        <v>2390</v>
      </c>
    </row>
    <row r="1168" spans="1:21" ht="15" customHeight="1">
      <c r="A1168" s="326"/>
      <c r="B1168" s="326"/>
      <c r="C1168" s="329"/>
      <c r="D1168" s="81">
        <f>D1167</f>
        <v>45876</v>
      </c>
      <c r="E1168" s="140" t="str">
        <f>$K$1</f>
        <v>danram</v>
      </c>
      <c r="F1168" s="8">
        <f>IFERROR(AVERAGE(Data[[#This Row],[alappatjoe]:[currydestroyer27]]), "TBD")</f>
        <v>3.6</v>
      </c>
      <c r="G1168" s="177">
        <f>IFERROR(_xlfn.STDEV.P(Data[[#This Row],[alappatjoe]:[currydestroyer27]]), "TBD")</f>
        <v>1.3564659966250536</v>
      </c>
      <c r="H1168" s="135" t="s">
        <v>2391</v>
      </c>
      <c r="I1168" s="229" t="s">
        <v>164</v>
      </c>
      <c r="J1168" s="8">
        <v>4</v>
      </c>
      <c r="K1168" s="8">
        <v>1</v>
      </c>
      <c r="L1168" s="8">
        <v>4</v>
      </c>
      <c r="M1168" s="8">
        <v>4</v>
      </c>
      <c r="N1168" s="8">
        <v>5</v>
      </c>
      <c r="O1168" s="238"/>
      <c r="P1168" s="234"/>
      <c r="Q1168" s="93"/>
      <c r="R11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68" s="93">
        <v>1</v>
      </c>
      <c r="T1168" s="93" t="b">
        <f>Data[[#This Row],[Day Rank]]=Data[[#This Row],[W Rank]]</f>
        <v>0</v>
      </c>
      <c r="U1168" s="323"/>
    </row>
    <row r="1169" spans="1:21" ht="15" customHeight="1">
      <c r="A1169" s="326"/>
      <c r="B1169" s="326"/>
      <c r="C1169" s="329"/>
      <c r="D1169" s="81">
        <f>D1167</f>
        <v>45876</v>
      </c>
      <c r="E1169" s="140" t="str">
        <f>$L$1</f>
        <v>loganworsdell</v>
      </c>
      <c r="F1169" s="8">
        <f>IFERROR(AVERAGE(Data[[#This Row],[alappatjoe]:[currydestroyer27]]), "TBD")</f>
        <v>1.8</v>
      </c>
      <c r="G1169" s="177">
        <f>IFERROR(_xlfn.STDEV.P(Data[[#This Row],[alappatjoe]:[currydestroyer27]]), "TBD")</f>
        <v>0.4</v>
      </c>
      <c r="H1169" s="135" t="s">
        <v>1948</v>
      </c>
      <c r="I1169" s="229" t="s">
        <v>2392</v>
      </c>
      <c r="J1169" s="8">
        <v>2</v>
      </c>
      <c r="K1169" s="8">
        <v>2</v>
      </c>
      <c r="L1169" s="8">
        <v>1</v>
      </c>
      <c r="M1169" s="8">
        <v>2</v>
      </c>
      <c r="N1169" s="8">
        <v>2</v>
      </c>
      <c r="O1169" s="238">
        <v>35746321</v>
      </c>
      <c r="P1169" s="234"/>
      <c r="Q1169" s="93"/>
      <c r="R11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69" s="93">
        <v>1</v>
      </c>
      <c r="T1169" s="93" t="b">
        <f>Data[[#This Row],[Day Rank]]=Data[[#This Row],[W Rank]]</f>
        <v>1</v>
      </c>
      <c r="U1169" s="323"/>
    </row>
    <row r="1170" spans="1:21" ht="15" customHeight="1">
      <c r="A1170" s="326"/>
      <c r="B1170" s="326"/>
      <c r="C1170" s="329"/>
      <c r="D1170" s="81">
        <f>D1167</f>
        <v>45876</v>
      </c>
      <c r="E1170" s="140" t="str">
        <f>$M$1</f>
        <v>samuelbattista</v>
      </c>
      <c r="F1170" s="8">
        <f>IFERROR(AVERAGE(Data[[#This Row],[alappatjoe]:[currydestroyer27]]), "TBD")</f>
        <v>2.8</v>
      </c>
      <c r="G1170" s="177">
        <f>IFERROR(_xlfn.STDEV.P(Data[[#This Row],[alappatjoe]:[currydestroyer27]]), "TBD")</f>
        <v>0.9797958971132712</v>
      </c>
      <c r="H1170" s="245" t="s">
        <v>2393</v>
      </c>
      <c r="I1170" s="229" t="s">
        <v>90</v>
      </c>
      <c r="J1170" s="8">
        <v>3</v>
      </c>
      <c r="K1170" s="8">
        <v>3</v>
      </c>
      <c r="L1170" s="8">
        <v>3</v>
      </c>
      <c r="M1170" s="8">
        <v>1</v>
      </c>
      <c r="N1170" s="8">
        <v>4</v>
      </c>
      <c r="O1170" s="238"/>
      <c r="P1170" s="234"/>
      <c r="Q1170" s="93"/>
      <c r="R11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70" s="93">
        <v>1</v>
      </c>
      <c r="T1170" s="93" t="b">
        <f>Data[[#This Row],[Day Rank]]=Data[[#This Row],[W Rank]]</f>
        <v>0</v>
      </c>
      <c r="U1170" s="323"/>
    </row>
    <row r="1171" spans="1:21" ht="15" customHeight="1" thickBot="1">
      <c r="A1171" s="327"/>
      <c r="B1171" s="327"/>
      <c r="C1171" s="330"/>
      <c r="D1171" s="164">
        <f>D1167</f>
        <v>45876</v>
      </c>
      <c r="E1171" s="215" t="str">
        <f>$N$1</f>
        <v>currydestroyer27</v>
      </c>
      <c r="F1171" s="165">
        <f>IFERROR(AVERAGE(Data[[#This Row],[alappatjoe]:[currydestroyer27]]), "TBD")</f>
        <v>4.2</v>
      </c>
      <c r="G1171" s="256">
        <f>IFERROR(_xlfn.STDEV.P(Data[[#This Row],[alappatjoe]:[currydestroyer27]]), "TBD")</f>
        <v>1.6</v>
      </c>
      <c r="H1171" s="227" t="s">
        <v>2394</v>
      </c>
      <c r="I1171" s="257" t="s">
        <v>432</v>
      </c>
      <c r="J1171" s="165">
        <v>5</v>
      </c>
      <c r="K1171" s="165">
        <v>5</v>
      </c>
      <c r="L1171" s="165">
        <v>5</v>
      </c>
      <c r="M1171" s="165">
        <v>5</v>
      </c>
      <c r="N1171" s="165">
        <v>1</v>
      </c>
      <c r="O1171" s="242">
        <v>1406036312</v>
      </c>
      <c r="P1171" s="237"/>
      <c r="Q1171" s="167"/>
      <c r="R117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71" s="167">
        <v>1</v>
      </c>
      <c r="T1171" s="167" t="b">
        <f>Data[[#This Row],[Day Rank]]=Data[[#This Row],[W Rank]]</f>
        <v>0</v>
      </c>
      <c r="U1171" s="324"/>
    </row>
    <row r="1172" spans="1:21" ht="15" customHeight="1">
      <c r="A1172" s="325">
        <v>45880</v>
      </c>
      <c r="B1172" s="325"/>
      <c r="C1172" s="338" t="str" cm="1">
        <f t="array" ref="C1172">_xlfn.LET(_xlpm.matches, _xlfn._xlws.FILTER(Data[Poster], (Data[Date]=A1172)*(Data[Winner]=TRUE)), IF(ROWS(_xlpm.matches)&gt;1, "TIE", _xlpm.matches))</f>
        <v>loganworsdell</v>
      </c>
      <c r="D1172" s="147">
        <f>A1172</f>
        <v>45880</v>
      </c>
      <c r="E1172" s="181" t="str">
        <f>$J$1</f>
        <v>alappatjoe</v>
      </c>
      <c r="F1172" s="9">
        <f>IFERROR(AVERAGE(Data[[#This Row],[alappatjoe]:[currydestroyer27]]), "TBD")</f>
        <v>3.2</v>
      </c>
      <c r="G1172" s="178">
        <f>IFERROR(_xlfn.STDEV.P(Data[[#This Row],[alappatjoe]:[currydestroyer27]]), "TBD")</f>
        <v>1.1661903789690602</v>
      </c>
      <c r="H1172" s="135" t="s">
        <v>2395</v>
      </c>
      <c r="I1172" s="229" t="s">
        <v>2396</v>
      </c>
      <c r="J1172" s="3">
        <v>1</v>
      </c>
      <c r="K1172" s="3">
        <v>4</v>
      </c>
      <c r="L1172" s="3">
        <v>4</v>
      </c>
      <c r="M1172" s="3">
        <v>4</v>
      </c>
      <c r="N1172" s="3">
        <v>3</v>
      </c>
      <c r="O1172" s="238">
        <v>11963</v>
      </c>
      <c r="P1172" s="93"/>
      <c r="Q1172" s="93"/>
      <c r="R11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72" s="93">
        <v>1</v>
      </c>
      <c r="T1172" s="93" t="b">
        <f>Data[[#This Row],[Day Rank]]=Data[[#This Row],[W Rank]]</f>
        <v>0</v>
      </c>
      <c r="U1172" s="331"/>
    </row>
    <row r="1173" spans="1:21" ht="15" customHeight="1">
      <c r="A1173" s="326"/>
      <c r="B1173" s="326"/>
      <c r="C1173" s="339"/>
      <c r="D1173" s="81">
        <f>D1172</f>
        <v>45880</v>
      </c>
      <c r="E1173" s="140" t="str">
        <f>$K$1</f>
        <v>danram</v>
      </c>
      <c r="F1173" s="8">
        <f>IFERROR(AVERAGE(Data[[#This Row],[alappatjoe]:[currydestroyer27]]), "TBD")</f>
        <v>3.4</v>
      </c>
      <c r="G1173" s="177">
        <f>IFERROR(_xlfn.STDEV.P(Data[[#This Row],[alappatjoe]:[currydestroyer27]]), "TBD")</f>
        <v>1.3564659966250536</v>
      </c>
      <c r="H1173" s="135" t="s">
        <v>2397</v>
      </c>
      <c r="I1173" s="229" t="s">
        <v>2398</v>
      </c>
      <c r="J1173" s="3">
        <v>3</v>
      </c>
      <c r="K1173" s="3">
        <v>2</v>
      </c>
      <c r="L1173" s="3">
        <v>5</v>
      </c>
      <c r="M1173" s="3">
        <v>2</v>
      </c>
      <c r="N1173" s="3">
        <v>5</v>
      </c>
      <c r="O1173" s="238"/>
      <c r="P1173" s="93"/>
      <c r="Q1173" s="93"/>
      <c r="R11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73" s="93">
        <v>1</v>
      </c>
      <c r="T1173" s="93" t="b">
        <f>Data[[#This Row],[Day Rank]]=Data[[#This Row],[W Rank]]</f>
        <v>0</v>
      </c>
      <c r="U1173" s="323"/>
    </row>
    <row r="1174" spans="1:21" ht="15" customHeight="1">
      <c r="A1174" s="326"/>
      <c r="B1174" s="326"/>
      <c r="C1174" s="339"/>
      <c r="D1174" s="81">
        <f>D1172</f>
        <v>45880</v>
      </c>
      <c r="E1174" s="140" t="str">
        <f>$L$1</f>
        <v>loganworsdell</v>
      </c>
      <c r="F1174" s="8">
        <f>IFERROR(AVERAGE(Data[[#This Row],[alappatjoe]:[currydestroyer27]]), "TBD")</f>
        <v>2</v>
      </c>
      <c r="G1174" s="177">
        <f>IFERROR(_xlfn.STDEV.P(Data[[#This Row],[alappatjoe]:[currydestroyer27]]), "TBD")</f>
        <v>0.89442719099991586</v>
      </c>
      <c r="H1174" s="135" t="s">
        <v>2399</v>
      </c>
      <c r="I1174" s="229" t="s">
        <v>2400</v>
      </c>
      <c r="J1174" s="3">
        <v>2</v>
      </c>
      <c r="K1174" s="3">
        <v>3</v>
      </c>
      <c r="L1174" s="3">
        <v>1</v>
      </c>
      <c r="M1174" s="3">
        <v>3</v>
      </c>
      <c r="N1174" s="3">
        <v>1</v>
      </c>
      <c r="O1174" s="238">
        <v>292109</v>
      </c>
      <c r="P1174" s="93"/>
      <c r="Q1174" s="93"/>
      <c r="R11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74" s="93">
        <v>1</v>
      </c>
      <c r="T1174" s="93" t="b">
        <f>Data[[#This Row],[Day Rank]]=Data[[#This Row],[W Rank]]</f>
        <v>1</v>
      </c>
      <c r="U1174" s="323"/>
    </row>
    <row r="1175" spans="1:21" ht="15" customHeight="1">
      <c r="A1175" s="326"/>
      <c r="B1175" s="326"/>
      <c r="C1175" s="339"/>
      <c r="D1175" s="81">
        <f>D1172</f>
        <v>45880</v>
      </c>
      <c r="E1175" s="140" t="str">
        <f>$M$1</f>
        <v>samuelbattista</v>
      </c>
      <c r="F1175" s="8">
        <f>IFERROR(AVERAGE(Data[[#This Row],[alappatjoe]:[currydestroyer27]]), "TBD")</f>
        <v>2.2000000000000002</v>
      </c>
      <c r="G1175" s="177">
        <f>IFERROR(_xlfn.STDEV.P(Data[[#This Row],[alappatjoe]:[currydestroyer27]]), "TBD")</f>
        <v>1.1661903789690602</v>
      </c>
      <c r="H1175" s="135" t="s">
        <v>2401</v>
      </c>
      <c r="I1175" s="229" t="s">
        <v>2402</v>
      </c>
      <c r="J1175" s="3">
        <v>4</v>
      </c>
      <c r="K1175" s="3">
        <v>1</v>
      </c>
      <c r="L1175" s="3">
        <v>3</v>
      </c>
      <c r="M1175" s="3">
        <v>1</v>
      </c>
      <c r="N1175" s="3">
        <v>2</v>
      </c>
      <c r="O1175" s="238"/>
      <c r="P1175" s="93"/>
      <c r="Q1175" s="93"/>
      <c r="R11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75" s="93">
        <v>1</v>
      </c>
      <c r="T1175" s="93" t="b">
        <f>Data[[#This Row],[Day Rank]]=Data[[#This Row],[W Rank]]</f>
        <v>0</v>
      </c>
      <c r="U1175" s="323"/>
    </row>
    <row r="1176" spans="1:21" ht="15" customHeight="1" thickBot="1">
      <c r="A1176" s="327"/>
      <c r="B1176" s="327"/>
      <c r="C1176" s="340"/>
      <c r="D1176" s="164">
        <f>D1172</f>
        <v>45880</v>
      </c>
      <c r="E1176" s="215" t="str">
        <f>$N$1</f>
        <v>currydestroyer27</v>
      </c>
      <c r="F1176" s="165">
        <f>IFERROR(AVERAGE(Data[[#This Row],[alappatjoe]:[currydestroyer27]]), "TBD")</f>
        <v>4.2</v>
      </c>
      <c r="G1176" s="256">
        <f>IFERROR(_xlfn.STDEV.P(Data[[#This Row],[alappatjoe]:[currydestroyer27]]), "TBD")</f>
        <v>1.1661903789690602</v>
      </c>
      <c r="H1176" s="227" t="s">
        <v>2403</v>
      </c>
      <c r="I1176" s="257" t="s">
        <v>2404</v>
      </c>
      <c r="J1176" s="166">
        <v>5</v>
      </c>
      <c r="K1176" s="166">
        <v>5</v>
      </c>
      <c r="L1176" s="166">
        <v>2</v>
      </c>
      <c r="M1176" s="166">
        <v>5</v>
      </c>
      <c r="N1176" s="166">
        <v>4</v>
      </c>
      <c r="O1176" s="242">
        <v>66257262</v>
      </c>
      <c r="P1176" s="167" t="s">
        <v>76</v>
      </c>
      <c r="Q1176" s="167" t="s">
        <v>96</v>
      </c>
      <c r="R117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76" s="167">
        <v>1</v>
      </c>
      <c r="T1176" s="167" t="b">
        <f>Data[[#This Row],[Day Rank]]=Data[[#This Row],[W Rank]]</f>
        <v>0</v>
      </c>
      <c r="U1176" s="324"/>
    </row>
    <row r="1177" spans="1:21" ht="15" customHeight="1">
      <c r="A1177" s="325">
        <v>45881</v>
      </c>
      <c r="B1177" s="325"/>
      <c r="C1177" s="328" t="str" cm="1">
        <f t="array" ref="C1177">_xlfn.LET(_xlpm.matches, _xlfn._xlws.FILTER(Data[Poster], (Data[Date]=A1177)*(Data[Winner]=TRUE)), IF(ROWS(_xlpm.matches)&gt;1, "TIE", _xlpm.matches))</f>
        <v>alappatjoe</v>
      </c>
      <c r="D1177" s="147">
        <f>A1177</f>
        <v>45881</v>
      </c>
      <c r="E1177" s="181" t="str">
        <f>$J$1</f>
        <v>alappatjoe</v>
      </c>
      <c r="F1177" s="9">
        <f>IFERROR(AVERAGE(Data[[#This Row],[alappatjoe]:[currydestroyer27]]), "TBD")</f>
        <v>2.4</v>
      </c>
      <c r="G1177" s="178">
        <f>IFERROR(_xlfn.STDEV.P(Data[[#This Row],[alappatjoe]:[currydestroyer27]]), "TBD")</f>
        <v>1.019803902718557</v>
      </c>
      <c r="H1177" s="160" t="s">
        <v>2405</v>
      </c>
      <c r="I1177" s="186" t="s">
        <v>2406</v>
      </c>
      <c r="J1177" s="3">
        <v>1</v>
      </c>
      <c r="K1177" s="3">
        <v>4</v>
      </c>
      <c r="L1177" s="3">
        <v>3</v>
      </c>
      <c r="M1177" s="3">
        <v>2</v>
      </c>
      <c r="N1177" s="246">
        <v>2</v>
      </c>
      <c r="O1177" s="238">
        <v>20851584</v>
      </c>
      <c r="P1177" s="93"/>
      <c r="Q1177" s="93"/>
      <c r="R11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77" s="93">
        <v>1</v>
      </c>
      <c r="T1177" s="93" t="b">
        <f>Data[[#This Row],[Day Rank]]=Data[[#This Row],[W Rank]]</f>
        <v>1</v>
      </c>
      <c r="U1177" s="331"/>
    </row>
    <row r="1178" spans="1:21" ht="15" customHeight="1">
      <c r="A1178" s="326"/>
      <c r="B1178" s="326"/>
      <c r="C1178" s="329"/>
      <c r="D1178" s="81">
        <f>D1177</f>
        <v>45881</v>
      </c>
      <c r="E1178" s="140" t="str">
        <f>$K$1</f>
        <v>danram</v>
      </c>
      <c r="F1178" s="8">
        <f>IFERROR(AVERAGE(Data[[#This Row],[alappatjoe]:[currydestroyer27]]), "TBD")</f>
        <v>3.2</v>
      </c>
      <c r="G1178" s="177">
        <f>IFERROR(_xlfn.STDEV.P(Data[[#This Row],[alappatjoe]:[currydestroyer27]]), "TBD")</f>
        <v>1.4696938456699069</v>
      </c>
      <c r="H1178" s="135" t="s">
        <v>2407</v>
      </c>
      <c r="I1178" s="229" t="s">
        <v>2408</v>
      </c>
      <c r="J1178" s="3">
        <v>2</v>
      </c>
      <c r="K1178" s="3">
        <v>1</v>
      </c>
      <c r="L1178" s="3">
        <v>5</v>
      </c>
      <c r="M1178" s="3">
        <v>4</v>
      </c>
      <c r="N1178" s="246">
        <v>4</v>
      </c>
      <c r="O1178" s="238"/>
      <c r="P1178" s="93"/>
      <c r="Q1178" s="93"/>
      <c r="R11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78" s="93">
        <v>1</v>
      </c>
      <c r="T1178" s="93" t="b">
        <f>Data[[#This Row],[Day Rank]]=Data[[#This Row],[W Rank]]</f>
        <v>0</v>
      </c>
      <c r="U1178" s="323"/>
    </row>
    <row r="1179" spans="1:21" ht="15" customHeight="1">
      <c r="A1179" s="326"/>
      <c r="B1179" s="326"/>
      <c r="C1179" s="329"/>
      <c r="D1179" s="81">
        <f>D1177</f>
        <v>45881</v>
      </c>
      <c r="E1179" s="140" t="str">
        <f>$L$1</f>
        <v>loganworsdell</v>
      </c>
      <c r="F1179" s="8">
        <f>IFERROR(AVERAGE(Data[[#This Row],[alappatjoe]:[currydestroyer27]]), "TBD")</f>
        <v>2.6</v>
      </c>
      <c r="G1179" s="177">
        <f>IFERROR(_xlfn.STDEV.P(Data[[#This Row],[alappatjoe]:[currydestroyer27]]), "TBD")</f>
        <v>1.019803902718557</v>
      </c>
      <c r="H1179" s="135" t="s">
        <v>2409</v>
      </c>
      <c r="I1179" s="229" t="s">
        <v>2410</v>
      </c>
      <c r="J1179" s="3">
        <v>4</v>
      </c>
      <c r="K1179" s="3">
        <v>2</v>
      </c>
      <c r="L1179" s="3">
        <v>1</v>
      </c>
      <c r="M1179" s="3">
        <v>3</v>
      </c>
      <c r="N1179" s="246">
        <v>3</v>
      </c>
      <c r="O1179" s="238">
        <v>22842616</v>
      </c>
      <c r="P1179" s="93"/>
      <c r="Q1179" s="93"/>
      <c r="R11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79" s="93">
        <v>1</v>
      </c>
      <c r="T1179" s="93" t="b">
        <f>Data[[#This Row],[Day Rank]]=Data[[#This Row],[W Rank]]</f>
        <v>0</v>
      </c>
      <c r="U1179" s="323"/>
    </row>
    <row r="1180" spans="1:21" ht="15" customHeight="1">
      <c r="A1180" s="326"/>
      <c r="B1180" s="326"/>
      <c r="C1180" s="329"/>
      <c r="D1180" s="81">
        <f>D1177</f>
        <v>45881</v>
      </c>
      <c r="E1180" s="140" t="str">
        <f>$M$1</f>
        <v>samuelbattista</v>
      </c>
      <c r="F1180" s="8">
        <f>IFERROR(AVERAGE(Data[[#This Row],[alappatjoe]:[currydestroyer27]]), "TBD")</f>
        <v>4</v>
      </c>
      <c r="G1180" s="177">
        <f>IFERROR(_xlfn.STDEV.P(Data[[#This Row],[alappatjoe]:[currydestroyer27]]), "TBD")</f>
        <v>1.5491933384829668</v>
      </c>
      <c r="H1180" s="135" t="s">
        <v>2411</v>
      </c>
      <c r="I1180" s="229" t="s">
        <v>1937</v>
      </c>
      <c r="J1180" s="3">
        <v>5</v>
      </c>
      <c r="K1180" s="3">
        <v>5</v>
      </c>
      <c r="L1180" s="3">
        <v>4</v>
      </c>
      <c r="M1180" s="3">
        <v>1</v>
      </c>
      <c r="N1180" s="246">
        <v>5</v>
      </c>
      <c r="O1180" s="238"/>
      <c r="P1180" s="93"/>
      <c r="Q1180" s="93"/>
      <c r="R11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80" s="93">
        <v>1</v>
      </c>
      <c r="T1180" s="93" t="b">
        <f>Data[[#This Row],[Day Rank]]=Data[[#This Row],[W Rank]]</f>
        <v>0</v>
      </c>
      <c r="U1180" s="323"/>
    </row>
    <row r="1181" spans="1:21" ht="15" customHeight="1" thickBot="1">
      <c r="A1181" s="327"/>
      <c r="B1181" s="327"/>
      <c r="C1181" s="330"/>
      <c r="D1181" s="164">
        <f>D1177</f>
        <v>45881</v>
      </c>
      <c r="E1181" s="215" t="str">
        <f>$N$1</f>
        <v>currydestroyer27</v>
      </c>
      <c r="F1181" s="165">
        <f>IFERROR(AVERAGE(Data[[#This Row],[alappatjoe]:[currydestroyer27]]), "TBD")</f>
        <v>2.8</v>
      </c>
      <c r="G1181" s="256">
        <f>IFERROR(_xlfn.STDEV.P(Data[[#This Row],[alappatjoe]:[currydestroyer27]]), "TBD")</f>
        <v>1.3266499161421599</v>
      </c>
      <c r="H1181" s="227" t="s">
        <v>867</v>
      </c>
      <c r="I1181" s="257" t="s">
        <v>2412</v>
      </c>
      <c r="J1181" s="166">
        <v>3</v>
      </c>
      <c r="K1181" s="166">
        <v>3</v>
      </c>
      <c r="L1181" s="166">
        <v>2</v>
      </c>
      <c r="M1181" s="166">
        <v>5</v>
      </c>
      <c r="N1181" s="259">
        <v>1</v>
      </c>
      <c r="O1181" s="242">
        <v>1642868</v>
      </c>
      <c r="P1181" s="167"/>
      <c r="Q1181" s="167"/>
      <c r="R118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81" s="167">
        <v>1</v>
      </c>
      <c r="T1181" s="167" t="b">
        <f>Data[[#This Row],[Day Rank]]=Data[[#This Row],[W Rank]]</f>
        <v>0</v>
      </c>
      <c r="U1181" s="324"/>
    </row>
    <row r="1182" spans="1:21" ht="15" customHeight="1">
      <c r="A1182" s="325">
        <v>45882</v>
      </c>
      <c r="B1182" s="325"/>
      <c r="C1182" s="338" t="str" cm="1">
        <f t="array" ref="C1182">_xlfn.LET(_xlpm.matches, _xlfn._xlws.FILTER(Data[Poster], (Data[Date]=A1182)*(Data[Winner]=TRUE)), IF(ROWS(_xlpm.matches)&gt;1, "TIE", _xlpm.matches))</f>
        <v>currydestroyer27</v>
      </c>
      <c r="D1182" s="147">
        <f>A1182</f>
        <v>45882</v>
      </c>
      <c r="E1182" s="181" t="str">
        <f>$J$1</f>
        <v>alappatjoe</v>
      </c>
      <c r="F1182" s="9">
        <f>IFERROR(AVERAGE(Data[[#This Row],[alappatjoe]:[currydestroyer27]]), "TBD")</f>
        <v>4</v>
      </c>
      <c r="G1182" s="178">
        <f>IFERROR(_xlfn.STDEV.P(Data[[#This Row],[alappatjoe]:[currydestroyer27]]), "TBD")</f>
        <v>1.5491933384829668</v>
      </c>
      <c r="H1182" s="160" t="s">
        <v>2413</v>
      </c>
      <c r="I1182" s="186" t="s">
        <v>2414</v>
      </c>
      <c r="J1182" s="3">
        <v>1</v>
      </c>
      <c r="K1182" s="3">
        <v>5</v>
      </c>
      <c r="L1182" s="3">
        <v>5</v>
      </c>
      <c r="M1182" s="3">
        <v>5</v>
      </c>
      <c r="N1182" s="3">
        <v>4</v>
      </c>
      <c r="O1182" s="238">
        <v>2060343</v>
      </c>
      <c r="P1182" s="93"/>
      <c r="Q1182" s="93"/>
      <c r="R11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82" s="93">
        <v>1</v>
      </c>
      <c r="T1182" s="93" t="b">
        <f>Data[[#This Row],[Day Rank]]=Data[[#This Row],[W Rank]]</f>
        <v>0</v>
      </c>
      <c r="U1182" s="331"/>
    </row>
    <row r="1183" spans="1:21" ht="15" customHeight="1">
      <c r="A1183" s="326"/>
      <c r="B1183" s="326"/>
      <c r="C1183" s="339"/>
      <c r="D1183" s="81">
        <f>D1182</f>
        <v>45882</v>
      </c>
      <c r="E1183" s="140" t="str">
        <f>$K$1</f>
        <v>danram</v>
      </c>
      <c r="F1183" s="8">
        <f>IFERROR(AVERAGE(Data[[#This Row],[alappatjoe]:[currydestroyer27]]), "TBD")</f>
        <v>2.6</v>
      </c>
      <c r="G1183" s="177">
        <f>IFERROR(_xlfn.STDEV.P(Data[[#This Row],[alappatjoe]:[currydestroyer27]]), "TBD")</f>
        <v>0.4898979485566356</v>
      </c>
      <c r="H1183" s="135" t="s">
        <v>2415</v>
      </c>
      <c r="I1183" s="229" t="s">
        <v>2416</v>
      </c>
      <c r="J1183" s="3">
        <v>3</v>
      </c>
      <c r="K1183" s="3">
        <v>3</v>
      </c>
      <c r="L1183" s="3">
        <v>3</v>
      </c>
      <c r="M1183" s="3">
        <v>2</v>
      </c>
      <c r="N1183" s="3">
        <v>2</v>
      </c>
      <c r="O1183" s="238"/>
      <c r="P1183" s="93"/>
      <c r="Q1183" s="93"/>
      <c r="R11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83" s="93">
        <v>1</v>
      </c>
      <c r="T1183" s="93" t="b">
        <f>Data[[#This Row],[Day Rank]]=Data[[#This Row],[W Rank]]</f>
        <v>0</v>
      </c>
      <c r="U1183" s="323"/>
    </row>
    <row r="1184" spans="1:21" ht="15" customHeight="1">
      <c r="A1184" s="326"/>
      <c r="B1184" s="326"/>
      <c r="C1184" s="339"/>
      <c r="D1184" s="81">
        <f>D1182</f>
        <v>45882</v>
      </c>
      <c r="E1184" s="140" t="str">
        <f>$L$1</f>
        <v>loganworsdell</v>
      </c>
      <c r="F1184" s="8">
        <f>IFERROR(AVERAGE(Data[[#This Row],[alappatjoe]:[currydestroyer27]]), "TBD")</f>
        <v>3.2</v>
      </c>
      <c r="G1184" s="177">
        <f>IFERROR(_xlfn.STDEV.P(Data[[#This Row],[alappatjoe]:[currydestroyer27]]), "TBD")</f>
        <v>1.4696938456699069</v>
      </c>
      <c r="H1184" s="135" t="s">
        <v>2417</v>
      </c>
      <c r="I1184" s="229" t="s">
        <v>2418</v>
      </c>
      <c r="J1184" s="3">
        <v>4</v>
      </c>
      <c r="K1184" s="3">
        <v>1</v>
      </c>
      <c r="L1184" s="3">
        <v>2</v>
      </c>
      <c r="M1184" s="3">
        <v>4</v>
      </c>
      <c r="N1184" s="3">
        <v>5</v>
      </c>
      <c r="O1184" s="238">
        <v>108171209</v>
      </c>
      <c r="P1184" s="93"/>
      <c r="Q1184" s="93"/>
      <c r="R11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84" s="93">
        <v>1</v>
      </c>
      <c r="T1184" s="93" t="b">
        <f>Data[[#This Row],[Day Rank]]=Data[[#This Row],[W Rank]]</f>
        <v>0</v>
      </c>
      <c r="U1184" s="323"/>
    </row>
    <row r="1185" spans="1:21" ht="15" customHeight="1">
      <c r="A1185" s="326"/>
      <c r="B1185" s="326"/>
      <c r="C1185" s="339"/>
      <c r="D1185" s="81">
        <f>D1182</f>
        <v>45882</v>
      </c>
      <c r="E1185" s="140" t="str">
        <f>$M$1</f>
        <v>samuelbattista</v>
      </c>
      <c r="F1185" s="8">
        <f>IFERROR(AVERAGE(Data[[#This Row],[alappatjoe]:[currydestroyer27]]), "TBD")</f>
        <v>2.8</v>
      </c>
      <c r="G1185" s="177">
        <f>IFERROR(_xlfn.STDEV.P(Data[[#This Row],[alappatjoe]:[currydestroyer27]]), "TBD")</f>
        <v>1.6</v>
      </c>
      <c r="H1185" s="135" t="s">
        <v>2419</v>
      </c>
      <c r="I1185" s="229" t="s">
        <v>2420</v>
      </c>
      <c r="J1185" s="3">
        <v>5</v>
      </c>
      <c r="K1185" s="3">
        <v>4</v>
      </c>
      <c r="L1185" s="3">
        <v>1</v>
      </c>
      <c r="M1185" s="3">
        <v>1</v>
      </c>
      <c r="N1185" s="3">
        <v>3</v>
      </c>
      <c r="O1185" s="238"/>
      <c r="P1185" s="93"/>
      <c r="Q1185" s="93"/>
      <c r="R11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85" s="93">
        <v>1</v>
      </c>
      <c r="T1185" s="93" t="b">
        <f>Data[[#This Row],[Day Rank]]=Data[[#This Row],[W Rank]]</f>
        <v>0</v>
      </c>
      <c r="U1185" s="323"/>
    </row>
    <row r="1186" spans="1:21" ht="15" customHeight="1" thickBot="1">
      <c r="A1186" s="327"/>
      <c r="B1186" s="327"/>
      <c r="C1186" s="340"/>
      <c r="D1186" s="164">
        <f>D1182</f>
        <v>45882</v>
      </c>
      <c r="E1186" s="215" t="str">
        <f>$N$1</f>
        <v>currydestroyer27</v>
      </c>
      <c r="F1186" s="165">
        <f>IFERROR(AVERAGE(Data[[#This Row],[alappatjoe]:[currydestroyer27]]), "TBD")</f>
        <v>2.4</v>
      </c>
      <c r="G1186" s="256">
        <f>IFERROR(_xlfn.STDEV.P(Data[[#This Row],[alappatjoe]:[currydestroyer27]]), "TBD")</f>
        <v>1.019803902718557</v>
      </c>
      <c r="H1186" s="227" t="s">
        <v>2421</v>
      </c>
      <c r="I1186" s="257" t="s">
        <v>2422</v>
      </c>
      <c r="J1186" s="166">
        <v>2</v>
      </c>
      <c r="K1186" s="166">
        <v>2</v>
      </c>
      <c r="L1186" s="166">
        <v>4</v>
      </c>
      <c r="M1186" s="166">
        <v>3</v>
      </c>
      <c r="N1186" s="166">
        <v>1</v>
      </c>
      <c r="O1186" s="242">
        <v>63260342</v>
      </c>
      <c r="P1186" s="167"/>
      <c r="Q1186" s="167"/>
      <c r="R118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86" s="167">
        <v>1</v>
      </c>
      <c r="T1186" s="167" t="b">
        <f>Data[[#This Row],[Day Rank]]=Data[[#This Row],[W Rank]]</f>
        <v>1</v>
      </c>
      <c r="U1186" s="324"/>
    </row>
    <row r="1187" spans="1:21" ht="15" customHeight="1">
      <c r="A1187" s="325">
        <v>45883</v>
      </c>
      <c r="B1187" s="325"/>
      <c r="C1187" s="328" t="str" cm="1">
        <f t="array" ref="C1187">_xlfn.LET(_xlpm.matches, _xlfn._xlws.FILTER(Data[Poster], (Data[Date]=A1187)*(Data[Winner]=TRUE)), IF(ROWS(_xlpm.matches)&gt;1, "TIE", _xlpm.matches))</f>
        <v>currydestroyer27</v>
      </c>
      <c r="D1187" s="147">
        <f>A1187</f>
        <v>45883</v>
      </c>
      <c r="E1187" s="181" t="str">
        <f>$J$1</f>
        <v>alappatjoe</v>
      </c>
      <c r="F1187" s="9">
        <f>IFERROR(AVERAGE(Data[[#This Row],[alappatjoe]:[currydestroyer27]]), "TBD")</f>
        <v>3.8</v>
      </c>
      <c r="G1187" s="178">
        <f>IFERROR(_xlfn.STDEV.P(Data[[#This Row],[alappatjoe]:[currydestroyer27]]), "TBD")</f>
        <v>1.4696938456699069</v>
      </c>
      <c r="H1187" s="160" t="s">
        <v>2423</v>
      </c>
      <c r="I1187" s="186" t="s">
        <v>2424</v>
      </c>
      <c r="J1187" s="3">
        <v>1</v>
      </c>
      <c r="K1187" s="3">
        <v>4</v>
      </c>
      <c r="L1187" s="3">
        <v>4</v>
      </c>
      <c r="M1187" s="3">
        <v>5</v>
      </c>
      <c r="N1187" s="3">
        <v>5</v>
      </c>
      <c r="O1187" s="238">
        <v>12804298</v>
      </c>
      <c r="P1187" s="93"/>
      <c r="Q1187" s="93"/>
      <c r="R11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87" s="93">
        <v>1</v>
      </c>
      <c r="T1187" s="93" t="b">
        <f>Data[[#This Row],[Day Rank]]=Data[[#This Row],[W Rank]]</f>
        <v>0</v>
      </c>
      <c r="U1187" s="331" t="s">
        <v>2425</v>
      </c>
    </row>
    <row r="1188" spans="1:21">
      <c r="A1188" s="326"/>
      <c r="B1188" s="326"/>
      <c r="C1188" s="329"/>
      <c r="D1188" s="81">
        <f>D1187</f>
        <v>45883</v>
      </c>
      <c r="E1188" s="140" t="str">
        <f>$K$1</f>
        <v>danram</v>
      </c>
      <c r="F1188" s="8">
        <f>IFERROR(AVERAGE(Data[[#This Row],[alappatjoe]:[currydestroyer27]]), "TBD")</f>
        <v>2.2000000000000002</v>
      </c>
      <c r="G1188" s="177">
        <f>IFERROR(_xlfn.STDEV.P(Data[[#This Row],[alappatjoe]:[currydestroyer27]]), "TBD")</f>
        <v>1.1661903789690602</v>
      </c>
      <c r="H1188" s="135" t="s">
        <v>2426</v>
      </c>
      <c r="I1188" s="229" t="s">
        <v>2427</v>
      </c>
      <c r="J1188" s="3">
        <v>4</v>
      </c>
      <c r="K1188" s="3">
        <v>1</v>
      </c>
      <c r="L1188" s="3">
        <v>1</v>
      </c>
      <c r="M1188" s="3">
        <v>3</v>
      </c>
      <c r="N1188" s="3">
        <v>2</v>
      </c>
      <c r="O1188" s="238"/>
      <c r="P1188" s="93"/>
      <c r="Q1188" s="93"/>
      <c r="R11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88" s="93">
        <v>1</v>
      </c>
      <c r="T1188" s="93" t="b">
        <f>Data[[#This Row],[Day Rank]]=Data[[#This Row],[W Rank]]</f>
        <v>0</v>
      </c>
      <c r="U1188" s="323"/>
    </row>
    <row r="1189" spans="1:21">
      <c r="A1189" s="326"/>
      <c r="B1189" s="326"/>
      <c r="C1189" s="329"/>
      <c r="D1189" s="81">
        <f>D1187</f>
        <v>45883</v>
      </c>
      <c r="E1189" s="140" t="str">
        <f>$L$1</f>
        <v>loganworsdell</v>
      </c>
      <c r="F1189" s="8">
        <f>IFERROR(AVERAGE(Data[[#This Row],[alappatjoe]:[currydestroyer27]]), "TBD")</f>
        <v>3.8</v>
      </c>
      <c r="G1189" s="177">
        <f>IFERROR(_xlfn.STDEV.P(Data[[#This Row],[alappatjoe]:[currydestroyer27]]), "TBD")</f>
        <v>1.1661903789690602</v>
      </c>
      <c r="H1189" s="135" t="s">
        <v>2428</v>
      </c>
      <c r="I1189" s="229" t="s">
        <v>2429</v>
      </c>
      <c r="J1189" s="3">
        <v>5</v>
      </c>
      <c r="K1189" s="3">
        <v>5</v>
      </c>
      <c r="L1189" s="3">
        <v>2</v>
      </c>
      <c r="M1189" s="3">
        <v>4</v>
      </c>
      <c r="N1189" s="3">
        <v>3</v>
      </c>
      <c r="O1189" s="238">
        <v>17637838</v>
      </c>
      <c r="P1189" s="93"/>
      <c r="Q1189" s="93"/>
      <c r="R11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89" s="93">
        <v>1</v>
      </c>
      <c r="T1189" s="93" t="b">
        <f>Data[[#This Row],[Day Rank]]=Data[[#This Row],[W Rank]]</f>
        <v>0</v>
      </c>
      <c r="U1189" s="323"/>
    </row>
    <row r="1190" spans="1:21">
      <c r="A1190" s="326"/>
      <c r="B1190" s="326"/>
      <c r="C1190" s="329"/>
      <c r="D1190" s="81">
        <f>D1187</f>
        <v>45883</v>
      </c>
      <c r="E1190" s="140" t="str">
        <f>$M$1</f>
        <v>samuelbattista</v>
      </c>
      <c r="F1190" s="8">
        <f>IFERROR(AVERAGE(Data[[#This Row],[alappatjoe]:[currydestroyer27]]), "TBD")</f>
        <v>3.2</v>
      </c>
      <c r="G1190" s="177">
        <f>IFERROR(_xlfn.STDEV.P(Data[[#This Row],[alappatjoe]:[currydestroyer27]]), "TBD")</f>
        <v>1.3266499161421599</v>
      </c>
      <c r="H1190" s="135" t="s">
        <v>2430</v>
      </c>
      <c r="I1190" s="229" t="s">
        <v>2431</v>
      </c>
      <c r="J1190" s="3">
        <v>3</v>
      </c>
      <c r="K1190" s="3">
        <v>3</v>
      </c>
      <c r="L1190" s="3">
        <v>5</v>
      </c>
      <c r="M1190" s="3">
        <v>1</v>
      </c>
      <c r="N1190" s="3">
        <v>4</v>
      </c>
      <c r="O1190" s="238"/>
      <c r="P1190" s="93"/>
      <c r="Q1190" s="93"/>
      <c r="R11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90" s="93">
        <v>1</v>
      </c>
      <c r="T1190" s="93" t="b">
        <f>Data[[#This Row],[Day Rank]]=Data[[#This Row],[W Rank]]</f>
        <v>0</v>
      </c>
      <c r="U1190" s="323"/>
    </row>
    <row r="1191" spans="1:21" ht="15.75" thickBot="1">
      <c r="A1191" s="327"/>
      <c r="B1191" s="327"/>
      <c r="C1191" s="330"/>
      <c r="D1191" s="164">
        <f>D1187</f>
        <v>45883</v>
      </c>
      <c r="E1191" s="215" t="str">
        <f>$N$1</f>
        <v>currydestroyer27</v>
      </c>
      <c r="F1191" s="165">
        <f>IFERROR(AVERAGE(Data[[#This Row],[alappatjoe]:[currydestroyer27]]), "TBD")</f>
        <v>2</v>
      </c>
      <c r="G1191" s="256">
        <f>IFERROR(_xlfn.STDEV.P(Data[[#This Row],[alappatjoe]:[currydestroyer27]]), "TBD")</f>
        <v>0.63245553203367588</v>
      </c>
      <c r="H1191" s="227" t="s">
        <v>2432</v>
      </c>
      <c r="I1191" s="257" t="s">
        <v>2433</v>
      </c>
      <c r="J1191" s="166">
        <v>2</v>
      </c>
      <c r="K1191" s="166">
        <v>2</v>
      </c>
      <c r="L1191" s="166">
        <v>3</v>
      </c>
      <c r="M1191" s="166">
        <v>2</v>
      </c>
      <c r="N1191" s="166">
        <v>1</v>
      </c>
      <c r="O1191" s="242">
        <v>283710536</v>
      </c>
      <c r="P1191" s="167"/>
      <c r="Q1191" s="167"/>
      <c r="R119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91" s="167">
        <v>1</v>
      </c>
      <c r="T1191" s="167" t="b">
        <f>Data[[#This Row],[Day Rank]]=Data[[#This Row],[W Rank]]</f>
        <v>1</v>
      </c>
      <c r="U1191" s="324"/>
    </row>
    <row r="1192" spans="1:21" ht="15" customHeight="1">
      <c r="A1192" s="325">
        <v>45887</v>
      </c>
      <c r="B1192" s="325"/>
      <c r="C1192" s="338" t="str" cm="1">
        <f t="array" ref="C1192">_xlfn.LET(_xlpm.matches, _xlfn._xlws.FILTER(Data[Poster], (Data[Date]=A1192)*(Data[Winner]=TRUE)), IF(ROWS(_xlpm.matches)&gt;1, "TIE", _xlpm.matches))</f>
        <v>samuelbattista</v>
      </c>
      <c r="D1192" s="147">
        <f>A1192</f>
        <v>45887</v>
      </c>
      <c r="E1192" s="181" t="str">
        <f>$J$1</f>
        <v>alappatjoe</v>
      </c>
      <c r="F1192" s="9">
        <f>IFERROR(AVERAGE(Data[[#This Row],[alappatjoe]:[currydestroyer27]]), "TBD")</f>
        <v>3</v>
      </c>
      <c r="G1192" s="178">
        <f>IFERROR(_xlfn.STDEV.P(Data[[#This Row],[alappatjoe]:[currydestroyer27]]), "TBD")</f>
        <v>1.4142135623730951</v>
      </c>
      <c r="H1192" s="160" t="s">
        <v>2434</v>
      </c>
      <c r="I1192" s="186" t="s">
        <v>2435</v>
      </c>
      <c r="J1192" s="3">
        <v>1</v>
      </c>
      <c r="K1192" s="3">
        <v>4</v>
      </c>
      <c r="L1192" s="3">
        <v>2</v>
      </c>
      <c r="M1192" s="3">
        <v>3</v>
      </c>
      <c r="N1192" s="3">
        <v>5</v>
      </c>
      <c r="O1192" s="238">
        <v>137706</v>
      </c>
      <c r="P1192" s="93"/>
      <c r="Q1192" s="93"/>
      <c r="R11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92" s="93">
        <v>1</v>
      </c>
      <c r="T1192" s="93" t="b">
        <f>Data[[#This Row],[Day Rank]]=Data[[#This Row],[W Rank]]</f>
        <v>0</v>
      </c>
      <c r="U1192" s="331"/>
    </row>
    <row r="1193" spans="1:21" ht="15" customHeight="1">
      <c r="A1193" s="326"/>
      <c r="B1193" s="326"/>
      <c r="C1193" s="339"/>
      <c r="D1193" s="81">
        <f>D1192</f>
        <v>45887</v>
      </c>
      <c r="E1193" s="140" t="str">
        <f>$K$1</f>
        <v>danram</v>
      </c>
      <c r="F1193" s="8">
        <f>IFERROR(AVERAGE(Data[[#This Row],[alappatjoe]:[currydestroyer27]]), "TBD")</f>
        <v>3.2</v>
      </c>
      <c r="G1193" s="177">
        <f>IFERROR(_xlfn.STDEV.P(Data[[#This Row],[alappatjoe]:[currydestroyer27]]), "TBD")</f>
        <v>1.4696938456699069</v>
      </c>
      <c r="H1193" s="135" t="s">
        <v>2436</v>
      </c>
      <c r="I1193" s="229" t="s">
        <v>2437</v>
      </c>
      <c r="J1193" s="3">
        <v>4</v>
      </c>
      <c r="K1193" s="3">
        <v>1</v>
      </c>
      <c r="L1193" s="3">
        <v>4</v>
      </c>
      <c r="M1193" s="3">
        <v>5</v>
      </c>
      <c r="N1193" s="3">
        <v>2</v>
      </c>
      <c r="O1193" s="238"/>
      <c r="P1193" s="93"/>
      <c r="Q1193" s="93"/>
      <c r="R11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193" s="93">
        <v>1</v>
      </c>
      <c r="T1193" s="93" t="b">
        <f>Data[[#This Row],[Day Rank]]=Data[[#This Row],[W Rank]]</f>
        <v>0</v>
      </c>
      <c r="U1193" s="323"/>
    </row>
    <row r="1194" spans="1:21" ht="15" customHeight="1">
      <c r="A1194" s="326"/>
      <c r="B1194" s="326"/>
      <c r="C1194" s="339"/>
      <c r="D1194" s="81">
        <f>D1192</f>
        <v>45887</v>
      </c>
      <c r="E1194" s="140" t="str">
        <f>$L$1</f>
        <v>loganworsdell</v>
      </c>
      <c r="F1194" s="8">
        <f>IFERROR(AVERAGE(Data[[#This Row],[alappatjoe]:[currydestroyer27]]), "TBD")</f>
        <v>3.4</v>
      </c>
      <c r="G1194" s="177">
        <f>IFERROR(_xlfn.STDEV.P(Data[[#This Row],[alappatjoe]:[currydestroyer27]]), "TBD")</f>
        <v>1.6248076809271921</v>
      </c>
      <c r="H1194" s="135" t="s">
        <v>2438</v>
      </c>
      <c r="I1194" s="229" t="s">
        <v>2439</v>
      </c>
      <c r="J1194" s="3">
        <v>5</v>
      </c>
      <c r="K1194" s="3">
        <v>5</v>
      </c>
      <c r="L1194" s="3">
        <v>1</v>
      </c>
      <c r="M1194" s="3">
        <v>2</v>
      </c>
      <c r="N1194" s="3">
        <v>4</v>
      </c>
      <c r="O1194" s="238">
        <v>39391206</v>
      </c>
      <c r="P1194" s="93"/>
      <c r="Q1194" s="93"/>
      <c r="R11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94" s="93">
        <v>1</v>
      </c>
      <c r="T1194" s="93" t="b">
        <f>Data[[#This Row],[Day Rank]]=Data[[#This Row],[W Rank]]</f>
        <v>0</v>
      </c>
      <c r="U1194" s="323"/>
    </row>
    <row r="1195" spans="1:21" ht="15" customHeight="1">
      <c r="A1195" s="326"/>
      <c r="B1195" s="326"/>
      <c r="C1195" s="339"/>
      <c r="D1195" s="81">
        <f>D1192</f>
        <v>45887</v>
      </c>
      <c r="E1195" s="140" t="str">
        <f>$M$1</f>
        <v>samuelbattista</v>
      </c>
      <c r="F1195" s="8">
        <f>IFERROR(AVERAGE(Data[[#This Row],[alappatjoe]:[currydestroyer27]]), "TBD")</f>
        <v>2.2000000000000002</v>
      </c>
      <c r="G1195" s="177">
        <f>IFERROR(_xlfn.STDEV.P(Data[[#This Row],[alappatjoe]:[currydestroyer27]]), "TBD")</f>
        <v>0.74833147735478833</v>
      </c>
      <c r="H1195" s="135" t="s">
        <v>2440</v>
      </c>
      <c r="I1195" s="229" t="s">
        <v>2441</v>
      </c>
      <c r="J1195" s="3">
        <v>2</v>
      </c>
      <c r="K1195" s="3">
        <v>2</v>
      </c>
      <c r="L1195" s="3">
        <v>3</v>
      </c>
      <c r="M1195" s="3">
        <v>1</v>
      </c>
      <c r="N1195" s="3">
        <v>3</v>
      </c>
      <c r="O1195" s="238"/>
      <c r="P1195" s="93"/>
      <c r="Q1195" s="93"/>
      <c r="R11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195" s="93">
        <v>1</v>
      </c>
      <c r="T1195" s="93" t="b">
        <f>Data[[#This Row],[Day Rank]]=Data[[#This Row],[W Rank]]</f>
        <v>1</v>
      </c>
      <c r="U1195" s="323"/>
    </row>
    <row r="1196" spans="1:21" ht="15" customHeight="1" thickBot="1">
      <c r="A1196" s="327"/>
      <c r="B1196" s="327"/>
      <c r="C1196" s="340"/>
      <c r="D1196" s="164">
        <f>D1192</f>
        <v>45887</v>
      </c>
      <c r="E1196" s="215" t="str">
        <f>$N$1</f>
        <v>currydestroyer27</v>
      </c>
      <c r="F1196" s="165">
        <f>IFERROR(AVERAGE(Data[[#This Row],[alappatjoe]:[currydestroyer27]]), "TBD")</f>
        <v>3.2</v>
      </c>
      <c r="G1196" s="256">
        <f>IFERROR(_xlfn.STDEV.P(Data[[#This Row],[alappatjoe]:[currydestroyer27]]), "TBD")</f>
        <v>1.3266499161421599</v>
      </c>
      <c r="H1196" s="227" t="s">
        <v>2442</v>
      </c>
      <c r="I1196" s="257" t="s">
        <v>2443</v>
      </c>
      <c r="J1196" s="166">
        <v>3</v>
      </c>
      <c r="K1196" s="166">
        <v>3</v>
      </c>
      <c r="L1196" s="166">
        <v>5</v>
      </c>
      <c r="M1196" s="166">
        <v>4</v>
      </c>
      <c r="N1196" s="166">
        <v>1</v>
      </c>
      <c r="O1196" s="242">
        <v>2129008</v>
      </c>
      <c r="P1196" s="167"/>
      <c r="Q1196" s="167"/>
      <c r="R119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96" s="167">
        <v>1</v>
      </c>
      <c r="T1196" s="167" t="b">
        <f>Data[[#This Row],[Day Rank]]=Data[[#This Row],[W Rank]]</f>
        <v>0</v>
      </c>
      <c r="U1196" s="324"/>
    </row>
    <row r="1197" spans="1:21" ht="15" customHeight="1">
      <c r="A1197" s="325">
        <v>45888</v>
      </c>
      <c r="B1197" s="325"/>
      <c r="C1197" s="328" t="str" cm="1">
        <f t="array" ref="C1197">_xlfn.LET(_xlpm.matches, _xlfn._xlws.FILTER(Data[Poster], (Data[Date]=A1197)*(Data[Winner]=TRUE)), IF(ROWS(_xlpm.matches)&gt;1, "TIE", _xlpm.matches))</f>
        <v>samuelbattista</v>
      </c>
      <c r="D1197" s="147">
        <f>A1197</f>
        <v>45888</v>
      </c>
      <c r="E1197" s="181" t="str">
        <f>$J$1</f>
        <v>alappatjoe</v>
      </c>
      <c r="F1197" s="9">
        <f>IFERROR(AVERAGE(Data[[#This Row],[alappatjoe]:[currydestroyer27]]), "TBD")</f>
        <v>2.8</v>
      </c>
      <c r="G1197" s="178">
        <f>IFERROR(_xlfn.STDEV.P(Data[[#This Row],[alappatjoe]:[currydestroyer27]]), "TBD")</f>
        <v>1.4696938456699069</v>
      </c>
      <c r="H1197" s="160" t="s">
        <v>2444</v>
      </c>
      <c r="I1197" s="186" t="s">
        <v>2445</v>
      </c>
      <c r="J1197" s="3">
        <v>1</v>
      </c>
      <c r="K1197" s="3">
        <v>2</v>
      </c>
      <c r="L1197" s="3">
        <v>4</v>
      </c>
      <c r="M1197" s="3">
        <v>2</v>
      </c>
      <c r="N1197" s="3">
        <v>5</v>
      </c>
      <c r="O1197" s="238">
        <v>57648</v>
      </c>
      <c r="P1197" s="93"/>
      <c r="Q1197" s="93"/>
      <c r="R11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197" s="93">
        <v>1</v>
      </c>
      <c r="T1197" s="93" t="b">
        <f>Data[[#This Row],[Day Rank]]=Data[[#This Row],[W Rank]]</f>
        <v>0</v>
      </c>
      <c r="U1197" s="331"/>
    </row>
    <row r="1198" spans="1:21" ht="15" customHeight="1">
      <c r="A1198" s="326"/>
      <c r="B1198" s="326"/>
      <c r="C1198" s="329"/>
      <c r="D1198" s="81">
        <f>D1197</f>
        <v>45888</v>
      </c>
      <c r="E1198" s="140" t="str">
        <f>$K$1</f>
        <v>danram</v>
      </c>
      <c r="F1198" s="8">
        <f>IFERROR(AVERAGE(Data[[#This Row],[alappatjoe]:[currydestroyer27]]), "TBD")</f>
        <v>3.6</v>
      </c>
      <c r="G1198" s="177">
        <f>IFERROR(_xlfn.STDEV.P(Data[[#This Row],[alappatjoe]:[currydestroyer27]]), "TBD")</f>
        <v>1.4966629547095767</v>
      </c>
      <c r="H1198" s="135" t="s">
        <v>2446</v>
      </c>
      <c r="I1198" s="229" t="s">
        <v>2447</v>
      </c>
      <c r="J1198" s="3">
        <v>3</v>
      </c>
      <c r="K1198" s="3">
        <v>1</v>
      </c>
      <c r="L1198" s="3">
        <v>5</v>
      </c>
      <c r="M1198" s="3">
        <v>5</v>
      </c>
      <c r="N1198" s="3">
        <v>4</v>
      </c>
      <c r="O1198" s="238"/>
      <c r="P1198" s="93"/>
      <c r="Q1198" s="93"/>
      <c r="R11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198" s="93">
        <v>1</v>
      </c>
      <c r="T1198" s="93" t="b">
        <f>Data[[#This Row],[Day Rank]]=Data[[#This Row],[W Rank]]</f>
        <v>0</v>
      </c>
      <c r="U1198" s="323"/>
    </row>
    <row r="1199" spans="1:21" ht="15" customHeight="1">
      <c r="A1199" s="326"/>
      <c r="B1199" s="326"/>
      <c r="C1199" s="329"/>
      <c r="D1199" s="81">
        <f>D1197</f>
        <v>45888</v>
      </c>
      <c r="E1199" s="140" t="str">
        <f>$L$1</f>
        <v>loganworsdell</v>
      </c>
      <c r="F1199" s="8">
        <f>IFERROR(AVERAGE(Data[[#This Row],[alappatjoe]:[currydestroyer27]]), "TBD")</f>
        <v>2.8</v>
      </c>
      <c r="G1199" s="177">
        <f>IFERROR(_xlfn.STDEV.P(Data[[#This Row],[alappatjoe]:[currydestroyer27]]), "TBD")</f>
        <v>1.1661903789690602</v>
      </c>
      <c r="H1199" s="135" t="s">
        <v>2448</v>
      </c>
      <c r="I1199" s="229" t="s">
        <v>2449</v>
      </c>
      <c r="J1199" s="3">
        <v>2</v>
      </c>
      <c r="K1199" s="3">
        <v>5</v>
      </c>
      <c r="L1199" s="3">
        <v>2</v>
      </c>
      <c r="M1199" s="3">
        <v>3</v>
      </c>
      <c r="N1199" s="3">
        <v>2</v>
      </c>
      <c r="O1199" s="238">
        <v>1752424</v>
      </c>
      <c r="P1199" s="93"/>
      <c r="Q1199" s="93"/>
      <c r="R11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199" s="93">
        <v>1</v>
      </c>
      <c r="T1199" s="93" t="b">
        <f>Data[[#This Row],[Day Rank]]=Data[[#This Row],[W Rank]]</f>
        <v>0</v>
      </c>
      <c r="U1199" s="323"/>
    </row>
    <row r="1200" spans="1:21" ht="15" customHeight="1">
      <c r="A1200" s="326"/>
      <c r="B1200" s="326"/>
      <c r="C1200" s="329"/>
      <c r="D1200" s="81">
        <f>D1197</f>
        <v>45888</v>
      </c>
      <c r="E1200" s="140" t="str">
        <f>$M$1</f>
        <v>samuelbattista</v>
      </c>
      <c r="F1200" s="8">
        <f>IFERROR(AVERAGE(Data[[#This Row],[alappatjoe]:[currydestroyer27]]), "TBD")</f>
        <v>2.8</v>
      </c>
      <c r="G1200" s="177">
        <f>IFERROR(_xlfn.STDEV.P(Data[[#This Row],[alappatjoe]:[currydestroyer27]]), "TBD")</f>
        <v>0.9797958971132712</v>
      </c>
      <c r="H1200" s="135" t="s">
        <v>2450</v>
      </c>
      <c r="I1200" s="229" t="s">
        <v>2290</v>
      </c>
      <c r="J1200" s="3">
        <v>4</v>
      </c>
      <c r="K1200" s="3">
        <v>3</v>
      </c>
      <c r="L1200" s="3">
        <v>3</v>
      </c>
      <c r="M1200" s="3">
        <v>1</v>
      </c>
      <c r="N1200" s="3">
        <v>3</v>
      </c>
      <c r="O1200" s="238"/>
      <c r="P1200" s="93"/>
      <c r="Q1200" s="93"/>
      <c r="R12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00" s="93">
        <v>1</v>
      </c>
      <c r="T1200" s="93" t="b">
        <f>Data[[#This Row],[Day Rank]]=Data[[#This Row],[W Rank]]</f>
        <v>1</v>
      </c>
      <c r="U1200" s="323"/>
    </row>
    <row r="1201" spans="1:21" ht="15" customHeight="1" thickBot="1">
      <c r="A1201" s="327"/>
      <c r="B1201" s="327"/>
      <c r="C1201" s="330"/>
      <c r="D1201" s="164">
        <f>D1197</f>
        <v>45888</v>
      </c>
      <c r="E1201" s="215" t="str">
        <f>$N$1</f>
        <v>currydestroyer27</v>
      </c>
      <c r="F1201" s="165">
        <f>IFERROR(AVERAGE(Data[[#This Row],[alappatjoe]:[currydestroyer27]]), "TBD")</f>
        <v>3</v>
      </c>
      <c r="G1201" s="256">
        <f>IFERROR(_xlfn.STDEV.P(Data[[#This Row],[alappatjoe]:[currydestroyer27]]), "TBD")</f>
        <v>1.6733200530681511</v>
      </c>
      <c r="H1201" s="227" t="s">
        <v>2451</v>
      </c>
      <c r="I1201" s="257" t="s">
        <v>2024</v>
      </c>
      <c r="J1201" s="166">
        <v>5</v>
      </c>
      <c r="K1201" s="166">
        <v>4</v>
      </c>
      <c r="L1201" s="166">
        <v>1</v>
      </c>
      <c r="M1201" s="166">
        <v>4</v>
      </c>
      <c r="N1201" s="166">
        <v>1</v>
      </c>
      <c r="O1201" s="242">
        <v>499178538</v>
      </c>
      <c r="P1201" s="167"/>
      <c r="Q1201" s="167"/>
      <c r="R120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01" s="167">
        <v>1</v>
      </c>
      <c r="T1201" s="167" t="b">
        <f>Data[[#This Row],[Day Rank]]=Data[[#This Row],[W Rank]]</f>
        <v>0</v>
      </c>
      <c r="U1201" s="324"/>
    </row>
    <row r="1202" spans="1:21" ht="15" customHeight="1">
      <c r="A1202" s="325">
        <v>45889</v>
      </c>
      <c r="B1202" s="325"/>
      <c r="C1202" s="338" t="str" cm="1">
        <f t="array" ref="C1202">_xlfn.LET(_xlpm.matches, _xlfn._xlws.FILTER(Data[Poster], (Data[Date]=A1202)*(Data[Winner]=TRUE)), IF(ROWS(_xlpm.matches)&gt;1, "TIE", _xlpm.matches))</f>
        <v>alappatjoe</v>
      </c>
      <c r="D1202" s="147">
        <f>A1202</f>
        <v>45889</v>
      </c>
      <c r="E1202" s="181" t="str">
        <f>$J$1</f>
        <v>alappatjoe</v>
      </c>
      <c r="F1202" s="9">
        <f>IFERROR(AVERAGE(Data[[#This Row],[alappatjoe]:[currydestroyer27]]), "TBD")</f>
        <v>2</v>
      </c>
      <c r="G1202" s="178">
        <f>IFERROR(_xlfn.STDEV.P(Data[[#This Row],[alappatjoe]:[currydestroyer27]]), "TBD")</f>
        <v>0.89442719099991586</v>
      </c>
      <c r="H1202" s="160" t="s">
        <v>2452</v>
      </c>
      <c r="I1202" s="186" t="s">
        <v>2453</v>
      </c>
      <c r="J1202" s="3">
        <v>1</v>
      </c>
      <c r="K1202" s="3">
        <v>3</v>
      </c>
      <c r="L1202" s="3">
        <v>1</v>
      </c>
      <c r="M1202" s="3">
        <v>2</v>
      </c>
      <c r="N1202" s="3">
        <v>3</v>
      </c>
      <c r="O1202" s="238">
        <v>116738171</v>
      </c>
      <c r="P1202" s="93"/>
      <c r="Q1202" s="93"/>
      <c r="R12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02" s="93">
        <v>1</v>
      </c>
      <c r="T1202" s="93" t="b">
        <f>Data[[#This Row],[Day Rank]]=Data[[#This Row],[W Rank]]</f>
        <v>1</v>
      </c>
      <c r="U1202" s="331"/>
    </row>
    <row r="1203" spans="1:21" ht="15" customHeight="1">
      <c r="A1203" s="326"/>
      <c r="B1203" s="326"/>
      <c r="C1203" s="339"/>
      <c r="D1203" s="81">
        <f>D1202</f>
        <v>45889</v>
      </c>
      <c r="E1203" s="140" t="str">
        <f>$K$1</f>
        <v>danram</v>
      </c>
      <c r="F1203" s="8">
        <f>IFERROR(AVERAGE(Data[[#This Row],[alappatjoe]:[currydestroyer27]]), "TBD")</f>
        <v>3.2</v>
      </c>
      <c r="G1203" s="177">
        <f>IFERROR(_xlfn.STDEV.P(Data[[#This Row],[alappatjoe]:[currydestroyer27]]), "TBD")</f>
        <v>1.4696938456699069</v>
      </c>
      <c r="H1203" s="268" t="s">
        <v>2454</v>
      </c>
      <c r="I1203" s="229" t="s">
        <v>2455</v>
      </c>
      <c r="J1203" s="3">
        <v>5</v>
      </c>
      <c r="K1203" s="3">
        <v>1</v>
      </c>
      <c r="L1203" s="3">
        <v>4</v>
      </c>
      <c r="M1203" s="3">
        <v>4</v>
      </c>
      <c r="N1203" s="3">
        <v>2</v>
      </c>
      <c r="O1203" s="238"/>
      <c r="P1203" s="93"/>
      <c r="Q1203" s="93"/>
      <c r="R12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03" s="93">
        <v>1</v>
      </c>
      <c r="T1203" s="93" t="b">
        <f>Data[[#This Row],[Day Rank]]=Data[[#This Row],[W Rank]]</f>
        <v>0</v>
      </c>
      <c r="U1203" s="323"/>
    </row>
    <row r="1204" spans="1:21" ht="15" customHeight="1">
      <c r="A1204" s="326"/>
      <c r="B1204" s="326"/>
      <c r="C1204" s="339"/>
      <c r="D1204" s="81">
        <f>D1202</f>
        <v>45889</v>
      </c>
      <c r="E1204" s="140" t="str">
        <f>$L$1</f>
        <v>loganworsdell</v>
      </c>
      <c r="F1204" s="8">
        <f>IFERROR(AVERAGE(Data[[#This Row],[alappatjoe]:[currydestroyer27]]), "TBD")</f>
        <v>3.6</v>
      </c>
      <c r="G1204" s="177">
        <f>IFERROR(_xlfn.STDEV.P(Data[[#This Row],[alappatjoe]:[currydestroyer27]]), "TBD")</f>
        <v>1.2</v>
      </c>
      <c r="H1204" s="135" t="s">
        <v>2456</v>
      </c>
      <c r="I1204" s="229" t="s">
        <v>2457</v>
      </c>
      <c r="J1204" s="3">
        <v>2</v>
      </c>
      <c r="K1204" s="3">
        <v>5</v>
      </c>
      <c r="L1204" s="3">
        <v>3</v>
      </c>
      <c r="M1204" s="3">
        <v>3</v>
      </c>
      <c r="N1204" s="3">
        <v>5</v>
      </c>
      <c r="O1204" s="238">
        <v>51739177</v>
      </c>
      <c r="P1204" s="93"/>
      <c r="Q1204" s="93"/>
      <c r="R12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04" s="93">
        <v>1</v>
      </c>
      <c r="T1204" s="93" t="b">
        <f>Data[[#This Row],[Day Rank]]=Data[[#This Row],[W Rank]]</f>
        <v>0</v>
      </c>
      <c r="U1204" s="323"/>
    </row>
    <row r="1205" spans="1:21" ht="15" customHeight="1">
      <c r="A1205" s="326"/>
      <c r="B1205" s="326"/>
      <c r="C1205" s="339"/>
      <c r="D1205" s="81">
        <f>D1202</f>
        <v>45889</v>
      </c>
      <c r="E1205" s="140" t="str">
        <f>$M$1</f>
        <v>samuelbattista</v>
      </c>
      <c r="F1205" s="8">
        <f>IFERROR(AVERAGE(Data[[#This Row],[alappatjoe]:[currydestroyer27]]), "TBD")</f>
        <v>2.8</v>
      </c>
      <c r="G1205" s="177">
        <f>IFERROR(_xlfn.STDEV.P(Data[[#This Row],[alappatjoe]:[currydestroyer27]]), "TBD")</f>
        <v>1.1661903789690602</v>
      </c>
      <c r="H1205" s="135" t="s">
        <v>2458</v>
      </c>
      <c r="I1205" s="229" t="s">
        <v>2459</v>
      </c>
      <c r="J1205" s="3">
        <v>3</v>
      </c>
      <c r="K1205" s="3">
        <v>4</v>
      </c>
      <c r="L1205" s="3">
        <v>2</v>
      </c>
      <c r="M1205" s="3">
        <v>1</v>
      </c>
      <c r="N1205" s="3">
        <v>4</v>
      </c>
      <c r="O1205" s="238"/>
      <c r="P1205" s="93"/>
      <c r="Q1205" s="93"/>
      <c r="R12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05" s="93">
        <v>1</v>
      </c>
      <c r="T1205" s="93" t="b">
        <f>Data[[#This Row],[Day Rank]]=Data[[#This Row],[W Rank]]</f>
        <v>0</v>
      </c>
      <c r="U1205" s="323"/>
    </row>
    <row r="1206" spans="1:21" ht="15" customHeight="1" thickBot="1">
      <c r="A1206" s="327"/>
      <c r="B1206" s="327"/>
      <c r="C1206" s="340"/>
      <c r="D1206" s="164">
        <f>D1202</f>
        <v>45889</v>
      </c>
      <c r="E1206" s="215" t="str">
        <f>$N$1</f>
        <v>currydestroyer27</v>
      </c>
      <c r="F1206" s="165">
        <f>IFERROR(AVERAGE(Data[[#This Row],[alappatjoe]:[currydestroyer27]]), "TBD")</f>
        <v>3.4</v>
      </c>
      <c r="G1206" s="256">
        <f>IFERROR(_xlfn.STDEV.P(Data[[#This Row],[alappatjoe]:[currydestroyer27]]), "TBD")</f>
        <v>1.6248076809271921</v>
      </c>
      <c r="H1206" s="227" t="s">
        <v>2460</v>
      </c>
      <c r="I1206" s="276" t="s">
        <v>2461</v>
      </c>
      <c r="J1206" s="166">
        <v>4</v>
      </c>
      <c r="K1206" s="166">
        <v>2</v>
      </c>
      <c r="L1206" s="166">
        <v>5</v>
      </c>
      <c r="M1206" s="166">
        <v>5</v>
      </c>
      <c r="N1206" s="166">
        <v>1</v>
      </c>
      <c r="O1206" s="242">
        <v>14435153</v>
      </c>
      <c r="P1206" s="167" t="s">
        <v>76</v>
      </c>
      <c r="Q1206" s="167"/>
      <c r="R120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06" s="167">
        <v>1</v>
      </c>
      <c r="T1206" s="167" t="b">
        <f>Data[[#This Row],[Day Rank]]=Data[[#This Row],[W Rank]]</f>
        <v>0</v>
      </c>
      <c r="U1206" s="324"/>
    </row>
    <row r="1207" spans="1:21" ht="15" customHeight="1">
      <c r="A1207" s="325">
        <v>45890</v>
      </c>
      <c r="B1207" s="325"/>
      <c r="C1207" s="328" t="str" cm="1">
        <f t="array" ref="C1207">_xlfn.LET(_xlpm.matches, _xlfn._xlws.FILTER(Data[Poster], (Data[Date]=A1207)*(Data[Winner]=TRUE)), IF(ROWS(_xlpm.matches)&gt;1, "TIE", _xlpm.matches))</f>
        <v>loganworsdell</v>
      </c>
      <c r="D1207" s="147">
        <f>A1207</f>
        <v>45890</v>
      </c>
      <c r="E1207" s="181" t="str">
        <f>$J$1</f>
        <v>alappatjoe</v>
      </c>
      <c r="F1207" s="9">
        <f>IFERROR(AVERAGE(Data[[#This Row],[alappatjoe]:[currydestroyer27]]), "TBD")</f>
        <v>4.2</v>
      </c>
      <c r="G1207" s="178">
        <f>IFERROR(_xlfn.STDEV.P(Data[[#This Row],[alappatjoe]:[currydestroyer27]]), "TBD")</f>
        <v>1.1661903789690602</v>
      </c>
      <c r="H1207" s="160" t="s">
        <v>2462</v>
      </c>
      <c r="I1207" s="186" t="s">
        <v>2463</v>
      </c>
      <c r="J1207" s="3">
        <v>2</v>
      </c>
      <c r="K1207" s="3">
        <v>5</v>
      </c>
      <c r="L1207" s="3">
        <v>5</v>
      </c>
      <c r="M1207" s="3">
        <v>5</v>
      </c>
      <c r="N1207" s="3">
        <v>4</v>
      </c>
      <c r="O1207" s="238">
        <v>401621</v>
      </c>
      <c r="P1207" s="93"/>
      <c r="Q1207" s="93"/>
      <c r="R12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07" s="93">
        <v>1</v>
      </c>
      <c r="T1207" s="93" t="b">
        <f>Data[[#This Row],[Day Rank]]=Data[[#This Row],[W Rank]]</f>
        <v>0</v>
      </c>
      <c r="U1207" s="331" t="s">
        <v>2464</v>
      </c>
    </row>
    <row r="1208" spans="1:21" ht="15" customHeight="1">
      <c r="A1208" s="326"/>
      <c r="B1208" s="326"/>
      <c r="C1208" s="329"/>
      <c r="D1208" s="81">
        <f>D1207</f>
        <v>45890</v>
      </c>
      <c r="E1208" s="140" t="str">
        <f>$K$1</f>
        <v>danram</v>
      </c>
      <c r="F1208" s="8">
        <f>IFERROR(AVERAGE(Data[[#This Row],[alappatjoe]:[currydestroyer27]]), "TBD")</f>
        <v>3.8</v>
      </c>
      <c r="G1208" s="177">
        <f>IFERROR(_xlfn.STDEV.P(Data[[#This Row],[alappatjoe]:[currydestroyer27]]), "TBD")</f>
        <v>1.1661903789690602</v>
      </c>
      <c r="H1208" s="135" t="s">
        <v>2465</v>
      </c>
      <c r="I1208" s="229" t="s">
        <v>2466</v>
      </c>
      <c r="J1208" s="3">
        <v>5</v>
      </c>
      <c r="K1208" s="3">
        <v>3</v>
      </c>
      <c r="L1208" s="3">
        <v>4</v>
      </c>
      <c r="M1208" s="3">
        <v>2</v>
      </c>
      <c r="N1208" s="3">
        <v>5</v>
      </c>
      <c r="O1208" s="238"/>
      <c r="P1208" s="93"/>
      <c r="Q1208" s="93"/>
      <c r="R12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08" s="93">
        <v>1</v>
      </c>
      <c r="T1208" s="93" t="b">
        <f>Data[[#This Row],[Day Rank]]=Data[[#This Row],[W Rank]]</f>
        <v>0</v>
      </c>
      <c r="U1208" s="323"/>
    </row>
    <row r="1209" spans="1:21" ht="15" customHeight="1">
      <c r="A1209" s="326"/>
      <c r="B1209" s="326"/>
      <c r="C1209" s="329"/>
      <c r="D1209" s="81">
        <f>D1207</f>
        <v>45890</v>
      </c>
      <c r="E1209" s="140" t="str">
        <f>$L$1</f>
        <v>loganworsdell</v>
      </c>
      <c r="F1209" s="8">
        <f>IFERROR(AVERAGE(Data[[#This Row],[alappatjoe]:[currydestroyer27]]), "TBD")</f>
        <v>2</v>
      </c>
      <c r="G1209" s="177">
        <f>IFERROR(_xlfn.STDEV.P(Data[[#This Row],[alappatjoe]:[currydestroyer27]]), "TBD")</f>
        <v>1.0954451150103321</v>
      </c>
      <c r="H1209" s="135" t="s">
        <v>2467</v>
      </c>
      <c r="I1209" s="229" t="s">
        <v>875</v>
      </c>
      <c r="J1209" s="3">
        <v>1</v>
      </c>
      <c r="K1209" s="3">
        <v>2</v>
      </c>
      <c r="L1209" s="3">
        <v>1</v>
      </c>
      <c r="M1209" s="3">
        <v>4</v>
      </c>
      <c r="N1209" s="3">
        <v>2</v>
      </c>
      <c r="O1209" s="238">
        <v>98611754</v>
      </c>
      <c r="P1209" s="93"/>
      <c r="Q1209" s="93"/>
      <c r="R12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09" s="93">
        <v>1</v>
      </c>
      <c r="T1209" s="93" t="b">
        <f>Data[[#This Row],[Day Rank]]=Data[[#This Row],[W Rank]]</f>
        <v>1</v>
      </c>
      <c r="U1209" s="323"/>
    </row>
    <row r="1210" spans="1:21" ht="15" customHeight="1">
      <c r="A1210" s="326"/>
      <c r="B1210" s="326"/>
      <c r="C1210" s="329"/>
      <c r="D1210" s="81">
        <f>D1207</f>
        <v>45890</v>
      </c>
      <c r="E1210" s="140" t="str">
        <f>$M$1</f>
        <v>samuelbattista</v>
      </c>
      <c r="F1210" s="8">
        <f>IFERROR(AVERAGE(Data[[#This Row],[alappatjoe]:[currydestroyer27]]), "TBD")</f>
        <v>2.2000000000000002</v>
      </c>
      <c r="G1210" s="177">
        <f>IFERROR(_xlfn.STDEV.P(Data[[#This Row],[alappatjoe]:[currydestroyer27]]), "TBD")</f>
        <v>0.9797958971132712</v>
      </c>
      <c r="H1210" s="135" t="s">
        <v>2468</v>
      </c>
      <c r="I1210" s="229" t="s">
        <v>2469</v>
      </c>
      <c r="J1210" s="3">
        <v>3</v>
      </c>
      <c r="K1210" s="3">
        <v>1</v>
      </c>
      <c r="L1210" s="3">
        <v>3</v>
      </c>
      <c r="M1210" s="3">
        <v>1</v>
      </c>
      <c r="N1210" s="3">
        <v>3</v>
      </c>
      <c r="O1210" s="238"/>
      <c r="P1210" s="93"/>
      <c r="Q1210" s="93"/>
      <c r="R12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10" s="93">
        <v>1</v>
      </c>
      <c r="T1210" s="93" t="b">
        <f>Data[[#This Row],[Day Rank]]=Data[[#This Row],[W Rank]]</f>
        <v>0</v>
      </c>
      <c r="U1210" s="323"/>
    </row>
    <row r="1211" spans="1:21" ht="15" customHeight="1" thickBot="1">
      <c r="A1211" s="327"/>
      <c r="B1211" s="327"/>
      <c r="C1211" s="330"/>
      <c r="D1211" s="164">
        <f>D1207</f>
        <v>45890</v>
      </c>
      <c r="E1211" s="215" t="str">
        <f>$N$1</f>
        <v>currydestroyer27</v>
      </c>
      <c r="F1211" s="165">
        <f>IFERROR(AVERAGE(Data[[#This Row],[alappatjoe]:[currydestroyer27]]), "TBD")</f>
        <v>2.8</v>
      </c>
      <c r="G1211" s="256">
        <f>IFERROR(_xlfn.STDEV.P(Data[[#This Row],[alappatjoe]:[currydestroyer27]]), "TBD")</f>
        <v>1.1661903789690602</v>
      </c>
      <c r="H1211" s="227" t="s">
        <v>2470</v>
      </c>
      <c r="I1211" s="257" t="s">
        <v>2471</v>
      </c>
      <c r="J1211" s="166">
        <v>4</v>
      </c>
      <c r="K1211" s="166">
        <v>4</v>
      </c>
      <c r="L1211" s="166">
        <v>2</v>
      </c>
      <c r="M1211" s="166">
        <v>3</v>
      </c>
      <c r="N1211" s="166">
        <v>1</v>
      </c>
      <c r="O1211" s="242"/>
      <c r="P1211" s="167"/>
      <c r="Q1211" s="167"/>
      <c r="R12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11" s="167">
        <v>1</v>
      </c>
      <c r="T1211" s="167" t="b">
        <f>Data[[#This Row],[Day Rank]]=Data[[#This Row],[W Rank]]</f>
        <v>0</v>
      </c>
      <c r="U1211" s="324"/>
    </row>
    <row r="1212" spans="1:21" ht="15" customHeight="1">
      <c r="A1212" s="325">
        <v>45894</v>
      </c>
      <c r="B1212" s="325"/>
      <c r="C1212" s="338" t="str" cm="1">
        <f t="array" ref="C1212">_xlfn.LET(_xlpm.matches, _xlfn._xlws.FILTER(Data[Poster], (Data[Date]=A1212)*(Data[Winner]=TRUE)), IF(ROWS(_xlpm.matches)&gt;1, "TIE", _xlpm.matches))</f>
        <v>loganworsdell</v>
      </c>
      <c r="D1212" s="147">
        <f>A1212</f>
        <v>45894</v>
      </c>
      <c r="E1212" s="181" t="str">
        <f>$J$1</f>
        <v>alappatjoe</v>
      </c>
      <c r="F1212" s="9">
        <f>IFERROR(AVERAGE(Data[[#This Row],[alappatjoe]:[currydestroyer27]]), "TBD")</f>
        <v>3.8</v>
      </c>
      <c r="G1212" s="178">
        <f>IFERROR(_xlfn.STDEV.P(Data[[#This Row],[alappatjoe]:[currydestroyer27]]), "TBD")</f>
        <v>1.4696938456699069</v>
      </c>
      <c r="H1212" s="160" t="s">
        <v>2472</v>
      </c>
      <c r="I1212" s="186" t="s">
        <v>2473</v>
      </c>
      <c r="J1212" s="3">
        <v>1</v>
      </c>
      <c r="K1212" s="3">
        <v>4</v>
      </c>
      <c r="L1212" s="3">
        <v>5</v>
      </c>
      <c r="M1212" s="3">
        <v>4</v>
      </c>
      <c r="N1212" s="3">
        <v>5</v>
      </c>
      <c r="O1212" s="238">
        <v>1318005870</v>
      </c>
      <c r="P1212" s="93"/>
      <c r="Q1212" s="93"/>
      <c r="R12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12" s="93">
        <v>1</v>
      </c>
      <c r="T1212" s="93" t="b">
        <f>Data[[#This Row],[Day Rank]]=Data[[#This Row],[W Rank]]</f>
        <v>0</v>
      </c>
      <c r="U1212" s="331"/>
    </row>
    <row r="1213" spans="1:21" ht="15" customHeight="1">
      <c r="A1213" s="326"/>
      <c r="B1213" s="326"/>
      <c r="C1213" s="339"/>
      <c r="D1213" s="81">
        <f>D1212</f>
        <v>45894</v>
      </c>
      <c r="E1213" s="140" t="str">
        <f>$K$1</f>
        <v>danram</v>
      </c>
      <c r="F1213" s="8">
        <f>IFERROR(AVERAGE(Data[[#This Row],[alappatjoe]:[currydestroyer27]]), "TBD")</f>
        <v>2.6</v>
      </c>
      <c r="G1213" s="177">
        <f>IFERROR(_xlfn.STDEV.P(Data[[#This Row],[alappatjoe]:[currydestroyer27]]), "TBD")</f>
        <v>1.3564659966250536</v>
      </c>
      <c r="H1213" s="135" t="s">
        <v>2474</v>
      </c>
      <c r="I1213" s="229" t="s">
        <v>855</v>
      </c>
      <c r="J1213" s="3">
        <v>5</v>
      </c>
      <c r="K1213" s="3">
        <v>1</v>
      </c>
      <c r="L1213" s="3">
        <v>2</v>
      </c>
      <c r="M1213" s="3">
        <v>3</v>
      </c>
      <c r="N1213" s="3">
        <v>2</v>
      </c>
      <c r="O1213" s="238"/>
      <c r="P1213" s="93"/>
      <c r="Q1213" s="93"/>
      <c r="R12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13" s="93">
        <v>1</v>
      </c>
      <c r="T1213" s="93" t="b">
        <f>Data[[#This Row],[Day Rank]]=Data[[#This Row],[W Rank]]</f>
        <v>0</v>
      </c>
      <c r="U1213" s="323"/>
    </row>
    <row r="1214" spans="1:21" ht="15" customHeight="1">
      <c r="A1214" s="326"/>
      <c r="B1214" s="326"/>
      <c r="C1214" s="339"/>
      <c r="D1214" s="81">
        <f>D1212</f>
        <v>45894</v>
      </c>
      <c r="E1214" s="140" t="str">
        <f>$L$1</f>
        <v>loganworsdell</v>
      </c>
      <c r="F1214" s="8">
        <f>IFERROR(AVERAGE(Data[[#This Row],[alappatjoe]:[currydestroyer27]]), "TBD")</f>
        <v>2.4</v>
      </c>
      <c r="G1214" s="177">
        <f>IFERROR(_xlfn.STDEV.P(Data[[#This Row],[alappatjoe]:[currydestroyer27]]), "TBD")</f>
        <v>0.4898979485566356</v>
      </c>
      <c r="H1214" s="135" t="s">
        <v>2475</v>
      </c>
      <c r="I1214" s="229" t="s">
        <v>2476</v>
      </c>
      <c r="J1214" s="3">
        <v>2</v>
      </c>
      <c r="K1214" s="3">
        <v>2</v>
      </c>
      <c r="L1214" s="3">
        <v>3</v>
      </c>
      <c r="M1214" s="3">
        <v>2</v>
      </c>
      <c r="N1214" s="3">
        <v>3</v>
      </c>
      <c r="O1214" s="238">
        <v>4081146</v>
      </c>
      <c r="P1214" s="93"/>
      <c r="Q1214" s="93"/>
      <c r="R12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14" s="93">
        <v>1</v>
      </c>
      <c r="T1214" s="93" t="b">
        <f>Data[[#This Row],[Day Rank]]=Data[[#This Row],[W Rank]]</f>
        <v>1</v>
      </c>
      <c r="U1214" s="323"/>
    </row>
    <row r="1215" spans="1:21" ht="15" customHeight="1">
      <c r="A1215" s="326"/>
      <c r="B1215" s="326"/>
      <c r="C1215" s="339"/>
      <c r="D1215" s="81">
        <f>D1212</f>
        <v>45894</v>
      </c>
      <c r="E1215" s="140" t="str">
        <f>$M$1</f>
        <v>samuelbattista</v>
      </c>
      <c r="F1215" s="8">
        <f>IFERROR(AVERAGE(Data[[#This Row],[alappatjoe]:[currydestroyer27]]), "TBD")</f>
        <v>3</v>
      </c>
      <c r="G1215" s="177">
        <f>IFERROR(_xlfn.STDEV.P(Data[[#This Row],[alappatjoe]:[currydestroyer27]]), "TBD")</f>
        <v>1.0954451150103321</v>
      </c>
      <c r="H1215" s="135" t="s">
        <v>2477</v>
      </c>
      <c r="I1215" s="229" t="s">
        <v>2478</v>
      </c>
      <c r="J1215" s="3">
        <v>3</v>
      </c>
      <c r="K1215" s="3">
        <v>3</v>
      </c>
      <c r="L1215" s="3">
        <v>4</v>
      </c>
      <c r="M1215" s="3">
        <v>1</v>
      </c>
      <c r="N1215" s="3">
        <v>4</v>
      </c>
      <c r="O1215" s="238"/>
      <c r="P1215" s="93"/>
      <c r="Q1215" s="93"/>
      <c r="R12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15" s="93">
        <v>1</v>
      </c>
      <c r="T1215" s="93" t="b">
        <f>Data[[#This Row],[Day Rank]]=Data[[#This Row],[W Rank]]</f>
        <v>0</v>
      </c>
      <c r="U1215" s="323"/>
    </row>
    <row r="1216" spans="1:21" ht="15" customHeight="1" thickBot="1">
      <c r="A1216" s="327"/>
      <c r="B1216" s="327"/>
      <c r="C1216" s="340"/>
      <c r="D1216" s="164">
        <f>D1212</f>
        <v>45894</v>
      </c>
      <c r="E1216" s="215" t="str">
        <f>$N$1</f>
        <v>currydestroyer27</v>
      </c>
      <c r="F1216" s="165">
        <f>IFERROR(AVERAGE(Data[[#This Row],[alappatjoe]:[currydestroyer27]]), "TBD")</f>
        <v>3.2</v>
      </c>
      <c r="G1216" s="256">
        <f>IFERROR(_xlfn.STDEV.P(Data[[#This Row],[alappatjoe]:[currydestroyer27]]), "TBD")</f>
        <v>1.833030277982336</v>
      </c>
      <c r="H1216" s="227" t="s">
        <v>2479</v>
      </c>
      <c r="I1216" s="257" t="s">
        <v>952</v>
      </c>
      <c r="J1216" s="166">
        <v>4</v>
      </c>
      <c r="K1216" s="166">
        <v>5</v>
      </c>
      <c r="L1216" s="166">
        <v>1</v>
      </c>
      <c r="M1216" s="166">
        <v>5</v>
      </c>
      <c r="N1216" s="166">
        <v>1</v>
      </c>
      <c r="O1216" s="242"/>
      <c r="P1216" s="167"/>
      <c r="Q1216" s="167"/>
      <c r="R12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16" s="167">
        <v>1</v>
      </c>
      <c r="T1216" s="167" t="b">
        <f>Data[[#This Row],[Day Rank]]=Data[[#This Row],[W Rank]]</f>
        <v>0</v>
      </c>
      <c r="U1216" s="324"/>
    </row>
    <row r="1217" spans="1:21" ht="15" customHeight="1">
      <c r="A1217" s="325">
        <v>45895</v>
      </c>
      <c r="B1217" s="325"/>
      <c r="C1217" s="328" t="str" cm="1">
        <f t="array" ref="C1217">_xlfn.LET(_xlpm.matches, _xlfn._xlws.FILTER(Data[Poster], (Data[Date]=A1217)*(Data[Winner]=TRUE)), IF(ROWS(_xlpm.matches)&gt;1, "TIE", _xlpm.matches))</f>
        <v>samuelbattista</v>
      </c>
      <c r="D1217" s="147">
        <f>A1217</f>
        <v>45895</v>
      </c>
      <c r="E1217" s="181" t="str">
        <f>$J$1</f>
        <v>alappatjoe</v>
      </c>
      <c r="F1217" s="9">
        <f>IFERROR(AVERAGE(Data[[#This Row],[alappatjoe]:[currydestroyer27]]), "TBD")</f>
        <v>3.4</v>
      </c>
      <c r="G1217" s="178">
        <f>IFERROR(_xlfn.STDEV.P(Data[[#This Row],[alappatjoe]:[currydestroyer27]]), "TBD")</f>
        <v>1.4966629547095767</v>
      </c>
      <c r="H1217" s="160" t="s">
        <v>2480</v>
      </c>
      <c r="I1217" s="186" t="s">
        <v>2481</v>
      </c>
      <c r="J1217" s="3">
        <v>1</v>
      </c>
      <c r="K1217" s="3">
        <v>3</v>
      </c>
      <c r="L1217" s="3">
        <v>5</v>
      </c>
      <c r="M1217" s="3">
        <v>5</v>
      </c>
      <c r="N1217" s="3">
        <v>3</v>
      </c>
      <c r="O1217" s="238">
        <v>22472029</v>
      </c>
      <c r="P1217" s="93"/>
      <c r="Q1217" s="93"/>
      <c r="R12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17" s="93">
        <v>1</v>
      </c>
      <c r="T1217" s="93" t="b">
        <f>Data[[#This Row],[Day Rank]]=Data[[#This Row],[W Rank]]</f>
        <v>0</v>
      </c>
      <c r="U1217" s="331"/>
    </row>
    <row r="1218" spans="1:21" ht="15" customHeight="1">
      <c r="A1218" s="326"/>
      <c r="B1218" s="326"/>
      <c r="C1218" s="329"/>
      <c r="D1218" s="81">
        <f>D1217</f>
        <v>45895</v>
      </c>
      <c r="E1218" s="140" t="str">
        <f>$K$1</f>
        <v>danram</v>
      </c>
      <c r="F1218" s="8">
        <f>IFERROR(AVERAGE(Data[[#This Row],[alappatjoe]:[currydestroyer27]]), "TBD")</f>
        <v>2.8</v>
      </c>
      <c r="G1218" s="177">
        <f>IFERROR(_xlfn.STDEV.P(Data[[#This Row],[alappatjoe]:[currydestroyer27]]), "TBD")</f>
        <v>1.1661903789690602</v>
      </c>
      <c r="H1218" s="135" t="s">
        <v>2482</v>
      </c>
      <c r="I1218" s="229" t="s">
        <v>2483</v>
      </c>
      <c r="J1218" s="3">
        <v>4</v>
      </c>
      <c r="K1218" s="3">
        <v>1</v>
      </c>
      <c r="L1218" s="3">
        <v>2</v>
      </c>
      <c r="M1218" s="3">
        <v>3</v>
      </c>
      <c r="N1218" s="3">
        <v>4</v>
      </c>
      <c r="O1218" s="238"/>
      <c r="P1218" s="93"/>
      <c r="Q1218" s="93"/>
      <c r="R12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18" s="93">
        <v>1</v>
      </c>
      <c r="T1218" s="93" t="b">
        <f>Data[[#This Row],[Day Rank]]=Data[[#This Row],[W Rank]]</f>
        <v>0</v>
      </c>
      <c r="U1218" s="323"/>
    </row>
    <row r="1219" spans="1:21" ht="15" customHeight="1">
      <c r="A1219" s="326"/>
      <c r="B1219" s="326"/>
      <c r="C1219" s="329"/>
      <c r="D1219" s="81">
        <f>D1217</f>
        <v>45895</v>
      </c>
      <c r="E1219" s="140" t="str">
        <f>$L$1</f>
        <v>loganworsdell</v>
      </c>
      <c r="F1219" s="8">
        <f>IFERROR(AVERAGE(Data[[#This Row],[alappatjoe]:[currydestroyer27]]), "TBD")</f>
        <v>2.8</v>
      </c>
      <c r="G1219" s="177">
        <f>IFERROR(_xlfn.STDEV.P(Data[[#This Row],[alappatjoe]:[currydestroyer27]]), "TBD")</f>
        <v>1.1661903789690602</v>
      </c>
      <c r="H1219" s="135" t="s">
        <v>2484</v>
      </c>
      <c r="I1219" s="229" t="s">
        <v>2485</v>
      </c>
      <c r="J1219" s="3">
        <v>2</v>
      </c>
      <c r="K1219" s="3">
        <v>2</v>
      </c>
      <c r="L1219" s="3">
        <v>3</v>
      </c>
      <c r="M1219" s="3">
        <v>2</v>
      </c>
      <c r="N1219" s="3">
        <v>5</v>
      </c>
      <c r="O1219" s="238">
        <v>5821860</v>
      </c>
      <c r="P1219" s="93"/>
      <c r="Q1219" s="93"/>
      <c r="R12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19" s="93">
        <v>1</v>
      </c>
      <c r="T1219" s="93" t="b">
        <f>Data[[#This Row],[Day Rank]]=Data[[#This Row],[W Rank]]</f>
        <v>0</v>
      </c>
      <c r="U1219" s="323"/>
    </row>
    <row r="1220" spans="1:21" ht="15" customHeight="1">
      <c r="A1220" s="326"/>
      <c r="B1220" s="326"/>
      <c r="C1220" s="329"/>
      <c r="D1220" s="81">
        <f>D1217</f>
        <v>45895</v>
      </c>
      <c r="E1220" s="140" t="str">
        <f>$M$1</f>
        <v>samuelbattista</v>
      </c>
      <c r="F1220" s="8">
        <f>IFERROR(AVERAGE(Data[[#This Row],[alappatjoe]:[currydestroyer27]]), "TBD")</f>
        <v>2.4</v>
      </c>
      <c r="G1220" s="177">
        <f>IFERROR(_xlfn.STDEV.P(Data[[#This Row],[alappatjoe]:[currydestroyer27]]), "TBD")</f>
        <v>1.4966629547095767</v>
      </c>
      <c r="H1220" s="135" t="s">
        <v>2486</v>
      </c>
      <c r="I1220" s="229" t="s">
        <v>2487</v>
      </c>
      <c r="J1220" s="3">
        <v>3</v>
      </c>
      <c r="K1220" s="3">
        <v>5</v>
      </c>
      <c r="L1220" s="3">
        <v>1</v>
      </c>
      <c r="M1220" s="3">
        <v>1</v>
      </c>
      <c r="N1220" s="3">
        <v>2</v>
      </c>
      <c r="O1220" s="238"/>
      <c r="P1220" s="93"/>
      <c r="Q1220" s="93"/>
      <c r="R12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20" s="93">
        <v>1</v>
      </c>
      <c r="T1220" s="93" t="b">
        <f>Data[[#This Row],[Day Rank]]=Data[[#This Row],[W Rank]]</f>
        <v>1</v>
      </c>
      <c r="U1220" s="323"/>
    </row>
    <row r="1221" spans="1:21" ht="15" customHeight="1" thickBot="1">
      <c r="A1221" s="327"/>
      <c r="B1221" s="327"/>
      <c r="C1221" s="330"/>
      <c r="D1221" s="164">
        <f>D1217</f>
        <v>45895</v>
      </c>
      <c r="E1221" s="215" t="str">
        <f>$N$1</f>
        <v>currydestroyer27</v>
      </c>
      <c r="F1221" s="165">
        <f>IFERROR(AVERAGE(Data[[#This Row],[alappatjoe]:[currydestroyer27]]), "TBD")</f>
        <v>3.6</v>
      </c>
      <c r="G1221" s="256">
        <f>IFERROR(_xlfn.STDEV.P(Data[[#This Row],[alappatjoe]:[currydestroyer27]]), "TBD")</f>
        <v>1.3564659966250536</v>
      </c>
      <c r="H1221" s="227" t="s">
        <v>2488</v>
      </c>
      <c r="I1221" s="257" t="s">
        <v>2489</v>
      </c>
      <c r="J1221" s="166">
        <v>5</v>
      </c>
      <c r="K1221" s="166">
        <v>4</v>
      </c>
      <c r="L1221" s="166">
        <v>4</v>
      </c>
      <c r="M1221" s="166">
        <v>4</v>
      </c>
      <c r="N1221" s="166">
        <v>1</v>
      </c>
      <c r="O1221" s="242"/>
      <c r="P1221" s="167"/>
      <c r="Q1221" s="167"/>
      <c r="R12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21" s="167">
        <v>1</v>
      </c>
      <c r="T1221" s="167" t="b">
        <f>Data[[#This Row],[Day Rank]]=Data[[#This Row],[W Rank]]</f>
        <v>0</v>
      </c>
      <c r="U1221" s="324"/>
    </row>
    <row r="1222" spans="1:21" ht="15" customHeight="1">
      <c r="A1222" s="325">
        <v>45896</v>
      </c>
      <c r="B1222" s="325"/>
      <c r="C1222" s="338" t="str" cm="1">
        <f t="array" ref="C1222">_xlfn.LET(_xlpm.matches, _xlfn._xlws.FILTER(Data[Poster], (Data[Date]=A1222)*(Data[Winner]=TRUE)), IF(ROWS(_xlpm.matches)&gt;1, "TIE", _xlpm.matches))</f>
        <v>currydestroyer27</v>
      </c>
      <c r="D1222" s="147">
        <f>A1222</f>
        <v>45896</v>
      </c>
      <c r="E1222" s="181" t="str">
        <f>$J$1</f>
        <v>alappatjoe</v>
      </c>
      <c r="F1222" s="9">
        <f>IFERROR(AVERAGE(Data[[#This Row],[alappatjoe]:[currydestroyer27]]), "TBD")</f>
        <v>2.8</v>
      </c>
      <c r="G1222" s="178">
        <f>IFERROR(_xlfn.STDEV.P(Data[[#This Row],[alappatjoe]:[currydestroyer27]]), "TBD")</f>
        <v>0.9797958971132712</v>
      </c>
      <c r="H1222" s="160" t="s">
        <v>2490</v>
      </c>
      <c r="I1222" s="186" t="s">
        <v>2491</v>
      </c>
      <c r="J1222" s="3">
        <v>1</v>
      </c>
      <c r="K1222" s="3">
        <v>4</v>
      </c>
      <c r="L1222" s="3">
        <v>3</v>
      </c>
      <c r="M1222" s="3">
        <v>3</v>
      </c>
      <c r="N1222" s="3">
        <v>3</v>
      </c>
      <c r="O1222" s="238">
        <v>14048592</v>
      </c>
      <c r="P1222" s="93"/>
      <c r="Q1222" s="93"/>
      <c r="R12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22" s="93">
        <v>1</v>
      </c>
      <c r="T1222" s="93" t="b">
        <f>Data[[#This Row],[Day Rank]]=Data[[#This Row],[W Rank]]</f>
        <v>0</v>
      </c>
      <c r="U1222" s="331"/>
    </row>
    <row r="1223" spans="1:21" ht="15" customHeight="1">
      <c r="A1223" s="326"/>
      <c r="B1223" s="326"/>
      <c r="C1223" s="339"/>
      <c r="D1223" s="81">
        <f>D1222</f>
        <v>45896</v>
      </c>
      <c r="E1223" s="140" t="str">
        <f>$K$1</f>
        <v>danram</v>
      </c>
      <c r="F1223" s="8">
        <f>IFERROR(AVERAGE(Data[[#This Row],[alappatjoe]:[currydestroyer27]]), "TBD")</f>
        <v>3.4</v>
      </c>
      <c r="G1223" s="177">
        <f>IFERROR(_xlfn.STDEV.P(Data[[#This Row],[alappatjoe]:[currydestroyer27]]), "TBD")</f>
        <v>1.2</v>
      </c>
      <c r="H1223" s="135" t="s">
        <v>2492</v>
      </c>
      <c r="I1223" s="229" t="s">
        <v>875</v>
      </c>
      <c r="J1223" s="3">
        <v>2</v>
      </c>
      <c r="K1223" s="3">
        <v>2</v>
      </c>
      <c r="L1223" s="3">
        <v>4</v>
      </c>
      <c r="M1223" s="3">
        <v>4</v>
      </c>
      <c r="N1223" s="3">
        <v>5</v>
      </c>
      <c r="O1223" s="238"/>
      <c r="P1223" s="93"/>
      <c r="Q1223" s="93"/>
      <c r="R12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23" s="93">
        <v>1</v>
      </c>
      <c r="T1223" s="93" t="b">
        <f>Data[[#This Row],[Day Rank]]=Data[[#This Row],[W Rank]]</f>
        <v>0</v>
      </c>
      <c r="U1223" s="323"/>
    </row>
    <row r="1224" spans="1:21" ht="15" customHeight="1">
      <c r="A1224" s="326"/>
      <c r="B1224" s="326"/>
      <c r="C1224" s="339"/>
      <c r="D1224" s="81">
        <f>D1222</f>
        <v>45896</v>
      </c>
      <c r="E1224" s="140" t="str">
        <f>$L$1</f>
        <v>loganworsdell</v>
      </c>
      <c r="F1224" s="8">
        <f>IFERROR(AVERAGE(Data[[#This Row],[alappatjoe]:[currydestroyer27]]), "TBD")</f>
        <v>2.6</v>
      </c>
      <c r="G1224" s="177">
        <f>IFERROR(_xlfn.STDEV.P(Data[[#This Row],[alappatjoe]:[currydestroyer27]]), "TBD")</f>
        <v>0.8</v>
      </c>
      <c r="H1224" s="135" t="s">
        <v>2493</v>
      </c>
      <c r="I1224" s="229" t="s">
        <v>2494</v>
      </c>
      <c r="J1224" s="3">
        <v>4</v>
      </c>
      <c r="K1224" s="3">
        <v>3</v>
      </c>
      <c r="L1224" s="3">
        <v>2</v>
      </c>
      <c r="M1224" s="3">
        <v>2</v>
      </c>
      <c r="N1224" s="3">
        <v>2</v>
      </c>
      <c r="O1224" s="238">
        <v>122515</v>
      </c>
      <c r="P1224" s="93"/>
      <c r="Q1224" s="93"/>
      <c r="R12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24" s="93">
        <v>1</v>
      </c>
      <c r="T1224" s="93" t="b">
        <f>Data[[#This Row],[Day Rank]]=Data[[#This Row],[W Rank]]</f>
        <v>0</v>
      </c>
      <c r="U1224" s="323"/>
    </row>
    <row r="1225" spans="1:21" ht="15" customHeight="1">
      <c r="A1225" s="326"/>
      <c r="B1225" s="326"/>
      <c r="C1225" s="339"/>
      <c r="D1225" s="81">
        <f>D1222</f>
        <v>45896</v>
      </c>
      <c r="E1225" s="140" t="str">
        <f>$M$1</f>
        <v>samuelbattista</v>
      </c>
      <c r="F1225" s="8">
        <f>IFERROR(AVERAGE(Data[[#This Row],[alappatjoe]:[currydestroyer27]]), "TBD")</f>
        <v>4</v>
      </c>
      <c r="G1225" s="177">
        <f>IFERROR(_xlfn.STDEV.P(Data[[#This Row],[alappatjoe]:[currydestroyer27]]), "TBD")</f>
        <v>1.5491933384829668</v>
      </c>
      <c r="H1225" s="135" t="s">
        <v>2495</v>
      </c>
      <c r="I1225" s="229" t="s">
        <v>1937</v>
      </c>
      <c r="J1225" s="3">
        <v>5</v>
      </c>
      <c r="K1225" s="3">
        <v>5</v>
      </c>
      <c r="L1225" s="3">
        <v>5</v>
      </c>
      <c r="M1225" s="3">
        <v>1</v>
      </c>
      <c r="N1225" s="3">
        <v>4</v>
      </c>
      <c r="O1225" s="238"/>
      <c r="P1225" s="93"/>
      <c r="Q1225" s="93"/>
      <c r="R12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25" s="93">
        <v>1</v>
      </c>
      <c r="T1225" s="93" t="b">
        <f>Data[[#This Row],[Day Rank]]=Data[[#This Row],[W Rank]]</f>
        <v>0</v>
      </c>
      <c r="U1225" s="323"/>
    </row>
    <row r="1226" spans="1:21" ht="15" customHeight="1" thickBot="1">
      <c r="A1226" s="327"/>
      <c r="B1226" s="327"/>
      <c r="C1226" s="340"/>
      <c r="D1226" s="164">
        <f>D1222</f>
        <v>45896</v>
      </c>
      <c r="E1226" s="215" t="str">
        <f>$N$1</f>
        <v>currydestroyer27</v>
      </c>
      <c r="F1226" s="165">
        <f>IFERROR(AVERAGE(Data[[#This Row],[alappatjoe]:[currydestroyer27]]), "TBD")</f>
        <v>2.2000000000000002</v>
      </c>
      <c r="G1226" s="256">
        <f>IFERROR(_xlfn.STDEV.P(Data[[#This Row],[alappatjoe]:[currydestroyer27]]), "TBD")</f>
        <v>1.6</v>
      </c>
      <c r="H1226" s="227" t="s">
        <v>2496</v>
      </c>
      <c r="I1226" s="257" t="s">
        <v>2497</v>
      </c>
      <c r="J1226" s="166">
        <v>3</v>
      </c>
      <c r="K1226" s="166">
        <v>1</v>
      </c>
      <c r="L1226" s="166">
        <v>1</v>
      </c>
      <c r="M1226" s="166">
        <v>5</v>
      </c>
      <c r="N1226" s="166">
        <v>1</v>
      </c>
      <c r="O1226" s="242"/>
      <c r="P1226" s="167"/>
      <c r="Q1226" s="167"/>
      <c r="R12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26" s="167">
        <v>1</v>
      </c>
      <c r="T1226" s="167" t="b">
        <f>Data[[#This Row],[Day Rank]]=Data[[#This Row],[W Rank]]</f>
        <v>1</v>
      </c>
      <c r="U1226" s="324"/>
    </row>
    <row r="1227" spans="1:21" ht="15" customHeight="1">
      <c r="A1227" s="325">
        <v>45897</v>
      </c>
      <c r="B1227" s="325"/>
      <c r="C1227" s="328" t="str" cm="1">
        <f t="array" ref="C1227">_xlfn.LET(_xlpm.matches, _xlfn._xlws.FILTER(Data[Poster], (Data[Date]=A1227)*(Data[Winner]=TRUE)), IF(ROWS(_xlpm.matches)&gt;1, "TIE", _xlpm.matches))</f>
        <v>danram</v>
      </c>
      <c r="D1227" s="147">
        <f>A1227</f>
        <v>45897</v>
      </c>
      <c r="E1227" s="181" t="str">
        <f>$J$1</f>
        <v>alappatjoe</v>
      </c>
      <c r="F1227" s="9">
        <f>IFERROR(AVERAGE(Data[[#This Row],[alappatjoe]:[currydestroyer27]]), "TBD")</f>
        <v>2.6</v>
      </c>
      <c r="G1227" s="178">
        <f>IFERROR(_xlfn.STDEV.P(Data[[#This Row],[alappatjoe]:[currydestroyer27]]), "TBD")</f>
        <v>1.019803902718557</v>
      </c>
      <c r="H1227" s="160" t="s">
        <v>2498</v>
      </c>
      <c r="I1227" s="186" t="s">
        <v>2499</v>
      </c>
      <c r="J1227" s="3">
        <v>1</v>
      </c>
      <c r="K1227" s="3">
        <v>3</v>
      </c>
      <c r="L1227" s="3">
        <v>3</v>
      </c>
      <c r="M1227" s="3">
        <v>4</v>
      </c>
      <c r="N1227" s="3">
        <v>2</v>
      </c>
      <c r="O1227" s="238">
        <v>261683766</v>
      </c>
      <c r="P1227" s="93"/>
      <c r="Q1227" s="93"/>
      <c r="R12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27" s="93">
        <v>1</v>
      </c>
      <c r="T1227" s="93" t="b">
        <f>Data[[#This Row],[Day Rank]]=Data[[#This Row],[W Rank]]</f>
        <v>0</v>
      </c>
      <c r="U1227" s="331" t="s">
        <v>2500</v>
      </c>
    </row>
    <row r="1228" spans="1:21" ht="15" customHeight="1">
      <c r="A1228" s="326"/>
      <c r="B1228" s="326"/>
      <c r="C1228" s="329"/>
      <c r="D1228" s="81">
        <f>D1227</f>
        <v>45897</v>
      </c>
      <c r="E1228" s="140" t="str">
        <f>$K$1</f>
        <v>danram</v>
      </c>
      <c r="F1228" s="8">
        <f>IFERROR(AVERAGE(Data[[#This Row],[alappatjoe]:[currydestroyer27]]), "TBD")</f>
        <v>2.2000000000000002</v>
      </c>
      <c r="G1228" s="177">
        <f>IFERROR(_xlfn.STDEV.P(Data[[#This Row],[alappatjoe]:[currydestroyer27]]), "TBD")</f>
        <v>1.1661903789690602</v>
      </c>
      <c r="H1228" s="135" t="s">
        <v>2501</v>
      </c>
      <c r="I1228" s="229" t="s">
        <v>373</v>
      </c>
      <c r="J1228" s="3">
        <v>4</v>
      </c>
      <c r="K1228" s="3">
        <v>1</v>
      </c>
      <c r="L1228" s="3">
        <v>2</v>
      </c>
      <c r="M1228" s="3">
        <v>1</v>
      </c>
      <c r="N1228" s="3">
        <v>3</v>
      </c>
      <c r="O1228" s="238"/>
      <c r="P1228" s="93"/>
      <c r="Q1228" s="93"/>
      <c r="R12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28" s="93">
        <v>1</v>
      </c>
      <c r="T1228" s="93" t="b">
        <f>Data[[#This Row],[Day Rank]]=Data[[#This Row],[W Rank]]</f>
        <v>1</v>
      </c>
      <c r="U1228" s="323"/>
    </row>
    <row r="1229" spans="1:21" ht="15" customHeight="1">
      <c r="A1229" s="326"/>
      <c r="B1229" s="326"/>
      <c r="C1229" s="329"/>
      <c r="D1229" s="81">
        <f>D1227</f>
        <v>45897</v>
      </c>
      <c r="E1229" s="140" t="str">
        <f>$L$1</f>
        <v>loganworsdell</v>
      </c>
      <c r="F1229" s="8">
        <f>IFERROR(AVERAGE(Data[[#This Row],[alappatjoe]:[currydestroyer27]]), "TBD")</f>
        <v>2.6</v>
      </c>
      <c r="G1229" s="177">
        <f>IFERROR(_xlfn.STDEV.P(Data[[#This Row],[alappatjoe]:[currydestroyer27]]), "TBD")</f>
        <v>1.019803902718557</v>
      </c>
      <c r="H1229" s="135" t="s">
        <v>2502</v>
      </c>
      <c r="I1229" s="229" t="s">
        <v>2503</v>
      </c>
      <c r="J1229" s="3">
        <v>3</v>
      </c>
      <c r="K1229" s="3">
        <v>2</v>
      </c>
      <c r="L1229" s="3">
        <v>1</v>
      </c>
      <c r="M1229" s="3">
        <v>3</v>
      </c>
      <c r="N1229" s="3">
        <v>4</v>
      </c>
      <c r="O1229" s="238">
        <v>1080286222</v>
      </c>
      <c r="P1229" s="93"/>
      <c r="Q1229" s="93"/>
      <c r="R12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29" s="93">
        <v>1</v>
      </c>
      <c r="T1229" s="93" t="b">
        <f>Data[[#This Row],[Day Rank]]=Data[[#This Row],[W Rank]]</f>
        <v>0</v>
      </c>
      <c r="U1229" s="323"/>
    </row>
    <row r="1230" spans="1:21" ht="15" customHeight="1">
      <c r="A1230" s="326"/>
      <c r="B1230" s="326"/>
      <c r="C1230" s="329"/>
      <c r="D1230" s="81">
        <f>D1227</f>
        <v>45897</v>
      </c>
      <c r="E1230" s="140" t="str">
        <f>$M$1</f>
        <v>samuelbattista</v>
      </c>
      <c r="F1230" s="8">
        <f>IFERROR(AVERAGE(Data[[#This Row],[alappatjoe]:[currydestroyer27]]), "TBD")</f>
        <v>3.6</v>
      </c>
      <c r="G1230" s="177">
        <f>IFERROR(_xlfn.STDEV.P(Data[[#This Row],[alappatjoe]:[currydestroyer27]]), "TBD")</f>
        <v>1.3564659966250536</v>
      </c>
      <c r="H1230" s="135" t="s">
        <v>2504</v>
      </c>
      <c r="I1230" s="229" t="s">
        <v>1110</v>
      </c>
      <c r="J1230" s="3">
        <v>2</v>
      </c>
      <c r="K1230" s="3">
        <v>4</v>
      </c>
      <c r="L1230" s="3">
        <v>5</v>
      </c>
      <c r="M1230" s="3">
        <v>2</v>
      </c>
      <c r="N1230" s="3">
        <v>5</v>
      </c>
      <c r="O1230" s="238"/>
      <c r="P1230" s="93"/>
      <c r="Q1230" s="93"/>
      <c r="R12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30" s="93">
        <v>1</v>
      </c>
      <c r="T1230" s="93" t="b">
        <f>Data[[#This Row],[Day Rank]]=Data[[#This Row],[W Rank]]</f>
        <v>0</v>
      </c>
      <c r="U1230" s="323"/>
    </row>
    <row r="1231" spans="1:21" ht="15" customHeight="1" thickBot="1">
      <c r="A1231" s="327"/>
      <c r="B1231" s="327"/>
      <c r="C1231" s="330"/>
      <c r="D1231" s="164">
        <f>D1227</f>
        <v>45897</v>
      </c>
      <c r="E1231" s="215" t="str">
        <f>$N$1</f>
        <v>currydestroyer27</v>
      </c>
      <c r="F1231" s="165">
        <f>IFERROR(AVERAGE(Data[[#This Row],[alappatjoe]:[currydestroyer27]]), "TBD")</f>
        <v>4</v>
      </c>
      <c r="G1231" s="256">
        <f>IFERROR(_xlfn.STDEV.P(Data[[#This Row],[alappatjoe]:[currydestroyer27]]), "TBD")</f>
        <v>1.5491933384829668</v>
      </c>
      <c r="H1231" s="227" t="s">
        <v>2505</v>
      </c>
      <c r="I1231" s="257" t="s">
        <v>2506</v>
      </c>
      <c r="J1231" s="166">
        <v>5</v>
      </c>
      <c r="K1231" s="166">
        <v>5</v>
      </c>
      <c r="L1231" s="166">
        <v>4</v>
      </c>
      <c r="M1231" s="166">
        <v>5</v>
      </c>
      <c r="N1231" s="166">
        <v>1</v>
      </c>
      <c r="O1231" s="242"/>
      <c r="P1231" s="167"/>
      <c r="Q1231" s="167"/>
      <c r="R123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31" s="167">
        <v>1</v>
      </c>
      <c r="T1231" s="167" t="b">
        <f>Data[[#This Row],[Day Rank]]=Data[[#This Row],[W Rank]]</f>
        <v>0</v>
      </c>
      <c r="U1231" s="324"/>
    </row>
    <row r="1232" spans="1:21" ht="15" customHeight="1">
      <c r="A1232" s="325">
        <v>45902</v>
      </c>
      <c r="B1232" s="325"/>
      <c r="C1232" s="338" t="str" cm="1">
        <f t="array" ref="C1232">_xlfn.LET(_xlpm.matches, _xlfn._xlws.FILTER(Data[Poster], (Data[Date]=A1232)*(Data[Winner]=TRUE)), IF(ROWS(_xlpm.matches)&gt;1, "TIE", _xlpm.matches))</f>
        <v>loganworsdell</v>
      </c>
      <c r="D1232" s="147">
        <f>A1232</f>
        <v>45902</v>
      </c>
      <c r="E1232" s="181" t="str">
        <f>$J$1</f>
        <v>alappatjoe</v>
      </c>
      <c r="F1232" s="9">
        <f>IFERROR(AVERAGE(Data[[#This Row],[alappatjoe]:[currydestroyer27]]), "TBD")</f>
        <v>2.4</v>
      </c>
      <c r="G1232" s="178">
        <f>IFERROR(_xlfn.STDEV.P(Data[[#This Row],[alappatjoe]:[currydestroyer27]]), "TBD")</f>
        <v>0.8</v>
      </c>
      <c r="H1232" s="160" t="s">
        <v>2507</v>
      </c>
      <c r="I1232" s="186" t="s">
        <v>239</v>
      </c>
      <c r="J1232" s="3">
        <v>1</v>
      </c>
      <c r="K1232" s="3">
        <v>3</v>
      </c>
      <c r="L1232" s="3">
        <v>3</v>
      </c>
      <c r="M1232" s="3">
        <v>3</v>
      </c>
      <c r="N1232" s="3">
        <v>2</v>
      </c>
      <c r="O1232" s="238">
        <v>1118137</v>
      </c>
      <c r="P1232" s="93"/>
      <c r="Q1232" s="93"/>
      <c r="R12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32" s="93">
        <v>1</v>
      </c>
      <c r="T1232" s="93" t="b">
        <f>Data[[#This Row],[Day Rank]]=Data[[#This Row],[W Rank]]</f>
        <v>0</v>
      </c>
      <c r="U1232" s="331"/>
    </row>
    <row r="1233" spans="1:21" ht="15" customHeight="1">
      <c r="A1233" s="326"/>
      <c r="B1233" s="326"/>
      <c r="C1233" s="339"/>
      <c r="D1233" s="81">
        <f>D1232</f>
        <v>45902</v>
      </c>
      <c r="E1233" s="140" t="str">
        <f>$K$1</f>
        <v>danram</v>
      </c>
      <c r="F1233" s="8">
        <f>IFERROR(AVERAGE(Data[[#This Row],[alappatjoe]:[currydestroyer27]]), "TBD")</f>
        <v>2.8</v>
      </c>
      <c r="G1233" s="177">
        <f>IFERROR(_xlfn.STDEV.P(Data[[#This Row],[alappatjoe]:[currydestroyer27]]), "TBD")</f>
        <v>0.9797958971132712</v>
      </c>
      <c r="H1233" s="135" t="s">
        <v>2508</v>
      </c>
      <c r="I1233" s="229" t="s">
        <v>2509</v>
      </c>
      <c r="J1233" s="3">
        <v>2</v>
      </c>
      <c r="K1233" s="3">
        <v>2</v>
      </c>
      <c r="L1233" s="3">
        <v>4</v>
      </c>
      <c r="M1233" s="3">
        <v>2</v>
      </c>
      <c r="N1233" s="3">
        <v>4</v>
      </c>
      <c r="O1233" s="238"/>
      <c r="P1233" s="93"/>
      <c r="Q1233" s="93"/>
      <c r="R12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33" s="93">
        <v>1</v>
      </c>
      <c r="T1233" s="93" t="b">
        <f>Data[[#This Row],[Day Rank]]=Data[[#This Row],[W Rank]]</f>
        <v>0</v>
      </c>
      <c r="U1233" s="323"/>
    </row>
    <row r="1234" spans="1:21" ht="15" customHeight="1">
      <c r="A1234" s="326"/>
      <c r="B1234" s="326"/>
      <c r="C1234" s="339"/>
      <c r="D1234" s="81">
        <f>D1232</f>
        <v>45902</v>
      </c>
      <c r="E1234" s="140" t="str">
        <f>$L$1</f>
        <v>loganworsdell</v>
      </c>
      <c r="F1234" s="8">
        <f>IFERROR(AVERAGE(Data[[#This Row],[alappatjoe]:[currydestroyer27]]), "TBD")</f>
        <v>2.2000000000000002</v>
      </c>
      <c r="G1234" s="177">
        <f>IFERROR(_xlfn.STDEV.P(Data[[#This Row],[alappatjoe]:[currydestroyer27]]), "TBD")</f>
        <v>1.4696938456699069</v>
      </c>
      <c r="H1234" s="135" t="s">
        <v>2510</v>
      </c>
      <c r="I1234" s="229" t="s">
        <v>2511</v>
      </c>
      <c r="J1234" s="3">
        <v>4</v>
      </c>
      <c r="K1234" s="3">
        <v>4</v>
      </c>
      <c r="L1234" s="3">
        <v>1</v>
      </c>
      <c r="M1234" s="3">
        <v>1</v>
      </c>
      <c r="N1234" s="3">
        <v>1</v>
      </c>
      <c r="O1234" s="238">
        <v>437201129</v>
      </c>
      <c r="P1234" s="93"/>
      <c r="Q1234" s="93"/>
      <c r="R12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34" s="93">
        <v>1</v>
      </c>
      <c r="T1234" s="93" t="b">
        <f>Data[[#This Row],[Day Rank]]=Data[[#This Row],[W Rank]]</f>
        <v>1</v>
      </c>
      <c r="U1234" s="323"/>
    </row>
    <row r="1235" spans="1:21" ht="15" customHeight="1">
      <c r="A1235" s="326"/>
      <c r="B1235" s="326"/>
      <c r="C1235" s="339"/>
      <c r="D1235" s="81">
        <f>D1232</f>
        <v>45902</v>
      </c>
      <c r="E1235" s="140" t="str">
        <f>$M$1</f>
        <v>samuelbattista</v>
      </c>
      <c r="F1235" s="8">
        <f>IFERROR(AVERAGE(Data[[#This Row],[alappatjoe]:[currydestroyer27]]), "TBD")</f>
        <v>5</v>
      </c>
      <c r="G1235" s="177">
        <f>IFERROR(_xlfn.STDEV.P(Data[[#This Row],[alappatjoe]:[currydestroyer27]]), "TBD")</f>
        <v>0</v>
      </c>
      <c r="H1235" s="135" t="s">
        <v>2512</v>
      </c>
      <c r="I1235" s="229" t="s">
        <v>2513</v>
      </c>
      <c r="J1235" s="3">
        <v>5</v>
      </c>
      <c r="K1235" s="3">
        <v>5</v>
      </c>
      <c r="L1235" s="3">
        <v>5</v>
      </c>
      <c r="M1235" s="3">
        <v>5</v>
      </c>
      <c r="N1235" s="3">
        <v>5</v>
      </c>
      <c r="O1235" s="238"/>
      <c r="P1235" s="93"/>
      <c r="Q1235" s="93"/>
      <c r="R12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35" s="93">
        <v>1</v>
      </c>
      <c r="T1235" s="93" t="b">
        <f>Data[[#This Row],[Day Rank]]=Data[[#This Row],[W Rank]]</f>
        <v>0</v>
      </c>
      <c r="U1235" s="323"/>
    </row>
    <row r="1236" spans="1:21" ht="15" customHeight="1" thickBot="1">
      <c r="A1236" s="327"/>
      <c r="B1236" s="327"/>
      <c r="C1236" s="340"/>
      <c r="D1236" s="164">
        <f>D1232</f>
        <v>45902</v>
      </c>
      <c r="E1236" s="215" t="str">
        <f>$N$1</f>
        <v>currydestroyer27</v>
      </c>
      <c r="F1236" s="165">
        <f>IFERROR(AVERAGE(Data[[#This Row],[alappatjoe]:[currydestroyer27]]), "TBD")</f>
        <v>2.6</v>
      </c>
      <c r="G1236" s="256">
        <f>IFERROR(_xlfn.STDEV.P(Data[[#This Row],[alappatjoe]:[currydestroyer27]]), "TBD")</f>
        <v>1.019803902718557</v>
      </c>
      <c r="H1236" s="227" t="s">
        <v>2514</v>
      </c>
      <c r="I1236" s="257" t="s">
        <v>2497</v>
      </c>
      <c r="J1236" s="166">
        <v>3</v>
      </c>
      <c r="K1236" s="166">
        <v>1</v>
      </c>
      <c r="L1236" s="166">
        <v>2</v>
      </c>
      <c r="M1236" s="166">
        <v>4</v>
      </c>
      <c r="N1236" s="166">
        <v>3</v>
      </c>
      <c r="O1236" s="242"/>
      <c r="P1236" s="167"/>
      <c r="Q1236" s="167"/>
      <c r="R123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36" s="167">
        <v>1</v>
      </c>
      <c r="T1236" s="167" t="b">
        <f>Data[[#This Row],[Day Rank]]=Data[[#This Row],[W Rank]]</f>
        <v>0</v>
      </c>
      <c r="U1236" s="324"/>
    </row>
    <row r="1237" spans="1:21" ht="15" customHeight="1">
      <c r="A1237" s="325">
        <v>45903</v>
      </c>
      <c r="B1237" s="325"/>
      <c r="C1237" s="328" t="str" cm="1">
        <f t="array" ref="C1237">_xlfn.LET(_xlpm.matches, _xlfn._xlws.FILTER(Data[Poster], (Data[Date]=A1237)*(Data[Winner]=TRUE)), IF(ROWS(_xlpm.matches)&gt;1, "TIE", _xlpm.matches))</f>
        <v>currydestroyer27</v>
      </c>
      <c r="D1237" s="147">
        <f>A1237</f>
        <v>45903</v>
      </c>
      <c r="E1237" s="181" t="str">
        <f>$J$1</f>
        <v>alappatjoe</v>
      </c>
      <c r="F1237" s="9">
        <f>IFERROR(AVERAGE(Data[[#This Row],[alappatjoe]:[currydestroyer27]]), "TBD")</f>
        <v>3.2</v>
      </c>
      <c r="G1237" s="178">
        <f>IFERROR(_xlfn.STDEV.P(Data[[#This Row],[alappatjoe]:[currydestroyer27]]), "TBD")</f>
        <v>1.3266499161421599</v>
      </c>
      <c r="H1237" s="160" t="s">
        <v>2515</v>
      </c>
      <c r="I1237" s="186" t="s">
        <v>2516</v>
      </c>
      <c r="J1237" s="3">
        <v>1</v>
      </c>
      <c r="K1237" s="3">
        <v>5</v>
      </c>
      <c r="L1237" s="3">
        <v>4</v>
      </c>
      <c r="M1237" s="3">
        <v>3</v>
      </c>
      <c r="N1237" s="3">
        <v>3</v>
      </c>
      <c r="O1237" s="238">
        <v>1077701</v>
      </c>
      <c r="P1237" s="93"/>
      <c r="Q1237" s="93"/>
      <c r="R12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37" s="93">
        <v>1</v>
      </c>
      <c r="T1237" s="93" t="b">
        <f>Data[[#This Row],[Day Rank]]=Data[[#This Row],[W Rank]]</f>
        <v>0</v>
      </c>
      <c r="U1237" s="331"/>
    </row>
    <row r="1238" spans="1:21" ht="15" customHeight="1">
      <c r="A1238" s="326"/>
      <c r="B1238" s="326"/>
      <c r="C1238" s="329"/>
      <c r="D1238" s="81">
        <f>D1237</f>
        <v>45903</v>
      </c>
      <c r="E1238" s="140" t="str">
        <f>$K$1</f>
        <v>danram</v>
      </c>
      <c r="F1238" s="8">
        <f>IFERROR(AVERAGE(Data[[#This Row],[alappatjoe]:[currydestroyer27]]), "TBD")</f>
        <v>2.6</v>
      </c>
      <c r="G1238" s="177">
        <f>IFERROR(_xlfn.STDEV.P(Data[[#This Row],[alappatjoe]:[currydestroyer27]]), "TBD")</f>
        <v>1.3564659966250536</v>
      </c>
      <c r="H1238" s="135" t="s">
        <v>2517</v>
      </c>
      <c r="I1238" s="229" t="s">
        <v>2518</v>
      </c>
      <c r="J1238" s="3">
        <v>3</v>
      </c>
      <c r="K1238" s="3">
        <v>1</v>
      </c>
      <c r="L1238" s="3">
        <v>1</v>
      </c>
      <c r="M1238" s="3">
        <v>4</v>
      </c>
      <c r="N1238" s="3">
        <v>4</v>
      </c>
      <c r="O1238" s="238"/>
      <c r="P1238" s="93"/>
      <c r="Q1238" s="93"/>
      <c r="R12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38" s="93">
        <v>2</v>
      </c>
      <c r="T1238" s="93" t="b">
        <f>Data[[#This Row],[Day Rank]]=Data[[#This Row],[W Rank]]</f>
        <v>0</v>
      </c>
      <c r="U1238" s="323"/>
    </row>
    <row r="1239" spans="1:21" ht="15" customHeight="1">
      <c r="A1239" s="326"/>
      <c r="B1239" s="326"/>
      <c r="C1239" s="329"/>
      <c r="D1239" s="81">
        <f>D1237</f>
        <v>45903</v>
      </c>
      <c r="E1239" s="140" t="str">
        <f>$L$1</f>
        <v>loganworsdell</v>
      </c>
      <c r="F1239" s="8">
        <f>IFERROR(AVERAGE(Data[[#This Row],[alappatjoe]:[currydestroyer27]]), "TBD")</f>
        <v>3.6</v>
      </c>
      <c r="G1239" s="177">
        <f>IFERROR(_xlfn.STDEV.P(Data[[#This Row],[alappatjoe]:[currydestroyer27]]), "TBD")</f>
        <v>1.3564659966250536</v>
      </c>
      <c r="H1239" s="135" t="s">
        <v>2519</v>
      </c>
      <c r="I1239" s="229" t="s">
        <v>1201</v>
      </c>
      <c r="J1239" s="3">
        <v>5</v>
      </c>
      <c r="K1239" s="3">
        <v>4</v>
      </c>
      <c r="L1239" s="3">
        <v>2</v>
      </c>
      <c r="M1239" s="3">
        <v>2</v>
      </c>
      <c r="N1239" s="3">
        <v>5</v>
      </c>
      <c r="O1239" s="238">
        <v>52394</v>
      </c>
      <c r="P1239" s="93"/>
      <c r="Q1239" s="93"/>
      <c r="R12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39" s="93">
        <v>1</v>
      </c>
      <c r="T1239" s="93" t="b">
        <f>Data[[#This Row],[Day Rank]]=Data[[#This Row],[W Rank]]</f>
        <v>0</v>
      </c>
      <c r="U1239" s="323"/>
    </row>
    <row r="1240" spans="1:21" ht="15" customHeight="1">
      <c r="A1240" s="326"/>
      <c r="B1240" s="326"/>
      <c r="C1240" s="329"/>
      <c r="D1240" s="81">
        <f>D1237</f>
        <v>45903</v>
      </c>
      <c r="E1240" s="140" t="str">
        <f>$M$1</f>
        <v>samuelbattista</v>
      </c>
      <c r="F1240" s="8">
        <f>IFERROR(AVERAGE(Data[[#This Row],[alappatjoe]:[currydestroyer27]]), "TBD")</f>
        <v>3</v>
      </c>
      <c r="G1240" s="177">
        <f>IFERROR(_xlfn.STDEV.P(Data[[#This Row],[alappatjoe]:[currydestroyer27]]), "TBD")</f>
        <v>1.4142135623730951</v>
      </c>
      <c r="H1240" s="135" t="s">
        <v>2520</v>
      </c>
      <c r="I1240" s="229" t="s">
        <v>2521</v>
      </c>
      <c r="J1240" s="3">
        <v>4</v>
      </c>
      <c r="K1240" s="3">
        <v>3</v>
      </c>
      <c r="L1240" s="3">
        <v>5</v>
      </c>
      <c r="M1240" s="3">
        <v>1</v>
      </c>
      <c r="N1240" s="3">
        <v>2</v>
      </c>
      <c r="O1240" s="238"/>
      <c r="P1240" s="93"/>
      <c r="Q1240" s="93"/>
      <c r="R12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40" s="93">
        <v>1</v>
      </c>
      <c r="T1240" s="93" t="b">
        <f>Data[[#This Row],[Day Rank]]=Data[[#This Row],[W Rank]]</f>
        <v>0</v>
      </c>
      <c r="U1240" s="323"/>
    </row>
    <row r="1241" spans="1:21" ht="15" customHeight="1" thickBot="1">
      <c r="A1241" s="327"/>
      <c r="B1241" s="327"/>
      <c r="C1241" s="330"/>
      <c r="D1241" s="164">
        <f>D1237</f>
        <v>45903</v>
      </c>
      <c r="E1241" s="215" t="str">
        <f>$N$1</f>
        <v>currydestroyer27</v>
      </c>
      <c r="F1241" s="165">
        <f>IFERROR(AVERAGE(Data[[#This Row],[alappatjoe]:[currydestroyer27]]), "TBD")</f>
        <v>2.6</v>
      </c>
      <c r="G1241" s="256">
        <f>IFERROR(_xlfn.STDEV.P(Data[[#This Row],[alappatjoe]:[currydestroyer27]]), "TBD")</f>
        <v>1.3564659966250536</v>
      </c>
      <c r="H1241" s="227" t="s">
        <v>2522</v>
      </c>
      <c r="I1241" s="257" t="s">
        <v>2523</v>
      </c>
      <c r="J1241" s="166">
        <v>2</v>
      </c>
      <c r="K1241" s="166">
        <v>2</v>
      </c>
      <c r="L1241" s="166">
        <v>3</v>
      </c>
      <c r="M1241" s="166">
        <v>5</v>
      </c>
      <c r="N1241" s="166">
        <v>1</v>
      </c>
      <c r="O1241" s="242"/>
      <c r="P1241" s="167"/>
      <c r="Q1241" s="167"/>
      <c r="R124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41" s="167">
        <v>1</v>
      </c>
      <c r="T1241" s="167" t="b">
        <f>Data[[#This Row],[Day Rank]]=Data[[#This Row],[W Rank]]</f>
        <v>1</v>
      </c>
      <c r="U1241" s="324"/>
    </row>
    <row r="1242" spans="1:21" ht="15" customHeight="1">
      <c r="A1242" s="325">
        <v>45904</v>
      </c>
      <c r="B1242" s="325"/>
      <c r="C1242" s="338" t="str" cm="1">
        <f t="array" ref="C1242">_xlfn.LET(_xlpm.matches, _xlfn._xlws.FILTER(Data[Poster], (Data[Date]=A1242)*(Data[Winner]=TRUE)), IF(ROWS(_xlpm.matches)&gt;1, "TIE", _xlpm.matches))</f>
        <v>currydestroyer27</v>
      </c>
      <c r="D1242" s="147">
        <f>A1242</f>
        <v>45904</v>
      </c>
      <c r="E1242" s="181" t="str">
        <f>$J$1</f>
        <v>alappatjoe</v>
      </c>
      <c r="F1242" s="9">
        <f>IFERROR(AVERAGE(Data[[#This Row],[alappatjoe]:[currydestroyer27]]), "TBD")</f>
        <v>3.2</v>
      </c>
      <c r="G1242" s="178">
        <f>IFERROR(_xlfn.STDEV.P(Data[[#This Row],[alappatjoe]:[currydestroyer27]]), "TBD")</f>
        <v>1.3266499161421599</v>
      </c>
      <c r="H1242" s="160" t="s">
        <v>2524</v>
      </c>
      <c r="I1242" s="186" t="s">
        <v>2525</v>
      </c>
      <c r="J1242" s="3">
        <v>1</v>
      </c>
      <c r="K1242" s="3">
        <v>3</v>
      </c>
      <c r="L1242" s="3">
        <v>4</v>
      </c>
      <c r="M1242" s="3">
        <v>3</v>
      </c>
      <c r="N1242" s="3">
        <v>5</v>
      </c>
      <c r="O1242" s="238">
        <v>21582382</v>
      </c>
      <c r="P1242" s="93"/>
      <c r="Q1242" s="93"/>
      <c r="R12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42" s="93">
        <v>1</v>
      </c>
      <c r="T1242" s="93" t="b">
        <f>Data[[#This Row],[Day Rank]]=Data[[#This Row],[W Rank]]</f>
        <v>0</v>
      </c>
      <c r="U1242" s="331" t="s">
        <v>2526</v>
      </c>
    </row>
    <row r="1243" spans="1:21" ht="15" customHeight="1">
      <c r="A1243" s="326"/>
      <c r="B1243" s="326"/>
      <c r="C1243" s="339"/>
      <c r="D1243" s="81">
        <f>D1242</f>
        <v>45904</v>
      </c>
      <c r="E1243" s="140" t="str">
        <f>$K$1</f>
        <v>danram</v>
      </c>
      <c r="F1243" s="8">
        <f>IFERROR(AVERAGE(Data[[#This Row],[alappatjoe]:[currydestroyer27]]), "TBD")</f>
        <v>4.4000000000000004</v>
      </c>
      <c r="G1243" s="177">
        <f>IFERROR(_xlfn.STDEV.P(Data[[#This Row],[alappatjoe]:[currydestroyer27]]), "TBD")</f>
        <v>0.4898979485566356</v>
      </c>
      <c r="H1243" s="135" t="s">
        <v>2527</v>
      </c>
      <c r="I1243" s="229" t="s">
        <v>2528</v>
      </c>
      <c r="J1243" s="3">
        <v>4</v>
      </c>
      <c r="K1243" s="3">
        <v>5</v>
      </c>
      <c r="L1243" s="3">
        <v>5</v>
      </c>
      <c r="M1243" s="3">
        <v>4</v>
      </c>
      <c r="N1243" s="3">
        <v>4</v>
      </c>
      <c r="O1243" s="238"/>
      <c r="P1243" s="93"/>
      <c r="Q1243" s="93"/>
      <c r="R12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43" s="93">
        <v>1</v>
      </c>
      <c r="T1243" s="93" t="b">
        <f>Data[[#This Row],[Day Rank]]=Data[[#This Row],[W Rank]]</f>
        <v>0</v>
      </c>
      <c r="U1243" s="323"/>
    </row>
    <row r="1244" spans="1:21" ht="15" customHeight="1">
      <c r="A1244" s="326"/>
      <c r="B1244" s="326"/>
      <c r="C1244" s="339"/>
      <c r="D1244" s="81">
        <f>D1242</f>
        <v>45904</v>
      </c>
      <c r="E1244" s="140" t="str">
        <f>$L$1</f>
        <v>loganworsdell</v>
      </c>
      <c r="F1244" s="8">
        <f>IFERROR(AVERAGE(Data[[#This Row],[alappatjoe]:[currydestroyer27]]), "TBD")</f>
        <v>3</v>
      </c>
      <c r="G1244" s="177">
        <f>IFERROR(_xlfn.STDEV.P(Data[[#This Row],[alappatjoe]:[currydestroyer27]]), "TBD")</f>
        <v>1.4142135623730951</v>
      </c>
      <c r="H1244" s="135" t="s">
        <v>2529</v>
      </c>
      <c r="I1244" s="229" t="s">
        <v>2530</v>
      </c>
      <c r="J1244" s="3">
        <v>3</v>
      </c>
      <c r="K1244" s="3">
        <v>4</v>
      </c>
      <c r="L1244" s="3">
        <v>1</v>
      </c>
      <c r="M1244" s="3">
        <v>5</v>
      </c>
      <c r="N1244" s="3">
        <v>2</v>
      </c>
      <c r="O1244" s="238">
        <v>85216528</v>
      </c>
      <c r="P1244" s="93"/>
      <c r="Q1244" s="93"/>
      <c r="R12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44" s="93">
        <v>1</v>
      </c>
      <c r="T1244" s="93" t="b">
        <f>Data[[#This Row],[Day Rank]]=Data[[#This Row],[W Rank]]</f>
        <v>0</v>
      </c>
      <c r="U1244" s="323"/>
    </row>
    <row r="1245" spans="1:21" ht="15" customHeight="1">
      <c r="A1245" s="326"/>
      <c r="B1245" s="326"/>
      <c r="C1245" s="339"/>
      <c r="D1245" s="81">
        <f>D1242</f>
        <v>45904</v>
      </c>
      <c r="E1245" s="140" t="str">
        <f>$M$1</f>
        <v>samuelbattista</v>
      </c>
      <c r="F1245" s="8">
        <f>IFERROR(AVERAGE(Data[[#This Row],[alappatjoe]:[currydestroyer27]]), "TBD")</f>
        <v>2.6</v>
      </c>
      <c r="G1245" s="177">
        <f>IFERROR(_xlfn.STDEV.P(Data[[#This Row],[alappatjoe]:[currydestroyer27]]), "TBD")</f>
        <v>1.4966629547095767</v>
      </c>
      <c r="H1245" s="135" t="s">
        <v>2531</v>
      </c>
      <c r="I1245" s="229" t="s">
        <v>2532</v>
      </c>
      <c r="J1245" s="3">
        <v>5</v>
      </c>
      <c r="K1245" s="3">
        <v>1</v>
      </c>
      <c r="L1245" s="3">
        <v>3</v>
      </c>
      <c r="M1245" s="3">
        <v>1</v>
      </c>
      <c r="N1245" s="3">
        <v>3</v>
      </c>
      <c r="O1245" s="238"/>
      <c r="P1245" s="93"/>
      <c r="Q1245" s="93"/>
      <c r="R12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45" s="93">
        <v>1</v>
      </c>
      <c r="T1245" s="93" t="b">
        <f>Data[[#This Row],[Day Rank]]=Data[[#This Row],[W Rank]]</f>
        <v>0</v>
      </c>
      <c r="U1245" s="323"/>
    </row>
    <row r="1246" spans="1:21" ht="15" customHeight="1" thickBot="1">
      <c r="A1246" s="327"/>
      <c r="B1246" s="327"/>
      <c r="C1246" s="340"/>
      <c r="D1246" s="164">
        <f>D1242</f>
        <v>45904</v>
      </c>
      <c r="E1246" s="215" t="str">
        <f>$N$1</f>
        <v>currydestroyer27</v>
      </c>
      <c r="F1246" s="165">
        <f>IFERROR(AVERAGE(Data[[#This Row],[alappatjoe]:[currydestroyer27]]), "TBD")</f>
        <v>1.8</v>
      </c>
      <c r="G1246" s="256">
        <f>IFERROR(_xlfn.STDEV.P(Data[[#This Row],[alappatjoe]:[currydestroyer27]]), "TBD")</f>
        <v>0.4</v>
      </c>
      <c r="H1246" s="227" t="s">
        <v>2233</v>
      </c>
      <c r="I1246" s="257" t="s">
        <v>767</v>
      </c>
      <c r="J1246" s="166">
        <v>2</v>
      </c>
      <c r="K1246" s="166">
        <v>2</v>
      </c>
      <c r="L1246" s="166">
        <v>2</v>
      </c>
      <c r="M1246" s="166">
        <v>2</v>
      </c>
      <c r="N1246" s="166">
        <v>1</v>
      </c>
      <c r="O1246" s="242"/>
      <c r="P1246" s="167"/>
      <c r="Q1246" s="167"/>
      <c r="R124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46" s="167">
        <v>1</v>
      </c>
      <c r="T1246" s="167" t="b">
        <f>Data[[#This Row],[Day Rank]]=Data[[#This Row],[W Rank]]</f>
        <v>1</v>
      </c>
      <c r="U1246" s="324"/>
    </row>
    <row r="1247" spans="1:21" ht="15" customHeight="1">
      <c r="A1247" s="325">
        <v>45908</v>
      </c>
      <c r="B1247" s="325"/>
      <c r="C1247" s="328" t="str" cm="1">
        <f t="array" ref="C1247">_xlfn.LET(_xlpm.matches, _xlfn._xlws.FILTER(Data[Poster], (Data[Date]=A1247)*(Data[Winner]=TRUE)), IF(ROWS(_xlpm.matches)&gt;1, "TIE", _xlpm.matches))</f>
        <v>samuelbattista</v>
      </c>
      <c r="D1247" s="147">
        <f>A1247</f>
        <v>45908</v>
      </c>
      <c r="E1247" s="181" t="str">
        <f>$J$1</f>
        <v>alappatjoe</v>
      </c>
      <c r="F1247" s="9">
        <f>IFERROR(AVERAGE(Data[[#This Row],[alappatjoe]:[currydestroyer27]]), "TBD")</f>
        <v>2.8</v>
      </c>
      <c r="G1247" s="178">
        <f>IFERROR(_xlfn.STDEV.P(Data[[#This Row],[alappatjoe]:[currydestroyer27]]), "TBD")</f>
        <v>1.1661903789690602</v>
      </c>
      <c r="H1247" s="160" t="s">
        <v>2533</v>
      </c>
      <c r="I1247" s="186" t="s">
        <v>2534</v>
      </c>
      <c r="J1247" s="3">
        <v>1</v>
      </c>
      <c r="K1247" s="3">
        <v>4</v>
      </c>
      <c r="L1247" s="3">
        <v>2</v>
      </c>
      <c r="M1247" s="3">
        <v>3</v>
      </c>
      <c r="N1247" s="3">
        <v>4</v>
      </c>
      <c r="O1247" s="238">
        <v>1180326</v>
      </c>
      <c r="P1247" s="93"/>
      <c r="Q1247" s="93"/>
      <c r="R12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47" s="93">
        <v>1</v>
      </c>
      <c r="T1247" s="93" t="b">
        <f>Data[[#This Row],[Day Rank]]=Data[[#This Row],[W Rank]]</f>
        <v>0</v>
      </c>
      <c r="U1247" s="331"/>
    </row>
    <row r="1248" spans="1:21" ht="15" customHeight="1">
      <c r="A1248" s="326"/>
      <c r="B1248" s="326"/>
      <c r="C1248" s="329"/>
      <c r="D1248" s="81">
        <f>D1247</f>
        <v>45908</v>
      </c>
      <c r="E1248" s="140" t="str">
        <f>$K$1</f>
        <v>danram</v>
      </c>
      <c r="F1248" s="8">
        <f>IFERROR(AVERAGE(Data[[#This Row],[alappatjoe]:[currydestroyer27]]), "TBD")</f>
        <v>3.4</v>
      </c>
      <c r="G1248" s="177">
        <f>IFERROR(_xlfn.STDEV.P(Data[[#This Row],[alappatjoe]:[currydestroyer27]]), "TBD")</f>
        <v>1.6248076809271921</v>
      </c>
      <c r="H1248" s="135" t="s">
        <v>2535</v>
      </c>
      <c r="I1248" s="229" t="s">
        <v>2536</v>
      </c>
      <c r="J1248" s="3">
        <v>4</v>
      </c>
      <c r="K1248" s="3">
        <v>2</v>
      </c>
      <c r="L1248" s="3">
        <v>5</v>
      </c>
      <c r="M1248" s="3">
        <v>5</v>
      </c>
      <c r="N1248" s="3">
        <v>1</v>
      </c>
      <c r="O1248" s="238"/>
      <c r="P1248" s="93"/>
      <c r="Q1248" s="93"/>
      <c r="R12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48" s="93">
        <v>1</v>
      </c>
      <c r="T1248" s="93" t="b">
        <f>Data[[#This Row],[Day Rank]]=Data[[#This Row],[W Rank]]</f>
        <v>0</v>
      </c>
      <c r="U1248" s="323"/>
    </row>
    <row r="1249" spans="1:21" ht="15" customHeight="1">
      <c r="A1249" s="326"/>
      <c r="B1249" s="326"/>
      <c r="C1249" s="329"/>
      <c r="D1249" s="81">
        <f>D1247</f>
        <v>45908</v>
      </c>
      <c r="E1249" s="140" t="str">
        <f>$L$1</f>
        <v>loganworsdell</v>
      </c>
      <c r="F1249" s="8">
        <f>IFERROR(AVERAGE(Data[[#This Row],[alappatjoe]:[currydestroyer27]]), "TBD")</f>
        <v>3.6</v>
      </c>
      <c r="G1249" s="177">
        <f>IFERROR(_xlfn.STDEV.P(Data[[#This Row],[alappatjoe]:[currydestroyer27]]), "TBD")</f>
        <v>1.2</v>
      </c>
      <c r="H1249" s="135" t="s">
        <v>2537</v>
      </c>
      <c r="I1249" s="229" t="s">
        <v>2538</v>
      </c>
      <c r="J1249" s="3">
        <v>5</v>
      </c>
      <c r="K1249" s="3">
        <v>3</v>
      </c>
      <c r="L1249" s="3">
        <v>3</v>
      </c>
      <c r="M1249" s="3">
        <v>2</v>
      </c>
      <c r="N1249" s="3">
        <v>5</v>
      </c>
      <c r="O1249" s="238">
        <v>136993</v>
      </c>
      <c r="P1249" s="93"/>
      <c r="Q1249" s="93"/>
      <c r="R12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49" s="93">
        <v>1</v>
      </c>
      <c r="T1249" s="93" t="b">
        <f>Data[[#This Row],[Day Rank]]=Data[[#This Row],[W Rank]]</f>
        <v>0</v>
      </c>
      <c r="U1249" s="323"/>
    </row>
    <row r="1250" spans="1:21" ht="15" customHeight="1">
      <c r="A1250" s="326"/>
      <c r="B1250" s="326"/>
      <c r="C1250" s="329"/>
      <c r="D1250" s="81">
        <f>D1247</f>
        <v>45908</v>
      </c>
      <c r="E1250" s="140" t="str">
        <f>$M$1</f>
        <v>samuelbattista</v>
      </c>
      <c r="F1250" s="8">
        <f>IFERROR(AVERAGE(Data[[#This Row],[alappatjoe]:[currydestroyer27]]), "TBD")</f>
        <v>1.8</v>
      </c>
      <c r="G1250" s="177">
        <f>IFERROR(_xlfn.STDEV.P(Data[[#This Row],[alappatjoe]:[currydestroyer27]]), "TBD")</f>
        <v>0.9797958971132712</v>
      </c>
      <c r="H1250" s="135" t="s">
        <v>2539</v>
      </c>
      <c r="I1250" s="229" t="s">
        <v>2540</v>
      </c>
      <c r="J1250" s="3">
        <v>3</v>
      </c>
      <c r="K1250" s="3">
        <v>1</v>
      </c>
      <c r="L1250" s="3">
        <v>1</v>
      </c>
      <c r="M1250" s="3">
        <v>1</v>
      </c>
      <c r="N1250" s="3">
        <v>3</v>
      </c>
      <c r="O1250" s="238"/>
      <c r="P1250" s="93"/>
      <c r="Q1250" s="93"/>
      <c r="R12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50" s="93">
        <v>1</v>
      </c>
      <c r="T1250" s="93" t="b">
        <f>Data[[#This Row],[Day Rank]]=Data[[#This Row],[W Rank]]</f>
        <v>1</v>
      </c>
      <c r="U1250" s="323"/>
    </row>
    <row r="1251" spans="1:21" ht="15" customHeight="1" thickBot="1">
      <c r="A1251" s="327"/>
      <c r="B1251" s="327"/>
      <c r="C1251" s="330"/>
      <c r="D1251" s="164">
        <f>D1247</f>
        <v>45908</v>
      </c>
      <c r="E1251" s="215" t="str">
        <f>$N$1</f>
        <v>currydestroyer27</v>
      </c>
      <c r="F1251" s="165">
        <f>IFERROR(AVERAGE(Data[[#This Row],[alappatjoe]:[currydestroyer27]]), "TBD")</f>
        <v>3.4</v>
      </c>
      <c r="G1251" s="256">
        <f>IFERROR(_xlfn.STDEV.P(Data[[#This Row],[alappatjoe]:[currydestroyer27]]), "TBD")</f>
        <v>1.2</v>
      </c>
      <c r="H1251" s="227" t="s">
        <v>2541</v>
      </c>
      <c r="I1251" s="257" t="s">
        <v>2542</v>
      </c>
      <c r="J1251" s="166">
        <v>2</v>
      </c>
      <c r="K1251" s="166">
        <v>5</v>
      </c>
      <c r="L1251" s="166">
        <v>4</v>
      </c>
      <c r="M1251" s="166">
        <v>4</v>
      </c>
      <c r="N1251" s="166">
        <v>2</v>
      </c>
      <c r="O1251" s="242">
        <v>49081987</v>
      </c>
      <c r="P1251" s="167"/>
      <c r="Q1251" s="167"/>
      <c r="R125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51" s="167">
        <v>1</v>
      </c>
      <c r="T1251" s="167" t="b">
        <f>Data[[#This Row],[Day Rank]]=Data[[#This Row],[W Rank]]</f>
        <v>0</v>
      </c>
      <c r="U1251" s="324"/>
    </row>
    <row r="1252" spans="1:21" ht="15" customHeight="1">
      <c r="A1252" s="325">
        <v>45909</v>
      </c>
      <c r="B1252" s="325"/>
      <c r="C1252" s="338" t="str" cm="1">
        <f t="array" ref="C1252">_xlfn.LET(_xlpm.matches, _xlfn._xlws.FILTER(Data[Poster], (Data[Date]=A1252)*(Data[Winner]=TRUE)), IF(ROWS(_xlpm.matches)&gt;1, "TIE", _xlpm.matches))</f>
        <v>danram</v>
      </c>
      <c r="D1252" s="147">
        <f>A1252</f>
        <v>45909</v>
      </c>
      <c r="E1252" s="181" t="str">
        <f>$J$1</f>
        <v>alappatjoe</v>
      </c>
      <c r="F1252" s="9">
        <f>IFERROR(AVERAGE(Data[[#This Row],[alappatjoe]:[currydestroyer27]]), "TBD")</f>
        <v>2.8</v>
      </c>
      <c r="G1252" s="178">
        <f>IFERROR(_xlfn.STDEV.P(Data[[#This Row],[alappatjoe]:[currydestroyer27]]), "TBD")</f>
        <v>0.9797958971132712</v>
      </c>
      <c r="H1252" s="160" t="s">
        <v>2543</v>
      </c>
      <c r="I1252" s="186" t="s">
        <v>2544</v>
      </c>
      <c r="J1252" s="3">
        <v>1</v>
      </c>
      <c r="K1252" s="3">
        <v>3</v>
      </c>
      <c r="L1252" s="3">
        <v>3</v>
      </c>
      <c r="M1252" s="3">
        <v>4</v>
      </c>
      <c r="N1252" s="3">
        <v>3</v>
      </c>
      <c r="O1252" s="238">
        <v>107062</v>
      </c>
      <c r="P1252" s="93"/>
      <c r="Q1252" s="93"/>
      <c r="R12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52" s="93">
        <v>1</v>
      </c>
      <c r="T1252" s="93" t="b">
        <f>Data[[#This Row],[Day Rank]]=Data[[#This Row],[W Rank]]</f>
        <v>0</v>
      </c>
      <c r="U1252" s="331"/>
    </row>
    <row r="1253" spans="1:21" ht="15" customHeight="1">
      <c r="A1253" s="326"/>
      <c r="B1253" s="326"/>
      <c r="C1253" s="339"/>
      <c r="D1253" s="81">
        <f>D1252</f>
        <v>45909</v>
      </c>
      <c r="E1253" s="140" t="str">
        <f>$K$1</f>
        <v>danram</v>
      </c>
      <c r="F1253" s="8">
        <f>IFERROR(AVERAGE(Data[[#This Row],[alappatjoe]:[currydestroyer27]]), "TBD")</f>
        <v>2.6</v>
      </c>
      <c r="G1253" s="177">
        <f>IFERROR(_xlfn.STDEV.P(Data[[#This Row],[alappatjoe]:[currydestroyer27]]), "TBD")</f>
        <v>1.019803902718557</v>
      </c>
      <c r="H1253" s="135" t="s">
        <v>2545</v>
      </c>
      <c r="I1253" s="229" t="s">
        <v>794</v>
      </c>
      <c r="J1253" s="3">
        <v>3</v>
      </c>
      <c r="K1253" s="3">
        <v>1</v>
      </c>
      <c r="L1253" s="3">
        <v>4</v>
      </c>
      <c r="M1253" s="3">
        <v>3</v>
      </c>
      <c r="N1253" s="3">
        <v>2</v>
      </c>
      <c r="O1253" s="238"/>
      <c r="P1253" s="93"/>
      <c r="Q1253" s="93"/>
      <c r="R12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53" s="93">
        <v>1</v>
      </c>
      <c r="T1253" s="93" t="b">
        <f>Data[[#This Row],[Day Rank]]=Data[[#This Row],[W Rank]]</f>
        <v>1</v>
      </c>
      <c r="U1253" s="323"/>
    </row>
    <row r="1254" spans="1:21" ht="15" customHeight="1">
      <c r="A1254" s="326"/>
      <c r="B1254" s="326"/>
      <c r="C1254" s="339"/>
      <c r="D1254" s="81">
        <f>D1252</f>
        <v>45909</v>
      </c>
      <c r="E1254" s="140" t="str">
        <f>$L$1</f>
        <v>loganworsdell</v>
      </c>
      <c r="F1254" s="8">
        <f>IFERROR(AVERAGE(Data[[#This Row],[alappatjoe]:[currydestroyer27]]), "TBD")</f>
        <v>3.4</v>
      </c>
      <c r="G1254" s="177">
        <f>IFERROR(_xlfn.STDEV.P(Data[[#This Row],[alappatjoe]:[currydestroyer27]]), "TBD")</f>
        <v>1.2</v>
      </c>
      <c r="H1254" s="135" t="s">
        <v>2546</v>
      </c>
      <c r="I1254" s="229" t="s">
        <v>2547</v>
      </c>
      <c r="J1254" s="3">
        <v>4</v>
      </c>
      <c r="K1254" s="3">
        <v>4</v>
      </c>
      <c r="L1254" s="3">
        <v>2</v>
      </c>
      <c r="M1254" s="3">
        <v>2</v>
      </c>
      <c r="N1254" s="3">
        <v>5</v>
      </c>
      <c r="O1254" s="238">
        <v>48073</v>
      </c>
      <c r="P1254" s="93"/>
      <c r="Q1254" s="93"/>
      <c r="R12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54" s="93">
        <v>1</v>
      </c>
      <c r="T1254" s="93" t="b">
        <f>Data[[#This Row],[Day Rank]]=Data[[#This Row],[W Rank]]</f>
        <v>0</v>
      </c>
      <c r="U1254" s="323"/>
    </row>
    <row r="1255" spans="1:21" ht="15" customHeight="1">
      <c r="A1255" s="326"/>
      <c r="B1255" s="326"/>
      <c r="C1255" s="339"/>
      <c r="D1255" s="81">
        <f>D1252</f>
        <v>45909</v>
      </c>
      <c r="E1255" s="140" t="str">
        <f>$M$1</f>
        <v>samuelbattista</v>
      </c>
      <c r="F1255" s="8">
        <f>IFERROR(AVERAGE(Data[[#This Row],[alappatjoe]:[currydestroyer27]]), "TBD")</f>
        <v>2.6</v>
      </c>
      <c r="G1255" s="177">
        <f>IFERROR(_xlfn.STDEV.P(Data[[#This Row],[alappatjoe]:[currydestroyer27]]), "TBD")</f>
        <v>1.6248076809271921</v>
      </c>
      <c r="H1255" s="135" t="s">
        <v>2548</v>
      </c>
      <c r="I1255" s="229" t="s">
        <v>2549</v>
      </c>
      <c r="J1255" s="3">
        <v>5</v>
      </c>
      <c r="K1255" s="3">
        <v>2</v>
      </c>
      <c r="L1255" s="3">
        <v>1</v>
      </c>
      <c r="M1255" s="3">
        <v>1</v>
      </c>
      <c r="N1255" s="3">
        <v>4</v>
      </c>
      <c r="O1255" s="238"/>
      <c r="P1255" s="93"/>
      <c r="Q1255" s="93"/>
      <c r="R12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55" s="93">
        <v>1</v>
      </c>
      <c r="T1255" s="93" t="b">
        <f>Data[[#This Row],[Day Rank]]=Data[[#This Row],[W Rank]]</f>
        <v>0</v>
      </c>
      <c r="U1255" s="323"/>
    </row>
    <row r="1256" spans="1:21" ht="15" customHeight="1" thickBot="1">
      <c r="A1256" s="327"/>
      <c r="B1256" s="327"/>
      <c r="C1256" s="340"/>
      <c r="D1256" s="164">
        <f>D1252</f>
        <v>45909</v>
      </c>
      <c r="E1256" s="215" t="str">
        <f>$N$1</f>
        <v>currydestroyer27</v>
      </c>
      <c r="F1256" s="165">
        <f>IFERROR(AVERAGE(Data[[#This Row],[alappatjoe]:[currydestroyer27]]), "TBD")</f>
        <v>3.6</v>
      </c>
      <c r="G1256" s="256">
        <f>IFERROR(_xlfn.STDEV.P(Data[[#This Row],[alappatjoe]:[currydestroyer27]]), "TBD")</f>
        <v>1.7435595774162693</v>
      </c>
      <c r="H1256" s="227" t="s">
        <v>1511</v>
      </c>
      <c r="I1256" s="257" t="s">
        <v>2550</v>
      </c>
      <c r="J1256" s="166">
        <v>2</v>
      </c>
      <c r="K1256" s="166">
        <v>5</v>
      </c>
      <c r="L1256" s="166">
        <v>5</v>
      </c>
      <c r="M1256" s="166">
        <v>5</v>
      </c>
      <c r="N1256" s="166">
        <v>1</v>
      </c>
      <c r="O1256" s="242">
        <v>31183026</v>
      </c>
      <c r="P1256" s="167"/>
      <c r="Q1256" s="167"/>
      <c r="R125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56" s="167">
        <v>1</v>
      </c>
      <c r="T1256" s="167" t="b">
        <f>Data[[#This Row],[Day Rank]]=Data[[#This Row],[W Rank]]</f>
        <v>0</v>
      </c>
      <c r="U1256" s="324"/>
    </row>
    <row r="1257" spans="1:21" ht="15" customHeight="1">
      <c r="A1257" s="325">
        <v>45910</v>
      </c>
      <c r="B1257" s="325"/>
      <c r="C1257" s="328" t="str" cm="1">
        <f t="array" ref="C1257">_xlfn.LET(_xlpm.matches, _xlfn._xlws.FILTER(Data[Poster], (Data[Date]=A1257)*(Data[Winner]=TRUE)), IF(ROWS(_xlpm.matches)&gt;1, "TIE", _xlpm.matches))</f>
        <v>danram</v>
      </c>
      <c r="D1257" s="147">
        <f>A1257</f>
        <v>45910</v>
      </c>
      <c r="E1257" s="181" t="str">
        <f>$J$1</f>
        <v>alappatjoe</v>
      </c>
      <c r="F1257" s="9">
        <f>IFERROR(AVERAGE(Data[[#This Row],[alappatjoe]:[currydestroyer27]]), "TBD")</f>
        <v>2.8</v>
      </c>
      <c r="G1257" s="178">
        <f>IFERROR(_xlfn.STDEV.P(Data[[#This Row],[alappatjoe]:[currydestroyer27]]), "TBD")</f>
        <v>1.4696938456699069</v>
      </c>
      <c r="H1257" s="160" t="s">
        <v>2551</v>
      </c>
      <c r="I1257" s="186" t="s">
        <v>2552</v>
      </c>
      <c r="J1257" s="3">
        <v>1</v>
      </c>
      <c r="K1257" s="3">
        <v>4</v>
      </c>
      <c r="L1257" s="3">
        <v>2</v>
      </c>
      <c r="M1257" s="3">
        <v>2</v>
      </c>
      <c r="N1257" s="3">
        <v>5</v>
      </c>
      <c r="O1257" s="238">
        <v>3198502</v>
      </c>
      <c r="P1257" s="93"/>
      <c r="Q1257" s="93"/>
      <c r="R12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57" s="93">
        <v>1</v>
      </c>
      <c r="T1257" s="93" t="b">
        <f>Data[[#This Row],[Day Rank]]=Data[[#This Row],[W Rank]]</f>
        <v>0</v>
      </c>
      <c r="U1257" s="331"/>
    </row>
    <row r="1258" spans="1:21" ht="15" customHeight="1">
      <c r="A1258" s="326"/>
      <c r="B1258" s="326"/>
      <c r="C1258" s="329"/>
      <c r="D1258" s="81">
        <f>D1257</f>
        <v>45910</v>
      </c>
      <c r="E1258" s="140" t="str">
        <f>$K$1</f>
        <v>danram</v>
      </c>
      <c r="F1258" s="8">
        <f>IFERROR(AVERAGE(Data[[#This Row],[alappatjoe]:[currydestroyer27]]), "TBD")</f>
        <v>2.2000000000000002</v>
      </c>
      <c r="G1258" s="177">
        <f>IFERROR(_xlfn.STDEV.P(Data[[#This Row],[alappatjoe]:[currydestroyer27]]), "TBD")</f>
        <v>0.74833147735478833</v>
      </c>
      <c r="H1258" s="135" t="s">
        <v>2553</v>
      </c>
      <c r="I1258" s="229" t="s">
        <v>664</v>
      </c>
      <c r="J1258" s="3">
        <v>2</v>
      </c>
      <c r="K1258" s="3">
        <v>1</v>
      </c>
      <c r="L1258" s="3">
        <v>3</v>
      </c>
      <c r="M1258" s="3">
        <v>3</v>
      </c>
      <c r="N1258" s="3">
        <v>2</v>
      </c>
      <c r="O1258" s="238"/>
      <c r="P1258" s="93"/>
      <c r="Q1258" s="93"/>
      <c r="R12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58" s="93">
        <v>1</v>
      </c>
      <c r="T1258" s="93" t="b">
        <f>Data[[#This Row],[Day Rank]]=Data[[#This Row],[W Rank]]</f>
        <v>1</v>
      </c>
      <c r="U1258" s="323"/>
    </row>
    <row r="1259" spans="1:21" ht="15" customHeight="1">
      <c r="A1259" s="326"/>
      <c r="B1259" s="326"/>
      <c r="C1259" s="329"/>
      <c r="D1259" s="81">
        <f>D1257</f>
        <v>45910</v>
      </c>
      <c r="E1259" s="140" t="str">
        <f>$L$1</f>
        <v>loganworsdell</v>
      </c>
      <c r="F1259" s="8">
        <f>IFERROR(AVERAGE(Data[[#This Row],[alappatjoe]:[currydestroyer27]]), "TBD")</f>
        <v>3.8</v>
      </c>
      <c r="G1259" s="177">
        <f>IFERROR(_xlfn.STDEV.P(Data[[#This Row],[alappatjoe]:[currydestroyer27]]), "TBD")</f>
        <v>0.74833147735478833</v>
      </c>
      <c r="H1259" s="135" t="s">
        <v>2554</v>
      </c>
      <c r="I1259" s="229" t="s">
        <v>2555</v>
      </c>
      <c r="J1259" s="3">
        <v>3</v>
      </c>
      <c r="K1259" s="3">
        <v>5</v>
      </c>
      <c r="L1259" s="3">
        <v>4</v>
      </c>
      <c r="M1259" s="3">
        <v>4</v>
      </c>
      <c r="N1259" s="3">
        <v>3</v>
      </c>
      <c r="O1259" s="238">
        <v>3842210</v>
      </c>
      <c r="P1259" s="93"/>
      <c r="Q1259" s="93"/>
      <c r="R12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59" s="93">
        <v>1</v>
      </c>
      <c r="T1259" s="93" t="b">
        <f>Data[[#This Row],[Day Rank]]=Data[[#This Row],[W Rank]]</f>
        <v>0</v>
      </c>
      <c r="U1259" s="323"/>
    </row>
    <row r="1260" spans="1:21" ht="15" customHeight="1">
      <c r="A1260" s="326"/>
      <c r="B1260" s="326"/>
      <c r="C1260" s="329"/>
      <c r="D1260" s="81">
        <f>D1257</f>
        <v>45910</v>
      </c>
      <c r="E1260" s="140" t="str">
        <f>$M$1</f>
        <v>samuelbattista</v>
      </c>
      <c r="F1260" s="8">
        <f>IFERROR(AVERAGE(Data[[#This Row],[alappatjoe]:[currydestroyer27]]), "TBD")</f>
        <v>2.8</v>
      </c>
      <c r="G1260" s="177">
        <f>IFERROR(_xlfn.STDEV.P(Data[[#This Row],[alappatjoe]:[currydestroyer27]]), "TBD")</f>
        <v>1.6</v>
      </c>
      <c r="H1260" s="135" t="s">
        <v>2556</v>
      </c>
      <c r="I1260" s="229" t="s">
        <v>2557</v>
      </c>
      <c r="J1260" s="3">
        <v>5</v>
      </c>
      <c r="K1260" s="3">
        <v>3</v>
      </c>
      <c r="L1260" s="3">
        <v>1</v>
      </c>
      <c r="M1260" s="3">
        <v>1</v>
      </c>
      <c r="N1260" s="3">
        <v>4</v>
      </c>
      <c r="O1260" s="238"/>
      <c r="P1260" s="93"/>
      <c r="Q1260" s="93"/>
      <c r="R12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60" s="93">
        <v>1</v>
      </c>
      <c r="T1260" s="93" t="b">
        <f>Data[[#This Row],[Day Rank]]=Data[[#This Row],[W Rank]]</f>
        <v>0</v>
      </c>
      <c r="U1260" s="323"/>
    </row>
    <row r="1261" spans="1:21" ht="15" customHeight="1" thickBot="1">
      <c r="A1261" s="327"/>
      <c r="B1261" s="327"/>
      <c r="C1261" s="330"/>
      <c r="D1261" s="164">
        <f>D1257</f>
        <v>45910</v>
      </c>
      <c r="E1261" s="215" t="str">
        <f>$N$1</f>
        <v>currydestroyer27</v>
      </c>
      <c r="F1261" s="165">
        <f>IFERROR(AVERAGE(Data[[#This Row],[alappatjoe]:[currydestroyer27]]), "TBD")</f>
        <v>3.4</v>
      </c>
      <c r="G1261" s="256">
        <f>IFERROR(_xlfn.STDEV.P(Data[[#This Row],[alappatjoe]:[currydestroyer27]]), "TBD")</f>
        <v>1.6248076809271921</v>
      </c>
      <c r="H1261" s="227" t="s">
        <v>2558</v>
      </c>
      <c r="I1261" s="257" t="s">
        <v>1057</v>
      </c>
      <c r="J1261" s="166">
        <v>4</v>
      </c>
      <c r="K1261" s="166">
        <v>2</v>
      </c>
      <c r="L1261" s="166">
        <v>5</v>
      </c>
      <c r="M1261" s="166">
        <v>5</v>
      </c>
      <c r="N1261" s="166">
        <v>1</v>
      </c>
      <c r="O1261" s="242">
        <v>234105448</v>
      </c>
      <c r="P1261" s="167"/>
      <c r="Q1261" s="167"/>
      <c r="R126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61" s="167">
        <v>1</v>
      </c>
      <c r="T1261" s="167" t="b">
        <f>Data[[#This Row],[Day Rank]]=Data[[#This Row],[W Rank]]</f>
        <v>0</v>
      </c>
      <c r="U1261" s="324"/>
    </row>
    <row r="1262" spans="1:21" ht="15" customHeight="1">
      <c r="A1262" s="325">
        <v>45911</v>
      </c>
      <c r="B1262" s="325"/>
      <c r="C1262" s="338" t="str" cm="1">
        <f t="array" ref="C1262">_xlfn.LET(_xlpm.matches, _xlfn._xlws.FILTER(Data[Poster], (Data[Date]=A1262)*(Data[Winner]=TRUE)), IF(ROWS(_xlpm.matches)&gt;1, "TIE", _xlpm.matches))</f>
        <v>samuelbattista</v>
      </c>
      <c r="D1262" s="147">
        <f>A1262</f>
        <v>45911</v>
      </c>
      <c r="E1262" s="181" t="str">
        <f>$J$1</f>
        <v>alappatjoe</v>
      </c>
      <c r="F1262" s="9">
        <f>IFERROR(AVERAGE(Data[[#This Row],[alappatjoe]:[currydestroyer27]]), "TBD")</f>
        <v>3</v>
      </c>
      <c r="G1262" s="178">
        <f>IFERROR(_xlfn.STDEV.P(Data[[#This Row],[alappatjoe]:[currydestroyer27]]), "TBD")</f>
        <v>1.4142135623730951</v>
      </c>
      <c r="H1262" s="160" t="s">
        <v>2098</v>
      </c>
      <c r="I1262" s="186" t="s">
        <v>2559</v>
      </c>
      <c r="J1262" s="3">
        <v>1</v>
      </c>
      <c r="K1262" s="3">
        <v>5</v>
      </c>
      <c r="L1262" s="3">
        <v>4</v>
      </c>
      <c r="M1262" s="3">
        <v>2</v>
      </c>
      <c r="N1262" s="3">
        <v>3</v>
      </c>
      <c r="O1262" s="238">
        <v>157491358</v>
      </c>
      <c r="P1262" s="93"/>
      <c r="Q1262" s="93"/>
      <c r="R12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62" s="93">
        <v>1</v>
      </c>
      <c r="T1262" s="93" t="b">
        <f>Data[[#This Row],[Day Rank]]=Data[[#This Row],[W Rank]]</f>
        <v>0</v>
      </c>
      <c r="U1262" s="331" t="s">
        <v>2560</v>
      </c>
    </row>
    <row r="1263" spans="1:21" ht="15" customHeight="1">
      <c r="A1263" s="326"/>
      <c r="B1263" s="326"/>
      <c r="C1263" s="339"/>
      <c r="D1263" s="81">
        <f>D1262</f>
        <v>45911</v>
      </c>
      <c r="E1263" s="140" t="str">
        <f>$K$1</f>
        <v>danram</v>
      </c>
      <c r="F1263" s="8">
        <f>IFERROR(AVERAGE(Data[[#This Row],[alappatjoe]:[currydestroyer27]]), "TBD")</f>
        <v>3.8</v>
      </c>
      <c r="G1263" s="177">
        <f>IFERROR(_xlfn.STDEV.P(Data[[#This Row],[alappatjoe]:[currydestroyer27]]), "TBD")</f>
        <v>1.1661903789690602</v>
      </c>
      <c r="H1263" s="135" t="s">
        <v>2561</v>
      </c>
      <c r="I1263" s="229" t="s">
        <v>2562</v>
      </c>
      <c r="J1263" s="3">
        <v>4</v>
      </c>
      <c r="K1263" s="3">
        <v>2</v>
      </c>
      <c r="L1263" s="3">
        <v>3</v>
      </c>
      <c r="M1263" s="3">
        <v>5</v>
      </c>
      <c r="N1263" s="3">
        <v>5</v>
      </c>
      <c r="O1263" s="238"/>
      <c r="P1263" s="93"/>
      <c r="Q1263" s="93"/>
      <c r="R12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63" s="93">
        <v>1</v>
      </c>
      <c r="T1263" s="93" t="b">
        <f>Data[[#This Row],[Day Rank]]=Data[[#This Row],[W Rank]]</f>
        <v>0</v>
      </c>
      <c r="U1263" s="323"/>
    </row>
    <row r="1264" spans="1:21" ht="15" customHeight="1">
      <c r="A1264" s="326"/>
      <c r="B1264" s="326"/>
      <c r="C1264" s="339"/>
      <c r="D1264" s="81">
        <f>D1262</f>
        <v>45911</v>
      </c>
      <c r="E1264" s="140" t="str">
        <f>$L$1</f>
        <v>loganworsdell</v>
      </c>
      <c r="F1264" s="8">
        <f>IFERROR(AVERAGE(Data[[#This Row],[alappatjoe]:[currydestroyer27]]), "TBD")</f>
        <v>3.2</v>
      </c>
      <c r="G1264" s="177">
        <f>IFERROR(_xlfn.STDEV.P(Data[[#This Row],[alappatjoe]:[currydestroyer27]]), "TBD")</f>
        <v>0.74833147735478833</v>
      </c>
      <c r="H1264" s="135" t="s">
        <v>2563</v>
      </c>
      <c r="I1264" s="229" t="s">
        <v>2564</v>
      </c>
      <c r="J1264" s="3">
        <v>3</v>
      </c>
      <c r="K1264" s="3">
        <v>3</v>
      </c>
      <c r="L1264" s="3">
        <v>2</v>
      </c>
      <c r="M1264" s="3">
        <v>4</v>
      </c>
      <c r="N1264" s="3">
        <v>4</v>
      </c>
      <c r="O1264" s="238">
        <v>87151765</v>
      </c>
      <c r="P1264" s="93"/>
      <c r="Q1264" s="93"/>
      <c r="R12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64" s="93">
        <v>1</v>
      </c>
      <c r="T1264" s="93" t="b">
        <f>Data[[#This Row],[Day Rank]]=Data[[#This Row],[W Rank]]</f>
        <v>0</v>
      </c>
      <c r="U1264" s="323"/>
    </row>
    <row r="1265" spans="1:21" ht="15" customHeight="1">
      <c r="A1265" s="326"/>
      <c r="B1265" s="326"/>
      <c r="C1265" s="339"/>
      <c r="D1265" s="81">
        <f>D1262</f>
        <v>45911</v>
      </c>
      <c r="E1265" s="140" t="str">
        <f>$M$1</f>
        <v>samuelbattista</v>
      </c>
      <c r="F1265" s="8">
        <f>IFERROR(AVERAGE(Data[[#This Row],[alappatjoe]:[currydestroyer27]]), "TBD")</f>
        <v>1.8</v>
      </c>
      <c r="G1265" s="177">
        <f>IFERROR(_xlfn.STDEV.P(Data[[#This Row],[alappatjoe]:[currydestroyer27]]), "TBD")</f>
        <v>1.6</v>
      </c>
      <c r="H1265" s="135" t="s">
        <v>2565</v>
      </c>
      <c r="I1265" s="229" t="s">
        <v>2566</v>
      </c>
      <c r="J1265" s="3">
        <v>5</v>
      </c>
      <c r="K1265" s="3">
        <v>1</v>
      </c>
      <c r="L1265" s="3">
        <v>1</v>
      </c>
      <c r="M1265" s="3">
        <v>1</v>
      </c>
      <c r="N1265" s="3">
        <v>1</v>
      </c>
      <c r="O1265" s="238"/>
      <c r="P1265" s="93"/>
      <c r="Q1265" s="93"/>
      <c r="R12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65" s="93">
        <v>1</v>
      </c>
      <c r="T1265" s="93" t="b">
        <f>Data[[#This Row],[Day Rank]]=Data[[#This Row],[W Rank]]</f>
        <v>1</v>
      </c>
      <c r="U1265" s="323"/>
    </row>
    <row r="1266" spans="1:21" ht="15" customHeight="1" thickBot="1">
      <c r="A1266" s="327"/>
      <c r="B1266" s="327"/>
      <c r="C1266" s="340"/>
      <c r="D1266" s="164">
        <f>D1262</f>
        <v>45911</v>
      </c>
      <c r="E1266" s="215" t="str">
        <f>$N$1</f>
        <v>currydestroyer27</v>
      </c>
      <c r="F1266" s="165">
        <f>IFERROR(AVERAGE(Data[[#This Row],[alappatjoe]:[currydestroyer27]]), "TBD")</f>
        <v>3.2</v>
      </c>
      <c r="G1266" s="256">
        <f>IFERROR(_xlfn.STDEV.P(Data[[#This Row],[alappatjoe]:[currydestroyer27]]), "TBD")</f>
        <v>1.1661903789690602</v>
      </c>
      <c r="H1266" s="227" t="s">
        <v>2567</v>
      </c>
      <c r="I1266" s="257" t="s">
        <v>2564</v>
      </c>
      <c r="J1266" s="166">
        <v>2</v>
      </c>
      <c r="K1266" s="166">
        <v>4</v>
      </c>
      <c r="L1266" s="166">
        <v>5</v>
      </c>
      <c r="M1266" s="166">
        <v>3</v>
      </c>
      <c r="N1266" s="166">
        <v>2</v>
      </c>
      <c r="O1266" s="242">
        <v>16555868</v>
      </c>
      <c r="P1266" s="167"/>
      <c r="Q1266" s="167"/>
      <c r="R126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66" s="167">
        <v>1</v>
      </c>
      <c r="T1266" s="167" t="b">
        <f>Data[[#This Row],[Day Rank]]=Data[[#This Row],[W Rank]]</f>
        <v>0</v>
      </c>
      <c r="U1266" s="324"/>
    </row>
    <row r="1267" spans="1:21" ht="15" customHeight="1">
      <c r="A1267" s="325">
        <v>45915</v>
      </c>
      <c r="B1267" s="325"/>
      <c r="C1267" s="328" t="str" cm="1">
        <f t="array" ref="C1267">_xlfn.LET(_xlpm.matches, _xlfn._xlws.FILTER(Data[Poster], (Data[Date]=A1267)*(Data[Winner]=TRUE)), IF(ROWS(_xlpm.matches)&gt;1, "TIE", _xlpm.matches))</f>
        <v>currydestroyer27</v>
      </c>
      <c r="D1267" s="147">
        <f>A1267</f>
        <v>45915</v>
      </c>
      <c r="E1267" s="181" t="str">
        <f>$J$1</f>
        <v>alappatjoe</v>
      </c>
      <c r="F1267" s="9">
        <f>IFERROR(AVERAGE(Data[[#This Row],[alappatjoe]:[currydestroyer27]]), "TBD")</f>
        <v>3.6</v>
      </c>
      <c r="G1267" s="178">
        <f>IFERROR(_xlfn.STDEV.P(Data[[#This Row],[alappatjoe]:[currydestroyer27]]), "TBD")</f>
        <v>1.3564659966250536</v>
      </c>
      <c r="H1267" s="160" t="s">
        <v>2568</v>
      </c>
      <c r="I1267" s="186" t="s">
        <v>2569</v>
      </c>
      <c r="J1267" s="3">
        <v>2</v>
      </c>
      <c r="K1267" s="3">
        <v>5</v>
      </c>
      <c r="L1267" s="3">
        <v>5</v>
      </c>
      <c r="M1267" s="3">
        <v>4</v>
      </c>
      <c r="N1267" s="3">
        <v>2</v>
      </c>
      <c r="O1267" s="238">
        <v>18418386</v>
      </c>
      <c r="P1267" s="93"/>
      <c r="Q1267" s="93"/>
      <c r="R12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67" s="93">
        <v>1</v>
      </c>
      <c r="T1267" s="93" t="b">
        <f>Data[[#This Row],[Day Rank]]=Data[[#This Row],[W Rank]]</f>
        <v>0</v>
      </c>
      <c r="U1267" s="331"/>
    </row>
    <row r="1268" spans="1:21" ht="15" customHeight="1">
      <c r="A1268" s="326"/>
      <c r="B1268" s="326"/>
      <c r="C1268" s="329"/>
      <c r="D1268" s="81">
        <f>D1267</f>
        <v>45915</v>
      </c>
      <c r="E1268" s="140" t="str">
        <f>$K$1</f>
        <v>danram</v>
      </c>
      <c r="F1268" s="8">
        <f>IFERROR(AVERAGE(Data[[#This Row],[alappatjoe]:[currydestroyer27]]), "TBD")</f>
        <v>2.6</v>
      </c>
      <c r="G1268" s="177">
        <f>IFERROR(_xlfn.STDEV.P(Data[[#This Row],[alappatjoe]:[currydestroyer27]]), "TBD")</f>
        <v>1.4966629547095767</v>
      </c>
      <c r="H1268" s="135" t="s">
        <v>2570</v>
      </c>
      <c r="I1268" s="229" t="s">
        <v>2571</v>
      </c>
      <c r="J1268" s="3">
        <v>1</v>
      </c>
      <c r="K1268" s="3">
        <v>1</v>
      </c>
      <c r="L1268" s="3">
        <v>3</v>
      </c>
      <c r="M1268" s="3">
        <v>5</v>
      </c>
      <c r="N1268" s="3">
        <v>3</v>
      </c>
      <c r="O1268" s="238"/>
      <c r="P1268" s="93"/>
      <c r="Q1268" s="93"/>
      <c r="R12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68" s="93">
        <v>1</v>
      </c>
      <c r="T1268" s="93" t="b">
        <f>Data[[#This Row],[Day Rank]]=Data[[#This Row],[W Rank]]</f>
        <v>0</v>
      </c>
      <c r="U1268" s="323"/>
    </row>
    <row r="1269" spans="1:21" ht="15" customHeight="1">
      <c r="A1269" s="326"/>
      <c r="B1269" s="326"/>
      <c r="C1269" s="329"/>
      <c r="D1269" s="81">
        <f>D1267</f>
        <v>45915</v>
      </c>
      <c r="E1269" s="140" t="str">
        <f>$L$1</f>
        <v>loganworsdell</v>
      </c>
      <c r="F1269" s="8">
        <f>IFERROR(AVERAGE(Data[[#This Row],[alappatjoe]:[currydestroyer27]]), "TBD")</f>
        <v>2.8</v>
      </c>
      <c r="G1269" s="177">
        <f>IFERROR(_xlfn.STDEV.P(Data[[#This Row],[alappatjoe]:[currydestroyer27]]), "TBD")</f>
        <v>1.1661903789690602</v>
      </c>
      <c r="H1269" s="135" t="s">
        <v>2572</v>
      </c>
      <c r="I1269" s="229" t="s">
        <v>2573</v>
      </c>
      <c r="J1269" s="3">
        <v>4</v>
      </c>
      <c r="K1269" s="3">
        <v>3</v>
      </c>
      <c r="L1269" s="3">
        <v>1</v>
      </c>
      <c r="M1269" s="3">
        <v>2</v>
      </c>
      <c r="N1269" s="3">
        <v>4</v>
      </c>
      <c r="O1269" s="238">
        <v>1283440</v>
      </c>
      <c r="P1269" s="93"/>
      <c r="Q1269" s="93"/>
      <c r="R12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69" s="93">
        <v>1</v>
      </c>
      <c r="T1269" s="93" t="b">
        <f>Data[[#This Row],[Day Rank]]=Data[[#This Row],[W Rank]]</f>
        <v>0</v>
      </c>
      <c r="U1269" s="323"/>
    </row>
    <row r="1270" spans="1:21" ht="15" customHeight="1">
      <c r="A1270" s="326"/>
      <c r="B1270" s="326"/>
      <c r="C1270" s="329"/>
      <c r="D1270" s="81">
        <f>D1267</f>
        <v>45915</v>
      </c>
      <c r="E1270" s="140" t="str">
        <f>$M$1</f>
        <v>samuelbattista</v>
      </c>
      <c r="F1270" s="8">
        <f>IFERROR(AVERAGE(Data[[#This Row],[alappatjoe]:[currydestroyer27]]), "TBD")</f>
        <v>3.4</v>
      </c>
      <c r="G1270" s="177">
        <f>IFERROR(_xlfn.STDEV.P(Data[[#This Row],[alappatjoe]:[currydestroyer27]]), "TBD")</f>
        <v>1.6248076809271921</v>
      </c>
      <c r="H1270" s="264" t="s">
        <v>2574</v>
      </c>
      <c r="I1270" s="229" t="s">
        <v>2300</v>
      </c>
      <c r="J1270" s="3">
        <v>5</v>
      </c>
      <c r="K1270" s="3">
        <v>2</v>
      </c>
      <c r="L1270" s="3">
        <v>4</v>
      </c>
      <c r="M1270" s="3">
        <v>1</v>
      </c>
      <c r="N1270" s="3">
        <v>5</v>
      </c>
      <c r="O1270" s="238"/>
      <c r="P1270" s="93"/>
      <c r="Q1270" s="93"/>
      <c r="R12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70" s="93">
        <v>1</v>
      </c>
      <c r="T1270" s="93" t="b">
        <f>Data[[#This Row],[Day Rank]]=Data[[#This Row],[W Rank]]</f>
        <v>0</v>
      </c>
      <c r="U1270" s="323"/>
    </row>
    <row r="1271" spans="1:21" ht="15" customHeight="1" thickBot="1">
      <c r="A1271" s="327"/>
      <c r="B1271" s="327"/>
      <c r="C1271" s="330"/>
      <c r="D1271" s="164">
        <f>D1267</f>
        <v>45915</v>
      </c>
      <c r="E1271" s="215" t="str">
        <f>$N$1</f>
        <v>currydestroyer27</v>
      </c>
      <c r="F1271" s="165">
        <f>IFERROR(AVERAGE(Data[[#This Row],[alappatjoe]:[currydestroyer27]]), "TBD")</f>
        <v>2.6</v>
      </c>
      <c r="G1271" s="256">
        <f>IFERROR(_xlfn.STDEV.P(Data[[#This Row],[alappatjoe]:[currydestroyer27]]), "TBD")</f>
        <v>1.019803902718557</v>
      </c>
      <c r="H1271" s="277" t="s">
        <v>2575</v>
      </c>
      <c r="I1271" s="257" t="s">
        <v>1055</v>
      </c>
      <c r="J1271" s="166">
        <v>3</v>
      </c>
      <c r="K1271" s="166">
        <v>4</v>
      </c>
      <c r="L1271" s="166">
        <v>2</v>
      </c>
      <c r="M1271" s="166">
        <v>3</v>
      </c>
      <c r="N1271" s="166">
        <v>1</v>
      </c>
      <c r="O1271" s="242">
        <v>17561216</v>
      </c>
      <c r="P1271" s="167" t="s">
        <v>76</v>
      </c>
      <c r="Q1271" s="167" t="s">
        <v>99</v>
      </c>
      <c r="R127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71" s="167">
        <v>1</v>
      </c>
      <c r="T1271" s="167" t="b">
        <f>Data[[#This Row],[Day Rank]]=Data[[#This Row],[W Rank]]</f>
        <v>1</v>
      </c>
      <c r="U1271" s="324"/>
    </row>
    <row r="1272" spans="1:21" ht="15" customHeight="1">
      <c r="A1272" s="325">
        <v>45916</v>
      </c>
      <c r="B1272" s="325"/>
      <c r="C1272" s="338" t="str" cm="1">
        <f t="array" ref="C1272">_xlfn.LET(_xlpm.matches, _xlfn._xlws.FILTER(Data[Poster], (Data[Date]=A1272)*(Data[Winner]=TRUE)), IF(ROWS(_xlpm.matches)&gt;1, "TIE", _xlpm.matches))</f>
        <v>currydestroyer27</v>
      </c>
      <c r="D1272" s="147">
        <f>A1272</f>
        <v>45916</v>
      </c>
      <c r="E1272" s="181" t="str">
        <f>$J$1</f>
        <v>alappatjoe</v>
      </c>
      <c r="F1272" s="9">
        <f>IFERROR(AVERAGE(Data[[#This Row],[alappatjoe]:[currydestroyer27]]), "TBD")</f>
        <v>2.8</v>
      </c>
      <c r="G1272" s="178">
        <f>IFERROR(_xlfn.STDEV.P(Data[[#This Row],[alappatjoe]:[currydestroyer27]]), "TBD")</f>
        <v>1.1661903789690602</v>
      </c>
      <c r="H1272" s="160" t="s">
        <v>2576</v>
      </c>
      <c r="I1272" s="186" t="s">
        <v>2577</v>
      </c>
      <c r="J1272" s="3">
        <v>1</v>
      </c>
      <c r="K1272" s="3">
        <v>2</v>
      </c>
      <c r="L1272" s="3">
        <v>4</v>
      </c>
      <c r="M1272" s="3">
        <v>4</v>
      </c>
      <c r="N1272" s="3">
        <v>3</v>
      </c>
      <c r="O1272" s="238">
        <v>8694782</v>
      </c>
      <c r="P1272" s="93"/>
      <c r="Q1272" s="93"/>
      <c r="R12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72" s="93">
        <v>1</v>
      </c>
      <c r="T1272" s="93" t="b">
        <f>Data[[#This Row],[Day Rank]]=Data[[#This Row],[W Rank]]</f>
        <v>0</v>
      </c>
      <c r="U1272" s="331"/>
    </row>
    <row r="1273" spans="1:21" ht="15" customHeight="1">
      <c r="A1273" s="326"/>
      <c r="B1273" s="326"/>
      <c r="C1273" s="339"/>
      <c r="D1273" s="81">
        <f>D1272</f>
        <v>45916</v>
      </c>
      <c r="E1273" s="140" t="str">
        <f>$K$1</f>
        <v>danram</v>
      </c>
      <c r="F1273" s="8">
        <f>IFERROR(AVERAGE(Data[[#This Row],[alappatjoe]:[currydestroyer27]]), "TBD")</f>
        <v>2.8</v>
      </c>
      <c r="G1273" s="177">
        <f>IFERROR(_xlfn.STDEV.P(Data[[#This Row],[alappatjoe]:[currydestroyer27]]), "TBD")</f>
        <v>1.1661903789690602</v>
      </c>
      <c r="H1273" s="135" t="s">
        <v>2578</v>
      </c>
      <c r="I1273" s="229" t="s">
        <v>373</v>
      </c>
      <c r="J1273" s="3">
        <v>4</v>
      </c>
      <c r="K1273" s="3">
        <v>1</v>
      </c>
      <c r="L1273" s="3">
        <v>2</v>
      </c>
      <c r="M1273" s="3">
        <v>3</v>
      </c>
      <c r="N1273" s="3">
        <v>4</v>
      </c>
      <c r="O1273" s="238"/>
      <c r="P1273" s="93"/>
      <c r="Q1273" s="93"/>
      <c r="R12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73" s="93">
        <v>1</v>
      </c>
      <c r="T1273" s="93" t="b">
        <f>Data[[#This Row],[Day Rank]]=Data[[#This Row],[W Rank]]</f>
        <v>0</v>
      </c>
      <c r="U1273" s="323"/>
    </row>
    <row r="1274" spans="1:21" ht="15" customHeight="1">
      <c r="A1274" s="326"/>
      <c r="B1274" s="326"/>
      <c r="C1274" s="339"/>
      <c r="D1274" s="81">
        <f>D1272</f>
        <v>45916</v>
      </c>
      <c r="E1274" s="140" t="str">
        <f>$L$1</f>
        <v>loganworsdell</v>
      </c>
      <c r="F1274" s="8">
        <f>IFERROR(AVERAGE(Data[[#This Row],[alappatjoe]:[currydestroyer27]]), "TBD")</f>
        <v>3.8</v>
      </c>
      <c r="G1274" s="177">
        <f>IFERROR(_xlfn.STDEV.P(Data[[#This Row],[alappatjoe]:[currydestroyer27]]), "TBD")</f>
        <v>1.6</v>
      </c>
      <c r="H1274" s="135" t="s">
        <v>2579</v>
      </c>
      <c r="I1274" s="229" t="s">
        <v>618</v>
      </c>
      <c r="J1274" s="3">
        <v>3</v>
      </c>
      <c r="K1274" s="3">
        <v>5</v>
      </c>
      <c r="L1274" s="3">
        <v>1</v>
      </c>
      <c r="M1274" s="3">
        <v>5</v>
      </c>
      <c r="N1274" s="3">
        <v>5</v>
      </c>
      <c r="O1274" s="238">
        <v>289988563</v>
      </c>
      <c r="P1274" s="93"/>
      <c r="Q1274" s="93"/>
      <c r="R12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74" s="93">
        <v>1</v>
      </c>
      <c r="T1274" s="93" t="b">
        <f>Data[[#This Row],[Day Rank]]=Data[[#This Row],[W Rank]]</f>
        <v>0</v>
      </c>
      <c r="U1274" s="323"/>
    </row>
    <row r="1275" spans="1:21" ht="15" customHeight="1">
      <c r="A1275" s="326"/>
      <c r="B1275" s="326"/>
      <c r="C1275" s="339"/>
      <c r="D1275" s="81">
        <f>D1272</f>
        <v>45916</v>
      </c>
      <c r="E1275" s="140" t="str">
        <f>$M$1</f>
        <v>samuelbattista</v>
      </c>
      <c r="F1275" s="8">
        <f>IFERROR(AVERAGE(Data[[#This Row],[alappatjoe]:[currydestroyer27]]), "TBD")</f>
        <v>3.2</v>
      </c>
      <c r="G1275" s="177">
        <f>IFERROR(_xlfn.STDEV.P(Data[[#This Row],[alappatjoe]:[currydestroyer27]]), "TBD")</f>
        <v>1.6</v>
      </c>
      <c r="H1275" s="135" t="s">
        <v>2580</v>
      </c>
      <c r="I1275" s="229" t="s">
        <v>2581</v>
      </c>
      <c r="J1275" s="3">
        <v>5</v>
      </c>
      <c r="K1275" s="3">
        <v>3</v>
      </c>
      <c r="L1275" s="3">
        <v>5</v>
      </c>
      <c r="M1275" s="3">
        <v>1</v>
      </c>
      <c r="N1275" s="3">
        <v>2</v>
      </c>
      <c r="O1275" s="238"/>
      <c r="P1275" s="93"/>
      <c r="Q1275" s="93"/>
      <c r="R12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75" s="93">
        <v>1</v>
      </c>
      <c r="T1275" s="93" t="b">
        <f>Data[[#This Row],[Day Rank]]=Data[[#This Row],[W Rank]]</f>
        <v>0</v>
      </c>
      <c r="U1275" s="323"/>
    </row>
    <row r="1276" spans="1:21" ht="15" customHeight="1" thickBot="1">
      <c r="A1276" s="327"/>
      <c r="B1276" s="327"/>
      <c r="C1276" s="340"/>
      <c r="D1276" s="164">
        <f>D1272</f>
        <v>45916</v>
      </c>
      <c r="E1276" s="215" t="str">
        <f>$N$1</f>
        <v>currydestroyer27</v>
      </c>
      <c r="F1276" s="165">
        <f>IFERROR(AVERAGE(Data[[#This Row],[alappatjoe]:[currydestroyer27]]), "TBD")</f>
        <v>2.4</v>
      </c>
      <c r="G1276" s="256">
        <f>IFERROR(_xlfn.STDEV.P(Data[[#This Row],[alappatjoe]:[currydestroyer27]]), "TBD")</f>
        <v>1.019803902718557</v>
      </c>
      <c r="H1276" s="227" t="s">
        <v>2582</v>
      </c>
      <c r="I1276" s="257" t="s">
        <v>2583</v>
      </c>
      <c r="J1276" s="166">
        <v>2</v>
      </c>
      <c r="K1276" s="166">
        <v>4</v>
      </c>
      <c r="L1276" s="166">
        <v>3</v>
      </c>
      <c r="M1276" s="166">
        <v>2</v>
      </c>
      <c r="N1276" s="166">
        <v>1</v>
      </c>
      <c r="O1276" s="242">
        <v>584007082</v>
      </c>
      <c r="P1276" s="167"/>
      <c r="Q1276" s="167"/>
      <c r="R127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76" s="167">
        <v>1</v>
      </c>
      <c r="T1276" s="167" t="b">
        <f>Data[[#This Row],[Day Rank]]=Data[[#This Row],[W Rank]]</f>
        <v>1</v>
      </c>
      <c r="U1276" s="324"/>
    </row>
    <row r="1277" spans="1:21" ht="15" customHeight="1">
      <c r="A1277" s="325">
        <v>45917</v>
      </c>
      <c r="B1277" s="325"/>
      <c r="C1277" s="328" t="str" cm="1">
        <f t="array" ref="C1277">_xlfn.LET(_xlpm.matches, _xlfn._xlws.FILTER(Data[Poster], (Data[Date]=A1277)*(Data[Winner]=TRUE)), IF(ROWS(_xlpm.matches)&gt;1, "TIE", _xlpm.matches))</f>
        <v>danram</v>
      </c>
      <c r="D1277" s="147">
        <f>A1277</f>
        <v>45917</v>
      </c>
      <c r="E1277" s="181" t="str">
        <f>$J$1</f>
        <v>alappatjoe</v>
      </c>
      <c r="F1277" s="9">
        <f>IFERROR(AVERAGE(Data[[#This Row],[alappatjoe]:[currydestroyer27]]), "TBD")</f>
        <v>2.6</v>
      </c>
      <c r="G1277" s="178">
        <f>IFERROR(_xlfn.STDEV.P(Data[[#This Row],[alappatjoe]:[currydestroyer27]]), "TBD")</f>
        <v>1.019803902718557</v>
      </c>
      <c r="H1277" s="160" t="s">
        <v>2584</v>
      </c>
      <c r="I1277" s="186" t="s">
        <v>2585</v>
      </c>
      <c r="J1277" s="3">
        <v>1</v>
      </c>
      <c r="K1277" s="3">
        <v>3</v>
      </c>
      <c r="L1277" s="3">
        <v>3</v>
      </c>
      <c r="M1277" s="3">
        <v>4</v>
      </c>
      <c r="N1277" s="3">
        <v>2</v>
      </c>
      <c r="O1277" s="238">
        <v>768689647</v>
      </c>
      <c r="P1277" s="93"/>
      <c r="Q1277" s="93"/>
      <c r="R12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77" s="93">
        <v>1</v>
      </c>
      <c r="T1277" s="93" t="b">
        <f>Data[[#This Row],[Day Rank]]=Data[[#This Row],[W Rank]]</f>
        <v>0</v>
      </c>
      <c r="U1277" s="331"/>
    </row>
    <row r="1278" spans="1:21" ht="15" customHeight="1">
      <c r="A1278" s="326"/>
      <c r="B1278" s="326"/>
      <c r="C1278" s="329"/>
      <c r="D1278" s="81">
        <f>D1277</f>
        <v>45917</v>
      </c>
      <c r="E1278" s="140" t="str">
        <f>$K$1</f>
        <v>danram</v>
      </c>
      <c r="F1278" s="8">
        <f>IFERROR(AVERAGE(Data[[#This Row],[alappatjoe]:[currydestroyer27]]), "TBD")</f>
        <v>2</v>
      </c>
      <c r="G1278" s="177">
        <f>IFERROR(_xlfn.STDEV.P(Data[[#This Row],[alappatjoe]:[currydestroyer27]]), "TBD")</f>
        <v>1.5491933384829668</v>
      </c>
      <c r="H1278" s="135" t="s">
        <v>2586</v>
      </c>
      <c r="I1278" s="229" t="s">
        <v>2587</v>
      </c>
      <c r="J1278" s="3">
        <v>5</v>
      </c>
      <c r="K1278" s="3">
        <v>1</v>
      </c>
      <c r="L1278" s="3">
        <v>1</v>
      </c>
      <c r="M1278" s="3">
        <v>2</v>
      </c>
      <c r="N1278" s="3">
        <v>1</v>
      </c>
      <c r="O1278" s="238"/>
      <c r="P1278" s="93"/>
      <c r="Q1278" s="93"/>
      <c r="R12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78" s="93">
        <v>1</v>
      </c>
      <c r="T1278" s="93" t="b">
        <f>Data[[#This Row],[Day Rank]]=Data[[#This Row],[W Rank]]</f>
        <v>1</v>
      </c>
      <c r="U1278" s="323"/>
    </row>
    <row r="1279" spans="1:21" ht="15" customHeight="1">
      <c r="A1279" s="326"/>
      <c r="B1279" s="326"/>
      <c r="C1279" s="329"/>
      <c r="D1279" s="81">
        <f>D1277</f>
        <v>45917</v>
      </c>
      <c r="E1279" s="140" t="str">
        <f>$L$1</f>
        <v>loganworsdell</v>
      </c>
      <c r="F1279" s="8">
        <f>IFERROR(AVERAGE(Data[[#This Row],[alappatjoe]:[currydestroyer27]]), "TBD")</f>
        <v>3</v>
      </c>
      <c r="G1279" s="177">
        <f>IFERROR(_xlfn.STDEV.P(Data[[#This Row],[alappatjoe]:[currydestroyer27]]), "TBD")</f>
        <v>0.89442719099991586</v>
      </c>
      <c r="H1279" s="135" t="s">
        <v>2588</v>
      </c>
      <c r="I1279" s="229" t="s">
        <v>2589</v>
      </c>
      <c r="J1279" s="3">
        <v>4</v>
      </c>
      <c r="K1279" s="3">
        <v>2</v>
      </c>
      <c r="L1279" s="3">
        <v>2</v>
      </c>
      <c r="M1279" s="3">
        <v>3</v>
      </c>
      <c r="N1279" s="3">
        <v>4</v>
      </c>
      <c r="O1279" s="238">
        <v>78875281</v>
      </c>
      <c r="P1279" s="93"/>
      <c r="Q1279" s="93"/>
      <c r="R12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79" s="93">
        <v>1</v>
      </c>
      <c r="T1279" s="93" t="b">
        <f>Data[[#This Row],[Day Rank]]=Data[[#This Row],[W Rank]]</f>
        <v>0</v>
      </c>
      <c r="U1279" s="323"/>
    </row>
    <row r="1280" spans="1:21" ht="15" customHeight="1">
      <c r="A1280" s="326"/>
      <c r="B1280" s="326"/>
      <c r="C1280" s="329"/>
      <c r="D1280" s="81">
        <f>D1277</f>
        <v>45917</v>
      </c>
      <c r="E1280" s="140" t="str">
        <f>$M$1</f>
        <v>samuelbattista</v>
      </c>
      <c r="F1280" s="8">
        <f>IFERROR(AVERAGE(Data[[#This Row],[alappatjoe]:[currydestroyer27]]), "TBD")</f>
        <v>3.2</v>
      </c>
      <c r="G1280" s="177">
        <f>IFERROR(_xlfn.STDEV.P(Data[[#This Row],[alappatjoe]:[currydestroyer27]]), "TBD")</f>
        <v>1.4696938456699069</v>
      </c>
      <c r="H1280" s="135" t="s">
        <v>2590</v>
      </c>
      <c r="I1280" s="229" t="s">
        <v>2591</v>
      </c>
      <c r="J1280" s="3">
        <v>2</v>
      </c>
      <c r="K1280" s="3">
        <v>4</v>
      </c>
      <c r="L1280" s="3">
        <v>4</v>
      </c>
      <c r="M1280" s="3">
        <v>1</v>
      </c>
      <c r="N1280" s="3">
        <v>5</v>
      </c>
      <c r="O1280" s="238"/>
      <c r="P1280" s="93"/>
      <c r="Q1280" s="93"/>
      <c r="R12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80" s="93">
        <v>1</v>
      </c>
      <c r="T1280" s="93" t="b">
        <f>Data[[#This Row],[Day Rank]]=Data[[#This Row],[W Rank]]</f>
        <v>0</v>
      </c>
      <c r="U1280" s="323"/>
    </row>
    <row r="1281" spans="1:21" ht="15" customHeight="1" thickBot="1">
      <c r="A1281" s="327"/>
      <c r="B1281" s="327"/>
      <c r="C1281" s="330"/>
      <c r="D1281" s="164">
        <f>D1277</f>
        <v>45917</v>
      </c>
      <c r="E1281" s="215" t="str">
        <f>$N$1</f>
        <v>currydestroyer27</v>
      </c>
      <c r="F1281" s="165">
        <f>IFERROR(AVERAGE(Data[[#This Row],[alappatjoe]:[currydestroyer27]]), "TBD")</f>
        <v>4.2</v>
      </c>
      <c r="G1281" s="256">
        <f>IFERROR(_xlfn.STDEV.P(Data[[#This Row],[alappatjoe]:[currydestroyer27]]), "TBD")</f>
        <v>0.9797958971132712</v>
      </c>
      <c r="H1281" s="227" t="s">
        <v>2592</v>
      </c>
      <c r="I1281" s="257" t="s">
        <v>2593</v>
      </c>
      <c r="J1281" s="166">
        <v>3</v>
      </c>
      <c r="K1281" s="166">
        <v>5</v>
      </c>
      <c r="L1281" s="166">
        <v>5</v>
      </c>
      <c r="M1281" s="166">
        <v>5</v>
      </c>
      <c r="N1281" s="166">
        <v>3</v>
      </c>
      <c r="O1281" s="242">
        <v>29052565</v>
      </c>
      <c r="P1281" s="167"/>
      <c r="Q1281" s="167"/>
      <c r="R128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81" s="167">
        <v>1</v>
      </c>
      <c r="T1281" s="167" t="b">
        <f>Data[[#This Row],[Day Rank]]=Data[[#This Row],[W Rank]]</f>
        <v>0</v>
      </c>
      <c r="U1281" s="324"/>
    </row>
    <row r="1282" spans="1:21" ht="15" customHeight="1">
      <c r="A1282" s="325">
        <v>45918</v>
      </c>
      <c r="B1282" s="325"/>
      <c r="C1282" s="338" t="str" cm="1">
        <f t="array" ref="C1282">_xlfn.LET(_xlpm.matches, _xlfn._xlws.FILTER(Data[Poster], (Data[Date]=A1282)*(Data[Winner]=TRUE)), IF(ROWS(_xlpm.matches)&gt;1, "TIE", _xlpm.matches))</f>
        <v>danram</v>
      </c>
      <c r="D1282" s="147">
        <f>A1282</f>
        <v>45918</v>
      </c>
      <c r="E1282" s="181" t="str">
        <f>$J$1</f>
        <v>alappatjoe</v>
      </c>
      <c r="F1282" s="9">
        <f>IFERROR(AVERAGE(Data[[#This Row],[alappatjoe]:[currydestroyer27]]), "TBD")</f>
        <v>2.6</v>
      </c>
      <c r="G1282" s="178">
        <f>IFERROR(_xlfn.STDEV.P(Data[[#This Row],[alappatjoe]:[currydestroyer27]]), "TBD")</f>
        <v>1.3564659966250536</v>
      </c>
      <c r="H1282" s="160" t="s">
        <v>2594</v>
      </c>
      <c r="I1282" s="186" t="s">
        <v>504</v>
      </c>
      <c r="J1282" s="3">
        <v>1</v>
      </c>
      <c r="K1282" s="3">
        <v>2</v>
      </c>
      <c r="L1282" s="3">
        <v>3</v>
      </c>
      <c r="M1282" s="3">
        <v>5</v>
      </c>
      <c r="N1282" s="3">
        <v>2</v>
      </c>
      <c r="O1282" s="238">
        <v>1110598675</v>
      </c>
      <c r="P1282" s="93"/>
      <c r="Q1282" s="93"/>
      <c r="R12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82" s="93">
        <v>2</v>
      </c>
      <c r="T1282" s="93" t="b">
        <f>Data[[#This Row],[Day Rank]]=Data[[#This Row],[W Rank]]</f>
        <v>0</v>
      </c>
      <c r="U1282" s="331" t="s">
        <v>2595</v>
      </c>
    </row>
    <row r="1283" spans="1:21" ht="15" customHeight="1">
      <c r="A1283" s="326"/>
      <c r="B1283" s="326"/>
      <c r="C1283" s="339"/>
      <c r="D1283" s="81">
        <f>D1282</f>
        <v>45918</v>
      </c>
      <c r="E1283" s="140" t="str">
        <f>$K$1</f>
        <v>danram</v>
      </c>
      <c r="F1283" s="8">
        <f>IFERROR(AVERAGE(Data[[#This Row],[alappatjoe]:[currydestroyer27]]), "TBD")</f>
        <v>2.6</v>
      </c>
      <c r="G1283" s="177">
        <f>IFERROR(_xlfn.STDEV.P(Data[[#This Row],[alappatjoe]:[currydestroyer27]]), "TBD")</f>
        <v>1.3564659966250536</v>
      </c>
      <c r="H1283" s="268">
        <v>1985</v>
      </c>
      <c r="I1283" s="229" t="s">
        <v>2596</v>
      </c>
      <c r="J1283" s="3">
        <v>5</v>
      </c>
      <c r="K1283" s="3">
        <v>1</v>
      </c>
      <c r="L1283" s="3">
        <v>2</v>
      </c>
      <c r="M1283" s="3">
        <v>2</v>
      </c>
      <c r="N1283" s="3">
        <v>3</v>
      </c>
      <c r="O1283" s="238"/>
      <c r="P1283" s="93"/>
      <c r="Q1283" s="93"/>
      <c r="R12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83" s="93">
        <v>1</v>
      </c>
      <c r="T1283" s="93" t="b">
        <f>Data[[#This Row],[Day Rank]]=Data[[#This Row],[W Rank]]</f>
        <v>1</v>
      </c>
      <c r="U1283" s="323"/>
    </row>
    <row r="1284" spans="1:21" ht="15" customHeight="1">
      <c r="A1284" s="326"/>
      <c r="B1284" s="326"/>
      <c r="C1284" s="339"/>
      <c r="D1284" s="81">
        <f>D1282</f>
        <v>45918</v>
      </c>
      <c r="E1284" s="140" t="str">
        <f>$L$1</f>
        <v>loganworsdell</v>
      </c>
      <c r="F1284" s="8">
        <f>IFERROR(AVERAGE(Data[[#This Row],[alappatjoe]:[currydestroyer27]]), "TBD")</f>
        <v>3.4</v>
      </c>
      <c r="G1284" s="177">
        <f>IFERROR(_xlfn.STDEV.P(Data[[#This Row],[alappatjoe]:[currydestroyer27]]), "TBD")</f>
        <v>1.2</v>
      </c>
      <c r="H1284" s="135" t="s">
        <v>2597</v>
      </c>
      <c r="I1284" s="229" t="s">
        <v>2598</v>
      </c>
      <c r="J1284" s="3">
        <v>4</v>
      </c>
      <c r="K1284" s="3">
        <v>4</v>
      </c>
      <c r="L1284" s="3">
        <v>1</v>
      </c>
      <c r="M1284" s="3">
        <v>4</v>
      </c>
      <c r="N1284" s="3">
        <v>4</v>
      </c>
      <c r="O1284" s="238">
        <v>1445280075</v>
      </c>
      <c r="P1284" s="93"/>
      <c r="Q1284" s="93"/>
      <c r="R12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84" s="93">
        <v>1</v>
      </c>
      <c r="T1284" s="93" t="b">
        <f>Data[[#This Row],[Day Rank]]=Data[[#This Row],[W Rank]]</f>
        <v>0</v>
      </c>
      <c r="U1284" s="323"/>
    </row>
    <row r="1285" spans="1:21" ht="15" customHeight="1">
      <c r="A1285" s="326"/>
      <c r="B1285" s="326"/>
      <c r="C1285" s="339"/>
      <c r="D1285" s="81">
        <f>D1282</f>
        <v>45918</v>
      </c>
      <c r="E1285" s="140" t="str">
        <f>$M$1</f>
        <v>samuelbattista</v>
      </c>
      <c r="F1285" s="8">
        <f>IFERROR(AVERAGE(Data[[#This Row],[alappatjoe]:[currydestroyer27]]), "TBD")</f>
        <v>3.6</v>
      </c>
      <c r="G1285" s="177">
        <f>IFERROR(_xlfn.STDEV.P(Data[[#This Row],[alappatjoe]:[currydestroyer27]]), "TBD")</f>
        <v>1.4966629547095767</v>
      </c>
      <c r="H1285" s="135" t="s">
        <v>2599</v>
      </c>
      <c r="I1285" s="229" t="s">
        <v>2600</v>
      </c>
      <c r="J1285" s="3">
        <v>3</v>
      </c>
      <c r="K1285" s="3">
        <v>5</v>
      </c>
      <c r="L1285" s="3">
        <v>4</v>
      </c>
      <c r="M1285" s="3">
        <v>1</v>
      </c>
      <c r="N1285" s="3">
        <v>5</v>
      </c>
      <c r="O1285" s="238"/>
      <c r="P1285" s="93"/>
      <c r="Q1285" s="93"/>
      <c r="R12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85" s="93">
        <v>1</v>
      </c>
      <c r="T1285" s="93" t="b">
        <f>Data[[#This Row],[Day Rank]]=Data[[#This Row],[W Rank]]</f>
        <v>0</v>
      </c>
      <c r="U1285" s="323"/>
    </row>
    <row r="1286" spans="1:21" ht="15" customHeight="1" thickBot="1">
      <c r="A1286" s="327"/>
      <c r="B1286" s="327"/>
      <c r="C1286" s="340"/>
      <c r="D1286" s="164">
        <f>D1282</f>
        <v>45918</v>
      </c>
      <c r="E1286" s="215" t="str">
        <f>$N$1</f>
        <v>currydestroyer27</v>
      </c>
      <c r="F1286" s="165">
        <f>IFERROR(AVERAGE(Data[[#This Row],[alappatjoe]:[currydestroyer27]]), "TBD")</f>
        <v>2.8</v>
      </c>
      <c r="G1286" s="256">
        <f>IFERROR(_xlfn.STDEV.P(Data[[#This Row],[alappatjoe]:[currydestroyer27]]), "TBD")</f>
        <v>1.3266499161421599</v>
      </c>
      <c r="H1286" s="273" t="s">
        <v>2601</v>
      </c>
      <c r="I1286" s="257" t="s">
        <v>2602</v>
      </c>
      <c r="J1286" s="166">
        <v>2</v>
      </c>
      <c r="K1286" s="166">
        <v>3</v>
      </c>
      <c r="L1286" s="166">
        <v>5</v>
      </c>
      <c r="M1286" s="166">
        <v>3</v>
      </c>
      <c r="N1286" s="166">
        <v>1</v>
      </c>
      <c r="O1286" s="242">
        <v>917532229</v>
      </c>
      <c r="P1286" s="167"/>
      <c r="Q1286" s="167"/>
      <c r="R128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86" s="167">
        <v>1</v>
      </c>
      <c r="T1286" s="167" t="b">
        <f>Data[[#This Row],[Day Rank]]=Data[[#This Row],[W Rank]]</f>
        <v>0</v>
      </c>
      <c r="U1286" s="324"/>
    </row>
    <row r="1287" spans="1:21" ht="15" customHeight="1">
      <c r="A1287" s="325">
        <v>45922</v>
      </c>
      <c r="B1287" s="325"/>
      <c r="C1287" s="328" t="str" cm="1">
        <f t="array" ref="C1287">_xlfn.LET(_xlpm.matches, _xlfn._xlws.FILTER(Data[Poster], (Data[Date]=A1287)*(Data[Winner]=TRUE)), IF(ROWS(_xlpm.matches)&gt;1, "TIE", _xlpm.matches))</f>
        <v>alappatjoe</v>
      </c>
      <c r="D1287" s="147">
        <f>A1287</f>
        <v>45922</v>
      </c>
      <c r="E1287" s="181" t="str">
        <f>$J$1</f>
        <v>alappatjoe</v>
      </c>
      <c r="F1287" s="9">
        <f>IFERROR(AVERAGE(Data[[#This Row],[alappatjoe]:[currydestroyer27]]), "TBD")</f>
        <v>2.4</v>
      </c>
      <c r="G1287" s="178">
        <f>IFERROR(_xlfn.STDEV.P(Data[[#This Row],[alappatjoe]:[currydestroyer27]]), "TBD")</f>
        <v>1.7435595774162693</v>
      </c>
      <c r="H1287" s="160" t="s">
        <v>2603</v>
      </c>
      <c r="I1287" s="186" t="s">
        <v>2604</v>
      </c>
      <c r="J1287" s="3">
        <v>1</v>
      </c>
      <c r="K1287" s="3">
        <v>5</v>
      </c>
      <c r="L1287" s="3">
        <v>1</v>
      </c>
      <c r="M1287" s="3">
        <v>1</v>
      </c>
      <c r="N1287" s="3">
        <v>4</v>
      </c>
      <c r="O1287" s="238">
        <v>15238513</v>
      </c>
      <c r="P1287" s="93"/>
      <c r="Q1287" s="93"/>
      <c r="R12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87" s="93">
        <v>1</v>
      </c>
      <c r="T1287" s="93" t="b">
        <f>Data[[#This Row],[Day Rank]]=Data[[#This Row],[W Rank]]</f>
        <v>1</v>
      </c>
      <c r="U1287" s="331"/>
    </row>
    <row r="1288" spans="1:21" ht="15" customHeight="1">
      <c r="A1288" s="326"/>
      <c r="B1288" s="326"/>
      <c r="C1288" s="329"/>
      <c r="D1288" s="81">
        <f>D1287</f>
        <v>45922</v>
      </c>
      <c r="E1288" s="140" t="str">
        <f>$K$1</f>
        <v>danram</v>
      </c>
      <c r="F1288" s="8">
        <f>IFERROR(AVERAGE(Data[[#This Row],[alappatjoe]:[currydestroyer27]]), "TBD")</f>
        <v>3.2</v>
      </c>
      <c r="G1288" s="177">
        <f>IFERROR(_xlfn.STDEV.P(Data[[#This Row],[alappatjoe]:[currydestroyer27]]), "TBD")</f>
        <v>1.3266499161421599</v>
      </c>
      <c r="H1288" s="135" t="s">
        <v>2605</v>
      </c>
      <c r="I1288" s="229" t="s">
        <v>122</v>
      </c>
      <c r="J1288" s="3">
        <v>3</v>
      </c>
      <c r="K1288" s="3">
        <v>1</v>
      </c>
      <c r="L1288" s="3">
        <v>4</v>
      </c>
      <c r="M1288" s="3">
        <v>3</v>
      </c>
      <c r="N1288" s="3">
        <v>5</v>
      </c>
      <c r="O1288" s="238"/>
      <c r="P1288" s="93"/>
      <c r="Q1288" s="93"/>
      <c r="R12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88" s="93">
        <v>1</v>
      </c>
      <c r="T1288" s="93" t="b">
        <f>Data[[#This Row],[Day Rank]]=Data[[#This Row],[W Rank]]</f>
        <v>0</v>
      </c>
      <c r="U1288" s="323"/>
    </row>
    <row r="1289" spans="1:21" ht="15" customHeight="1">
      <c r="A1289" s="326"/>
      <c r="B1289" s="326"/>
      <c r="C1289" s="329"/>
      <c r="D1289" s="81">
        <f>D1287</f>
        <v>45922</v>
      </c>
      <c r="E1289" s="140" t="str">
        <f>$L$1</f>
        <v>loganworsdell</v>
      </c>
      <c r="F1289" s="8">
        <f>IFERROR(AVERAGE(Data[[#This Row],[alappatjoe]:[currydestroyer27]]), "TBD")</f>
        <v>2.6</v>
      </c>
      <c r="G1289" s="177">
        <f>IFERROR(_xlfn.STDEV.P(Data[[#This Row],[alappatjoe]:[currydestroyer27]]), "TBD")</f>
        <v>0.8</v>
      </c>
      <c r="H1289" s="268">
        <v>1.5</v>
      </c>
      <c r="I1289" s="229" t="s">
        <v>2606</v>
      </c>
      <c r="J1289" s="3">
        <v>2</v>
      </c>
      <c r="K1289" s="3">
        <v>3</v>
      </c>
      <c r="L1289" s="3">
        <v>2</v>
      </c>
      <c r="M1289" s="3">
        <v>4</v>
      </c>
      <c r="N1289" s="3">
        <v>2</v>
      </c>
      <c r="O1289" s="238">
        <v>109001147</v>
      </c>
      <c r="P1289" s="93"/>
      <c r="Q1289" s="93"/>
      <c r="R12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89" s="93">
        <v>1</v>
      </c>
      <c r="T1289" s="93" t="b">
        <f>Data[[#This Row],[Day Rank]]=Data[[#This Row],[W Rank]]</f>
        <v>0</v>
      </c>
      <c r="U1289" s="323"/>
    </row>
    <row r="1290" spans="1:21" ht="15" customHeight="1">
      <c r="A1290" s="326"/>
      <c r="B1290" s="326"/>
      <c r="C1290" s="329"/>
      <c r="D1290" s="81">
        <f>D1287</f>
        <v>45922</v>
      </c>
      <c r="E1290" s="140" t="str">
        <f>$M$1</f>
        <v>samuelbattista</v>
      </c>
      <c r="F1290" s="8">
        <f>IFERROR(AVERAGE(Data[[#This Row],[alappatjoe]:[currydestroyer27]]), "TBD")</f>
        <v>3.2</v>
      </c>
      <c r="G1290" s="177">
        <f>IFERROR(_xlfn.STDEV.P(Data[[#This Row],[alappatjoe]:[currydestroyer27]]), "TBD")</f>
        <v>0.74833147735478833</v>
      </c>
      <c r="H1290" s="135" t="s">
        <v>2607</v>
      </c>
      <c r="I1290" s="229" t="s">
        <v>1154</v>
      </c>
      <c r="J1290" s="3">
        <v>4</v>
      </c>
      <c r="K1290" s="3">
        <v>4</v>
      </c>
      <c r="L1290" s="3">
        <v>3</v>
      </c>
      <c r="M1290" s="3">
        <v>2</v>
      </c>
      <c r="N1290" s="3">
        <v>3</v>
      </c>
      <c r="O1290" s="238"/>
      <c r="P1290" s="93"/>
      <c r="Q1290" s="93"/>
      <c r="R12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90" s="93">
        <v>1</v>
      </c>
      <c r="T1290" s="93" t="b">
        <f>Data[[#This Row],[Day Rank]]=Data[[#This Row],[W Rank]]</f>
        <v>0</v>
      </c>
      <c r="U1290" s="323"/>
    </row>
    <row r="1291" spans="1:21" ht="15" customHeight="1" thickBot="1">
      <c r="A1291" s="327"/>
      <c r="B1291" s="327"/>
      <c r="C1291" s="330"/>
      <c r="D1291" s="164">
        <f>D1287</f>
        <v>45922</v>
      </c>
      <c r="E1291" s="215" t="str">
        <f>$N$1</f>
        <v>currydestroyer27</v>
      </c>
      <c r="F1291" s="165">
        <f>IFERROR(AVERAGE(Data[[#This Row],[alappatjoe]:[currydestroyer27]]), "TBD")</f>
        <v>3.6</v>
      </c>
      <c r="G1291" s="256">
        <f>IFERROR(_xlfn.STDEV.P(Data[[#This Row],[alappatjoe]:[currydestroyer27]]), "TBD")</f>
        <v>1.7435595774162693</v>
      </c>
      <c r="H1291" s="227" t="s">
        <v>2608</v>
      </c>
      <c r="I1291" s="257" t="s">
        <v>2609</v>
      </c>
      <c r="J1291" s="166">
        <v>5</v>
      </c>
      <c r="K1291" s="166">
        <v>2</v>
      </c>
      <c r="L1291" s="166">
        <v>5</v>
      </c>
      <c r="M1291" s="166">
        <v>5</v>
      </c>
      <c r="N1291" s="166">
        <v>1</v>
      </c>
      <c r="O1291" s="242">
        <v>88200964</v>
      </c>
      <c r="P1291" s="167" t="s">
        <v>76</v>
      </c>
      <c r="Q1291" s="167" t="s">
        <v>2610</v>
      </c>
      <c r="R129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91" s="167">
        <v>1</v>
      </c>
      <c r="T1291" s="167" t="b">
        <f>Data[[#This Row],[Day Rank]]=Data[[#This Row],[W Rank]]</f>
        <v>0</v>
      </c>
      <c r="U1291" s="324"/>
    </row>
    <row r="1292" spans="1:21" ht="15" customHeight="1">
      <c r="A1292" s="325">
        <v>45923</v>
      </c>
      <c r="B1292" s="325"/>
      <c r="C1292" s="338" t="str" cm="1">
        <f t="array" ref="C1292">_xlfn.LET(_xlpm.matches, _xlfn._xlws.FILTER(Data[Poster], (Data[Date]=A1292)*(Data[Winner]=TRUE)), IF(ROWS(_xlpm.matches)&gt;1, "TIE", _xlpm.matches))</f>
        <v>alappatjoe</v>
      </c>
      <c r="D1292" s="147">
        <f>A1292</f>
        <v>45923</v>
      </c>
      <c r="E1292" s="181" t="str">
        <f>$J$1</f>
        <v>alappatjoe</v>
      </c>
      <c r="F1292" s="9">
        <f>IFERROR(AVERAGE(Data[[#This Row],[alappatjoe]:[currydestroyer27]]), "TBD")</f>
        <v>2</v>
      </c>
      <c r="G1292" s="178">
        <f>IFERROR(_xlfn.STDEV.P(Data[[#This Row],[alappatjoe]:[currydestroyer27]]), "TBD")</f>
        <v>0.63245553203367588</v>
      </c>
      <c r="H1292" s="160" t="s">
        <v>2611</v>
      </c>
      <c r="I1292" s="186" t="s">
        <v>2612</v>
      </c>
      <c r="J1292" s="3">
        <v>1</v>
      </c>
      <c r="K1292" s="3">
        <v>2</v>
      </c>
      <c r="L1292" s="3">
        <v>2</v>
      </c>
      <c r="M1292" s="3">
        <v>3</v>
      </c>
      <c r="N1292" s="3">
        <v>2</v>
      </c>
      <c r="O1292" s="238">
        <v>2576802</v>
      </c>
      <c r="P1292" s="93"/>
      <c r="Q1292" s="93"/>
      <c r="R12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292" s="93">
        <v>1</v>
      </c>
      <c r="T1292" s="93" t="b">
        <f>Data[[#This Row],[Day Rank]]=Data[[#This Row],[W Rank]]</f>
        <v>1</v>
      </c>
      <c r="U1292" s="331"/>
    </row>
    <row r="1293" spans="1:21" ht="15" customHeight="1">
      <c r="A1293" s="326"/>
      <c r="B1293" s="326"/>
      <c r="C1293" s="339"/>
      <c r="D1293" s="81">
        <f>D1292</f>
        <v>45923</v>
      </c>
      <c r="E1293" s="140" t="str">
        <f>$K$1</f>
        <v>danram</v>
      </c>
      <c r="F1293" s="8">
        <f>IFERROR(AVERAGE(Data[[#This Row],[alappatjoe]:[currydestroyer27]]), "TBD")</f>
        <v>4.5999999999999996</v>
      </c>
      <c r="G1293" s="177">
        <f>IFERROR(_xlfn.STDEV.P(Data[[#This Row],[alappatjoe]:[currydestroyer27]]), "TBD")</f>
        <v>0.4898979485566356</v>
      </c>
      <c r="H1293" s="135" t="s">
        <v>2613</v>
      </c>
      <c r="I1293" s="229" t="s">
        <v>2614</v>
      </c>
      <c r="J1293" s="3">
        <v>5</v>
      </c>
      <c r="K1293" s="3">
        <v>4</v>
      </c>
      <c r="L1293" s="3">
        <v>4</v>
      </c>
      <c r="M1293" s="3">
        <v>5</v>
      </c>
      <c r="N1293" s="3">
        <v>5</v>
      </c>
      <c r="O1293" s="238"/>
      <c r="P1293" s="93"/>
      <c r="Q1293" s="93"/>
      <c r="R12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93" s="93">
        <v>1</v>
      </c>
      <c r="T1293" s="93" t="b">
        <f>Data[[#This Row],[Day Rank]]=Data[[#This Row],[W Rank]]</f>
        <v>0</v>
      </c>
      <c r="U1293" s="323"/>
    </row>
    <row r="1294" spans="1:21" ht="15" customHeight="1">
      <c r="A1294" s="326"/>
      <c r="B1294" s="326"/>
      <c r="C1294" s="339"/>
      <c r="D1294" s="81">
        <f>D1292</f>
        <v>45923</v>
      </c>
      <c r="E1294" s="140" t="str">
        <f>$L$1</f>
        <v>loganworsdell</v>
      </c>
      <c r="F1294" s="8">
        <f>IFERROR(AVERAGE(Data[[#This Row],[alappatjoe]:[currydestroyer27]]), "TBD")</f>
        <v>3</v>
      </c>
      <c r="G1294" s="177">
        <f>IFERROR(_xlfn.STDEV.P(Data[[#This Row],[alappatjoe]:[currydestroyer27]]), "TBD")</f>
        <v>1.4142135623730951</v>
      </c>
      <c r="H1294" s="268">
        <v>26</v>
      </c>
      <c r="I1294" s="229" t="s">
        <v>2615</v>
      </c>
      <c r="J1294" s="3">
        <v>3</v>
      </c>
      <c r="K1294" s="3">
        <v>5</v>
      </c>
      <c r="L1294" s="3">
        <v>1</v>
      </c>
      <c r="M1294" s="3">
        <v>2</v>
      </c>
      <c r="N1294" s="3">
        <v>4</v>
      </c>
      <c r="O1294" s="238">
        <v>40018210</v>
      </c>
      <c r="P1294" s="93"/>
      <c r="Q1294" s="93"/>
      <c r="R12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294" s="93">
        <v>1</v>
      </c>
      <c r="T1294" s="93" t="b">
        <f>Data[[#This Row],[Day Rank]]=Data[[#This Row],[W Rank]]</f>
        <v>0</v>
      </c>
      <c r="U1294" s="323"/>
    </row>
    <row r="1295" spans="1:21" ht="15" customHeight="1">
      <c r="A1295" s="326"/>
      <c r="B1295" s="326"/>
      <c r="C1295" s="339"/>
      <c r="D1295" s="81">
        <f>D1292</f>
        <v>45923</v>
      </c>
      <c r="E1295" s="140" t="str">
        <f>$M$1</f>
        <v>samuelbattista</v>
      </c>
      <c r="F1295" s="8">
        <f>IFERROR(AVERAGE(Data[[#This Row],[alappatjoe]:[currydestroyer27]]), "TBD")</f>
        <v>2.8</v>
      </c>
      <c r="G1295" s="177">
        <f>IFERROR(_xlfn.STDEV.P(Data[[#This Row],[alappatjoe]:[currydestroyer27]]), "TBD")</f>
        <v>0.9797958971132712</v>
      </c>
      <c r="H1295" s="135" t="s">
        <v>2616</v>
      </c>
      <c r="I1295" s="229" t="s">
        <v>273</v>
      </c>
      <c r="J1295" s="3">
        <v>4</v>
      </c>
      <c r="K1295" s="3">
        <v>3</v>
      </c>
      <c r="L1295" s="3">
        <v>3</v>
      </c>
      <c r="M1295" s="3">
        <v>1</v>
      </c>
      <c r="N1295" s="3">
        <v>3</v>
      </c>
      <c r="O1295" s="238"/>
      <c r="P1295" s="93"/>
      <c r="Q1295" s="93"/>
      <c r="R12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95" s="93">
        <v>1</v>
      </c>
      <c r="T1295" s="93" t="b">
        <f>Data[[#This Row],[Day Rank]]=Data[[#This Row],[W Rank]]</f>
        <v>0</v>
      </c>
      <c r="U1295" s="323"/>
    </row>
    <row r="1296" spans="1:21" ht="15" customHeight="1" thickBot="1">
      <c r="A1296" s="327"/>
      <c r="B1296" s="327"/>
      <c r="C1296" s="340"/>
      <c r="D1296" s="164">
        <f>D1292</f>
        <v>45923</v>
      </c>
      <c r="E1296" s="215" t="str">
        <f>$N$1</f>
        <v>currydestroyer27</v>
      </c>
      <c r="F1296" s="165">
        <f>IFERROR(AVERAGE(Data[[#This Row],[alappatjoe]:[currydestroyer27]]), "TBD")</f>
        <v>2.6</v>
      </c>
      <c r="G1296" s="256">
        <f>IFERROR(_xlfn.STDEV.P(Data[[#This Row],[alappatjoe]:[currydestroyer27]]), "TBD")</f>
        <v>1.6248076809271921</v>
      </c>
      <c r="H1296" s="227" t="s">
        <v>2617</v>
      </c>
      <c r="I1296" s="257" t="s">
        <v>2618</v>
      </c>
      <c r="J1296" s="166">
        <v>2</v>
      </c>
      <c r="K1296" s="166">
        <v>1</v>
      </c>
      <c r="L1296" s="166">
        <v>5</v>
      </c>
      <c r="M1296" s="166">
        <v>4</v>
      </c>
      <c r="N1296" s="166">
        <v>1</v>
      </c>
      <c r="O1296" s="242">
        <v>103173730</v>
      </c>
      <c r="P1296" s="167"/>
      <c r="Q1296" s="167"/>
      <c r="R129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96" s="167">
        <v>1</v>
      </c>
      <c r="T1296" s="167" t="b">
        <f>Data[[#This Row],[Day Rank]]=Data[[#This Row],[W Rank]]</f>
        <v>0</v>
      </c>
      <c r="U1296" s="324"/>
    </row>
    <row r="1297" spans="1:21" ht="15" customHeight="1">
      <c r="A1297" s="325">
        <v>45924</v>
      </c>
      <c r="B1297" s="325"/>
      <c r="C1297" s="328" t="str" cm="1">
        <f t="array" ref="C1297">_xlfn.LET(_xlpm.matches, _xlfn._xlws.FILTER(Data[Poster], (Data[Date]=A1297)*(Data[Winner]=TRUE)), IF(ROWS(_xlpm.matches)&gt;1, "TIE", _xlpm.matches))</f>
        <v>currydestroyer27</v>
      </c>
      <c r="D1297" s="147">
        <f>A1297</f>
        <v>45924</v>
      </c>
      <c r="E1297" s="181" t="str">
        <f>$J$1</f>
        <v>alappatjoe</v>
      </c>
      <c r="F1297" s="9">
        <f>IFERROR(AVERAGE(Data[[#This Row],[alappatjoe]:[currydestroyer27]]), "TBD")</f>
        <v>2.6</v>
      </c>
      <c r="G1297" s="178">
        <f>IFERROR(_xlfn.STDEV.P(Data[[#This Row],[alappatjoe]:[currydestroyer27]]), "TBD")</f>
        <v>1.6248076809271921</v>
      </c>
      <c r="H1297" s="160" t="s">
        <v>2619</v>
      </c>
      <c r="I1297" s="186" t="s">
        <v>448</v>
      </c>
      <c r="J1297" s="3">
        <v>1</v>
      </c>
      <c r="K1297" s="3">
        <v>2</v>
      </c>
      <c r="L1297" s="3">
        <v>1</v>
      </c>
      <c r="M1297" s="3">
        <v>5</v>
      </c>
      <c r="N1297" s="3">
        <v>4</v>
      </c>
      <c r="O1297" s="238">
        <v>6566270</v>
      </c>
      <c r="P1297" s="93"/>
      <c r="Q1297" s="93"/>
      <c r="R12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297" s="93">
        <v>1</v>
      </c>
      <c r="T1297" s="93" t="b">
        <f>Data[[#This Row],[Day Rank]]=Data[[#This Row],[W Rank]]</f>
        <v>0</v>
      </c>
      <c r="U1297" s="331"/>
    </row>
    <row r="1298" spans="1:21" ht="15" customHeight="1">
      <c r="A1298" s="326"/>
      <c r="B1298" s="326"/>
      <c r="C1298" s="329"/>
      <c r="D1298" s="81">
        <f>D1297</f>
        <v>45924</v>
      </c>
      <c r="E1298" s="140" t="str">
        <f>$K$1</f>
        <v>danram</v>
      </c>
      <c r="F1298" s="8">
        <f>IFERROR(AVERAGE(Data[[#This Row],[alappatjoe]:[currydestroyer27]]), "TBD")</f>
        <v>4.2</v>
      </c>
      <c r="G1298" s="177">
        <f>IFERROR(_xlfn.STDEV.P(Data[[#This Row],[alappatjoe]:[currydestroyer27]]), "TBD")</f>
        <v>1.1661903789690602</v>
      </c>
      <c r="H1298" s="135" t="s">
        <v>2620</v>
      </c>
      <c r="I1298" s="229" t="s">
        <v>2621</v>
      </c>
      <c r="J1298" s="3">
        <v>5</v>
      </c>
      <c r="K1298" s="3">
        <v>5</v>
      </c>
      <c r="L1298" s="3">
        <v>4</v>
      </c>
      <c r="M1298" s="3">
        <v>2</v>
      </c>
      <c r="N1298" s="3">
        <v>5</v>
      </c>
      <c r="O1298" s="238"/>
      <c r="P1298" s="93"/>
      <c r="Q1298" s="93"/>
      <c r="R12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298" s="93">
        <v>1</v>
      </c>
      <c r="T1298" s="93" t="b">
        <f>Data[[#This Row],[Day Rank]]=Data[[#This Row],[W Rank]]</f>
        <v>0</v>
      </c>
      <c r="U1298" s="323"/>
    </row>
    <row r="1299" spans="1:21" ht="15" customHeight="1">
      <c r="A1299" s="326"/>
      <c r="B1299" s="326"/>
      <c r="C1299" s="329"/>
      <c r="D1299" s="81">
        <f>D1297</f>
        <v>45924</v>
      </c>
      <c r="E1299" s="140" t="str">
        <f>$L$1</f>
        <v>loganworsdell</v>
      </c>
      <c r="F1299" s="8">
        <f>IFERROR(AVERAGE(Data[[#This Row],[alappatjoe]:[currydestroyer27]]), "TBD")</f>
        <v>3</v>
      </c>
      <c r="G1299" s="177">
        <f>IFERROR(_xlfn.STDEV.P(Data[[#This Row],[alappatjoe]:[currydestroyer27]]), "TBD")</f>
        <v>0.89442719099991586</v>
      </c>
      <c r="H1299" s="135" t="s">
        <v>2622</v>
      </c>
      <c r="I1299" s="229" t="s">
        <v>2623</v>
      </c>
      <c r="J1299" s="3">
        <v>2</v>
      </c>
      <c r="K1299" s="3">
        <v>4</v>
      </c>
      <c r="L1299" s="3">
        <v>2</v>
      </c>
      <c r="M1299" s="3">
        <v>4</v>
      </c>
      <c r="N1299" s="3">
        <v>3</v>
      </c>
      <c r="O1299" s="238">
        <v>161402495</v>
      </c>
      <c r="P1299" s="93"/>
      <c r="Q1299" s="93"/>
      <c r="R12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299" s="93">
        <v>1</v>
      </c>
      <c r="T1299" s="93" t="b">
        <f>Data[[#This Row],[Day Rank]]=Data[[#This Row],[W Rank]]</f>
        <v>0</v>
      </c>
      <c r="U1299" s="323"/>
    </row>
    <row r="1300" spans="1:21" ht="15" customHeight="1">
      <c r="A1300" s="326"/>
      <c r="B1300" s="326"/>
      <c r="C1300" s="329"/>
      <c r="D1300" s="81">
        <f>D1297</f>
        <v>45924</v>
      </c>
      <c r="E1300" s="140" t="str">
        <f>$M$1</f>
        <v>samuelbattista</v>
      </c>
      <c r="F1300" s="8">
        <f>IFERROR(AVERAGE(Data[[#This Row],[alappatjoe]:[currydestroyer27]]), "TBD")</f>
        <v>3</v>
      </c>
      <c r="G1300" s="177">
        <f>IFERROR(_xlfn.STDEV.P(Data[[#This Row],[alappatjoe]:[currydestroyer27]]), "TBD")</f>
        <v>1.4142135623730951</v>
      </c>
      <c r="H1300" s="135" t="s">
        <v>2624</v>
      </c>
      <c r="I1300" s="229" t="s">
        <v>2625</v>
      </c>
      <c r="J1300" s="3">
        <v>4</v>
      </c>
      <c r="K1300" s="3">
        <v>3</v>
      </c>
      <c r="L1300" s="3">
        <v>5</v>
      </c>
      <c r="M1300" s="3">
        <v>1</v>
      </c>
      <c r="N1300" s="3">
        <v>2</v>
      </c>
      <c r="O1300" s="238"/>
      <c r="P1300" s="93"/>
      <c r="Q1300" s="93"/>
      <c r="R13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00" s="93">
        <v>1</v>
      </c>
      <c r="T1300" s="93" t="b">
        <f>Data[[#This Row],[Day Rank]]=Data[[#This Row],[W Rank]]</f>
        <v>0</v>
      </c>
      <c r="U1300" s="323"/>
    </row>
    <row r="1301" spans="1:21" ht="15" customHeight="1" thickBot="1">
      <c r="A1301" s="327"/>
      <c r="B1301" s="327"/>
      <c r="C1301" s="330"/>
      <c r="D1301" s="164">
        <f>D1297</f>
        <v>45924</v>
      </c>
      <c r="E1301" s="215" t="str">
        <f>$N$1</f>
        <v>currydestroyer27</v>
      </c>
      <c r="F1301" s="165">
        <f>IFERROR(AVERAGE(Data[[#This Row],[alappatjoe]:[currydestroyer27]]), "TBD")</f>
        <v>2.2000000000000002</v>
      </c>
      <c r="G1301" s="256">
        <f>IFERROR(_xlfn.STDEV.P(Data[[#This Row],[alappatjoe]:[currydestroyer27]]), "TBD")</f>
        <v>0.9797958971132712</v>
      </c>
      <c r="H1301" s="227" t="s">
        <v>822</v>
      </c>
      <c r="I1301" s="257" t="s">
        <v>2626</v>
      </c>
      <c r="J1301" s="166">
        <v>3</v>
      </c>
      <c r="K1301" s="166">
        <v>1</v>
      </c>
      <c r="L1301" s="166">
        <v>3</v>
      </c>
      <c r="M1301" s="166">
        <v>3</v>
      </c>
      <c r="N1301" s="166">
        <v>1</v>
      </c>
      <c r="O1301" s="242">
        <v>724665251</v>
      </c>
      <c r="P1301" s="167"/>
      <c r="Q1301" s="167"/>
      <c r="R130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01" s="167">
        <v>1</v>
      </c>
      <c r="T1301" s="167" t="b">
        <f>Data[[#This Row],[Day Rank]]=Data[[#This Row],[W Rank]]</f>
        <v>1</v>
      </c>
      <c r="U1301" s="324"/>
    </row>
    <row r="1302" spans="1:21" ht="15" customHeight="1">
      <c r="A1302" s="325">
        <v>45925</v>
      </c>
      <c r="B1302" s="325"/>
      <c r="C1302" s="338" t="str" cm="1">
        <f t="array" ref="C1302">_xlfn.LET(_xlpm.matches, _xlfn._xlws.FILTER(Data[Poster], (Data[Date]=A1302)*(Data[Winner]=TRUE)), IF(ROWS(_xlpm.matches)&gt;1, "TIE", _xlpm.matches))</f>
        <v>loganworsdell</v>
      </c>
      <c r="D1302" s="147">
        <f>A1302</f>
        <v>45925</v>
      </c>
      <c r="E1302" s="181" t="str">
        <f>$J$1</f>
        <v>alappatjoe</v>
      </c>
      <c r="F1302" s="9">
        <f>IFERROR(AVERAGE(Data[[#This Row],[alappatjoe]:[currydestroyer27]]), "TBD")</f>
        <v>3</v>
      </c>
      <c r="G1302" s="178">
        <f>IFERROR(_xlfn.STDEV.P(Data[[#This Row],[alappatjoe]:[currydestroyer27]]), "TBD")</f>
        <v>0.89442719099991586</v>
      </c>
      <c r="H1302" s="160" t="s">
        <v>2627</v>
      </c>
      <c r="I1302" s="186" t="s">
        <v>200</v>
      </c>
      <c r="J1302" s="3">
        <v>2</v>
      </c>
      <c r="K1302" s="3">
        <v>2</v>
      </c>
      <c r="L1302" s="3">
        <v>3</v>
      </c>
      <c r="M1302" s="3">
        <v>4</v>
      </c>
      <c r="N1302" s="3">
        <v>4</v>
      </c>
      <c r="O1302" s="238">
        <v>2809920</v>
      </c>
      <c r="P1302" s="93"/>
      <c r="Q1302" s="93"/>
      <c r="R13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02" s="93">
        <v>1</v>
      </c>
      <c r="T1302" s="93" t="b">
        <f>Data[[#This Row],[Day Rank]]=Data[[#This Row],[W Rank]]</f>
        <v>0</v>
      </c>
      <c r="U1302" s="331" t="s">
        <v>2628</v>
      </c>
    </row>
    <row r="1303" spans="1:21" ht="15" customHeight="1">
      <c r="A1303" s="326"/>
      <c r="B1303" s="326"/>
      <c r="C1303" s="339"/>
      <c r="D1303" s="81">
        <f>D1302</f>
        <v>45925</v>
      </c>
      <c r="E1303" s="140" t="str">
        <f>$K$1</f>
        <v>danram</v>
      </c>
      <c r="F1303" s="8">
        <f>IFERROR(AVERAGE(Data[[#This Row],[alappatjoe]:[currydestroyer27]]), "TBD")</f>
        <v>2.8</v>
      </c>
      <c r="G1303" s="177">
        <f>IFERROR(_xlfn.STDEV.P(Data[[#This Row],[alappatjoe]:[currydestroyer27]]), "TBD")</f>
        <v>1.1661903789690602</v>
      </c>
      <c r="H1303" s="135" t="s">
        <v>2629</v>
      </c>
      <c r="I1303" s="229" t="s">
        <v>965</v>
      </c>
      <c r="J1303" s="3">
        <v>4</v>
      </c>
      <c r="K1303" s="3">
        <v>1</v>
      </c>
      <c r="L1303" s="3">
        <v>4</v>
      </c>
      <c r="M1303" s="3">
        <v>3</v>
      </c>
      <c r="N1303" s="3">
        <v>2</v>
      </c>
      <c r="O1303" s="238"/>
      <c r="P1303" s="93"/>
      <c r="Q1303" s="93"/>
      <c r="R13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03" s="93">
        <v>1</v>
      </c>
      <c r="T1303" s="93" t="b">
        <f>Data[[#This Row],[Day Rank]]=Data[[#This Row],[W Rank]]</f>
        <v>0</v>
      </c>
      <c r="U1303" s="323"/>
    </row>
    <row r="1304" spans="1:21" ht="15" customHeight="1">
      <c r="A1304" s="326"/>
      <c r="B1304" s="326"/>
      <c r="C1304" s="339"/>
      <c r="D1304" s="81">
        <f>D1302</f>
        <v>45925</v>
      </c>
      <c r="E1304" s="140" t="str">
        <f>$L$1</f>
        <v>loganworsdell</v>
      </c>
      <c r="F1304" s="8">
        <f>IFERROR(AVERAGE(Data[[#This Row],[alappatjoe]:[currydestroyer27]]), "TBD")</f>
        <v>2</v>
      </c>
      <c r="G1304" s="177">
        <f>IFERROR(_xlfn.STDEV.P(Data[[#This Row],[alappatjoe]:[currydestroyer27]]), "TBD")</f>
        <v>0.89442719099991586</v>
      </c>
      <c r="H1304" s="135" t="s">
        <v>2630</v>
      </c>
      <c r="I1304" s="229" t="s">
        <v>778</v>
      </c>
      <c r="J1304" s="3">
        <v>1</v>
      </c>
      <c r="K1304" s="3">
        <v>3</v>
      </c>
      <c r="L1304" s="3">
        <v>1</v>
      </c>
      <c r="M1304" s="3">
        <v>2</v>
      </c>
      <c r="N1304" s="3">
        <v>3</v>
      </c>
      <c r="O1304" s="238">
        <v>257855439</v>
      </c>
      <c r="P1304" s="93"/>
      <c r="Q1304" s="93"/>
      <c r="R13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04" s="93">
        <v>1</v>
      </c>
      <c r="T1304" s="93" t="b">
        <f>Data[[#This Row],[Day Rank]]=Data[[#This Row],[W Rank]]</f>
        <v>1</v>
      </c>
      <c r="U1304" s="323"/>
    </row>
    <row r="1305" spans="1:21" ht="15" customHeight="1">
      <c r="A1305" s="326"/>
      <c r="B1305" s="326"/>
      <c r="C1305" s="339"/>
      <c r="D1305" s="81">
        <f>D1302</f>
        <v>45925</v>
      </c>
      <c r="E1305" s="140" t="str">
        <f>$M$1</f>
        <v>samuelbattista</v>
      </c>
      <c r="F1305" s="8">
        <f>IFERROR(AVERAGE(Data[[#This Row],[alappatjoe]:[currydestroyer27]]), "TBD")</f>
        <v>3</v>
      </c>
      <c r="G1305" s="177">
        <f>IFERROR(_xlfn.STDEV.P(Data[[#This Row],[alappatjoe]:[currydestroyer27]]), "TBD")</f>
        <v>1.4142135623730951</v>
      </c>
      <c r="H1305" s="135" t="s">
        <v>2631</v>
      </c>
      <c r="I1305" s="229" t="s">
        <v>2632</v>
      </c>
      <c r="J1305" s="3">
        <v>3</v>
      </c>
      <c r="K1305" s="3">
        <v>4</v>
      </c>
      <c r="L1305" s="3">
        <v>2</v>
      </c>
      <c r="M1305" s="3">
        <v>1</v>
      </c>
      <c r="N1305" s="3">
        <v>5</v>
      </c>
      <c r="O1305" s="238"/>
      <c r="P1305" s="93"/>
      <c r="Q1305" s="93"/>
      <c r="R13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05" s="93">
        <v>1</v>
      </c>
      <c r="T1305" s="93" t="b">
        <f>Data[[#This Row],[Day Rank]]=Data[[#This Row],[W Rank]]</f>
        <v>0</v>
      </c>
      <c r="U1305" s="323"/>
    </row>
    <row r="1306" spans="1:21" ht="15" customHeight="1" thickBot="1">
      <c r="A1306" s="327"/>
      <c r="B1306" s="327"/>
      <c r="C1306" s="340"/>
      <c r="D1306" s="164">
        <f>D1302</f>
        <v>45925</v>
      </c>
      <c r="E1306" s="215" t="str">
        <f>$N$1</f>
        <v>currydestroyer27</v>
      </c>
      <c r="F1306" s="165">
        <f>IFERROR(AVERAGE(Data[[#This Row],[alappatjoe]:[currydestroyer27]]), "TBD")</f>
        <v>4.2</v>
      </c>
      <c r="G1306" s="256">
        <f>IFERROR(_xlfn.STDEV.P(Data[[#This Row],[alappatjoe]:[currydestroyer27]]), "TBD")</f>
        <v>1.6</v>
      </c>
      <c r="H1306" s="227" t="s">
        <v>2633</v>
      </c>
      <c r="I1306" s="257" t="s">
        <v>2634</v>
      </c>
      <c r="J1306" s="166">
        <v>5</v>
      </c>
      <c r="K1306" s="166">
        <v>5</v>
      </c>
      <c r="L1306" s="166">
        <v>5</v>
      </c>
      <c r="M1306" s="166">
        <v>5</v>
      </c>
      <c r="N1306" s="166">
        <v>1</v>
      </c>
      <c r="O1306" s="242">
        <v>777149172</v>
      </c>
      <c r="P1306" s="167"/>
      <c r="Q1306" s="167"/>
      <c r="R130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06" s="167">
        <v>1</v>
      </c>
      <c r="T1306" s="167" t="b">
        <f>Data[[#This Row],[Day Rank]]=Data[[#This Row],[W Rank]]</f>
        <v>0</v>
      </c>
      <c r="U1306" s="324"/>
    </row>
    <row r="1307" spans="1:21" ht="15" customHeight="1">
      <c r="A1307" s="325">
        <v>45929</v>
      </c>
      <c r="B1307" s="325"/>
      <c r="C1307" s="328" t="str" cm="1">
        <f t="array" ref="C1307">_xlfn.LET(_xlpm.matches, _xlfn._xlws.FILTER(Data[Poster], (Data[Date]=A1307)*(Data[Winner]=TRUE)), IF(ROWS(_xlpm.matches)&gt;1, "TIE", _xlpm.matches))</f>
        <v>samuelbattista</v>
      </c>
      <c r="D1307" s="147">
        <f>A1307</f>
        <v>45929</v>
      </c>
      <c r="E1307" s="181" t="str">
        <f>$J$1</f>
        <v>alappatjoe</v>
      </c>
      <c r="F1307" s="9">
        <f>IFERROR(AVERAGE(Data[[#This Row],[alappatjoe]:[currydestroyer27]]), "TBD")</f>
        <v>3.8</v>
      </c>
      <c r="G1307" s="178">
        <f>IFERROR(_xlfn.STDEV.P(Data[[#This Row],[alappatjoe]:[currydestroyer27]]), "TBD")</f>
        <v>1.1661903789690602</v>
      </c>
      <c r="H1307" s="160" t="s">
        <v>2635</v>
      </c>
      <c r="I1307" s="186" t="s">
        <v>2636</v>
      </c>
      <c r="J1307" s="3">
        <v>2</v>
      </c>
      <c r="K1307" s="3">
        <v>3</v>
      </c>
      <c r="L1307" s="3">
        <v>4</v>
      </c>
      <c r="M1307" s="3">
        <v>5</v>
      </c>
      <c r="N1307" s="3">
        <v>5</v>
      </c>
      <c r="O1307" s="238">
        <v>3582368</v>
      </c>
      <c r="P1307" s="93"/>
      <c r="Q1307" s="93"/>
      <c r="R13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07" s="93">
        <v>1</v>
      </c>
      <c r="T1307" s="93" t="b">
        <f>Data[[#This Row],[Day Rank]]=Data[[#This Row],[W Rank]]</f>
        <v>0</v>
      </c>
      <c r="U1307" s="331"/>
    </row>
    <row r="1308" spans="1:21" ht="15" customHeight="1">
      <c r="A1308" s="326"/>
      <c r="B1308" s="326"/>
      <c r="C1308" s="329"/>
      <c r="D1308" s="81">
        <f>D1307</f>
        <v>45929</v>
      </c>
      <c r="E1308" s="140" t="str">
        <f>$K$1</f>
        <v>danram</v>
      </c>
      <c r="F1308" s="8">
        <f>IFERROR(AVERAGE(Data[[#This Row],[alappatjoe]:[currydestroyer27]]), "TBD")</f>
        <v>4.2</v>
      </c>
      <c r="G1308" s="177">
        <f>IFERROR(_xlfn.STDEV.P(Data[[#This Row],[alappatjoe]:[currydestroyer27]]), "TBD")</f>
        <v>0.39999999999999997</v>
      </c>
      <c r="H1308" s="135" t="s">
        <v>2637</v>
      </c>
      <c r="I1308" s="229" t="s">
        <v>2638</v>
      </c>
      <c r="J1308" s="3">
        <v>4</v>
      </c>
      <c r="K1308" s="3">
        <v>4</v>
      </c>
      <c r="L1308" s="3">
        <v>5</v>
      </c>
      <c r="M1308" s="3">
        <v>4</v>
      </c>
      <c r="N1308" s="3">
        <v>4</v>
      </c>
      <c r="O1308" s="238"/>
      <c r="P1308" s="93"/>
      <c r="Q1308" s="93"/>
      <c r="R13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08" s="93">
        <v>1</v>
      </c>
      <c r="T1308" s="93" t="b">
        <f>Data[[#This Row],[Day Rank]]=Data[[#This Row],[W Rank]]</f>
        <v>0</v>
      </c>
      <c r="U1308" s="323"/>
    </row>
    <row r="1309" spans="1:21" ht="15" customHeight="1">
      <c r="A1309" s="326"/>
      <c r="B1309" s="326"/>
      <c r="C1309" s="329"/>
      <c r="D1309" s="81">
        <f>D1307</f>
        <v>45929</v>
      </c>
      <c r="E1309" s="140" t="str">
        <f>$L$1</f>
        <v>loganworsdell</v>
      </c>
      <c r="F1309" s="8">
        <f>IFERROR(AVERAGE(Data[[#This Row],[alappatjoe]:[currydestroyer27]]), "TBD")</f>
        <v>2.6</v>
      </c>
      <c r="G1309" s="177">
        <f>IFERROR(_xlfn.STDEV.P(Data[[#This Row],[alappatjoe]:[currydestroyer27]]), "TBD")</f>
        <v>1.4966629547095767</v>
      </c>
      <c r="H1309" s="135" t="s">
        <v>2639</v>
      </c>
      <c r="I1309" s="229" t="s">
        <v>2640</v>
      </c>
      <c r="J1309" s="3">
        <v>5</v>
      </c>
      <c r="K1309" s="3">
        <v>1</v>
      </c>
      <c r="L1309" s="3">
        <v>1</v>
      </c>
      <c r="M1309" s="3">
        <v>3</v>
      </c>
      <c r="N1309" s="3">
        <v>3</v>
      </c>
      <c r="O1309" s="238">
        <v>1339284</v>
      </c>
      <c r="P1309" s="93"/>
      <c r="Q1309" s="93"/>
      <c r="R13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09" s="93">
        <v>1</v>
      </c>
      <c r="T1309" s="93" t="b">
        <f>Data[[#This Row],[Day Rank]]=Data[[#This Row],[W Rank]]</f>
        <v>0</v>
      </c>
      <c r="U1309" s="323"/>
    </row>
    <row r="1310" spans="1:21" ht="15" customHeight="1">
      <c r="A1310" s="326"/>
      <c r="B1310" s="326"/>
      <c r="C1310" s="329"/>
      <c r="D1310" s="81">
        <f>D1307</f>
        <v>45929</v>
      </c>
      <c r="E1310" s="140" t="str">
        <f>$M$1</f>
        <v>samuelbattista</v>
      </c>
      <c r="F1310" s="8">
        <f>IFERROR(AVERAGE(Data[[#This Row],[alappatjoe]:[currydestroyer27]]), "TBD")</f>
        <v>1.4</v>
      </c>
      <c r="G1310" s="177">
        <f>IFERROR(_xlfn.STDEV.P(Data[[#This Row],[alappatjoe]:[currydestroyer27]]), "TBD")</f>
        <v>0.4898979485566356</v>
      </c>
      <c r="H1310" s="135" t="s">
        <v>2641</v>
      </c>
      <c r="I1310" s="229" t="s">
        <v>2053</v>
      </c>
      <c r="J1310" s="3">
        <v>1</v>
      </c>
      <c r="K1310" s="3">
        <v>2</v>
      </c>
      <c r="L1310" s="3">
        <v>2</v>
      </c>
      <c r="M1310" s="3">
        <v>1</v>
      </c>
      <c r="N1310" s="3">
        <v>1</v>
      </c>
      <c r="O1310" s="238"/>
      <c r="P1310" s="93"/>
      <c r="Q1310" s="93"/>
      <c r="R13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10" s="93">
        <v>1</v>
      </c>
      <c r="T1310" s="93" t="b">
        <f>Data[[#This Row],[Day Rank]]=Data[[#This Row],[W Rank]]</f>
        <v>1</v>
      </c>
      <c r="U1310" s="323"/>
    </row>
    <row r="1311" spans="1:21" ht="15" customHeight="1" thickBot="1">
      <c r="A1311" s="327"/>
      <c r="B1311" s="327"/>
      <c r="C1311" s="330"/>
      <c r="D1311" s="164">
        <f>D1307</f>
        <v>45929</v>
      </c>
      <c r="E1311" s="215" t="str">
        <f>$N$1</f>
        <v>currydestroyer27</v>
      </c>
      <c r="F1311" s="165">
        <f>IFERROR(AVERAGE(Data[[#This Row],[alappatjoe]:[currydestroyer27]]), "TBD")</f>
        <v>3</v>
      </c>
      <c r="G1311" s="256">
        <f>IFERROR(_xlfn.STDEV.P(Data[[#This Row],[alappatjoe]:[currydestroyer27]]), "TBD")</f>
        <v>1.0954451150103321</v>
      </c>
      <c r="H1311" s="227" t="s">
        <v>2642</v>
      </c>
      <c r="I1311" s="257" t="s">
        <v>2643</v>
      </c>
      <c r="J1311" s="166">
        <v>3</v>
      </c>
      <c r="K1311" s="166">
        <v>5</v>
      </c>
      <c r="L1311" s="166">
        <v>3</v>
      </c>
      <c r="M1311" s="166">
        <v>2</v>
      </c>
      <c r="N1311" s="166">
        <v>2</v>
      </c>
      <c r="O1311" s="242">
        <v>142206003</v>
      </c>
      <c r="P1311" s="167"/>
      <c r="Q1311" s="167"/>
      <c r="R13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11" s="167">
        <v>1</v>
      </c>
      <c r="T1311" s="167" t="b">
        <f>Data[[#This Row],[Day Rank]]=Data[[#This Row],[W Rank]]</f>
        <v>0</v>
      </c>
      <c r="U1311" s="324"/>
    </row>
    <row r="1312" spans="1:21" ht="15" customHeight="1">
      <c r="A1312" s="325">
        <v>45930</v>
      </c>
      <c r="B1312" s="325"/>
      <c r="C1312" s="338" t="str" cm="1">
        <f t="array" ref="C1312">_xlfn.LET(_xlpm.matches, _xlfn._xlws.FILTER(Data[Poster], (Data[Date]=A1312)*(Data[Winner]=TRUE)), IF(ROWS(_xlpm.matches)&gt;1, "TIE", _xlpm.matches))</f>
        <v>alappatjoe</v>
      </c>
      <c r="D1312" s="147">
        <f>A1312</f>
        <v>45930</v>
      </c>
      <c r="E1312" s="181" t="str">
        <f>$J$1</f>
        <v>alappatjoe</v>
      </c>
      <c r="F1312" s="9">
        <f>IFERROR(AVERAGE(Data[[#This Row],[alappatjoe]:[currydestroyer27]]), "TBD")</f>
        <v>2.4</v>
      </c>
      <c r="G1312" s="178">
        <f>IFERROR(_xlfn.STDEV.P(Data[[#This Row],[alappatjoe]:[currydestroyer27]]), "TBD")</f>
        <v>0.8</v>
      </c>
      <c r="H1312" s="160" t="s">
        <v>2644</v>
      </c>
      <c r="I1312" s="186" t="s">
        <v>2645</v>
      </c>
      <c r="J1312" s="3">
        <v>1</v>
      </c>
      <c r="K1312" s="3">
        <v>3</v>
      </c>
      <c r="L1312" s="3">
        <v>2</v>
      </c>
      <c r="M1312" s="3">
        <v>3</v>
      </c>
      <c r="N1312" s="3">
        <v>3</v>
      </c>
      <c r="O1312" s="238">
        <v>32132</v>
      </c>
      <c r="P1312" s="93"/>
      <c r="Q1312" s="93"/>
      <c r="R13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12" s="93">
        <v>1</v>
      </c>
      <c r="T1312" s="93" t="b">
        <f>Data[[#This Row],[Day Rank]]=Data[[#This Row],[W Rank]]</f>
        <v>1</v>
      </c>
      <c r="U1312" s="331"/>
    </row>
    <row r="1313" spans="1:21" ht="15" customHeight="1">
      <c r="A1313" s="326"/>
      <c r="B1313" s="326"/>
      <c r="C1313" s="339"/>
      <c r="D1313" s="81">
        <f>D1312</f>
        <v>45930</v>
      </c>
      <c r="E1313" s="140" t="str">
        <f>$K$1</f>
        <v>danram</v>
      </c>
      <c r="F1313" s="8">
        <f>IFERROR(AVERAGE(Data[[#This Row],[alappatjoe]:[currydestroyer27]]), "TBD")</f>
        <v>4.4000000000000004</v>
      </c>
      <c r="G1313" s="177">
        <f>IFERROR(_xlfn.STDEV.P(Data[[#This Row],[alappatjoe]:[currydestroyer27]]), "TBD")</f>
        <v>1.2</v>
      </c>
      <c r="H1313" s="135" t="s">
        <v>2646</v>
      </c>
      <c r="I1313" s="229" t="s">
        <v>2647</v>
      </c>
      <c r="J1313" s="3">
        <v>5</v>
      </c>
      <c r="K1313" s="3">
        <v>5</v>
      </c>
      <c r="L1313" s="3">
        <v>5</v>
      </c>
      <c r="M1313" s="3">
        <v>2</v>
      </c>
      <c r="N1313" s="3">
        <v>5</v>
      </c>
      <c r="O1313" s="238"/>
      <c r="P1313" s="93"/>
      <c r="Q1313" s="93"/>
      <c r="R13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13" s="93">
        <v>1</v>
      </c>
      <c r="T1313" s="93" t="b">
        <f>Data[[#This Row],[Day Rank]]=Data[[#This Row],[W Rank]]</f>
        <v>0</v>
      </c>
      <c r="U1313" s="323"/>
    </row>
    <row r="1314" spans="1:21" ht="15" customHeight="1">
      <c r="A1314" s="326"/>
      <c r="B1314" s="326"/>
      <c r="C1314" s="339"/>
      <c r="D1314" s="81">
        <f>D1312</f>
        <v>45930</v>
      </c>
      <c r="E1314" s="140" t="str">
        <f>$L$1</f>
        <v>loganworsdell</v>
      </c>
      <c r="F1314" s="8">
        <f>IFERROR(AVERAGE(Data[[#This Row],[alappatjoe]:[currydestroyer27]]), "TBD")</f>
        <v>3</v>
      </c>
      <c r="G1314" s="177">
        <f>IFERROR(_xlfn.STDEV.P(Data[[#This Row],[alappatjoe]:[currydestroyer27]]), "TBD")</f>
        <v>1.6733200530681511</v>
      </c>
      <c r="H1314" s="135" t="s">
        <v>2648</v>
      </c>
      <c r="I1314" s="229" t="s">
        <v>2649</v>
      </c>
      <c r="J1314" s="3">
        <v>4</v>
      </c>
      <c r="K1314" s="3">
        <v>1</v>
      </c>
      <c r="L1314" s="3">
        <v>1</v>
      </c>
      <c r="M1314" s="3">
        <v>5</v>
      </c>
      <c r="N1314" s="3">
        <v>4</v>
      </c>
      <c r="O1314" s="238">
        <v>8527740</v>
      </c>
      <c r="P1314" s="93"/>
      <c r="Q1314" s="93"/>
      <c r="R13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14" s="93">
        <v>1</v>
      </c>
      <c r="T1314" s="93" t="b">
        <f>Data[[#This Row],[Day Rank]]=Data[[#This Row],[W Rank]]</f>
        <v>0</v>
      </c>
      <c r="U1314" s="323"/>
    </row>
    <row r="1315" spans="1:21" ht="15" customHeight="1">
      <c r="A1315" s="326"/>
      <c r="B1315" s="326"/>
      <c r="C1315" s="339"/>
      <c r="D1315" s="81">
        <f>D1312</f>
        <v>45930</v>
      </c>
      <c r="E1315" s="140" t="str">
        <f>$M$1</f>
        <v>samuelbattista</v>
      </c>
      <c r="F1315" s="8">
        <f>IFERROR(AVERAGE(Data[[#This Row],[alappatjoe]:[currydestroyer27]]), "TBD")</f>
        <v>2.6</v>
      </c>
      <c r="G1315" s="177">
        <f>IFERROR(_xlfn.STDEV.P(Data[[#This Row],[alappatjoe]:[currydestroyer27]]), "TBD")</f>
        <v>1.019803902718557</v>
      </c>
      <c r="H1315" s="135" t="s">
        <v>2650</v>
      </c>
      <c r="I1315" s="229" t="s">
        <v>1110</v>
      </c>
      <c r="J1315" s="3">
        <v>3</v>
      </c>
      <c r="K1315" s="3">
        <v>4</v>
      </c>
      <c r="L1315" s="3">
        <v>3</v>
      </c>
      <c r="M1315" s="3">
        <v>1</v>
      </c>
      <c r="N1315" s="3">
        <v>2</v>
      </c>
      <c r="O1315" s="238"/>
      <c r="P1315" s="93"/>
      <c r="Q1315" s="93"/>
      <c r="R13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15" s="93">
        <v>1</v>
      </c>
      <c r="T1315" s="93" t="b">
        <f>Data[[#This Row],[Day Rank]]=Data[[#This Row],[W Rank]]</f>
        <v>0</v>
      </c>
      <c r="U1315" s="323"/>
    </row>
    <row r="1316" spans="1:21" ht="15" customHeight="1" thickBot="1">
      <c r="A1316" s="327"/>
      <c r="B1316" s="327"/>
      <c r="C1316" s="340"/>
      <c r="D1316" s="164">
        <f>D1312</f>
        <v>45930</v>
      </c>
      <c r="E1316" s="215" t="str">
        <f>$N$1</f>
        <v>currydestroyer27</v>
      </c>
      <c r="F1316" s="165">
        <f>IFERROR(AVERAGE(Data[[#This Row],[alappatjoe]:[currydestroyer27]]), "TBD")</f>
        <v>2.6</v>
      </c>
      <c r="G1316" s="256">
        <f>IFERROR(_xlfn.STDEV.P(Data[[#This Row],[alappatjoe]:[currydestroyer27]]), "TBD")</f>
        <v>1.2</v>
      </c>
      <c r="H1316" s="227" t="s">
        <v>2651</v>
      </c>
      <c r="I1316" s="257" t="s">
        <v>2652</v>
      </c>
      <c r="J1316" s="166">
        <v>2</v>
      </c>
      <c r="K1316" s="166">
        <v>2</v>
      </c>
      <c r="L1316" s="166">
        <v>4</v>
      </c>
      <c r="M1316" s="166">
        <v>4</v>
      </c>
      <c r="N1316" s="166">
        <v>1</v>
      </c>
      <c r="O1316" s="242">
        <v>138178299</v>
      </c>
      <c r="P1316" s="167"/>
      <c r="Q1316" s="167"/>
      <c r="R13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16" s="167">
        <v>1</v>
      </c>
      <c r="T1316" s="167" t="b">
        <f>Data[[#This Row],[Day Rank]]=Data[[#This Row],[W Rank]]</f>
        <v>0</v>
      </c>
      <c r="U1316" s="324"/>
    </row>
    <row r="1317" spans="1:21" ht="15" customHeight="1">
      <c r="A1317" s="325">
        <v>45931</v>
      </c>
      <c r="B1317" s="325"/>
      <c r="C1317" s="328" t="str" cm="1">
        <f t="array" ref="C1317">_xlfn.LET(_xlpm.matches, _xlfn._xlws.FILTER(Data[Poster], (Data[Date]=A1317)*(Data[Winner]=TRUE)), IF(ROWS(_xlpm.matches)&gt;1, "TIE", _xlpm.matches))</f>
        <v>samuelbattista</v>
      </c>
      <c r="D1317" s="147">
        <f>A1317</f>
        <v>45931</v>
      </c>
      <c r="E1317" s="181" t="str">
        <f>$J$1</f>
        <v>alappatjoe</v>
      </c>
      <c r="F1317" s="9">
        <f>IFERROR(AVERAGE(Data[[#This Row],[alappatjoe]:[currydestroyer27]]), "TBD")</f>
        <v>3.2</v>
      </c>
      <c r="G1317" s="178">
        <f>IFERROR(_xlfn.STDEV.P(Data[[#This Row],[alappatjoe]:[currydestroyer27]]), "TBD")</f>
        <v>1.4696938456699069</v>
      </c>
      <c r="H1317" s="160" t="s">
        <v>2653</v>
      </c>
      <c r="I1317" s="186" t="s">
        <v>2654</v>
      </c>
      <c r="J1317" s="3">
        <v>1</v>
      </c>
      <c r="K1317" s="3">
        <v>4</v>
      </c>
      <c r="L1317" s="3">
        <v>5</v>
      </c>
      <c r="M1317" s="3">
        <v>2</v>
      </c>
      <c r="N1317" s="3">
        <v>4</v>
      </c>
      <c r="O1317" s="238">
        <v>13252644</v>
      </c>
      <c r="P1317" s="93"/>
      <c r="Q1317" s="93"/>
      <c r="R13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17" s="93">
        <v>1</v>
      </c>
      <c r="T1317" s="93" t="b">
        <f>Data[[#This Row],[Day Rank]]=Data[[#This Row],[W Rank]]</f>
        <v>0</v>
      </c>
      <c r="U1317" s="331"/>
    </row>
    <row r="1318" spans="1:21" ht="15" customHeight="1">
      <c r="A1318" s="326"/>
      <c r="B1318" s="326"/>
      <c r="C1318" s="329"/>
      <c r="D1318" s="81">
        <f>D1317</f>
        <v>45931</v>
      </c>
      <c r="E1318" s="140" t="str">
        <f>$K$1</f>
        <v>danram</v>
      </c>
      <c r="F1318" s="8">
        <f>IFERROR(AVERAGE(Data[[#This Row],[alappatjoe]:[currydestroyer27]]), "TBD")</f>
        <v>2.6</v>
      </c>
      <c r="G1318" s="177">
        <f>IFERROR(_xlfn.STDEV.P(Data[[#This Row],[alappatjoe]:[currydestroyer27]]), "TBD")</f>
        <v>1.019803902718557</v>
      </c>
      <c r="H1318" s="135" t="s">
        <v>2655</v>
      </c>
      <c r="I1318" s="229" t="s">
        <v>926</v>
      </c>
      <c r="J1318" s="3">
        <v>2</v>
      </c>
      <c r="K1318" s="3">
        <v>1</v>
      </c>
      <c r="L1318" s="3">
        <v>3</v>
      </c>
      <c r="M1318" s="3">
        <v>4</v>
      </c>
      <c r="N1318" s="3">
        <v>3</v>
      </c>
      <c r="O1318" s="238"/>
      <c r="P1318" s="93"/>
      <c r="Q1318" s="93"/>
      <c r="R13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18" s="93">
        <v>1</v>
      </c>
      <c r="T1318" s="93" t="b">
        <f>Data[[#This Row],[Day Rank]]=Data[[#This Row],[W Rank]]</f>
        <v>0</v>
      </c>
      <c r="U1318" s="323"/>
    </row>
    <row r="1319" spans="1:21" ht="15" customHeight="1">
      <c r="A1319" s="326"/>
      <c r="B1319" s="326"/>
      <c r="C1319" s="329"/>
      <c r="D1319" s="81">
        <f>D1317</f>
        <v>45931</v>
      </c>
      <c r="E1319" s="140" t="str">
        <f>$L$1</f>
        <v>loganworsdell</v>
      </c>
      <c r="F1319" s="8">
        <f>IFERROR(AVERAGE(Data[[#This Row],[alappatjoe]:[currydestroyer27]]), "TBD")</f>
        <v>4.4000000000000004</v>
      </c>
      <c r="G1319" s="177">
        <f>IFERROR(_xlfn.STDEV.P(Data[[#This Row],[alappatjoe]:[currydestroyer27]]), "TBD")</f>
        <v>0.8</v>
      </c>
      <c r="H1319" s="135" t="s">
        <v>2656</v>
      </c>
      <c r="I1319" s="229" t="s">
        <v>2657</v>
      </c>
      <c r="J1319" s="3">
        <v>5</v>
      </c>
      <c r="K1319" s="3">
        <v>3</v>
      </c>
      <c r="L1319" s="3">
        <v>4</v>
      </c>
      <c r="M1319" s="3">
        <v>5</v>
      </c>
      <c r="N1319" s="3">
        <v>5</v>
      </c>
      <c r="O1319" s="238">
        <v>100972</v>
      </c>
      <c r="P1319" s="93"/>
      <c r="Q1319" s="93"/>
      <c r="R13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19" s="93">
        <v>1</v>
      </c>
      <c r="T1319" s="93" t="b">
        <f>Data[[#This Row],[Day Rank]]=Data[[#This Row],[W Rank]]</f>
        <v>0</v>
      </c>
      <c r="U1319" s="323"/>
    </row>
    <row r="1320" spans="1:21" ht="15" customHeight="1">
      <c r="A1320" s="326"/>
      <c r="B1320" s="326"/>
      <c r="C1320" s="329"/>
      <c r="D1320" s="81">
        <f>D1317</f>
        <v>45931</v>
      </c>
      <c r="E1320" s="140" t="str">
        <f>$M$1</f>
        <v>samuelbattista</v>
      </c>
      <c r="F1320" s="8">
        <f>IFERROR(AVERAGE(Data[[#This Row],[alappatjoe]:[currydestroyer27]]), "TBD")</f>
        <v>2</v>
      </c>
      <c r="G1320" s="177">
        <f>IFERROR(_xlfn.STDEV.P(Data[[#This Row],[alappatjoe]:[currydestroyer27]]), "TBD")</f>
        <v>1.0954451150103321</v>
      </c>
      <c r="H1320" s="135" t="s">
        <v>2658</v>
      </c>
      <c r="I1320" s="229" t="s">
        <v>367</v>
      </c>
      <c r="J1320" s="3">
        <v>4</v>
      </c>
      <c r="K1320" s="3">
        <v>2</v>
      </c>
      <c r="L1320" s="3">
        <v>1</v>
      </c>
      <c r="M1320" s="3">
        <v>1</v>
      </c>
      <c r="N1320" s="3">
        <v>2</v>
      </c>
      <c r="O1320" s="238"/>
      <c r="P1320" s="93"/>
      <c r="Q1320" s="93"/>
      <c r="R13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20" s="93">
        <v>1</v>
      </c>
      <c r="T1320" s="93" t="b">
        <f>Data[[#This Row],[Day Rank]]=Data[[#This Row],[W Rank]]</f>
        <v>1</v>
      </c>
      <c r="U1320" s="323"/>
    </row>
    <row r="1321" spans="1:21" ht="15" customHeight="1" thickBot="1">
      <c r="A1321" s="327"/>
      <c r="B1321" s="327"/>
      <c r="C1321" s="330"/>
      <c r="D1321" s="164">
        <f>D1317</f>
        <v>45931</v>
      </c>
      <c r="E1321" s="215" t="str">
        <f>$N$1</f>
        <v>currydestroyer27</v>
      </c>
      <c r="F1321" s="165">
        <f>IFERROR(AVERAGE(Data[[#This Row],[alappatjoe]:[currydestroyer27]]), "TBD")</f>
        <v>2.8</v>
      </c>
      <c r="G1321" s="256">
        <f>IFERROR(_xlfn.STDEV.P(Data[[#This Row],[alappatjoe]:[currydestroyer27]]), "TBD")</f>
        <v>1.3266499161421599</v>
      </c>
      <c r="H1321" s="227" t="s">
        <v>2659</v>
      </c>
      <c r="I1321" s="257" t="s">
        <v>1317</v>
      </c>
      <c r="J1321" s="166">
        <v>3</v>
      </c>
      <c r="K1321" s="166">
        <v>5</v>
      </c>
      <c r="L1321" s="166">
        <v>2</v>
      </c>
      <c r="M1321" s="166">
        <v>3</v>
      </c>
      <c r="N1321" s="166">
        <v>1</v>
      </c>
      <c r="O1321" s="242">
        <v>98392322</v>
      </c>
      <c r="P1321" s="167" t="s">
        <v>76</v>
      </c>
      <c r="Q1321" s="167" t="s">
        <v>99</v>
      </c>
      <c r="R13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21" s="167">
        <v>1</v>
      </c>
      <c r="T1321" s="167" t="b">
        <f>Data[[#This Row],[Day Rank]]=Data[[#This Row],[W Rank]]</f>
        <v>0</v>
      </c>
      <c r="U1321" s="324"/>
    </row>
    <row r="1322" spans="1:21" ht="15" customHeight="1">
      <c r="A1322" s="325">
        <v>45932</v>
      </c>
      <c r="B1322" s="325"/>
      <c r="C1322" s="338" t="str" cm="1">
        <f t="array" ref="C1322">_xlfn.LET(_xlpm.matches, _xlfn._xlws.FILTER(Data[Poster], (Data[Date]=A1322)*(Data[Winner]=TRUE)), IF(ROWS(_xlpm.matches)&gt;1, "TIE", _xlpm.matches))</f>
        <v>danram</v>
      </c>
      <c r="D1322" s="147">
        <f>A1322</f>
        <v>45932</v>
      </c>
      <c r="E1322" s="181" t="str">
        <f>$J$1</f>
        <v>alappatjoe</v>
      </c>
      <c r="F1322" s="9">
        <f>IFERROR(AVERAGE(Data[[#This Row],[alappatjoe]:[currydestroyer27]]), "TBD")</f>
        <v>2.8</v>
      </c>
      <c r="G1322" s="178">
        <f>IFERROR(_xlfn.STDEV.P(Data[[#This Row],[alappatjoe]:[currydestroyer27]]), "TBD")</f>
        <v>1.6</v>
      </c>
      <c r="H1322" s="160" t="s">
        <v>2660</v>
      </c>
      <c r="I1322" s="186" t="s">
        <v>2661</v>
      </c>
      <c r="J1322" s="3">
        <v>1</v>
      </c>
      <c r="K1322" s="3">
        <v>4</v>
      </c>
      <c r="L1322" s="3">
        <v>1</v>
      </c>
      <c r="M1322" s="3">
        <v>3</v>
      </c>
      <c r="N1322" s="3">
        <v>5</v>
      </c>
      <c r="O1322" s="238">
        <v>291097884</v>
      </c>
      <c r="P1322" s="93"/>
      <c r="Q1322" s="93"/>
      <c r="R13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22" s="93">
        <v>1</v>
      </c>
      <c r="T1322" s="93" t="b">
        <f>Data[[#This Row],[Day Rank]]=Data[[#This Row],[W Rank]]</f>
        <v>0</v>
      </c>
      <c r="U1322" s="331" t="s">
        <v>2662</v>
      </c>
    </row>
    <row r="1323" spans="1:21" ht="15" customHeight="1">
      <c r="A1323" s="326"/>
      <c r="B1323" s="326"/>
      <c r="C1323" s="339"/>
      <c r="D1323" s="81">
        <f>D1322</f>
        <v>45932</v>
      </c>
      <c r="E1323" s="140" t="str">
        <f>$K$1</f>
        <v>danram</v>
      </c>
      <c r="F1323" s="8">
        <f>IFERROR(AVERAGE(Data[[#This Row],[alappatjoe]:[currydestroyer27]]), "TBD")</f>
        <v>2.8</v>
      </c>
      <c r="G1323" s="177">
        <f>IFERROR(_xlfn.STDEV.P(Data[[#This Row],[alappatjoe]:[currydestroyer27]]), "TBD")</f>
        <v>0.74833147735478833</v>
      </c>
      <c r="H1323" s="135" t="s">
        <v>2663</v>
      </c>
      <c r="I1323" s="229" t="s">
        <v>1809</v>
      </c>
      <c r="J1323" s="3">
        <v>2</v>
      </c>
      <c r="K1323" s="3">
        <v>2</v>
      </c>
      <c r="L1323" s="3">
        <v>3</v>
      </c>
      <c r="M1323" s="3">
        <v>4</v>
      </c>
      <c r="N1323" s="3">
        <v>3</v>
      </c>
      <c r="O1323" s="238"/>
      <c r="P1323" s="93"/>
      <c r="Q1323" s="93"/>
      <c r="R13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23" s="93">
        <v>1</v>
      </c>
      <c r="T1323" s="93" t="b">
        <f>Data[[#This Row],[Day Rank]]=Data[[#This Row],[W Rank]]</f>
        <v>1</v>
      </c>
      <c r="U1323" s="323"/>
    </row>
    <row r="1324" spans="1:21" ht="15" customHeight="1">
      <c r="A1324" s="326"/>
      <c r="B1324" s="326"/>
      <c r="C1324" s="339"/>
      <c r="D1324" s="81">
        <f>D1322</f>
        <v>45932</v>
      </c>
      <c r="E1324" s="140" t="str">
        <f>$L$1</f>
        <v>loganworsdell</v>
      </c>
      <c r="F1324" s="8">
        <f>IFERROR(AVERAGE(Data[[#This Row],[alappatjoe]:[currydestroyer27]]), "TBD")</f>
        <v>2.8</v>
      </c>
      <c r="G1324" s="177">
        <f>IFERROR(_xlfn.STDEV.P(Data[[#This Row],[alappatjoe]:[currydestroyer27]]), "TBD")</f>
        <v>1.3266499161421599</v>
      </c>
      <c r="H1324" s="135" t="s">
        <v>2664</v>
      </c>
      <c r="I1324" s="229" t="s">
        <v>54</v>
      </c>
      <c r="J1324" s="3">
        <v>3</v>
      </c>
      <c r="K1324" s="3">
        <v>3</v>
      </c>
      <c r="L1324" s="3">
        <v>2</v>
      </c>
      <c r="M1324" s="3">
        <v>5</v>
      </c>
      <c r="N1324" s="3">
        <v>1</v>
      </c>
      <c r="O1324" s="238">
        <v>24651391</v>
      </c>
      <c r="P1324" s="93"/>
      <c r="Q1324" s="93"/>
      <c r="R13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24" s="93">
        <v>1</v>
      </c>
      <c r="T1324" s="93" t="b">
        <f>Data[[#This Row],[Day Rank]]=Data[[#This Row],[W Rank]]</f>
        <v>0</v>
      </c>
      <c r="U1324" s="323"/>
    </row>
    <row r="1325" spans="1:21" ht="15" customHeight="1">
      <c r="A1325" s="326"/>
      <c r="B1325" s="326"/>
      <c r="C1325" s="339"/>
      <c r="D1325" s="81">
        <f>D1322</f>
        <v>45932</v>
      </c>
      <c r="E1325" s="140" t="str">
        <f>$M$1</f>
        <v>samuelbattista</v>
      </c>
      <c r="F1325" s="8">
        <f>IFERROR(AVERAGE(Data[[#This Row],[alappatjoe]:[currydestroyer27]]), "TBD")</f>
        <v>3.4</v>
      </c>
      <c r="G1325" s="177">
        <f>IFERROR(_xlfn.STDEV.P(Data[[#This Row],[alappatjoe]:[currydestroyer27]]), "TBD")</f>
        <v>1.6248076809271921</v>
      </c>
      <c r="H1325" s="135" t="s">
        <v>2665</v>
      </c>
      <c r="I1325" s="229" t="s">
        <v>909</v>
      </c>
      <c r="J1325" s="3">
        <v>5</v>
      </c>
      <c r="K1325" s="3">
        <v>1</v>
      </c>
      <c r="L1325" s="3">
        <v>5</v>
      </c>
      <c r="M1325" s="3">
        <v>2</v>
      </c>
      <c r="N1325" s="3">
        <v>4</v>
      </c>
      <c r="O1325" s="238"/>
      <c r="P1325" s="93"/>
      <c r="Q1325" s="93"/>
      <c r="R13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25" s="93">
        <v>1</v>
      </c>
      <c r="T1325" s="93" t="b">
        <f>Data[[#This Row],[Day Rank]]=Data[[#This Row],[W Rank]]</f>
        <v>0</v>
      </c>
      <c r="U1325" s="323"/>
    </row>
    <row r="1326" spans="1:21" ht="15" customHeight="1" thickBot="1">
      <c r="A1326" s="327"/>
      <c r="B1326" s="327"/>
      <c r="C1326" s="340"/>
      <c r="D1326" s="164">
        <f>D1322</f>
        <v>45932</v>
      </c>
      <c r="E1326" s="215" t="str">
        <f>$N$1</f>
        <v>currydestroyer27</v>
      </c>
      <c r="F1326" s="165">
        <f>IFERROR(AVERAGE(Data[[#This Row],[alappatjoe]:[currydestroyer27]]), "TBD")</f>
        <v>3.2</v>
      </c>
      <c r="G1326" s="256">
        <f>IFERROR(_xlfn.STDEV.P(Data[[#This Row],[alappatjoe]:[currydestroyer27]]), "TBD")</f>
        <v>1.4696938456699069</v>
      </c>
      <c r="H1326" s="227" t="s">
        <v>2666</v>
      </c>
      <c r="I1326" s="257" t="s">
        <v>54</v>
      </c>
      <c r="J1326" s="166">
        <v>4</v>
      </c>
      <c r="K1326" s="166">
        <v>5</v>
      </c>
      <c r="L1326" s="166">
        <v>4</v>
      </c>
      <c r="M1326" s="166">
        <v>1</v>
      </c>
      <c r="N1326" s="166">
        <v>2</v>
      </c>
      <c r="O1326" s="242">
        <v>57605118</v>
      </c>
      <c r="P1326" s="167"/>
      <c r="Q1326" s="167"/>
      <c r="R13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26" s="167">
        <v>1</v>
      </c>
      <c r="T1326" s="167" t="b">
        <f>Data[[#This Row],[Day Rank]]=Data[[#This Row],[W Rank]]</f>
        <v>0</v>
      </c>
      <c r="U1326" s="324"/>
    </row>
    <row r="1327" spans="1:21" ht="15" customHeight="1">
      <c r="A1327" s="325">
        <v>45936</v>
      </c>
      <c r="B1327" s="325"/>
      <c r="C1327" s="328" t="str" cm="1">
        <f t="array" ref="C1327">_xlfn.LET(_xlpm.matches, _xlfn._xlws.FILTER(Data[Poster], (Data[Date]=A1327)*(Data[Winner]=TRUE)), IF(ROWS(_xlpm.matches)&gt;1, "TIE", _xlpm.matches))</f>
        <v>danram</v>
      </c>
      <c r="D1327" s="147">
        <f>A1327</f>
        <v>45936</v>
      </c>
      <c r="E1327" s="181" t="str">
        <f>$J$1</f>
        <v>alappatjoe</v>
      </c>
      <c r="F1327" s="9">
        <f>IFERROR(AVERAGE(Data[[#This Row],[alappatjoe]:[currydestroyer27]]), "TBD")</f>
        <v>2.6</v>
      </c>
      <c r="G1327" s="178">
        <f>IFERROR(_xlfn.STDEV.P(Data[[#This Row],[alappatjoe]:[currydestroyer27]]), "TBD")</f>
        <v>1.019803902718557</v>
      </c>
      <c r="H1327" s="160" t="s">
        <v>2667</v>
      </c>
      <c r="I1327" s="186" t="s">
        <v>2668</v>
      </c>
      <c r="J1327" s="3">
        <v>1</v>
      </c>
      <c r="K1327" s="3">
        <v>3</v>
      </c>
      <c r="L1327" s="3">
        <v>2</v>
      </c>
      <c r="M1327" s="3">
        <v>4</v>
      </c>
      <c r="N1327" s="3">
        <v>3</v>
      </c>
      <c r="O1327" s="238">
        <v>601382</v>
      </c>
      <c r="P1327" s="93"/>
      <c r="Q1327" s="93"/>
      <c r="R13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27" s="93">
        <v>1</v>
      </c>
      <c r="T1327" s="93" t="b">
        <f>Data[[#This Row],[Day Rank]]=Data[[#This Row],[W Rank]]</f>
        <v>0</v>
      </c>
      <c r="U1327" s="331"/>
    </row>
    <row r="1328" spans="1:21" ht="15" customHeight="1">
      <c r="A1328" s="326"/>
      <c r="B1328" s="326"/>
      <c r="C1328" s="329"/>
      <c r="D1328" s="81">
        <f>D1327</f>
        <v>45936</v>
      </c>
      <c r="E1328" s="140" t="str">
        <f>$K$1</f>
        <v>danram</v>
      </c>
      <c r="F1328" s="8">
        <f>IFERROR(AVERAGE(Data[[#This Row],[alappatjoe]:[currydestroyer27]]), "TBD")</f>
        <v>2</v>
      </c>
      <c r="G1328" s="177">
        <f>IFERROR(_xlfn.STDEV.P(Data[[#This Row],[alappatjoe]:[currydestroyer27]]), "TBD")</f>
        <v>0.89442719099991586</v>
      </c>
      <c r="H1328" s="135" t="s">
        <v>2669</v>
      </c>
      <c r="I1328" s="229" t="s">
        <v>504</v>
      </c>
      <c r="J1328" s="3">
        <v>2</v>
      </c>
      <c r="K1328" s="3">
        <v>1</v>
      </c>
      <c r="L1328" s="3">
        <v>3</v>
      </c>
      <c r="M1328" s="3">
        <v>3</v>
      </c>
      <c r="N1328" s="3">
        <v>1</v>
      </c>
      <c r="O1328" s="238"/>
      <c r="P1328" s="93"/>
      <c r="Q1328" s="93"/>
      <c r="R13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28" s="93">
        <v>1</v>
      </c>
      <c r="T1328" s="93" t="b">
        <f>Data[[#This Row],[Day Rank]]=Data[[#This Row],[W Rank]]</f>
        <v>1</v>
      </c>
      <c r="U1328" s="323"/>
    </row>
    <row r="1329" spans="1:21" ht="15" customHeight="1">
      <c r="A1329" s="326"/>
      <c r="B1329" s="326"/>
      <c r="C1329" s="329"/>
      <c r="D1329" s="81">
        <f>D1327</f>
        <v>45936</v>
      </c>
      <c r="E1329" s="140" t="str">
        <f>$L$1</f>
        <v>loganworsdell</v>
      </c>
      <c r="F1329" s="8">
        <f>IFERROR(AVERAGE(Data[[#This Row],[alappatjoe]:[currydestroyer27]]), "TBD")</f>
        <v>4.5999999999999996</v>
      </c>
      <c r="G1329" s="177">
        <f>IFERROR(_xlfn.STDEV.P(Data[[#This Row],[alappatjoe]:[currydestroyer27]]), "TBD")</f>
        <v>0.4898979485566356</v>
      </c>
      <c r="H1329" s="135" t="s">
        <v>2670</v>
      </c>
      <c r="I1329" s="229" t="s">
        <v>2671</v>
      </c>
      <c r="J1329" s="3">
        <v>4</v>
      </c>
      <c r="K1329" s="3">
        <v>5</v>
      </c>
      <c r="L1329" s="3">
        <v>5</v>
      </c>
      <c r="M1329" s="3">
        <v>5</v>
      </c>
      <c r="N1329" s="3">
        <v>4</v>
      </c>
      <c r="O1329" s="238">
        <v>912138</v>
      </c>
      <c r="P1329" s="93"/>
      <c r="Q1329" s="93"/>
      <c r="R13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29" s="93">
        <v>1</v>
      </c>
      <c r="T1329" s="93" t="b">
        <f>Data[[#This Row],[Day Rank]]=Data[[#This Row],[W Rank]]</f>
        <v>0</v>
      </c>
      <c r="U1329" s="323"/>
    </row>
    <row r="1330" spans="1:21" ht="15" customHeight="1">
      <c r="A1330" s="326"/>
      <c r="B1330" s="326"/>
      <c r="C1330" s="329"/>
      <c r="D1330" s="81">
        <f>D1327</f>
        <v>45936</v>
      </c>
      <c r="E1330" s="140" t="str">
        <f>$M$1</f>
        <v>samuelbattista</v>
      </c>
      <c r="F1330" s="8">
        <f>IFERROR(AVERAGE(Data[[#This Row],[alappatjoe]:[currydestroyer27]]), "TBD")</f>
        <v>2.8</v>
      </c>
      <c r="G1330" s="177">
        <f>IFERROR(_xlfn.STDEV.P(Data[[#This Row],[alappatjoe]:[currydestroyer27]]), "TBD")</f>
        <v>1.6</v>
      </c>
      <c r="H1330" s="135" t="s">
        <v>2672</v>
      </c>
      <c r="I1330" s="229" t="s">
        <v>2673</v>
      </c>
      <c r="J1330" s="3">
        <v>3</v>
      </c>
      <c r="K1330" s="3">
        <v>4</v>
      </c>
      <c r="L1330" s="3">
        <v>1</v>
      </c>
      <c r="M1330" s="3">
        <v>1</v>
      </c>
      <c r="N1330" s="3">
        <v>5</v>
      </c>
      <c r="O1330" s="238"/>
      <c r="P1330" s="93"/>
      <c r="Q1330" s="93"/>
      <c r="R13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30" s="93">
        <v>1</v>
      </c>
      <c r="T1330" s="93" t="b">
        <f>Data[[#This Row],[Day Rank]]=Data[[#This Row],[W Rank]]</f>
        <v>0</v>
      </c>
      <c r="U1330" s="323"/>
    </row>
    <row r="1331" spans="1:21" ht="15" customHeight="1" thickBot="1">
      <c r="A1331" s="327"/>
      <c r="B1331" s="327"/>
      <c r="C1331" s="330"/>
      <c r="D1331" s="164">
        <f>D1327</f>
        <v>45936</v>
      </c>
      <c r="E1331" s="215" t="str">
        <f>$N$1</f>
        <v>currydestroyer27</v>
      </c>
      <c r="F1331" s="165">
        <f>IFERROR(AVERAGE(Data[[#This Row],[alappatjoe]:[currydestroyer27]]), "TBD")</f>
        <v>3</v>
      </c>
      <c r="G1331" s="256">
        <f>IFERROR(_xlfn.STDEV.P(Data[[#This Row],[alappatjoe]:[currydestroyer27]]), "TBD")</f>
        <v>1.2649110640673518</v>
      </c>
      <c r="H1331" s="227" t="s">
        <v>2674</v>
      </c>
      <c r="I1331" s="257" t="s">
        <v>2675</v>
      </c>
      <c r="J1331" s="166">
        <v>5</v>
      </c>
      <c r="K1331" s="166">
        <v>2</v>
      </c>
      <c r="L1331" s="166">
        <v>4</v>
      </c>
      <c r="M1331" s="166">
        <v>2</v>
      </c>
      <c r="N1331" s="166">
        <v>2</v>
      </c>
      <c r="O1331" s="242">
        <v>18204952</v>
      </c>
      <c r="P1331" s="167"/>
      <c r="Q1331" s="167"/>
      <c r="R133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31" s="167">
        <v>1</v>
      </c>
      <c r="T1331" s="167" t="b">
        <f>Data[[#This Row],[Day Rank]]=Data[[#This Row],[W Rank]]</f>
        <v>0</v>
      </c>
      <c r="U1331" s="324"/>
    </row>
    <row r="1332" spans="1:21" ht="15" customHeight="1">
      <c r="A1332" s="325">
        <v>45937</v>
      </c>
      <c r="B1332" s="325"/>
      <c r="C1332" s="338" t="str" cm="1">
        <f t="array" ref="C1332">_xlfn.LET(_xlpm.matches, _xlfn._xlws.FILTER(Data[Poster], (Data[Date]=A1332)*(Data[Winner]=TRUE)), IF(ROWS(_xlpm.matches)&gt;1, "TIE", _xlpm.matches))</f>
        <v>currydestroyer27</v>
      </c>
      <c r="D1332" s="147">
        <f>A1332</f>
        <v>45937</v>
      </c>
      <c r="E1332" s="181" t="str">
        <f>$J$1</f>
        <v>alappatjoe</v>
      </c>
      <c r="F1332" s="9">
        <f>IFERROR(AVERAGE(Data[[#This Row],[alappatjoe]:[currydestroyer27]]), "TBD")</f>
        <v>3.4</v>
      </c>
      <c r="G1332" s="178">
        <f>IFERROR(_xlfn.STDEV.P(Data[[#This Row],[alappatjoe]:[currydestroyer27]]), "TBD")</f>
        <v>1.9595917942265424</v>
      </c>
      <c r="H1332" s="160" t="s">
        <v>2676</v>
      </c>
      <c r="I1332" s="186" t="s">
        <v>778</v>
      </c>
      <c r="J1332" s="3">
        <v>1</v>
      </c>
      <c r="K1332" s="3">
        <v>5</v>
      </c>
      <c r="L1332" s="3">
        <v>1</v>
      </c>
      <c r="M1332" s="3">
        <v>5</v>
      </c>
      <c r="N1332" s="3">
        <v>5</v>
      </c>
      <c r="O1332" s="238">
        <v>711030040</v>
      </c>
      <c r="P1332" s="93"/>
      <c r="Q1332" s="93"/>
      <c r="R13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32" s="93">
        <v>1</v>
      </c>
      <c r="T1332" s="93" t="b">
        <f>Data[[#This Row],[Day Rank]]=Data[[#This Row],[W Rank]]</f>
        <v>0</v>
      </c>
      <c r="U1332" s="331"/>
    </row>
    <row r="1333" spans="1:21" ht="15" customHeight="1">
      <c r="A1333" s="326"/>
      <c r="B1333" s="326"/>
      <c r="C1333" s="339"/>
      <c r="D1333" s="81">
        <f>D1332</f>
        <v>45937</v>
      </c>
      <c r="E1333" s="140" t="str">
        <f>$K$1</f>
        <v>danram</v>
      </c>
      <c r="F1333" s="8">
        <f>IFERROR(AVERAGE(Data[[#This Row],[alappatjoe]:[currydestroyer27]]), "TBD")</f>
        <v>3.8</v>
      </c>
      <c r="G1333" s="177">
        <f>IFERROR(_xlfn.STDEV.P(Data[[#This Row],[alappatjoe]:[currydestroyer27]]), "TBD")</f>
        <v>1.1661903789690602</v>
      </c>
      <c r="H1333" s="135" t="s">
        <v>2677</v>
      </c>
      <c r="I1333" s="229" t="s">
        <v>2678</v>
      </c>
      <c r="J1333" s="3">
        <v>5</v>
      </c>
      <c r="K1333" s="3">
        <v>2</v>
      </c>
      <c r="L1333" s="3">
        <v>5</v>
      </c>
      <c r="M1333" s="3">
        <v>3</v>
      </c>
      <c r="N1333" s="3">
        <v>4</v>
      </c>
      <c r="O1333" s="238"/>
      <c r="P1333" s="93"/>
      <c r="Q1333" s="93"/>
      <c r="R13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33" s="93">
        <v>1</v>
      </c>
      <c r="T1333" s="93" t="b">
        <f>Data[[#This Row],[Day Rank]]=Data[[#This Row],[W Rank]]</f>
        <v>0</v>
      </c>
      <c r="U1333" s="323"/>
    </row>
    <row r="1334" spans="1:21" ht="15" customHeight="1">
      <c r="A1334" s="326"/>
      <c r="B1334" s="326"/>
      <c r="C1334" s="339"/>
      <c r="D1334" s="81">
        <f>D1332</f>
        <v>45937</v>
      </c>
      <c r="E1334" s="140" t="str">
        <f>$L$1</f>
        <v>loganworsdell</v>
      </c>
      <c r="F1334" s="8">
        <f>IFERROR(AVERAGE(Data[[#This Row],[alappatjoe]:[currydestroyer27]]), "TBD")</f>
        <v>2.4</v>
      </c>
      <c r="G1334" s="177">
        <f>IFERROR(_xlfn.STDEV.P(Data[[#This Row],[alappatjoe]:[currydestroyer27]]), "TBD")</f>
        <v>1.019803902718557</v>
      </c>
      <c r="H1334" s="135" t="s">
        <v>2679</v>
      </c>
      <c r="I1334" s="229" t="s">
        <v>2680</v>
      </c>
      <c r="J1334" s="3">
        <v>2</v>
      </c>
      <c r="K1334" s="3">
        <v>3</v>
      </c>
      <c r="L1334" s="3">
        <v>2</v>
      </c>
      <c r="M1334" s="3">
        <v>4</v>
      </c>
      <c r="N1334" s="3">
        <v>1</v>
      </c>
      <c r="O1334" s="238">
        <v>250881364</v>
      </c>
      <c r="P1334" s="93"/>
      <c r="Q1334" s="93"/>
      <c r="R13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34" s="93">
        <v>1</v>
      </c>
      <c r="T1334" s="93" t="b">
        <f>Data[[#This Row],[Day Rank]]=Data[[#This Row],[W Rank]]</f>
        <v>0</v>
      </c>
      <c r="U1334" s="323"/>
    </row>
    <row r="1335" spans="1:21" ht="15" customHeight="1">
      <c r="A1335" s="326"/>
      <c r="B1335" s="326"/>
      <c r="C1335" s="339"/>
      <c r="D1335" s="81">
        <f>D1332</f>
        <v>45937</v>
      </c>
      <c r="E1335" s="140" t="str">
        <f>$M$1</f>
        <v>samuelbattista</v>
      </c>
      <c r="F1335" s="8">
        <f>IFERROR(AVERAGE(Data[[#This Row],[alappatjoe]:[currydestroyer27]]), "TBD")</f>
        <v>3.2</v>
      </c>
      <c r="G1335" s="177">
        <f>IFERROR(_xlfn.STDEV.P(Data[[#This Row],[alappatjoe]:[currydestroyer27]]), "TBD")</f>
        <v>1.1661903789690602</v>
      </c>
      <c r="H1335" s="135" t="s">
        <v>2681</v>
      </c>
      <c r="I1335" s="229" t="s">
        <v>1769</v>
      </c>
      <c r="J1335" s="3">
        <v>4</v>
      </c>
      <c r="K1335" s="3">
        <v>4</v>
      </c>
      <c r="L1335" s="3">
        <v>4</v>
      </c>
      <c r="M1335" s="3">
        <v>1</v>
      </c>
      <c r="N1335" s="3">
        <v>3</v>
      </c>
      <c r="O1335" s="238"/>
      <c r="P1335" s="93"/>
      <c r="Q1335" s="93"/>
      <c r="R13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35" s="93">
        <v>1</v>
      </c>
      <c r="T1335" s="93" t="b">
        <f>Data[[#This Row],[Day Rank]]=Data[[#This Row],[W Rank]]</f>
        <v>0</v>
      </c>
      <c r="U1335" s="323"/>
    </row>
    <row r="1336" spans="1:21" ht="15" customHeight="1" thickBot="1">
      <c r="A1336" s="327"/>
      <c r="B1336" s="327"/>
      <c r="C1336" s="340"/>
      <c r="D1336" s="164">
        <f>D1332</f>
        <v>45937</v>
      </c>
      <c r="E1336" s="215" t="str">
        <f>$N$1</f>
        <v>currydestroyer27</v>
      </c>
      <c r="F1336" s="165">
        <f>IFERROR(AVERAGE(Data[[#This Row],[alappatjoe]:[currydestroyer27]]), "TBD")</f>
        <v>2.2000000000000002</v>
      </c>
      <c r="G1336" s="256">
        <f>IFERROR(_xlfn.STDEV.P(Data[[#This Row],[alappatjoe]:[currydestroyer27]]), "TBD")</f>
        <v>0.74833147735478833</v>
      </c>
      <c r="H1336" s="227" t="s">
        <v>2682</v>
      </c>
      <c r="I1336" s="257" t="s">
        <v>2683</v>
      </c>
      <c r="J1336" s="166">
        <v>3</v>
      </c>
      <c r="K1336" s="3">
        <v>1</v>
      </c>
      <c r="L1336" s="166">
        <v>3</v>
      </c>
      <c r="M1336" s="166">
        <v>2</v>
      </c>
      <c r="N1336" s="278">
        <v>2</v>
      </c>
      <c r="O1336" s="242">
        <v>1232343661</v>
      </c>
      <c r="P1336" s="167"/>
      <c r="Q1336" s="167"/>
      <c r="R133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36" s="167">
        <v>1</v>
      </c>
      <c r="T1336" s="167" t="b">
        <f>Data[[#This Row],[Day Rank]]=Data[[#This Row],[W Rank]]</f>
        <v>1</v>
      </c>
      <c r="U1336" s="324"/>
    </row>
    <row r="1337" spans="1:21" ht="15" customHeight="1">
      <c r="A1337" s="325">
        <v>45938</v>
      </c>
      <c r="B1337" s="325"/>
      <c r="C1337" s="328" t="str" cm="1">
        <f t="array" ref="C1337">_xlfn.LET(_xlpm.matches, _xlfn._xlws.FILTER(Data[Poster], (Data[Date]=A1337)*(Data[Winner]=TRUE)), IF(ROWS(_xlpm.matches)&gt;1, "TIE", _xlpm.matches))</f>
        <v>loganworsdell</v>
      </c>
      <c r="D1337" s="147">
        <f>A1337</f>
        <v>45938</v>
      </c>
      <c r="E1337" s="181" t="str">
        <f>$J$1</f>
        <v>alappatjoe</v>
      </c>
      <c r="F1337" s="9">
        <f>IFERROR(AVERAGE(Data[[#This Row],[alappatjoe]:[currydestroyer27]]), "TBD")</f>
        <v>2.8</v>
      </c>
      <c r="G1337" s="178">
        <f>IFERROR(_xlfn.STDEV.P(Data[[#This Row],[alappatjoe]:[currydestroyer27]]), "TBD")</f>
        <v>1.1661903789690602</v>
      </c>
      <c r="H1337" s="160" t="s">
        <v>2684</v>
      </c>
      <c r="I1337" s="186" t="s">
        <v>2685</v>
      </c>
      <c r="J1337" s="3">
        <v>1</v>
      </c>
      <c r="K1337" s="260">
        <v>4</v>
      </c>
      <c r="L1337" s="3">
        <v>3</v>
      </c>
      <c r="M1337" s="3">
        <v>4</v>
      </c>
      <c r="N1337" s="3">
        <v>2</v>
      </c>
      <c r="O1337" s="238">
        <v>44462153</v>
      </c>
      <c r="P1337" s="93"/>
      <c r="Q1337" s="93"/>
      <c r="R13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37" s="93">
        <v>1</v>
      </c>
      <c r="T1337" s="93" t="b">
        <f>Data[[#This Row],[Day Rank]]=Data[[#This Row],[W Rank]]</f>
        <v>0</v>
      </c>
      <c r="U1337" s="331"/>
    </row>
    <row r="1338" spans="1:21" ht="15" customHeight="1">
      <c r="A1338" s="326"/>
      <c r="B1338" s="326"/>
      <c r="C1338" s="329"/>
      <c r="D1338" s="81">
        <f>D1337</f>
        <v>45938</v>
      </c>
      <c r="E1338" s="140" t="str">
        <f>$K$1</f>
        <v>danram</v>
      </c>
      <c r="F1338" s="8">
        <f>IFERROR(AVERAGE(Data[[#This Row],[alappatjoe]:[currydestroyer27]]), "TBD")</f>
        <v>3.2</v>
      </c>
      <c r="G1338" s="177">
        <f>IFERROR(_xlfn.STDEV.P(Data[[#This Row],[alappatjoe]:[currydestroyer27]]), "TBD")</f>
        <v>1.1661903789690602</v>
      </c>
      <c r="H1338" s="135" t="s">
        <v>2686</v>
      </c>
      <c r="I1338" s="229" t="s">
        <v>2687</v>
      </c>
      <c r="J1338" s="3">
        <v>3</v>
      </c>
      <c r="K1338" s="3">
        <v>5</v>
      </c>
      <c r="L1338" s="3">
        <v>2</v>
      </c>
      <c r="M1338" s="3">
        <v>2</v>
      </c>
      <c r="N1338" s="3">
        <v>4</v>
      </c>
      <c r="O1338" s="238"/>
      <c r="P1338" s="93"/>
      <c r="Q1338" s="93"/>
      <c r="R13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38" s="93">
        <v>1</v>
      </c>
      <c r="T1338" s="93" t="b">
        <f>Data[[#This Row],[Day Rank]]=Data[[#This Row],[W Rank]]</f>
        <v>0</v>
      </c>
      <c r="U1338" s="323"/>
    </row>
    <row r="1339" spans="1:21" ht="15" customHeight="1">
      <c r="A1339" s="326"/>
      <c r="B1339" s="326"/>
      <c r="C1339" s="329"/>
      <c r="D1339" s="81">
        <f>D1337</f>
        <v>45938</v>
      </c>
      <c r="E1339" s="140" t="str">
        <f>$L$1</f>
        <v>loganworsdell</v>
      </c>
      <c r="F1339" s="8">
        <f>IFERROR(AVERAGE(Data[[#This Row],[alappatjoe]:[currydestroyer27]]), "TBD")</f>
        <v>2.4</v>
      </c>
      <c r="G1339" s="177">
        <f>IFERROR(_xlfn.STDEV.P(Data[[#This Row],[alappatjoe]:[currydestroyer27]]), "TBD")</f>
        <v>1.4966629547095767</v>
      </c>
      <c r="H1339" s="135" t="s">
        <v>2688</v>
      </c>
      <c r="I1339" s="229" t="s">
        <v>2689</v>
      </c>
      <c r="J1339" s="3">
        <v>2</v>
      </c>
      <c r="K1339" s="3">
        <v>1</v>
      </c>
      <c r="L1339" s="3">
        <v>1</v>
      </c>
      <c r="M1339" s="3">
        <v>5</v>
      </c>
      <c r="N1339" s="3">
        <v>3</v>
      </c>
      <c r="O1339" s="238">
        <v>63144734</v>
      </c>
      <c r="P1339" s="93"/>
      <c r="Q1339" s="93"/>
      <c r="R13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39" s="93">
        <v>1</v>
      </c>
      <c r="T1339" s="93" t="b">
        <f>Data[[#This Row],[Day Rank]]=Data[[#This Row],[W Rank]]</f>
        <v>1</v>
      </c>
      <c r="U1339" s="323"/>
    </row>
    <row r="1340" spans="1:21" ht="15" customHeight="1">
      <c r="A1340" s="326"/>
      <c r="B1340" s="326"/>
      <c r="C1340" s="329"/>
      <c r="D1340" s="81">
        <f>D1337</f>
        <v>45938</v>
      </c>
      <c r="E1340" s="140" t="str">
        <f>$M$1</f>
        <v>samuelbattista</v>
      </c>
      <c r="F1340" s="8">
        <f>IFERROR(AVERAGE(Data[[#This Row],[alappatjoe]:[currydestroyer27]]), "TBD")</f>
        <v>3.4</v>
      </c>
      <c r="G1340" s="177">
        <f>IFERROR(_xlfn.STDEV.P(Data[[#This Row],[alappatjoe]:[currydestroyer27]]), "TBD")</f>
        <v>1.3564659966250536</v>
      </c>
      <c r="H1340" s="264" t="s">
        <v>2690</v>
      </c>
      <c r="I1340" s="229" t="s">
        <v>1099</v>
      </c>
      <c r="J1340" s="3">
        <v>4</v>
      </c>
      <c r="K1340" s="3">
        <v>3</v>
      </c>
      <c r="L1340" s="3">
        <v>4</v>
      </c>
      <c r="M1340" s="3">
        <v>1</v>
      </c>
      <c r="N1340" s="3">
        <v>5</v>
      </c>
      <c r="O1340" s="238"/>
      <c r="P1340" s="93"/>
      <c r="Q1340" s="93"/>
      <c r="R13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40" s="93">
        <v>1</v>
      </c>
      <c r="T1340" s="93" t="b">
        <f>Data[[#This Row],[Day Rank]]=Data[[#This Row],[W Rank]]</f>
        <v>0</v>
      </c>
      <c r="U1340" s="323"/>
    </row>
    <row r="1341" spans="1:21" ht="15" customHeight="1" thickBot="1">
      <c r="A1341" s="327"/>
      <c r="B1341" s="327"/>
      <c r="C1341" s="330"/>
      <c r="D1341" s="164">
        <f>D1337</f>
        <v>45938</v>
      </c>
      <c r="E1341" s="215" t="str">
        <f>$N$1</f>
        <v>currydestroyer27</v>
      </c>
      <c r="F1341" s="165">
        <f>IFERROR(AVERAGE(Data[[#This Row],[alappatjoe]:[currydestroyer27]]), "TBD")</f>
        <v>3.2</v>
      </c>
      <c r="G1341" s="256">
        <f>IFERROR(_xlfn.STDEV.P(Data[[#This Row],[alappatjoe]:[currydestroyer27]]), "TBD")</f>
        <v>1.6</v>
      </c>
      <c r="H1341" s="227" t="s">
        <v>2691</v>
      </c>
      <c r="I1341" s="257" t="s">
        <v>2692</v>
      </c>
      <c r="J1341" s="166">
        <v>5</v>
      </c>
      <c r="K1341" s="166">
        <v>2</v>
      </c>
      <c r="L1341" s="166">
        <v>5</v>
      </c>
      <c r="M1341" s="166">
        <v>3</v>
      </c>
      <c r="N1341" s="166">
        <v>1</v>
      </c>
      <c r="O1341" s="242">
        <v>3259201</v>
      </c>
      <c r="P1341" s="167"/>
      <c r="Q1341" s="167"/>
      <c r="R134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41" s="167">
        <v>1</v>
      </c>
      <c r="T1341" s="167" t="b">
        <f>Data[[#This Row],[Day Rank]]=Data[[#This Row],[W Rank]]</f>
        <v>0</v>
      </c>
      <c r="U1341" s="324"/>
    </row>
    <row r="1342" spans="1:21" ht="15" customHeight="1">
      <c r="A1342" s="325">
        <v>45939</v>
      </c>
      <c r="B1342" s="325"/>
      <c r="C1342" s="338" t="str" cm="1">
        <f t="array" ref="C1342">_xlfn.LET(_xlpm.matches, _xlfn._xlws.FILTER(Data[Poster], (Data[Date]=A1342)*(Data[Winner]=TRUE)), IF(ROWS(_xlpm.matches)&gt;1, "TIE", _xlpm.matches))</f>
        <v>loganworsdell</v>
      </c>
      <c r="D1342" s="147">
        <f>A1342</f>
        <v>45939</v>
      </c>
      <c r="E1342" s="181" t="str">
        <f>$J$1</f>
        <v>alappatjoe</v>
      </c>
      <c r="F1342" s="9">
        <f>IFERROR(AVERAGE(Data[[#This Row],[alappatjoe]:[currydestroyer27]]), "TBD")</f>
        <v>4</v>
      </c>
      <c r="G1342" s="178">
        <f>IFERROR(_xlfn.STDEV.P(Data[[#This Row],[alappatjoe]:[currydestroyer27]]), "TBD")</f>
        <v>1.2649110640673518</v>
      </c>
      <c r="H1342" s="160" t="s">
        <v>2693</v>
      </c>
      <c r="I1342" s="186" t="s">
        <v>1814</v>
      </c>
      <c r="J1342" s="3">
        <v>2</v>
      </c>
      <c r="K1342" s="3">
        <v>5</v>
      </c>
      <c r="L1342" s="3">
        <v>3</v>
      </c>
      <c r="M1342" s="3">
        <v>5</v>
      </c>
      <c r="N1342" s="3">
        <v>5</v>
      </c>
      <c r="O1342" s="238">
        <v>83857450</v>
      </c>
      <c r="P1342" s="93"/>
      <c r="Q1342" s="93"/>
      <c r="R13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42" s="93">
        <v>1</v>
      </c>
      <c r="T1342" s="93" t="b">
        <f>Data[[#This Row],[Day Rank]]=Data[[#This Row],[W Rank]]</f>
        <v>0</v>
      </c>
      <c r="U1342" s="331" t="s">
        <v>2694</v>
      </c>
    </row>
    <row r="1343" spans="1:21" ht="15" customHeight="1">
      <c r="A1343" s="326"/>
      <c r="B1343" s="326"/>
      <c r="C1343" s="339"/>
      <c r="D1343" s="81">
        <f>D1342</f>
        <v>45939</v>
      </c>
      <c r="E1343" s="140" t="str">
        <f>$K$1</f>
        <v>danram</v>
      </c>
      <c r="F1343" s="8">
        <f>IFERROR(AVERAGE(Data[[#This Row],[alappatjoe]:[currydestroyer27]]), "TBD")</f>
        <v>2.8</v>
      </c>
      <c r="G1343" s="177">
        <f>IFERROR(_xlfn.STDEV.P(Data[[#This Row],[alappatjoe]:[currydestroyer27]]), "TBD")</f>
        <v>0.9797958971132712</v>
      </c>
      <c r="H1343" s="135" t="s">
        <v>2695</v>
      </c>
      <c r="I1343" s="229" t="s">
        <v>2696</v>
      </c>
      <c r="J1343" s="3">
        <v>3</v>
      </c>
      <c r="K1343" s="3">
        <v>1</v>
      </c>
      <c r="L1343" s="3">
        <v>4</v>
      </c>
      <c r="M1343" s="3">
        <v>3</v>
      </c>
      <c r="N1343" s="3">
        <v>3</v>
      </c>
      <c r="O1343" s="238"/>
      <c r="P1343" s="93"/>
      <c r="Q1343" s="93"/>
      <c r="R13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43" s="93">
        <v>1</v>
      </c>
      <c r="T1343" s="93" t="b">
        <f>Data[[#This Row],[Day Rank]]=Data[[#This Row],[W Rank]]</f>
        <v>0</v>
      </c>
      <c r="U1343" s="323"/>
    </row>
    <row r="1344" spans="1:21" ht="15" customHeight="1">
      <c r="A1344" s="326"/>
      <c r="B1344" s="326"/>
      <c r="C1344" s="339"/>
      <c r="D1344" s="81">
        <f>D1342</f>
        <v>45939</v>
      </c>
      <c r="E1344" s="140" t="str">
        <f>$L$1</f>
        <v>loganworsdell</v>
      </c>
      <c r="F1344" s="8">
        <f>IFERROR(AVERAGE(Data[[#This Row],[alappatjoe]:[currydestroyer27]]), "TBD")</f>
        <v>2.6</v>
      </c>
      <c r="G1344" s="177">
        <f>IFERROR(_xlfn.STDEV.P(Data[[#This Row],[alappatjoe]:[currydestroyer27]]), "TBD")</f>
        <v>1.2</v>
      </c>
      <c r="H1344" s="135" t="s">
        <v>2697</v>
      </c>
      <c r="I1344" s="229" t="s">
        <v>2698</v>
      </c>
      <c r="J1344" s="3">
        <v>4</v>
      </c>
      <c r="K1344" s="3">
        <v>2</v>
      </c>
      <c r="L1344" s="3">
        <v>1</v>
      </c>
      <c r="M1344" s="3">
        <v>4</v>
      </c>
      <c r="N1344" s="3">
        <v>2</v>
      </c>
      <c r="O1344" s="238">
        <v>7415963</v>
      </c>
      <c r="P1344" s="93"/>
      <c r="Q1344" s="93"/>
      <c r="R13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44" s="93">
        <v>1</v>
      </c>
      <c r="T1344" s="93" t="b">
        <f>Data[[#This Row],[Day Rank]]=Data[[#This Row],[W Rank]]</f>
        <v>1</v>
      </c>
      <c r="U1344" s="323"/>
    </row>
    <row r="1345" spans="1:21" ht="15" customHeight="1">
      <c r="A1345" s="326"/>
      <c r="B1345" s="326"/>
      <c r="C1345" s="339"/>
      <c r="D1345" s="81">
        <f>D1342</f>
        <v>45939</v>
      </c>
      <c r="E1345" s="140" t="str">
        <f>$M$1</f>
        <v>samuelbattista</v>
      </c>
      <c r="F1345" s="8">
        <f>IFERROR(AVERAGE(Data[[#This Row],[alappatjoe]:[currydestroyer27]]), "TBD")</f>
        <v>3</v>
      </c>
      <c r="G1345" s="177">
        <f>IFERROR(_xlfn.STDEV.P(Data[[#This Row],[alappatjoe]:[currydestroyer27]]), "TBD")</f>
        <v>1.6733200530681511</v>
      </c>
      <c r="H1345" s="135" t="s">
        <v>2699</v>
      </c>
      <c r="I1345" s="229" t="s">
        <v>151</v>
      </c>
      <c r="J1345" s="3">
        <v>1</v>
      </c>
      <c r="K1345" s="3">
        <v>4</v>
      </c>
      <c r="L1345" s="3">
        <v>5</v>
      </c>
      <c r="M1345" s="3">
        <v>1</v>
      </c>
      <c r="N1345" s="3">
        <v>4</v>
      </c>
      <c r="O1345" s="238"/>
      <c r="P1345" s="93"/>
      <c r="Q1345" s="93"/>
      <c r="R13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45" s="93">
        <v>1</v>
      </c>
      <c r="T1345" s="93" t="b">
        <f>Data[[#This Row],[Day Rank]]=Data[[#This Row],[W Rank]]</f>
        <v>0</v>
      </c>
      <c r="U1345" s="323"/>
    </row>
    <row r="1346" spans="1:21" ht="15" customHeight="1" thickBot="1">
      <c r="A1346" s="327"/>
      <c r="B1346" s="327"/>
      <c r="C1346" s="340"/>
      <c r="D1346" s="164">
        <f>D1342</f>
        <v>45939</v>
      </c>
      <c r="E1346" s="215" t="str">
        <f>$N$1</f>
        <v>currydestroyer27</v>
      </c>
      <c r="F1346" s="165">
        <f>IFERROR(AVERAGE(Data[[#This Row],[alappatjoe]:[currydestroyer27]]), "TBD")</f>
        <v>2.6</v>
      </c>
      <c r="G1346" s="256">
        <f>IFERROR(_xlfn.STDEV.P(Data[[#This Row],[alappatjoe]:[currydestroyer27]]), "TBD")</f>
        <v>1.3564659966250536</v>
      </c>
      <c r="H1346" s="227" t="s">
        <v>2700</v>
      </c>
      <c r="I1346" s="257" t="s">
        <v>2701</v>
      </c>
      <c r="J1346" s="166">
        <v>5</v>
      </c>
      <c r="K1346" s="166">
        <v>3</v>
      </c>
      <c r="L1346" s="166">
        <v>2</v>
      </c>
      <c r="M1346" s="166">
        <v>2</v>
      </c>
      <c r="N1346" s="166">
        <v>1</v>
      </c>
      <c r="O1346" s="242">
        <v>87984111</v>
      </c>
      <c r="P1346" s="167" t="s">
        <v>76</v>
      </c>
      <c r="Q1346" s="167" t="s">
        <v>99</v>
      </c>
      <c r="R134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46" s="167">
        <v>1</v>
      </c>
      <c r="T1346" s="167" t="b">
        <f>Data[[#This Row],[Day Rank]]=Data[[#This Row],[W Rank]]</f>
        <v>0</v>
      </c>
      <c r="U1346" s="324"/>
    </row>
    <row r="1347" spans="1:21" ht="15" customHeight="1">
      <c r="A1347" s="325">
        <v>45943</v>
      </c>
      <c r="B1347" s="325"/>
      <c r="C1347" s="328" t="str" cm="1">
        <f t="array" ref="C1347">_xlfn.LET(_xlpm.matches, _xlfn._xlws.FILTER(Data[Poster], (Data[Date]=A1347)*(Data[Winner]=TRUE)), IF(ROWS(_xlpm.matches)&gt;1, "TIE", _xlpm.matches))</f>
        <v>danram</v>
      </c>
      <c r="D1347" s="147">
        <f t="shared" ref="D1347" si="0">A1347</f>
        <v>45943</v>
      </c>
      <c r="E1347" s="181" t="str">
        <f t="shared" ref="E1347" si="1">$J$1</f>
        <v>alappatjoe</v>
      </c>
      <c r="F1347" s="8">
        <f>IFERROR(AVERAGE(Data[[#This Row],[alappatjoe]:[currydestroyer27]]), "TBD")</f>
        <v>3.2</v>
      </c>
      <c r="G1347" s="177">
        <f>IFERROR(_xlfn.STDEV.P(Data[[#This Row],[alappatjoe]:[currydestroyer27]]), "TBD")</f>
        <v>1.1661903789690602</v>
      </c>
      <c r="H1347" s="135" t="s">
        <v>2702</v>
      </c>
      <c r="I1347" s="229" t="s">
        <v>2703</v>
      </c>
      <c r="J1347" s="3">
        <v>1</v>
      </c>
      <c r="K1347" s="3">
        <v>3</v>
      </c>
      <c r="L1347" s="3">
        <v>4</v>
      </c>
      <c r="M1347" s="3">
        <v>4</v>
      </c>
      <c r="N1347" s="3">
        <v>4</v>
      </c>
      <c r="O1347" s="238">
        <v>1488052688</v>
      </c>
      <c r="P1347" s="93"/>
      <c r="Q1347" s="93"/>
      <c r="R13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47" s="93">
        <v>1</v>
      </c>
      <c r="T1347" s="93" t="b">
        <f>Data[[#This Row],[Day Rank]]=Data[[#This Row],[W Rank]]</f>
        <v>0</v>
      </c>
      <c r="U1347" s="331"/>
    </row>
    <row r="1348" spans="1:21" ht="15" customHeight="1">
      <c r="A1348" s="326"/>
      <c r="B1348" s="326"/>
      <c r="C1348" s="329"/>
      <c r="D1348" s="81">
        <f t="shared" ref="D1348" si="2">D1347</f>
        <v>45943</v>
      </c>
      <c r="E1348" s="140" t="str">
        <f t="shared" ref="E1348" si="3">$K$1</f>
        <v>danram</v>
      </c>
      <c r="F1348" s="8">
        <f>IFERROR(AVERAGE(Data[[#This Row],[alappatjoe]:[currydestroyer27]]), "TBD")</f>
        <v>2.4</v>
      </c>
      <c r="G1348" s="177">
        <f>IFERROR(_xlfn.STDEV.P(Data[[#This Row],[alappatjoe]:[currydestroyer27]]), "TBD")</f>
        <v>0.8</v>
      </c>
      <c r="H1348" s="135" t="s">
        <v>2704</v>
      </c>
      <c r="I1348" s="229" t="s">
        <v>2705</v>
      </c>
      <c r="J1348" s="3">
        <v>3</v>
      </c>
      <c r="K1348" s="3">
        <v>1</v>
      </c>
      <c r="L1348" s="3">
        <v>3</v>
      </c>
      <c r="M1348" s="3">
        <v>2</v>
      </c>
      <c r="N1348" s="3">
        <v>3</v>
      </c>
      <c r="O1348" s="238"/>
      <c r="P1348" s="93"/>
      <c r="Q1348" s="93"/>
      <c r="R13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48" s="93">
        <v>1</v>
      </c>
      <c r="T1348" s="93" t="b">
        <f>Data[[#This Row],[Day Rank]]=Data[[#This Row],[W Rank]]</f>
        <v>1</v>
      </c>
      <c r="U1348" s="323"/>
    </row>
    <row r="1349" spans="1:21" ht="15" customHeight="1">
      <c r="A1349" s="326"/>
      <c r="B1349" s="326"/>
      <c r="C1349" s="329"/>
      <c r="D1349" s="81">
        <f t="shared" ref="D1349" si="4">D1347</f>
        <v>45943</v>
      </c>
      <c r="E1349" s="140" t="str">
        <f t="shared" ref="E1349" si="5">$L$1</f>
        <v>loganworsdell</v>
      </c>
      <c r="F1349" s="8">
        <f>IFERROR(AVERAGE(Data[[#This Row],[alappatjoe]:[currydestroyer27]]), "TBD")</f>
        <v>3.4</v>
      </c>
      <c r="G1349" s="177">
        <f>IFERROR(_xlfn.STDEV.P(Data[[#This Row],[alappatjoe]:[currydestroyer27]]), "TBD")</f>
        <v>1.6248076809271921</v>
      </c>
      <c r="H1349" s="135" t="s">
        <v>2706</v>
      </c>
      <c r="I1349" s="229" t="s">
        <v>519</v>
      </c>
      <c r="J1349" s="3">
        <v>2</v>
      </c>
      <c r="K1349" s="3">
        <v>4</v>
      </c>
      <c r="L1349" s="3">
        <v>1</v>
      </c>
      <c r="M1349" s="3">
        <v>5</v>
      </c>
      <c r="N1349" s="3">
        <v>5</v>
      </c>
      <c r="O1349" s="238">
        <v>21698416</v>
      </c>
      <c r="P1349" s="93"/>
      <c r="Q1349" s="93"/>
      <c r="R13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49" s="93">
        <v>1</v>
      </c>
      <c r="T1349" s="93" t="b">
        <f>Data[[#This Row],[Day Rank]]=Data[[#This Row],[W Rank]]</f>
        <v>0</v>
      </c>
      <c r="U1349" s="323"/>
    </row>
    <row r="1350" spans="1:21" ht="15" customHeight="1">
      <c r="A1350" s="326"/>
      <c r="B1350" s="326"/>
      <c r="C1350" s="329"/>
      <c r="D1350" s="81">
        <f t="shared" ref="D1350" si="6">D1347</f>
        <v>45943</v>
      </c>
      <c r="E1350" s="140" t="str">
        <f t="shared" ref="E1350" si="7">$M$1</f>
        <v>samuelbattista</v>
      </c>
      <c r="F1350" s="8">
        <f>IFERROR(AVERAGE(Data[[#This Row],[alappatjoe]:[currydestroyer27]]), "TBD")</f>
        <v>3</v>
      </c>
      <c r="G1350" s="177">
        <f>IFERROR(_xlfn.STDEV.P(Data[[#This Row],[alappatjoe]:[currydestroyer27]]), "TBD")</f>
        <v>1.6733200530681511</v>
      </c>
      <c r="H1350" s="135" t="s">
        <v>2707</v>
      </c>
      <c r="I1350" s="229" t="s">
        <v>2708</v>
      </c>
      <c r="J1350" s="3">
        <v>5</v>
      </c>
      <c r="K1350" s="3">
        <v>5</v>
      </c>
      <c r="L1350" s="3">
        <v>2</v>
      </c>
      <c r="M1350" s="3">
        <v>1</v>
      </c>
      <c r="N1350" s="3">
        <v>2</v>
      </c>
      <c r="O1350" s="238"/>
      <c r="P1350" s="93"/>
      <c r="Q1350" s="93"/>
      <c r="R13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50" s="93">
        <v>1</v>
      </c>
      <c r="T1350" s="93" t="b">
        <f>Data[[#This Row],[Day Rank]]=Data[[#This Row],[W Rank]]</f>
        <v>0</v>
      </c>
      <c r="U1350" s="323"/>
    </row>
    <row r="1351" spans="1:21" ht="15" customHeight="1" thickBot="1">
      <c r="A1351" s="327"/>
      <c r="B1351" s="327"/>
      <c r="C1351" s="330"/>
      <c r="D1351" s="164">
        <f t="shared" ref="D1351" si="8">D1347</f>
        <v>45943</v>
      </c>
      <c r="E1351" s="215" t="str">
        <f t="shared" ref="E1351" si="9">$N$1</f>
        <v>currydestroyer27</v>
      </c>
      <c r="F1351" s="228">
        <f>IFERROR(AVERAGE(Data[[#This Row],[alappatjoe]:[currydestroyer27]]), "TBD")</f>
        <v>3</v>
      </c>
      <c r="G1351" s="256">
        <f>IFERROR(_xlfn.STDEV.P(Data[[#This Row],[alappatjoe]:[currydestroyer27]]), "TBD")</f>
        <v>1.4142135623730951</v>
      </c>
      <c r="H1351" s="227" t="s">
        <v>1889</v>
      </c>
      <c r="I1351" s="257" t="s">
        <v>1184</v>
      </c>
      <c r="J1351" s="166">
        <v>4</v>
      </c>
      <c r="K1351" s="166">
        <v>2</v>
      </c>
      <c r="L1351" s="166">
        <v>5</v>
      </c>
      <c r="M1351" s="166">
        <v>3</v>
      </c>
      <c r="N1351" s="166">
        <v>1</v>
      </c>
      <c r="O1351" s="242">
        <v>241212</v>
      </c>
      <c r="P1351" s="167"/>
      <c r="Q1351" s="167"/>
      <c r="R135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51" s="167">
        <v>1</v>
      </c>
      <c r="T1351" s="167" t="b">
        <f>Data[[#This Row],[Day Rank]]=Data[[#This Row],[W Rank]]</f>
        <v>0</v>
      </c>
      <c r="U1351" s="324"/>
    </row>
    <row r="1352" spans="1:21" ht="15" customHeight="1">
      <c r="A1352" s="325">
        <v>45944</v>
      </c>
      <c r="B1352" s="325"/>
      <c r="C1352" s="338" t="str" cm="1">
        <f t="array" ref="C1352">_xlfn.LET(_xlpm.matches, _xlfn._xlws.FILTER(Data[Poster], (Data[Date]=A1352)*(Data[Winner]=TRUE)), IF(ROWS(_xlpm.matches)&gt;1, "TIE", _xlpm.matches))</f>
        <v>alappatjoe</v>
      </c>
      <c r="D1352" s="147">
        <f t="shared" ref="D1352" si="10">A1352</f>
        <v>45944</v>
      </c>
      <c r="E1352" s="181" t="str">
        <f t="shared" ref="E1352" si="11">$J$1</f>
        <v>alappatjoe</v>
      </c>
      <c r="F1352" s="9">
        <f>IFERROR(AVERAGE(Data[[#This Row],[alappatjoe]:[currydestroyer27]]), "TBD")</f>
        <v>1.4</v>
      </c>
      <c r="G1352" s="178">
        <f>IFERROR(_xlfn.STDEV.P(Data[[#This Row],[alappatjoe]:[currydestroyer27]]), "TBD")</f>
        <v>0.8</v>
      </c>
      <c r="H1352" s="160" t="s">
        <v>2709</v>
      </c>
      <c r="I1352" s="186" t="s">
        <v>1809</v>
      </c>
      <c r="J1352" s="3">
        <v>1</v>
      </c>
      <c r="K1352" s="3">
        <v>1</v>
      </c>
      <c r="L1352" s="3">
        <v>1</v>
      </c>
      <c r="M1352" s="3">
        <v>3</v>
      </c>
      <c r="N1352" s="3">
        <v>1</v>
      </c>
      <c r="O1352" s="238">
        <v>149543775</v>
      </c>
      <c r="P1352" s="93"/>
      <c r="Q1352" s="93"/>
      <c r="R13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52" s="93">
        <v>1</v>
      </c>
      <c r="T1352" s="93" t="b">
        <f>Data[[#This Row],[Day Rank]]=Data[[#This Row],[W Rank]]</f>
        <v>1</v>
      </c>
      <c r="U1352" s="331"/>
    </row>
    <row r="1353" spans="1:21" ht="15" customHeight="1">
      <c r="A1353" s="326"/>
      <c r="B1353" s="326"/>
      <c r="C1353" s="339"/>
      <c r="D1353" s="81">
        <f t="shared" ref="D1353" si="12">D1352</f>
        <v>45944</v>
      </c>
      <c r="E1353" s="140" t="str">
        <f t="shared" ref="E1353" si="13">$K$1</f>
        <v>danram</v>
      </c>
      <c r="F1353" s="8">
        <f>IFERROR(AVERAGE(Data[[#This Row],[alappatjoe]:[currydestroyer27]]), "TBD")</f>
        <v>4.2</v>
      </c>
      <c r="G1353" s="177">
        <f>IFERROR(_xlfn.STDEV.P(Data[[#This Row],[alappatjoe]:[currydestroyer27]]), "TBD")</f>
        <v>0.9797958971132712</v>
      </c>
      <c r="H1353" s="135" t="s">
        <v>2710</v>
      </c>
      <c r="I1353" s="229" t="s">
        <v>2711</v>
      </c>
      <c r="J1353" s="3">
        <v>5</v>
      </c>
      <c r="K1353" s="3">
        <v>3</v>
      </c>
      <c r="L1353" s="3">
        <v>5</v>
      </c>
      <c r="M1353" s="3">
        <v>5</v>
      </c>
      <c r="N1353" s="3">
        <v>3</v>
      </c>
      <c r="O1353" s="238"/>
      <c r="P1353" s="93"/>
      <c r="Q1353" s="93"/>
      <c r="R13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53" s="93">
        <v>1</v>
      </c>
      <c r="T1353" s="93" t="b">
        <f>Data[[#This Row],[Day Rank]]=Data[[#This Row],[W Rank]]</f>
        <v>0</v>
      </c>
      <c r="U1353" s="323"/>
    </row>
    <row r="1354" spans="1:21" ht="15" customHeight="1">
      <c r="A1354" s="326"/>
      <c r="B1354" s="326"/>
      <c r="C1354" s="339"/>
      <c r="D1354" s="81">
        <f t="shared" ref="D1354" si="14">D1352</f>
        <v>45944</v>
      </c>
      <c r="E1354" s="140" t="str">
        <f t="shared" ref="E1354" si="15">$L$1</f>
        <v>loganworsdell</v>
      </c>
      <c r="F1354" s="8">
        <f>IFERROR(AVERAGE(Data[[#This Row],[alappatjoe]:[currydestroyer27]]), "TBD")</f>
        <v>3.4</v>
      </c>
      <c r="G1354" s="177">
        <f>IFERROR(_xlfn.STDEV.P(Data[[#This Row],[alappatjoe]:[currydestroyer27]]), "TBD")</f>
        <v>1.2</v>
      </c>
      <c r="H1354" s="135" t="s">
        <v>2712</v>
      </c>
      <c r="I1354" s="229" t="s">
        <v>2713</v>
      </c>
      <c r="J1354" s="3">
        <v>2</v>
      </c>
      <c r="K1354" s="3">
        <v>5</v>
      </c>
      <c r="L1354" s="3">
        <v>2</v>
      </c>
      <c r="M1354" s="3">
        <v>4</v>
      </c>
      <c r="N1354" s="3">
        <v>4</v>
      </c>
      <c r="O1354" s="238">
        <v>52929</v>
      </c>
      <c r="P1354" s="93"/>
      <c r="Q1354" s="93"/>
      <c r="R13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54" s="93">
        <v>1</v>
      </c>
      <c r="T1354" s="93" t="b">
        <f>Data[[#This Row],[Day Rank]]=Data[[#This Row],[W Rank]]</f>
        <v>0</v>
      </c>
      <c r="U1354" s="323"/>
    </row>
    <row r="1355" spans="1:21" ht="15" customHeight="1">
      <c r="A1355" s="326"/>
      <c r="B1355" s="326"/>
      <c r="C1355" s="339"/>
      <c r="D1355" s="81">
        <f t="shared" ref="D1355" si="16">D1352</f>
        <v>45944</v>
      </c>
      <c r="E1355" s="140" t="str">
        <f t="shared" ref="E1355" si="17">$M$1</f>
        <v>samuelbattista</v>
      </c>
      <c r="F1355" s="8">
        <f>IFERROR(AVERAGE(Data[[#This Row],[alappatjoe]:[currydestroyer27]]), "TBD")</f>
        <v>3.2</v>
      </c>
      <c r="G1355" s="177">
        <f>IFERROR(_xlfn.STDEV.P(Data[[#This Row],[alappatjoe]:[currydestroyer27]]), "TBD")</f>
        <v>1.3266499161421599</v>
      </c>
      <c r="H1355" s="135" t="s">
        <v>2714</v>
      </c>
      <c r="I1355" s="229" t="s">
        <v>2647</v>
      </c>
      <c r="J1355" s="3">
        <v>3</v>
      </c>
      <c r="K1355" s="3">
        <v>4</v>
      </c>
      <c r="L1355" s="3">
        <v>3</v>
      </c>
      <c r="M1355" s="3">
        <v>1</v>
      </c>
      <c r="N1355" s="3">
        <v>5</v>
      </c>
      <c r="O1355" s="238"/>
      <c r="P1355" s="93"/>
      <c r="Q1355" s="93"/>
      <c r="R13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55" s="93">
        <v>1</v>
      </c>
      <c r="T1355" s="93" t="b">
        <f>Data[[#This Row],[Day Rank]]=Data[[#This Row],[W Rank]]</f>
        <v>0</v>
      </c>
      <c r="U1355" s="323"/>
    </row>
    <row r="1356" spans="1:21" ht="15" customHeight="1" thickBot="1">
      <c r="A1356" s="327"/>
      <c r="B1356" s="327"/>
      <c r="C1356" s="340"/>
      <c r="D1356" s="164">
        <f t="shared" ref="D1356" si="18">D1352</f>
        <v>45944</v>
      </c>
      <c r="E1356" s="215" t="str">
        <f t="shared" ref="E1356" si="19">$N$1</f>
        <v>currydestroyer27</v>
      </c>
      <c r="F1356" s="228">
        <f>IFERROR(AVERAGE(Data[[#This Row],[alappatjoe]:[currydestroyer27]]), "TBD")</f>
        <v>2.8</v>
      </c>
      <c r="G1356" s="256">
        <f>IFERROR(_xlfn.STDEV.P(Data[[#This Row],[alappatjoe]:[currydestroyer27]]), "TBD")</f>
        <v>0.9797958971132712</v>
      </c>
      <c r="H1356" s="227" t="s">
        <v>1256</v>
      </c>
      <c r="I1356" s="257" t="s">
        <v>2715</v>
      </c>
      <c r="J1356" s="166">
        <v>4</v>
      </c>
      <c r="K1356" s="166">
        <v>2</v>
      </c>
      <c r="L1356" s="166">
        <v>4</v>
      </c>
      <c r="M1356" s="166">
        <v>2</v>
      </c>
      <c r="N1356" s="166">
        <v>2</v>
      </c>
      <c r="O1356" s="242">
        <v>4518818</v>
      </c>
      <c r="P1356" s="167"/>
      <c r="Q1356" s="167"/>
      <c r="R135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56" s="167">
        <v>1</v>
      </c>
      <c r="T1356" s="167" t="b">
        <f>Data[[#This Row],[Day Rank]]=Data[[#This Row],[W Rank]]</f>
        <v>0</v>
      </c>
      <c r="U1356" s="324"/>
    </row>
    <row r="1357" spans="1:21" ht="15" customHeight="1">
      <c r="A1357" s="325">
        <v>45945</v>
      </c>
      <c r="B1357" s="325"/>
      <c r="C1357" s="328" t="str" cm="1">
        <f t="array" ref="C1357">_xlfn.LET(_xlpm.matches, _xlfn._xlws.FILTER(Data[Poster], (Data[Date]=A1357)*(Data[Winner]=TRUE)), IF(ROWS(_xlpm.matches)&gt;1, "TIE", _xlpm.matches))</f>
        <v>alappatjoe</v>
      </c>
      <c r="D1357" s="147">
        <f t="shared" ref="D1357" si="20">A1357</f>
        <v>45945</v>
      </c>
      <c r="E1357" s="181" t="str">
        <f t="shared" ref="E1357" si="21">$J$1</f>
        <v>alappatjoe</v>
      </c>
      <c r="F1357" s="9">
        <f>IFERROR(AVERAGE(Data[[#This Row],[alappatjoe]:[currydestroyer27]]), "TBD")</f>
        <v>2.2000000000000002</v>
      </c>
      <c r="G1357" s="178">
        <f>IFERROR(_xlfn.STDEV.P(Data[[#This Row],[alappatjoe]:[currydestroyer27]]), "TBD")</f>
        <v>1.1661903789690602</v>
      </c>
      <c r="H1357" s="160" t="s">
        <v>2716</v>
      </c>
      <c r="I1357" s="186" t="s">
        <v>2717</v>
      </c>
      <c r="J1357" s="3">
        <v>1</v>
      </c>
      <c r="K1357" s="3">
        <v>2</v>
      </c>
      <c r="L1357" s="3">
        <v>3</v>
      </c>
      <c r="M1357" s="3">
        <v>4</v>
      </c>
      <c r="N1357" s="3">
        <v>1</v>
      </c>
      <c r="O1357" s="238">
        <v>134523</v>
      </c>
      <c r="P1357" s="93"/>
      <c r="Q1357" s="93"/>
      <c r="R13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57" s="93">
        <v>1</v>
      </c>
      <c r="T1357" s="93" t="b">
        <f>Data[[#This Row],[Day Rank]]=Data[[#This Row],[W Rank]]</f>
        <v>1</v>
      </c>
      <c r="U1357" s="331"/>
    </row>
    <row r="1358" spans="1:21" ht="15" customHeight="1">
      <c r="A1358" s="326"/>
      <c r="B1358" s="326"/>
      <c r="C1358" s="329"/>
      <c r="D1358" s="81">
        <f t="shared" ref="D1358" si="22">D1357</f>
        <v>45945</v>
      </c>
      <c r="E1358" s="140" t="str">
        <f t="shared" ref="E1358" si="23">$K$1</f>
        <v>danram</v>
      </c>
      <c r="F1358" s="8">
        <f>IFERROR(AVERAGE(Data[[#This Row],[alappatjoe]:[currydestroyer27]]), "TBD")</f>
        <v>3.4</v>
      </c>
      <c r="G1358" s="177">
        <f>IFERROR(_xlfn.STDEV.P(Data[[#This Row],[alappatjoe]:[currydestroyer27]]), "TBD")</f>
        <v>1.6248076809271921</v>
      </c>
      <c r="H1358" s="135" t="s">
        <v>2718</v>
      </c>
      <c r="I1358" s="229" t="s">
        <v>2719</v>
      </c>
      <c r="J1358" s="3">
        <v>5</v>
      </c>
      <c r="K1358" s="3">
        <v>1</v>
      </c>
      <c r="L1358" s="3">
        <v>2</v>
      </c>
      <c r="M1358" s="3">
        <v>5</v>
      </c>
      <c r="N1358" s="3">
        <v>4</v>
      </c>
      <c r="O1358" s="238"/>
      <c r="P1358" s="93"/>
      <c r="Q1358" s="93"/>
      <c r="R13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58" s="93">
        <v>1</v>
      </c>
      <c r="T1358" s="93" t="b">
        <f>Data[[#This Row],[Day Rank]]=Data[[#This Row],[W Rank]]</f>
        <v>0</v>
      </c>
      <c r="U1358" s="323"/>
    </row>
    <row r="1359" spans="1:21" ht="15" customHeight="1">
      <c r="A1359" s="326"/>
      <c r="B1359" s="326"/>
      <c r="C1359" s="329"/>
      <c r="D1359" s="81">
        <f t="shared" ref="D1359" si="24">D1357</f>
        <v>45945</v>
      </c>
      <c r="E1359" s="140" t="str">
        <f t="shared" ref="E1359" si="25">$L$1</f>
        <v>loganworsdell</v>
      </c>
      <c r="F1359" s="8">
        <f>IFERROR(AVERAGE(Data[[#This Row],[alappatjoe]:[currydestroyer27]]), "TBD")</f>
        <v>2.4</v>
      </c>
      <c r="G1359" s="177">
        <f>IFERROR(_xlfn.STDEV.P(Data[[#This Row],[alappatjoe]:[currydestroyer27]]), "TBD")</f>
        <v>0.8</v>
      </c>
      <c r="H1359" s="135" t="s">
        <v>2720</v>
      </c>
      <c r="I1359" s="229" t="s">
        <v>2087</v>
      </c>
      <c r="J1359" s="3">
        <v>3</v>
      </c>
      <c r="K1359" s="3">
        <v>3</v>
      </c>
      <c r="L1359" s="3">
        <v>1</v>
      </c>
      <c r="M1359" s="3">
        <v>2</v>
      </c>
      <c r="N1359" s="3">
        <v>3</v>
      </c>
      <c r="O1359" s="238">
        <v>2623866</v>
      </c>
      <c r="P1359" s="93"/>
      <c r="Q1359" s="93"/>
      <c r="R13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59" s="93">
        <v>1</v>
      </c>
      <c r="T1359" s="93" t="b">
        <f>Data[[#This Row],[Day Rank]]=Data[[#This Row],[W Rank]]</f>
        <v>0</v>
      </c>
      <c r="U1359" s="323"/>
    </row>
    <row r="1360" spans="1:21" ht="15" customHeight="1">
      <c r="A1360" s="326"/>
      <c r="B1360" s="326"/>
      <c r="C1360" s="329"/>
      <c r="D1360" s="81">
        <f t="shared" ref="D1360" si="26">D1357</f>
        <v>45945</v>
      </c>
      <c r="E1360" s="140" t="str">
        <f t="shared" ref="E1360" si="27">$M$1</f>
        <v>samuelbattista</v>
      </c>
      <c r="F1360" s="8">
        <f>IFERROR(AVERAGE(Data[[#This Row],[alappatjoe]:[currydestroyer27]]), "TBD")</f>
        <v>4</v>
      </c>
      <c r="G1360" s="177">
        <f>IFERROR(_xlfn.STDEV.P(Data[[#This Row],[alappatjoe]:[currydestroyer27]]), "TBD")</f>
        <v>1.5491933384829668</v>
      </c>
      <c r="H1360" s="135" t="s">
        <v>2721</v>
      </c>
      <c r="I1360" s="229" t="s">
        <v>2722</v>
      </c>
      <c r="J1360" s="3">
        <v>4</v>
      </c>
      <c r="K1360" s="3">
        <v>5</v>
      </c>
      <c r="L1360" s="3">
        <v>5</v>
      </c>
      <c r="M1360" s="3">
        <v>1</v>
      </c>
      <c r="N1360" s="3">
        <v>5</v>
      </c>
      <c r="O1360" s="238"/>
      <c r="P1360" s="93"/>
      <c r="Q1360" s="93"/>
      <c r="R13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60" s="93">
        <v>1</v>
      </c>
      <c r="T1360" s="93" t="b">
        <f>Data[[#This Row],[Day Rank]]=Data[[#This Row],[W Rank]]</f>
        <v>0</v>
      </c>
      <c r="U1360" s="323"/>
    </row>
    <row r="1361" spans="1:21" ht="15" customHeight="1" thickBot="1">
      <c r="A1361" s="327"/>
      <c r="B1361" s="327"/>
      <c r="C1361" s="330"/>
      <c r="D1361" s="164">
        <f t="shared" ref="D1361" si="28">D1357</f>
        <v>45945</v>
      </c>
      <c r="E1361" s="215" t="str">
        <f t="shared" ref="E1361" si="29">$N$1</f>
        <v>currydestroyer27</v>
      </c>
      <c r="F1361" s="228">
        <f>IFERROR(AVERAGE(Data[[#This Row],[alappatjoe]:[currydestroyer27]]), "TBD")</f>
        <v>3</v>
      </c>
      <c r="G1361" s="256">
        <f>IFERROR(_xlfn.STDEV.P(Data[[#This Row],[alappatjoe]:[currydestroyer27]]), "TBD")</f>
        <v>0.89442719099991586</v>
      </c>
      <c r="H1361" s="227" t="s">
        <v>2723</v>
      </c>
      <c r="I1361" s="257" t="s">
        <v>2724</v>
      </c>
      <c r="J1361" s="166">
        <v>2</v>
      </c>
      <c r="K1361" s="166">
        <v>4</v>
      </c>
      <c r="L1361" s="166">
        <v>4</v>
      </c>
      <c r="M1361" s="166">
        <v>3</v>
      </c>
      <c r="N1361" s="166">
        <v>2</v>
      </c>
      <c r="O1361" s="242">
        <v>3097071</v>
      </c>
      <c r="P1361" s="167" t="s">
        <v>76</v>
      </c>
      <c r="Q1361" s="167" t="s">
        <v>490</v>
      </c>
      <c r="R136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61" s="167">
        <v>1</v>
      </c>
      <c r="T1361" s="167" t="b">
        <f>Data[[#This Row],[Day Rank]]=Data[[#This Row],[W Rank]]</f>
        <v>0</v>
      </c>
      <c r="U1361" s="324"/>
    </row>
    <row r="1362" spans="1:21" ht="15" customHeight="1">
      <c r="A1362" s="325">
        <v>45946</v>
      </c>
      <c r="B1362" s="325"/>
      <c r="C1362" s="338" t="str" cm="1">
        <f t="array" ref="C1362">_xlfn.LET(_xlpm.matches, _xlfn._xlws.FILTER(Data[Poster], (Data[Date]=A1362)*(Data[Winner]=TRUE)), IF(ROWS(_xlpm.matches)&gt;1, "TIE", _xlpm.matches))</f>
        <v>samuelbattista</v>
      </c>
      <c r="D1362" s="147">
        <f t="shared" ref="D1362" si="30">A1362</f>
        <v>45946</v>
      </c>
      <c r="E1362" s="181" t="str">
        <f t="shared" ref="E1362" si="31">$J$1</f>
        <v>alappatjoe</v>
      </c>
      <c r="F1362" s="9">
        <f>IFERROR(AVERAGE(Data[[#This Row],[alappatjoe]:[currydestroyer27]]), "TBD")</f>
        <v>3</v>
      </c>
      <c r="G1362" s="178">
        <f>IFERROR(_xlfn.STDEV.P(Data[[#This Row],[alappatjoe]:[currydestroyer27]]), "TBD")</f>
        <v>1.0954451150103321</v>
      </c>
      <c r="H1362" s="160" t="s">
        <v>2725</v>
      </c>
      <c r="I1362" s="186" t="s">
        <v>1180</v>
      </c>
      <c r="J1362" s="3">
        <v>1</v>
      </c>
      <c r="K1362" s="3">
        <v>4</v>
      </c>
      <c r="L1362" s="3">
        <v>3</v>
      </c>
      <c r="M1362" s="3">
        <v>4</v>
      </c>
      <c r="N1362" s="3">
        <v>3</v>
      </c>
      <c r="O1362" s="238">
        <v>37460702</v>
      </c>
      <c r="P1362" s="93"/>
      <c r="Q1362" s="93"/>
      <c r="R13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62" s="93">
        <v>1</v>
      </c>
      <c r="T1362" s="93" t="b">
        <f>Data[[#This Row],[Day Rank]]=Data[[#This Row],[W Rank]]</f>
        <v>0</v>
      </c>
      <c r="U1362" s="331" t="s">
        <v>2726</v>
      </c>
    </row>
    <row r="1363" spans="1:21" ht="15" customHeight="1">
      <c r="A1363" s="326"/>
      <c r="B1363" s="326"/>
      <c r="C1363" s="339"/>
      <c r="D1363" s="81">
        <f t="shared" ref="D1363" si="32">D1362</f>
        <v>45946</v>
      </c>
      <c r="E1363" s="140" t="str">
        <f t="shared" ref="E1363" si="33">$K$1</f>
        <v>danram</v>
      </c>
      <c r="F1363" s="8">
        <f>IFERROR(AVERAGE(Data[[#This Row],[alappatjoe]:[currydestroyer27]]), "TBD")</f>
        <v>3.4</v>
      </c>
      <c r="G1363" s="177">
        <f>IFERROR(_xlfn.STDEV.P(Data[[#This Row],[alappatjoe]:[currydestroyer27]]), "TBD")</f>
        <v>1.6248076809271921</v>
      </c>
      <c r="H1363" s="135" t="s">
        <v>2727</v>
      </c>
      <c r="I1363" s="229" t="s">
        <v>2728</v>
      </c>
      <c r="J1363" s="3">
        <v>5</v>
      </c>
      <c r="K1363" s="3">
        <v>1</v>
      </c>
      <c r="L1363" s="3">
        <v>4</v>
      </c>
      <c r="M1363" s="3">
        <v>5</v>
      </c>
      <c r="N1363" s="3">
        <v>2</v>
      </c>
      <c r="O1363" s="238"/>
      <c r="P1363" s="93"/>
      <c r="Q1363" s="93"/>
      <c r="R13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63" s="93">
        <v>1</v>
      </c>
      <c r="T1363" s="93" t="b">
        <f>Data[[#This Row],[Day Rank]]=Data[[#This Row],[W Rank]]</f>
        <v>0</v>
      </c>
      <c r="U1363" s="323"/>
    </row>
    <row r="1364" spans="1:21" ht="15" customHeight="1">
      <c r="A1364" s="326"/>
      <c r="B1364" s="326"/>
      <c r="C1364" s="339"/>
      <c r="D1364" s="81">
        <f t="shared" ref="D1364" si="34">D1362</f>
        <v>45946</v>
      </c>
      <c r="E1364" s="140" t="str">
        <f t="shared" ref="E1364" si="35">$L$1</f>
        <v>loganworsdell</v>
      </c>
      <c r="F1364" s="8">
        <f>IFERROR(AVERAGE(Data[[#This Row],[alappatjoe]:[currydestroyer27]]), "TBD")</f>
        <v>3</v>
      </c>
      <c r="G1364" s="177">
        <f>IFERROR(_xlfn.STDEV.P(Data[[#This Row],[alappatjoe]:[currydestroyer27]]), "TBD")</f>
        <v>1.4142135623730951</v>
      </c>
      <c r="H1364" s="135" t="s">
        <v>2729</v>
      </c>
      <c r="I1364" s="229" t="s">
        <v>2730</v>
      </c>
      <c r="J1364" s="3">
        <v>4</v>
      </c>
      <c r="K1364" s="3">
        <v>3</v>
      </c>
      <c r="L1364" s="3">
        <v>1</v>
      </c>
      <c r="M1364" s="3">
        <v>2</v>
      </c>
      <c r="N1364" s="3">
        <v>5</v>
      </c>
      <c r="O1364" s="238">
        <v>9486967</v>
      </c>
      <c r="P1364" s="93"/>
      <c r="Q1364" s="93"/>
      <c r="R13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64" s="93">
        <v>1</v>
      </c>
      <c r="T1364" s="93" t="b">
        <f>Data[[#This Row],[Day Rank]]=Data[[#This Row],[W Rank]]</f>
        <v>0</v>
      </c>
      <c r="U1364" s="323"/>
    </row>
    <row r="1365" spans="1:21" ht="15" customHeight="1">
      <c r="A1365" s="326"/>
      <c r="B1365" s="326"/>
      <c r="C1365" s="339"/>
      <c r="D1365" s="81">
        <f t="shared" ref="D1365" si="36">D1362</f>
        <v>45946</v>
      </c>
      <c r="E1365" s="140" t="str">
        <f t="shared" ref="E1365" si="37">$M$1</f>
        <v>samuelbattista</v>
      </c>
      <c r="F1365" s="8">
        <f>IFERROR(AVERAGE(Data[[#This Row],[alappatjoe]:[currydestroyer27]]), "TBD")</f>
        <v>2.4</v>
      </c>
      <c r="G1365" s="177">
        <f>IFERROR(_xlfn.STDEV.P(Data[[#This Row],[alappatjoe]:[currydestroyer27]]), "TBD")</f>
        <v>1.019803902718557</v>
      </c>
      <c r="H1365" s="135" t="s">
        <v>2731</v>
      </c>
      <c r="I1365" s="229" t="s">
        <v>1110</v>
      </c>
      <c r="J1365" s="3">
        <v>3</v>
      </c>
      <c r="K1365" s="3">
        <v>2</v>
      </c>
      <c r="L1365" s="3">
        <v>2</v>
      </c>
      <c r="M1365" s="3">
        <v>1</v>
      </c>
      <c r="N1365" s="3">
        <v>4</v>
      </c>
      <c r="O1365" s="238"/>
      <c r="P1365" s="93"/>
      <c r="Q1365" s="93"/>
      <c r="R13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65" s="93">
        <v>1</v>
      </c>
      <c r="T1365" s="93" t="b">
        <f>Data[[#This Row],[Day Rank]]=Data[[#This Row],[W Rank]]</f>
        <v>1</v>
      </c>
      <c r="U1365" s="323"/>
    </row>
    <row r="1366" spans="1:21" ht="15" customHeight="1" thickBot="1">
      <c r="A1366" s="327"/>
      <c r="B1366" s="327"/>
      <c r="C1366" s="340"/>
      <c r="D1366" s="164">
        <f t="shared" ref="D1366" si="38">D1362</f>
        <v>45946</v>
      </c>
      <c r="E1366" s="215" t="str">
        <f t="shared" ref="E1366" si="39">$N$1</f>
        <v>currydestroyer27</v>
      </c>
      <c r="F1366" s="228">
        <f>IFERROR(AVERAGE(Data[[#This Row],[alappatjoe]:[currydestroyer27]]), "TBD")</f>
        <v>3.2</v>
      </c>
      <c r="G1366" s="256">
        <f>IFERROR(_xlfn.STDEV.P(Data[[#This Row],[alappatjoe]:[currydestroyer27]]), "TBD")</f>
        <v>1.6</v>
      </c>
      <c r="H1366" s="227" t="s">
        <v>2732</v>
      </c>
      <c r="I1366" s="257" t="s">
        <v>2733</v>
      </c>
      <c r="J1366" s="166">
        <v>2</v>
      </c>
      <c r="K1366" s="166">
        <v>5</v>
      </c>
      <c r="L1366" s="166">
        <v>5</v>
      </c>
      <c r="M1366" s="166">
        <v>3</v>
      </c>
      <c r="N1366" s="166">
        <v>1</v>
      </c>
      <c r="O1366" s="242">
        <v>14695546</v>
      </c>
      <c r="P1366" s="167"/>
      <c r="Q1366" s="167"/>
      <c r="R136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66" s="167">
        <v>1</v>
      </c>
      <c r="T1366" s="167" t="b">
        <f>Data[[#This Row],[Day Rank]]=Data[[#This Row],[W Rank]]</f>
        <v>0</v>
      </c>
      <c r="U1366" s="324"/>
    </row>
    <row r="1367" spans="1:21" ht="15" customHeight="1">
      <c r="A1367" s="325">
        <v>45950</v>
      </c>
      <c r="B1367" s="325"/>
      <c r="C1367" s="328" t="str" cm="1">
        <f t="array" ref="C1367">_xlfn.LET(_xlpm.matches, _xlfn._xlws.FILTER(Data[Poster], (Data[Date]=A1367)*(Data[Winner]=TRUE)), IF(ROWS(_xlpm.matches)&gt;1, "TIE", _xlpm.matches))</f>
        <v>loganworsdell</v>
      </c>
      <c r="D1367" s="147">
        <f t="shared" ref="D1367" si="40">A1367</f>
        <v>45950</v>
      </c>
      <c r="E1367" s="181" t="str">
        <f t="shared" ref="E1367" si="41">$J$1</f>
        <v>alappatjoe</v>
      </c>
      <c r="F1367" s="9">
        <f>IFERROR(AVERAGE(Data[[#This Row],[alappatjoe]:[currydestroyer27]]), "TBD")</f>
        <v>4.2</v>
      </c>
      <c r="G1367" s="178">
        <f>IFERROR(_xlfn.STDEV.P(Data[[#This Row],[alappatjoe]:[currydestroyer27]]), "TBD")</f>
        <v>0.9797958971132712</v>
      </c>
      <c r="H1367" s="160" t="s">
        <v>2734</v>
      </c>
      <c r="I1367" s="186" t="s">
        <v>2735</v>
      </c>
      <c r="J1367" s="3">
        <v>3</v>
      </c>
      <c r="K1367" s="3">
        <v>3</v>
      </c>
      <c r="L1367" s="3">
        <v>5</v>
      </c>
      <c r="M1367" s="3">
        <v>5</v>
      </c>
      <c r="N1367" s="3">
        <v>5</v>
      </c>
      <c r="O1367" s="238">
        <v>70277000</v>
      </c>
      <c r="P1367" s="93"/>
      <c r="Q1367" s="93"/>
      <c r="R13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67" s="93">
        <v>1</v>
      </c>
      <c r="T1367" s="93" t="b">
        <f>Data[[#This Row],[Day Rank]]=Data[[#This Row],[W Rank]]</f>
        <v>0</v>
      </c>
      <c r="U1367" s="331"/>
    </row>
    <row r="1368" spans="1:21" ht="15" customHeight="1">
      <c r="A1368" s="326"/>
      <c r="B1368" s="326"/>
      <c r="C1368" s="329"/>
      <c r="D1368" s="81">
        <f t="shared" ref="D1368" si="42">D1367</f>
        <v>45950</v>
      </c>
      <c r="E1368" s="140" t="str">
        <f t="shared" ref="E1368" si="43">$K$1</f>
        <v>danram</v>
      </c>
      <c r="F1368" s="8">
        <f>IFERROR(AVERAGE(Data[[#This Row],[alappatjoe]:[currydestroyer27]]), "TBD")</f>
        <v>2.8</v>
      </c>
      <c r="G1368" s="177">
        <f>IFERROR(_xlfn.STDEV.P(Data[[#This Row],[alappatjoe]:[currydestroyer27]]), "TBD")</f>
        <v>0.74833147735478833</v>
      </c>
      <c r="H1368" s="135" t="s">
        <v>2736</v>
      </c>
      <c r="I1368" s="229" t="s">
        <v>2737</v>
      </c>
      <c r="J1368" s="3">
        <v>4</v>
      </c>
      <c r="K1368" s="3">
        <v>2</v>
      </c>
      <c r="L1368" s="3">
        <v>2</v>
      </c>
      <c r="M1368" s="3">
        <v>3</v>
      </c>
      <c r="N1368" s="3">
        <v>3</v>
      </c>
      <c r="O1368" s="238"/>
      <c r="P1368" s="93"/>
      <c r="Q1368" s="93"/>
      <c r="R13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68" s="93">
        <v>1</v>
      </c>
      <c r="T1368" s="93" t="b">
        <f>Data[[#This Row],[Day Rank]]=Data[[#This Row],[W Rank]]</f>
        <v>0</v>
      </c>
      <c r="U1368" s="323"/>
    </row>
    <row r="1369" spans="1:21" ht="15" customHeight="1">
      <c r="A1369" s="326"/>
      <c r="B1369" s="326"/>
      <c r="C1369" s="329"/>
      <c r="D1369" s="81">
        <f t="shared" ref="D1369" si="44">D1367</f>
        <v>45950</v>
      </c>
      <c r="E1369" s="140" t="str">
        <f t="shared" ref="E1369" si="45">$L$1</f>
        <v>loganworsdell</v>
      </c>
      <c r="F1369" s="8">
        <f>IFERROR(AVERAGE(Data[[#This Row],[alappatjoe]:[currydestroyer27]]), "TBD")</f>
        <v>1.8</v>
      </c>
      <c r="G1369" s="177">
        <f>IFERROR(_xlfn.STDEV.P(Data[[#This Row],[alappatjoe]:[currydestroyer27]]), "TBD")</f>
        <v>1.1661903789690602</v>
      </c>
      <c r="H1369" s="135" t="s">
        <v>2738</v>
      </c>
      <c r="I1369" s="229" t="s">
        <v>2739</v>
      </c>
      <c r="J1369" s="3">
        <v>2</v>
      </c>
      <c r="K1369" s="3">
        <v>1</v>
      </c>
      <c r="L1369" s="3">
        <v>1</v>
      </c>
      <c r="M1369" s="3">
        <v>4</v>
      </c>
      <c r="N1369" s="3">
        <v>1</v>
      </c>
      <c r="O1369" s="238">
        <v>230722240</v>
      </c>
      <c r="P1369" s="93"/>
      <c r="Q1369" s="93"/>
      <c r="R13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69" s="93">
        <v>1</v>
      </c>
      <c r="T1369" s="93" t="b">
        <f>Data[[#This Row],[Day Rank]]=Data[[#This Row],[W Rank]]</f>
        <v>1</v>
      </c>
      <c r="U1369" s="323"/>
    </row>
    <row r="1370" spans="1:21" ht="15" customHeight="1">
      <c r="A1370" s="326"/>
      <c r="B1370" s="326"/>
      <c r="C1370" s="329"/>
      <c r="D1370" s="81">
        <f t="shared" ref="D1370" si="46">D1367</f>
        <v>45950</v>
      </c>
      <c r="E1370" s="140" t="str">
        <f t="shared" ref="E1370" si="47">$M$1</f>
        <v>samuelbattista</v>
      </c>
      <c r="F1370" s="8">
        <f>IFERROR(AVERAGE(Data[[#This Row],[alappatjoe]:[currydestroyer27]]), "TBD")</f>
        <v>3.8</v>
      </c>
      <c r="G1370" s="177">
        <f>IFERROR(_xlfn.STDEV.P(Data[[#This Row],[alappatjoe]:[currydestroyer27]]), "TBD")</f>
        <v>1.1661903789690602</v>
      </c>
      <c r="H1370" s="135" t="s">
        <v>2740</v>
      </c>
      <c r="I1370" s="229" t="s">
        <v>2741</v>
      </c>
      <c r="J1370" s="3">
        <v>5</v>
      </c>
      <c r="K1370" s="3">
        <v>5</v>
      </c>
      <c r="L1370" s="3">
        <v>3</v>
      </c>
      <c r="M1370" s="3">
        <v>2</v>
      </c>
      <c r="N1370" s="3">
        <v>4</v>
      </c>
      <c r="O1370" s="238"/>
      <c r="P1370" s="93"/>
      <c r="Q1370" s="93"/>
      <c r="R13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70" s="93">
        <v>1</v>
      </c>
      <c r="T1370" s="93" t="b">
        <f>Data[[#This Row],[Day Rank]]=Data[[#This Row],[W Rank]]</f>
        <v>0</v>
      </c>
      <c r="U1370" s="323"/>
    </row>
    <row r="1371" spans="1:21" ht="15" customHeight="1" thickBot="1">
      <c r="A1371" s="327"/>
      <c r="B1371" s="327"/>
      <c r="C1371" s="330"/>
      <c r="D1371" s="164">
        <f t="shared" ref="D1371" si="48">D1367</f>
        <v>45950</v>
      </c>
      <c r="E1371" s="215" t="str">
        <f t="shared" ref="E1371" si="49">$N$1</f>
        <v>currydestroyer27</v>
      </c>
      <c r="F1371" s="228">
        <f>IFERROR(AVERAGE(Data[[#This Row],[alappatjoe]:[currydestroyer27]]), "TBD")</f>
        <v>2.4</v>
      </c>
      <c r="G1371" s="256">
        <f>IFERROR(_xlfn.STDEV.P(Data[[#This Row],[alappatjoe]:[currydestroyer27]]), "TBD")</f>
        <v>1.3564659966250536</v>
      </c>
      <c r="H1371" s="227" t="s">
        <v>2742</v>
      </c>
      <c r="I1371" s="257" t="s">
        <v>2743</v>
      </c>
      <c r="J1371" s="166">
        <v>1</v>
      </c>
      <c r="K1371" s="166">
        <v>4</v>
      </c>
      <c r="L1371" s="166">
        <v>4</v>
      </c>
      <c r="M1371" s="166">
        <v>1</v>
      </c>
      <c r="N1371" s="166">
        <v>2</v>
      </c>
      <c r="O1371" s="242">
        <v>46252</v>
      </c>
      <c r="P1371" s="167"/>
      <c r="Q1371" s="167"/>
      <c r="R137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71" s="167">
        <v>1</v>
      </c>
      <c r="T1371" s="167" t="b">
        <f>Data[[#This Row],[Day Rank]]=Data[[#This Row],[W Rank]]</f>
        <v>0</v>
      </c>
      <c r="U1371" s="324"/>
    </row>
    <row r="1372" spans="1:21" ht="15" customHeight="1">
      <c r="A1372" s="325">
        <v>45951</v>
      </c>
      <c r="B1372" s="325"/>
      <c r="C1372" s="338" t="str" cm="1">
        <f t="array" ref="C1372">_xlfn.LET(_xlpm.matches, _xlfn._xlws.FILTER(Data[Poster], (Data[Date]=A1372)*(Data[Winner]=TRUE)), IF(ROWS(_xlpm.matches)&gt;1, "TIE", _xlpm.matches))</f>
        <v>samuelbattista</v>
      </c>
      <c r="D1372" s="147">
        <f t="shared" ref="D1372" si="50">A1372</f>
        <v>45951</v>
      </c>
      <c r="E1372" s="181" t="str">
        <f t="shared" ref="E1372" si="51">$J$1</f>
        <v>alappatjoe</v>
      </c>
      <c r="F1372" s="9">
        <f>IFERROR(AVERAGE(Data[[#This Row],[alappatjoe]:[currydestroyer27]]), "TBD")</f>
        <v>2.2000000000000002</v>
      </c>
      <c r="G1372" s="178">
        <f>IFERROR(_xlfn.STDEV.P(Data[[#This Row],[alappatjoe]:[currydestroyer27]]), "TBD")</f>
        <v>0.74833147735478833</v>
      </c>
      <c r="H1372" s="160" t="s">
        <v>2744</v>
      </c>
      <c r="I1372" s="186" t="s">
        <v>2745</v>
      </c>
      <c r="J1372" s="3">
        <v>1</v>
      </c>
      <c r="K1372" s="3">
        <v>3</v>
      </c>
      <c r="L1372" s="3">
        <v>2</v>
      </c>
      <c r="M1372" s="3">
        <v>3</v>
      </c>
      <c r="N1372" s="3">
        <v>2</v>
      </c>
      <c r="O1372" s="238">
        <v>3360522</v>
      </c>
      <c r="P1372" s="93"/>
      <c r="Q1372" s="93"/>
      <c r="R13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72" s="93">
        <v>1</v>
      </c>
      <c r="T1372" s="93" t="b">
        <f>Data[[#This Row],[Day Rank]]=Data[[#This Row],[W Rank]]</f>
        <v>0</v>
      </c>
      <c r="U1372" s="331"/>
    </row>
    <row r="1373" spans="1:21" ht="15" customHeight="1">
      <c r="A1373" s="326"/>
      <c r="B1373" s="326"/>
      <c r="C1373" s="339"/>
      <c r="D1373" s="81">
        <f t="shared" ref="D1373" si="52">D1372</f>
        <v>45951</v>
      </c>
      <c r="E1373" s="140" t="str">
        <f t="shared" ref="E1373" si="53">$K$1</f>
        <v>danram</v>
      </c>
      <c r="F1373" s="8">
        <f>IFERROR(AVERAGE(Data[[#This Row],[alappatjoe]:[currydestroyer27]]), "TBD")</f>
        <v>4.8</v>
      </c>
      <c r="G1373" s="177">
        <f>IFERROR(_xlfn.STDEV.P(Data[[#This Row],[alappatjoe]:[currydestroyer27]]), "TBD")</f>
        <v>0.39999999999999997</v>
      </c>
      <c r="H1373" s="135" t="s">
        <v>2746</v>
      </c>
      <c r="I1373" s="229" t="s">
        <v>2747</v>
      </c>
      <c r="J1373" s="3">
        <v>5</v>
      </c>
      <c r="K1373" s="3">
        <v>4</v>
      </c>
      <c r="L1373" s="3">
        <v>5</v>
      </c>
      <c r="M1373" s="3">
        <v>5</v>
      </c>
      <c r="N1373" s="3">
        <v>5</v>
      </c>
      <c r="O1373" s="238"/>
      <c r="P1373" s="93"/>
      <c r="Q1373" s="93"/>
      <c r="R13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73" s="93">
        <v>1</v>
      </c>
      <c r="T1373" s="93" t="b">
        <f>Data[[#This Row],[Day Rank]]=Data[[#This Row],[W Rank]]</f>
        <v>0</v>
      </c>
      <c r="U1373" s="323"/>
    </row>
    <row r="1374" spans="1:21" ht="15" customHeight="1">
      <c r="A1374" s="326"/>
      <c r="B1374" s="326"/>
      <c r="C1374" s="339"/>
      <c r="D1374" s="81">
        <f t="shared" ref="D1374" si="54">D1372</f>
        <v>45951</v>
      </c>
      <c r="E1374" s="140" t="str">
        <f t="shared" ref="E1374" si="55">$L$1</f>
        <v>loganworsdell</v>
      </c>
      <c r="F1374" s="8">
        <f>IFERROR(AVERAGE(Data[[#This Row],[alappatjoe]:[currydestroyer27]]), "TBD")</f>
        <v>3.4</v>
      </c>
      <c r="G1374" s="177">
        <f>IFERROR(_xlfn.STDEV.P(Data[[#This Row],[alappatjoe]:[currydestroyer27]]), "TBD")</f>
        <v>1.019803902718557</v>
      </c>
      <c r="H1374" s="135" t="s">
        <v>2748</v>
      </c>
      <c r="I1374" s="229" t="s">
        <v>365</v>
      </c>
      <c r="J1374" s="3">
        <v>4</v>
      </c>
      <c r="K1374" s="3">
        <v>5</v>
      </c>
      <c r="L1374" s="3">
        <v>3</v>
      </c>
      <c r="M1374" s="3">
        <v>2</v>
      </c>
      <c r="N1374" s="3">
        <v>3</v>
      </c>
      <c r="O1374" s="238">
        <v>178862</v>
      </c>
      <c r="P1374" s="93"/>
      <c r="Q1374" s="93"/>
      <c r="R13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74" s="93">
        <v>1</v>
      </c>
      <c r="T1374" s="93" t="b">
        <f>Data[[#This Row],[Day Rank]]=Data[[#This Row],[W Rank]]</f>
        <v>0</v>
      </c>
      <c r="U1374" s="323"/>
    </row>
    <row r="1375" spans="1:21" ht="15" customHeight="1">
      <c r="A1375" s="326"/>
      <c r="B1375" s="326"/>
      <c r="C1375" s="339"/>
      <c r="D1375" s="81">
        <f t="shared" ref="D1375" si="56">D1372</f>
        <v>45951</v>
      </c>
      <c r="E1375" s="140" t="str">
        <f t="shared" ref="E1375" si="57">$M$1</f>
        <v>samuelbattista</v>
      </c>
      <c r="F1375" s="8">
        <f>IFERROR(AVERAGE(Data[[#This Row],[alappatjoe]:[currydestroyer27]]), "TBD")</f>
        <v>2</v>
      </c>
      <c r="G1375" s="177">
        <f>IFERROR(_xlfn.STDEV.P(Data[[#This Row],[alappatjoe]:[currydestroyer27]]), "TBD")</f>
        <v>1.2649110640673518</v>
      </c>
      <c r="H1375" s="135" t="s">
        <v>2749</v>
      </c>
      <c r="I1375" s="229" t="s">
        <v>2750</v>
      </c>
      <c r="J1375" s="3">
        <v>3</v>
      </c>
      <c r="K1375" s="3">
        <v>1</v>
      </c>
      <c r="L1375" s="3">
        <v>1</v>
      </c>
      <c r="M1375" s="3">
        <v>1</v>
      </c>
      <c r="N1375" s="3">
        <v>4</v>
      </c>
      <c r="O1375" s="238"/>
      <c r="P1375" s="93"/>
      <c r="Q1375" s="93"/>
      <c r="R13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75" s="93">
        <v>1</v>
      </c>
      <c r="T1375" s="93" t="b">
        <f>Data[[#This Row],[Day Rank]]=Data[[#This Row],[W Rank]]</f>
        <v>1</v>
      </c>
      <c r="U1375" s="323"/>
    </row>
    <row r="1376" spans="1:21" ht="15" customHeight="1" thickBot="1">
      <c r="A1376" s="327"/>
      <c r="B1376" s="327"/>
      <c r="C1376" s="340"/>
      <c r="D1376" s="164">
        <f t="shared" ref="D1376" si="58">D1372</f>
        <v>45951</v>
      </c>
      <c r="E1376" s="215" t="str">
        <f t="shared" ref="E1376" si="59">$N$1</f>
        <v>currydestroyer27</v>
      </c>
      <c r="F1376" s="228">
        <f>IFERROR(AVERAGE(Data[[#This Row],[alappatjoe]:[currydestroyer27]]), "TBD")</f>
        <v>2.6</v>
      </c>
      <c r="G1376" s="256">
        <f>IFERROR(_xlfn.STDEV.P(Data[[#This Row],[alappatjoe]:[currydestroyer27]]), "TBD")</f>
        <v>1.2</v>
      </c>
      <c r="H1376" s="227" t="s">
        <v>2751</v>
      </c>
      <c r="I1376" s="257" t="s">
        <v>2752</v>
      </c>
      <c r="J1376" s="166">
        <v>2</v>
      </c>
      <c r="K1376" s="166">
        <v>2</v>
      </c>
      <c r="L1376" s="166">
        <v>4</v>
      </c>
      <c r="M1376" s="166">
        <v>4</v>
      </c>
      <c r="N1376" s="166">
        <v>1</v>
      </c>
      <c r="O1376" s="242">
        <v>13851991</v>
      </c>
      <c r="P1376" s="167"/>
      <c r="Q1376" s="167"/>
      <c r="R137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76" s="167">
        <v>1</v>
      </c>
      <c r="T1376" s="167" t="b">
        <f>Data[[#This Row],[Day Rank]]=Data[[#This Row],[W Rank]]</f>
        <v>0</v>
      </c>
      <c r="U1376" s="324"/>
    </row>
    <row r="1377" spans="1:21" ht="15" customHeight="1">
      <c r="A1377" s="325">
        <v>45952</v>
      </c>
      <c r="B1377" s="325"/>
      <c r="C1377" s="328" t="str" cm="1">
        <f t="array" ref="C1377">_xlfn.LET(_xlpm.matches, _xlfn._xlws.FILTER(Data[Poster], (Data[Date]=A1377)*(Data[Winner]=TRUE)), IF(ROWS(_xlpm.matches)&gt;1, "TIE", _xlpm.matches))</f>
        <v>samuelbattista</v>
      </c>
      <c r="D1377" s="147">
        <f t="shared" ref="D1377" si="60">A1377</f>
        <v>45952</v>
      </c>
      <c r="E1377" s="181" t="str">
        <f t="shared" ref="E1377" si="61">$J$1</f>
        <v>alappatjoe</v>
      </c>
      <c r="F1377" s="9">
        <f>IFERROR(AVERAGE(Data[[#This Row],[alappatjoe]:[currydestroyer27]]), "TBD")</f>
        <v>2.2000000000000002</v>
      </c>
      <c r="G1377" s="178">
        <f>IFERROR(_xlfn.STDEV.P(Data[[#This Row],[alappatjoe]:[currydestroyer27]]), "TBD")</f>
        <v>1.1661903789690602</v>
      </c>
      <c r="H1377" s="160" t="s">
        <v>2753</v>
      </c>
      <c r="I1377" s="186" t="s">
        <v>2754</v>
      </c>
      <c r="J1377" s="3">
        <v>1</v>
      </c>
      <c r="K1377" s="3">
        <v>1</v>
      </c>
      <c r="L1377" s="3">
        <v>3</v>
      </c>
      <c r="M1377" s="3">
        <v>4</v>
      </c>
      <c r="N1377" s="3">
        <v>2</v>
      </c>
      <c r="O1377" s="238">
        <v>10653455</v>
      </c>
      <c r="P1377" s="93"/>
      <c r="Q1377" s="93"/>
      <c r="R13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77" s="93">
        <v>1</v>
      </c>
      <c r="T1377" s="93" t="b">
        <f>Data[[#This Row],[Day Rank]]=Data[[#This Row],[W Rank]]</f>
        <v>0</v>
      </c>
      <c r="U1377" s="331"/>
    </row>
    <row r="1378" spans="1:21" ht="15" customHeight="1">
      <c r="A1378" s="326"/>
      <c r="B1378" s="326"/>
      <c r="C1378" s="329"/>
      <c r="D1378" s="81">
        <f t="shared" ref="D1378" si="62">D1377</f>
        <v>45952</v>
      </c>
      <c r="E1378" s="140" t="str">
        <f t="shared" ref="E1378" si="63">$K$1</f>
        <v>danram</v>
      </c>
      <c r="F1378" s="8">
        <f>IFERROR(AVERAGE(Data[[#This Row],[alappatjoe]:[currydestroyer27]]), "TBD")</f>
        <v>4</v>
      </c>
      <c r="G1378" s="177">
        <f>IFERROR(_xlfn.STDEV.P(Data[[#This Row],[alappatjoe]:[currydestroyer27]]), "TBD")</f>
        <v>0.89442719099991586</v>
      </c>
      <c r="H1378" s="135" t="s">
        <v>2755</v>
      </c>
      <c r="I1378" s="229" t="s">
        <v>2755</v>
      </c>
      <c r="J1378" s="3">
        <v>5</v>
      </c>
      <c r="K1378" s="3">
        <v>3</v>
      </c>
      <c r="L1378" s="3">
        <v>4</v>
      </c>
      <c r="M1378" s="3">
        <v>3</v>
      </c>
      <c r="N1378" s="3">
        <v>5</v>
      </c>
      <c r="O1378" s="238"/>
      <c r="P1378" s="93"/>
      <c r="Q1378" s="93"/>
      <c r="R13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78" s="93">
        <v>1</v>
      </c>
      <c r="T1378" s="93" t="b">
        <f>Data[[#This Row],[Day Rank]]=Data[[#This Row],[W Rank]]</f>
        <v>0</v>
      </c>
      <c r="U1378" s="323"/>
    </row>
    <row r="1379" spans="1:21" ht="15" customHeight="1">
      <c r="A1379" s="326"/>
      <c r="B1379" s="326"/>
      <c r="C1379" s="329"/>
      <c r="D1379" s="81">
        <f t="shared" ref="D1379" si="64">D1377</f>
        <v>45952</v>
      </c>
      <c r="E1379" s="140" t="str">
        <f t="shared" ref="E1379" si="65">$L$1</f>
        <v>loganworsdell</v>
      </c>
      <c r="F1379" s="8">
        <f>IFERROR(AVERAGE(Data[[#This Row],[alappatjoe]:[currydestroyer27]]), "TBD")</f>
        <v>2.6</v>
      </c>
      <c r="G1379" s="177">
        <f>IFERROR(_xlfn.STDEV.P(Data[[#This Row],[alappatjoe]:[currydestroyer27]]), "TBD")</f>
        <v>0.8</v>
      </c>
      <c r="H1379" s="135" t="s">
        <v>2756</v>
      </c>
      <c r="I1379" s="229" t="s">
        <v>2757</v>
      </c>
      <c r="J1379" s="3">
        <v>2</v>
      </c>
      <c r="K1379" s="3">
        <v>4</v>
      </c>
      <c r="L1379" s="3">
        <v>2</v>
      </c>
      <c r="M1379" s="3">
        <v>2</v>
      </c>
      <c r="N1379" s="3">
        <v>3</v>
      </c>
      <c r="O1379" s="238">
        <v>105258207</v>
      </c>
      <c r="P1379" s="93"/>
      <c r="Q1379" s="93"/>
      <c r="R13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79" s="93">
        <v>1</v>
      </c>
      <c r="T1379" s="93" t="b">
        <f>Data[[#This Row],[Day Rank]]=Data[[#This Row],[W Rank]]</f>
        <v>0</v>
      </c>
      <c r="U1379" s="323"/>
    </row>
    <row r="1380" spans="1:21" ht="15" customHeight="1">
      <c r="A1380" s="326"/>
      <c r="B1380" s="326"/>
      <c r="C1380" s="329"/>
      <c r="D1380" s="81">
        <f t="shared" ref="D1380" si="66">D1377</f>
        <v>45952</v>
      </c>
      <c r="E1380" s="140" t="str">
        <f t="shared" ref="E1380" si="67">$M$1</f>
        <v>samuelbattista</v>
      </c>
      <c r="F1380" s="8">
        <f>IFERROR(AVERAGE(Data[[#This Row],[alappatjoe]:[currydestroyer27]]), "TBD")</f>
        <v>1.6</v>
      </c>
      <c r="G1380" s="177">
        <f>IFERROR(_xlfn.STDEV.P(Data[[#This Row],[alappatjoe]:[currydestroyer27]]), "TBD")</f>
        <v>0.8</v>
      </c>
      <c r="H1380" s="135" t="s">
        <v>2758</v>
      </c>
      <c r="I1380" s="229" t="s">
        <v>2759</v>
      </c>
      <c r="J1380" s="3">
        <v>3</v>
      </c>
      <c r="K1380" s="3">
        <v>2</v>
      </c>
      <c r="L1380" s="3">
        <v>1</v>
      </c>
      <c r="M1380" s="3">
        <v>1</v>
      </c>
      <c r="N1380" s="3">
        <v>1</v>
      </c>
      <c r="O1380" s="238"/>
      <c r="P1380" s="93"/>
      <c r="Q1380" s="93"/>
      <c r="R13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80" s="93">
        <v>1</v>
      </c>
      <c r="T1380" s="93" t="b">
        <f>Data[[#This Row],[Day Rank]]=Data[[#This Row],[W Rank]]</f>
        <v>1</v>
      </c>
      <c r="U1380" s="323"/>
    </row>
    <row r="1381" spans="1:21" ht="15" customHeight="1" thickBot="1">
      <c r="A1381" s="327"/>
      <c r="B1381" s="327"/>
      <c r="C1381" s="330"/>
      <c r="D1381" s="164">
        <f t="shared" ref="D1381" si="68">D1377</f>
        <v>45952</v>
      </c>
      <c r="E1381" s="215" t="str">
        <f t="shared" ref="E1381" si="69">$N$1</f>
        <v>currydestroyer27</v>
      </c>
      <c r="F1381" s="228">
        <f>IFERROR(AVERAGE(Data[[#This Row],[alappatjoe]:[currydestroyer27]]), "TBD")</f>
        <v>4.5999999999999996</v>
      </c>
      <c r="G1381" s="256">
        <f>IFERROR(_xlfn.STDEV.P(Data[[#This Row],[alappatjoe]:[currydestroyer27]]), "TBD")</f>
        <v>0.4898979485566356</v>
      </c>
      <c r="H1381" s="227" t="s">
        <v>2150</v>
      </c>
      <c r="I1381" s="257" t="s">
        <v>2760</v>
      </c>
      <c r="J1381" s="166">
        <v>4</v>
      </c>
      <c r="K1381" s="166">
        <v>5</v>
      </c>
      <c r="L1381" s="166">
        <v>5</v>
      </c>
      <c r="M1381" s="166">
        <v>5</v>
      </c>
      <c r="N1381" s="166">
        <v>4</v>
      </c>
      <c r="O1381" s="242">
        <v>77654635</v>
      </c>
      <c r="P1381" s="167"/>
      <c r="Q1381" s="167"/>
      <c r="R138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81" s="167">
        <v>1</v>
      </c>
      <c r="T1381" s="167" t="b">
        <f>Data[[#This Row],[Day Rank]]=Data[[#This Row],[W Rank]]</f>
        <v>0</v>
      </c>
      <c r="U1381" s="324"/>
    </row>
    <row r="1382" spans="1:21" ht="15" customHeight="1">
      <c r="A1382" s="325">
        <v>45953</v>
      </c>
      <c r="B1382" s="325"/>
      <c r="C1382" s="338" t="str" cm="1">
        <f t="array" ref="C1382">_xlfn.LET(_xlpm.matches, _xlfn._xlws.FILTER(Data[Poster], (Data[Date]=A1382)*(Data[Winner]=TRUE)), IF(ROWS(_xlpm.matches)&gt;1, "TIE", _xlpm.matches))</f>
        <v>alappatjoe</v>
      </c>
      <c r="D1382" s="147">
        <f t="shared" ref="D1382" si="70">A1382</f>
        <v>45953</v>
      </c>
      <c r="E1382" s="181" t="str">
        <f t="shared" ref="E1382" si="71">$J$1</f>
        <v>alappatjoe</v>
      </c>
      <c r="F1382" s="9">
        <f>IFERROR(AVERAGE(Data[[#This Row],[alappatjoe]:[currydestroyer27]]), "TBD")</f>
        <v>2.2000000000000002</v>
      </c>
      <c r="G1382" s="178">
        <f>IFERROR(_xlfn.STDEV.P(Data[[#This Row],[alappatjoe]:[currydestroyer27]]), "TBD")</f>
        <v>0.74833147735478833</v>
      </c>
      <c r="H1382" s="160" t="s">
        <v>2761</v>
      </c>
      <c r="I1382" s="186" t="s">
        <v>1573</v>
      </c>
      <c r="J1382" s="3">
        <v>1</v>
      </c>
      <c r="K1382" s="3">
        <v>3</v>
      </c>
      <c r="L1382" s="3">
        <v>2</v>
      </c>
      <c r="M1382" s="3">
        <v>2</v>
      </c>
      <c r="N1382" s="3">
        <v>3</v>
      </c>
      <c r="O1382" s="238">
        <v>2264761399</v>
      </c>
      <c r="P1382" s="93"/>
      <c r="Q1382" s="93"/>
      <c r="R13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82" s="93">
        <v>1</v>
      </c>
      <c r="T1382" s="93" t="b">
        <f>Data[[#This Row],[Day Rank]]=Data[[#This Row],[W Rank]]</f>
        <v>1</v>
      </c>
      <c r="U1382" s="331" t="s">
        <v>2762</v>
      </c>
    </row>
    <row r="1383" spans="1:21" ht="15" customHeight="1">
      <c r="A1383" s="326"/>
      <c r="B1383" s="326"/>
      <c r="C1383" s="339"/>
      <c r="D1383" s="81">
        <f t="shared" ref="D1383" si="72">D1382</f>
        <v>45953</v>
      </c>
      <c r="E1383" s="140" t="str">
        <f t="shared" ref="E1383" si="73">$K$1</f>
        <v>danram</v>
      </c>
      <c r="F1383" s="8">
        <f>IFERROR(AVERAGE(Data[[#This Row],[alappatjoe]:[currydestroyer27]]), "TBD")</f>
        <v>2.8</v>
      </c>
      <c r="G1383" s="177">
        <f>IFERROR(_xlfn.STDEV.P(Data[[#This Row],[alappatjoe]:[currydestroyer27]]), "TBD")</f>
        <v>1.4696938456699069</v>
      </c>
      <c r="H1383" s="135" t="s">
        <v>2763</v>
      </c>
      <c r="I1383" s="229" t="s">
        <v>2719</v>
      </c>
      <c r="J1383" s="3">
        <v>4</v>
      </c>
      <c r="K1383" s="3">
        <v>1</v>
      </c>
      <c r="L1383" s="3">
        <v>1</v>
      </c>
      <c r="M1383" s="3">
        <v>4</v>
      </c>
      <c r="N1383" s="3">
        <v>4</v>
      </c>
      <c r="O1383" s="238"/>
      <c r="P1383" s="93"/>
      <c r="Q1383" s="93"/>
      <c r="R13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83" s="93">
        <v>1</v>
      </c>
      <c r="T1383" s="93" t="b">
        <f>Data[[#This Row],[Day Rank]]=Data[[#This Row],[W Rank]]</f>
        <v>0</v>
      </c>
      <c r="U1383" s="323"/>
    </row>
    <row r="1384" spans="1:21" ht="15" customHeight="1">
      <c r="A1384" s="326"/>
      <c r="B1384" s="326"/>
      <c r="C1384" s="339"/>
      <c r="D1384" s="81">
        <f t="shared" ref="D1384" si="74">D1382</f>
        <v>45953</v>
      </c>
      <c r="E1384" s="140" t="str">
        <f t="shared" ref="E1384" si="75">$L$1</f>
        <v>loganworsdell</v>
      </c>
      <c r="F1384" s="8">
        <f>IFERROR(AVERAGE(Data[[#This Row],[alappatjoe]:[currydestroyer27]]), "TBD")</f>
        <v>3.4</v>
      </c>
      <c r="G1384" s="177">
        <f>IFERROR(_xlfn.STDEV.P(Data[[#This Row],[alappatjoe]:[currydestroyer27]]), "TBD")</f>
        <v>1.3564659966250536</v>
      </c>
      <c r="H1384" s="135" t="s">
        <v>2764</v>
      </c>
      <c r="I1384" s="229" t="s">
        <v>2765</v>
      </c>
      <c r="J1384" s="3">
        <v>2</v>
      </c>
      <c r="K1384" s="3">
        <v>5</v>
      </c>
      <c r="L1384" s="3">
        <v>3</v>
      </c>
      <c r="M1384" s="3">
        <v>5</v>
      </c>
      <c r="N1384" s="3">
        <v>2</v>
      </c>
      <c r="O1384" s="238">
        <v>404497138</v>
      </c>
      <c r="P1384" s="93"/>
      <c r="Q1384" s="93"/>
      <c r="R13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84" s="93">
        <v>1</v>
      </c>
      <c r="T1384" s="93" t="b">
        <f>Data[[#This Row],[Day Rank]]=Data[[#This Row],[W Rank]]</f>
        <v>0</v>
      </c>
      <c r="U1384" s="323"/>
    </row>
    <row r="1385" spans="1:21" ht="15" customHeight="1">
      <c r="A1385" s="326"/>
      <c r="B1385" s="326"/>
      <c r="C1385" s="339"/>
      <c r="D1385" s="81">
        <f t="shared" ref="D1385" si="76">D1382</f>
        <v>45953</v>
      </c>
      <c r="E1385" s="140" t="str">
        <f t="shared" ref="E1385" si="77">$M$1</f>
        <v>samuelbattista</v>
      </c>
      <c r="F1385" s="8">
        <f>IFERROR(AVERAGE(Data[[#This Row],[alappatjoe]:[currydestroyer27]]), "TBD")</f>
        <v>4</v>
      </c>
      <c r="G1385" s="177">
        <f>IFERROR(_xlfn.STDEV.P(Data[[#This Row],[alappatjoe]:[currydestroyer27]]), "TBD")</f>
        <v>1.5491933384829668</v>
      </c>
      <c r="H1385" s="135" t="s">
        <v>2766</v>
      </c>
      <c r="I1385" s="229" t="s">
        <v>899</v>
      </c>
      <c r="J1385" s="3">
        <v>5</v>
      </c>
      <c r="K1385" s="3">
        <v>4</v>
      </c>
      <c r="L1385" s="3">
        <v>5</v>
      </c>
      <c r="M1385" s="3">
        <v>1</v>
      </c>
      <c r="N1385" s="3">
        <v>5</v>
      </c>
      <c r="O1385" s="238"/>
      <c r="P1385" s="93"/>
      <c r="Q1385" s="93"/>
      <c r="R13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85" s="93">
        <v>1</v>
      </c>
      <c r="T1385" s="93" t="b">
        <f>Data[[#This Row],[Day Rank]]=Data[[#This Row],[W Rank]]</f>
        <v>0</v>
      </c>
      <c r="U1385" s="323"/>
    </row>
    <row r="1386" spans="1:21" ht="15" customHeight="1" thickBot="1">
      <c r="A1386" s="327"/>
      <c r="B1386" s="327"/>
      <c r="C1386" s="340"/>
      <c r="D1386" s="164">
        <f t="shared" ref="D1386" si="78">D1382</f>
        <v>45953</v>
      </c>
      <c r="E1386" s="215" t="str">
        <f t="shared" ref="E1386" si="79">$N$1</f>
        <v>currydestroyer27</v>
      </c>
      <c r="F1386" s="228">
        <f>IFERROR(AVERAGE(Data[[#This Row],[alappatjoe]:[currydestroyer27]]), "TBD")</f>
        <v>2.6</v>
      </c>
      <c r="G1386" s="256">
        <f>IFERROR(_xlfn.STDEV.P(Data[[#This Row],[alappatjoe]:[currydestroyer27]]), "TBD")</f>
        <v>1.019803902718557</v>
      </c>
      <c r="H1386" s="227" t="s">
        <v>2767</v>
      </c>
      <c r="I1386" s="257" t="s">
        <v>2768</v>
      </c>
      <c r="J1386" s="166">
        <v>3</v>
      </c>
      <c r="K1386" s="166">
        <v>2</v>
      </c>
      <c r="L1386" s="166">
        <v>4</v>
      </c>
      <c r="M1386" s="166">
        <v>3</v>
      </c>
      <c r="N1386" s="166">
        <v>1</v>
      </c>
      <c r="O1386" s="242">
        <v>284273497</v>
      </c>
      <c r="P1386" s="167"/>
      <c r="Q1386" s="167"/>
      <c r="R138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86" s="167">
        <v>1</v>
      </c>
      <c r="T1386" s="93" t="b">
        <f>Data[[#This Row],[Day Rank]]=Data[[#This Row],[W Rank]]</f>
        <v>0</v>
      </c>
      <c r="U1386" s="324"/>
    </row>
    <row r="1387" spans="1:21" ht="15" customHeight="1">
      <c r="A1387" s="325">
        <v>45957</v>
      </c>
      <c r="B1387" s="325"/>
      <c r="C1387" s="328" t="str" cm="1">
        <f t="array" ref="C1387">_xlfn.LET(_xlpm.matches, _xlfn._xlws.FILTER(Data[Poster], (Data[Date]=A1387)*(Data[Winner]=TRUE)), IF(ROWS(_xlpm.matches)&gt;1, "TIE", _xlpm.matches))</f>
        <v>danram</v>
      </c>
      <c r="D1387" s="147">
        <f t="shared" ref="D1387" si="80">A1387</f>
        <v>45957</v>
      </c>
      <c r="E1387" s="181" t="str">
        <f t="shared" ref="E1387:E1422" si="81">$J$1</f>
        <v>alappatjoe</v>
      </c>
      <c r="F1387" s="9">
        <f>IFERROR(AVERAGE(Data[[#This Row],[alappatjoe]:[currydestroyer27]]), "TBD")</f>
        <v>3.2</v>
      </c>
      <c r="G1387" s="178">
        <f>IFERROR(_xlfn.STDEV.P(Data[[#This Row],[alappatjoe]:[currydestroyer27]]), "TBD")</f>
        <v>1.3266499161421599</v>
      </c>
      <c r="H1387" s="160" t="s">
        <v>2769</v>
      </c>
      <c r="I1387" s="186" t="s">
        <v>2389</v>
      </c>
      <c r="J1387" s="3">
        <v>1</v>
      </c>
      <c r="K1387" s="3">
        <v>5</v>
      </c>
      <c r="L1387" s="3">
        <v>4</v>
      </c>
      <c r="M1387" s="3">
        <v>3</v>
      </c>
      <c r="N1387" s="3">
        <v>3</v>
      </c>
      <c r="O1387" s="238">
        <v>1550906</v>
      </c>
      <c r="P1387" s="93"/>
      <c r="Q1387" s="93"/>
      <c r="R13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87" s="93">
        <v>1</v>
      </c>
      <c r="T1387" s="93" t="b">
        <f>Data[[#This Row],[Day Rank]]=Data[[#This Row],[W Rank]]</f>
        <v>0</v>
      </c>
      <c r="U1387" s="331"/>
    </row>
    <row r="1388" spans="1:21" ht="15" customHeight="1">
      <c r="A1388" s="326"/>
      <c r="B1388" s="326"/>
      <c r="C1388" s="329"/>
      <c r="D1388" s="81">
        <f t="shared" ref="D1388:D1423" si="82">D1387</f>
        <v>45957</v>
      </c>
      <c r="E1388" s="140" t="str">
        <f t="shared" ref="E1388:E1423" si="83">$K$1</f>
        <v>danram</v>
      </c>
      <c r="F1388" s="8">
        <f>IFERROR(AVERAGE(Data[[#This Row],[alappatjoe]:[currydestroyer27]]), "TBD")</f>
        <v>2.2000000000000002</v>
      </c>
      <c r="G1388" s="177">
        <f>IFERROR(_xlfn.STDEV.P(Data[[#This Row],[alappatjoe]:[currydestroyer27]]), "TBD")</f>
        <v>0.9797958971132712</v>
      </c>
      <c r="H1388" s="135" t="s">
        <v>2770</v>
      </c>
      <c r="I1388" s="229" t="s">
        <v>2771</v>
      </c>
      <c r="J1388" s="3">
        <v>2</v>
      </c>
      <c r="K1388" s="3">
        <v>1</v>
      </c>
      <c r="L1388" s="3">
        <v>2</v>
      </c>
      <c r="M1388" s="3">
        <v>2</v>
      </c>
      <c r="N1388" s="3">
        <v>4</v>
      </c>
      <c r="O1388" s="238"/>
      <c r="P1388" s="93"/>
      <c r="Q1388" s="93"/>
      <c r="R13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88" s="93">
        <v>1</v>
      </c>
      <c r="T1388" s="93" t="b">
        <f>Data[[#This Row],[Day Rank]]=Data[[#This Row],[W Rank]]</f>
        <v>1</v>
      </c>
      <c r="U1388" s="323"/>
    </row>
    <row r="1389" spans="1:21" ht="15" customHeight="1">
      <c r="A1389" s="326"/>
      <c r="B1389" s="326"/>
      <c r="C1389" s="329"/>
      <c r="D1389" s="81">
        <f t="shared" ref="D1389:D1424" si="84">D1387</f>
        <v>45957</v>
      </c>
      <c r="E1389" s="140" t="str">
        <f t="shared" ref="E1389:E1424" si="85">$L$1</f>
        <v>loganworsdell</v>
      </c>
      <c r="F1389" s="8">
        <f>IFERROR(AVERAGE(Data[[#This Row],[alappatjoe]:[currydestroyer27]]), "TBD")</f>
        <v>3.4</v>
      </c>
      <c r="G1389" s="177">
        <f>IFERROR(_xlfn.STDEV.P(Data[[#This Row],[alappatjoe]:[currydestroyer27]]), "TBD")</f>
        <v>0.8</v>
      </c>
      <c r="H1389" s="268">
        <v>555</v>
      </c>
      <c r="I1389" s="229" t="s">
        <v>2772</v>
      </c>
      <c r="J1389" s="3">
        <v>4</v>
      </c>
      <c r="K1389" s="3">
        <v>4</v>
      </c>
      <c r="L1389" s="3">
        <v>3</v>
      </c>
      <c r="M1389" s="3">
        <v>4</v>
      </c>
      <c r="N1389" s="3">
        <v>2</v>
      </c>
      <c r="O1389" s="238">
        <v>8189585</v>
      </c>
      <c r="P1389" s="93"/>
      <c r="Q1389" s="93"/>
      <c r="R13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89" s="93">
        <v>1</v>
      </c>
      <c r="T1389" s="93" t="b">
        <f>Data[[#This Row],[Day Rank]]=Data[[#This Row],[W Rank]]</f>
        <v>0</v>
      </c>
      <c r="U1389" s="323"/>
    </row>
    <row r="1390" spans="1:21" ht="15" customHeight="1">
      <c r="A1390" s="326"/>
      <c r="B1390" s="326"/>
      <c r="C1390" s="329"/>
      <c r="D1390" s="81">
        <f t="shared" ref="D1390:D1425" si="86">D1387</f>
        <v>45957</v>
      </c>
      <c r="E1390" s="140" t="str">
        <f t="shared" ref="E1390:E1425" si="87">$M$1</f>
        <v>samuelbattista</v>
      </c>
      <c r="F1390" s="8">
        <f>IFERROR(AVERAGE(Data[[#This Row],[alappatjoe]:[currydestroyer27]]), "TBD")</f>
        <v>3.6</v>
      </c>
      <c r="G1390" s="177">
        <f>IFERROR(_xlfn.STDEV.P(Data[[#This Row],[alappatjoe]:[currydestroyer27]]), "TBD")</f>
        <v>1.7435595774162693</v>
      </c>
      <c r="H1390" s="135" t="s">
        <v>2773</v>
      </c>
      <c r="I1390" s="229" t="s">
        <v>2300</v>
      </c>
      <c r="J1390" s="3">
        <v>5</v>
      </c>
      <c r="K1390" s="3">
        <v>2</v>
      </c>
      <c r="L1390" s="3">
        <v>5</v>
      </c>
      <c r="M1390" s="3">
        <v>1</v>
      </c>
      <c r="N1390" s="3">
        <v>5</v>
      </c>
      <c r="O1390" s="238"/>
      <c r="P1390" s="93"/>
      <c r="Q1390" s="93"/>
      <c r="R13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90" s="93">
        <v>1</v>
      </c>
      <c r="T1390" s="93" t="b">
        <f>Data[[#This Row],[Day Rank]]=Data[[#This Row],[W Rank]]</f>
        <v>0</v>
      </c>
      <c r="U1390" s="323"/>
    </row>
    <row r="1391" spans="1:21" ht="15" customHeight="1" thickBot="1">
      <c r="A1391" s="327"/>
      <c r="B1391" s="327"/>
      <c r="C1391" s="330"/>
      <c r="D1391" s="164">
        <f t="shared" ref="D1391:D1426" si="88">D1387</f>
        <v>45957</v>
      </c>
      <c r="E1391" s="215" t="str">
        <f t="shared" ref="E1391:E1426" si="89">$N$1</f>
        <v>currydestroyer27</v>
      </c>
      <c r="F1391" s="228">
        <f>IFERROR(AVERAGE(Data[[#This Row],[alappatjoe]:[currydestroyer27]]), "TBD")</f>
        <v>2.6</v>
      </c>
      <c r="G1391" s="256">
        <f>IFERROR(_xlfn.STDEV.P(Data[[#This Row],[alappatjoe]:[currydestroyer27]]), "TBD")</f>
        <v>1.4966629547095767</v>
      </c>
      <c r="H1391" s="227" t="s">
        <v>2774</v>
      </c>
      <c r="I1391" s="257" t="s">
        <v>2775</v>
      </c>
      <c r="J1391" s="166">
        <v>3</v>
      </c>
      <c r="K1391" s="166">
        <v>3</v>
      </c>
      <c r="L1391" s="166">
        <v>1</v>
      </c>
      <c r="M1391" s="166">
        <v>5</v>
      </c>
      <c r="N1391" s="166">
        <v>1</v>
      </c>
      <c r="O1391" s="242">
        <v>45244764</v>
      </c>
      <c r="P1391" s="167"/>
      <c r="Q1391" s="167"/>
      <c r="R139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91" s="167">
        <v>1</v>
      </c>
      <c r="T1391" s="93" t="b">
        <f>Data[[#This Row],[Day Rank]]=Data[[#This Row],[W Rank]]</f>
        <v>0</v>
      </c>
      <c r="U1391" s="324"/>
    </row>
    <row r="1392" spans="1:21" ht="15" customHeight="1">
      <c r="A1392" s="325">
        <v>45958</v>
      </c>
      <c r="B1392" s="325"/>
      <c r="C1392" s="338" t="str" cm="1">
        <f t="array" ref="C1392">_xlfn.LET(_xlpm.matches, _xlfn._xlws.FILTER(Data[Poster], (Data[Date]=A1392)*(Data[Winner]=TRUE)), IF(ROWS(_xlpm.matches)&gt;1, "TIE", _xlpm.matches))</f>
        <v>samuelbattista</v>
      </c>
      <c r="D1392" s="147">
        <f t="shared" ref="D1392" si="90">A1392</f>
        <v>45958</v>
      </c>
      <c r="E1392" s="181" t="str">
        <f t="shared" si="81"/>
        <v>alappatjoe</v>
      </c>
      <c r="F1392" s="9">
        <f>IFERROR(AVERAGE(Data[[#This Row],[alappatjoe]:[currydestroyer27]]), "TBD")</f>
        <v>2.6</v>
      </c>
      <c r="G1392" s="178">
        <f>IFERROR(_xlfn.STDEV.P(Data[[#This Row],[alappatjoe]:[currydestroyer27]]), "TBD")</f>
        <v>1.019803902718557</v>
      </c>
      <c r="H1392" s="160" t="s">
        <v>2776</v>
      </c>
      <c r="I1392" s="186" t="s">
        <v>2777</v>
      </c>
      <c r="J1392" s="3">
        <v>1</v>
      </c>
      <c r="K1392" s="3">
        <v>2</v>
      </c>
      <c r="L1392" s="3">
        <v>3</v>
      </c>
      <c r="M1392" s="3">
        <v>4</v>
      </c>
      <c r="N1392" s="3">
        <v>3</v>
      </c>
      <c r="O1392" s="238">
        <v>516271</v>
      </c>
      <c r="P1392" s="93"/>
      <c r="Q1392" s="93"/>
      <c r="R13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392" s="93">
        <v>1</v>
      </c>
      <c r="T1392" s="93" t="b">
        <f>Data[[#This Row],[Day Rank]]=Data[[#This Row],[W Rank]]</f>
        <v>0</v>
      </c>
      <c r="U1392" s="331"/>
    </row>
    <row r="1393" spans="1:21" ht="15" customHeight="1">
      <c r="A1393" s="326"/>
      <c r="B1393" s="326"/>
      <c r="C1393" s="339"/>
      <c r="D1393" s="81">
        <f t="shared" si="82"/>
        <v>45958</v>
      </c>
      <c r="E1393" s="140" t="str">
        <f t="shared" si="83"/>
        <v>danram</v>
      </c>
      <c r="F1393" s="8">
        <f>IFERROR(AVERAGE(Data[[#This Row],[alappatjoe]:[currydestroyer27]]), "TBD")</f>
        <v>3.8</v>
      </c>
      <c r="G1393" s="177">
        <f>IFERROR(_xlfn.STDEV.P(Data[[#This Row],[alappatjoe]:[currydestroyer27]]), "TBD")</f>
        <v>0.74833147735478833</v>
      </c>
      <c r="H1393" s="135" t="s">
        <v>2778</v>
      </c>
      <c r="I1393" s="229" t="s">
        <v>2779</v>
      </c>
      <c r="J1393" s="3">
        <v>5</v>
      </c>
      <c r="K1393" s="3">
        <v>3</v>
      </c>
      <c r="L1393" s="3">
        <v>4</v>
      </c>
      <c r="M1393" s="3">
        <v>3</v>
      </c>
      <c r="N1393" s="3">
        <v>4</v>
      </c>
      <c r="O1393" s="238"/>
      <c r="P1393" s="93"/>
      <c r="Q1393" s="93"/>
      <c r="R13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93" s="93">
        <v>1</v>
      </c>
      <c r="T1393" s="93" t="b">
        <f>Data[[#This Row],[Day Rank]]=Data[[#This Row],[W Rank]]</f>
        <v>0</v>
      </c>
      <c r="U1393" s="323"/>
    </row>
    <row r="1394" spans="1:21" ht="15" customHeight="1">
      <c r="A1394" s="326"/>
      <c r="B1394" s="326"/>
      <c r="C1394" s="339"/>
      <c r="D1394" s="81">
        <f t="shared" si="84"/>
        <v>45958</v>
      </c>
      <c r="E1394" s="140" t="str">
        <f t="shared" si="85"/>
        <v>loganworsdell</v>
      </c>
      <c r="F1394" s="8">
        <f>IFERROR(AVERAGE(Data[[#This Row],[alappatjoe]:[currydestroyer27]]), "TBD")</f>
        <v>3.2</v>
      </c>
      <c r="G1394" s="177">
        <f>IFERROR(_xlfn.STDEV.P(Data[[#This Row],[alappatjoe]:[currydestroyer27]]), "TBD")</f>
        <v>1.4696938456699069</v>
      </c>
      <c r="H1394" s="135" t="s">
        <v>2780</v>
      </c>
      <c r="I1394" s="229" t="s">
        <v>1021</v>
      </c>
      <c r="J1394" s="3">
        <v>4</v>
      </c>
      <c r="K1394" s="3">
        <v>4</v>
      </c>
      <c r="L1394" s="3">
        <v>1</v>
      </c>
      <c r="M1394" s="3">
        <v>2</v>
      </c>
      <c r="N1394" s="3">
        <v>5</v>
      </c>
      <c r="O1394" s="238">
        <v>9533</v>
      </c>
      <c r="P1394" s="93"/>
      <c r="Q1394" s="93"/>
      <c r="R13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394" s="93">
        <v>1</v>
      </c>
      <c r="T1394" s="93" t="b">
        <f>Data[[#This Row],[Day Rank]]=Data[[#This Row],[W Rank]]</f>
        <v>0</v>
      </c>
      <c r="U1394" s="323"/>
    </row>
    <row r="1395" spans="1:21" ht="15" customHeight="1">
      <c r="A1395" s="326"/>
      <c r="B1395" s="326"/>
      <c r="C1395" s="339"/>
      <c r="D1395" s="81">
        <f t="shared" si="86"/>
        <v>45958</v>
      </c>
      <c r="E1395" s="140" t="str">
        <f t="shared" si="87"/>
        <v>samuelbattista</v>
      </c>
      <c r="F1395" s="8">
        <f>IFERROR(AVERAGE(Data[[#This Row],[alappatjoe]:[currydestroyer27]]), "TBD")</f>
        <v>1.8</v>
      </c>
      <c r="G1395" s="177">
        <f>IFERROR(_xlfn.STDEV.P(Data[[#This Row],[alappatjoe]:[currydestroyer27]]), "TBD")</f>
        <v>0.74833147735478833</v>
      </c>
      <c r="H1395" s="135" t="s">
        <v>2781</v>
      </c>
      <c r="I1395" s="229" t="s">
        <v>2782</v>
      </c>
      <c r="J1395" s="3">
        <v>3</v>
      </c>
      <c r="K1395" s="3">
        <v>1</v>
      </c>
      <c r="L1395" s="3">
        <v>2</v>
      </c>
      <c r="M1395" s="3">
        <v>1</v>
      </c>
      <c r="N1395" s="3">
        <v>2</v>
      </c>
      <c r="O1395" s="238"/>
      <c r="P1395" s="93"/>
      <c r="Q1395" s="93"/>
      <c r="R13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95" s="93">
        <v>1</v>
      </c>
      <c r="T1395" s="93" t="b">
        <f>Data[[#This Row],[Day Rank]]=Data[[#This Row],[W Rank]]</f>
        <v>1</v>
      </c>
      <c r="U1395" s="323"/>
    </row>
    <row r="1396" spans="1:21" ht="15" customHeight="1" thickBot="1">
      <c r="A1396" s="327"/>
      <c r="B1396" s="327"/>
      <c r="C1396" s="340"/>
      <c r="D1396" s="164">
        <f t="shared" si="88"/>
        <v>45958</v>
      </c>
      <c r="E1396" s="215" t="str">
        <f t="shared" si="89"/>
        <v>currydestroyer27</v>
      </c>
      <c r="F1396" s="228">
        <f>IFERROR(AVERAGE(Data[[#This Row],[alappatjoe]:[currydestroyer27]]), "TBD")</f>
        <v>3.6</v>
      </c>
      <c r="G1396" s="256">
        <f>IFERROR(_xlfn.STDEV.P(Data[[#This Row],[alappatjoe]:[currydestroyer27]]), "TBD")</f>
        <v>1.7435595774162693</v>
      </c>
      <c r="H1396" s="227" t="s">
        <v>2783</v>
      </c>
      <c r="I1396" s="257" t="s">
        <v>2784</v>
      </c>
      <c r="J1396" s="166">
        <v>2</v>
      </c>
      <c r="K1396" s="166">
        <v>5</v>
      </c>
      <c r="L1396" s="166">
        <v>5</v>
      </c>
      <c r="M1396" s="166">
        <v>5</v>
      </c>
      <c r="N1396" s="166">
        <v>1</v>
      </c>
      <c r="O1396" s="242">
        <v>1271632</v>
      </c>
      <c r="P1396" s="167" t="s">
        <v>76</v>
      </c>
      <c r="Q1396" s="167" t="s">
        <v>490</v>
      </c>
      <c r="R139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396" s="167">
        <v>1</v>
      </c>
      <c r="T1396" s="93" t="b">
        <f>Data[[#This Row],[Day Rank]]=Data[[#This Row],[W Rank]]</f>
        <v>0</v>
      </c>
      <c r="U1396" s="324"/>
    </row>
    <row r="1397" spans="1:21" ht="15" customHeight="1">
      <c r="A1397" s="325">
        <v>45959</v>
      </c>
      <c r="B1397" s="325"/>
      <c r="C1397" s="328" t="str" cm="1">
        <f t="array" ref="C1397">_xlfn.LET(_xlpm.matches, _xlfn._xlws.FILTER(Data[Poster], (Data[Date]=A1397)*(Data[Winner]=TRUE)), IF(ROWS(_xlpm.matches)&gt;1, "TIE", _xlpm.matches))</f>
        <v>danram</v>
      </c>
      <c r="D1397" s="147">
        <f t="shared" ref="D1397" si="91">A1397</f>
        <v>45959</v>
      </c>
      <c r="E1397" s="181" t="str">
        <f t="shared" si="81"/>
        <v>alappatjoe</v>
      </c>
      <c r="F1397" s="9">
        <f>IFERROR(AVERAGE(Data[[#This Row],[alappatjoe]:[currydestroyer27]]), "TBD")</f>
        <v>4.4000000000000004</v>
      </c>
      <c r="G1397" s="178">
        <f>IFERROR(_xlfn.STDEV.P(Data[[#This Row],[alappatjoe]:[currydestroyer27]]), "TBD")</f>
        <v>0.8</v>
      </c>
      <c r="H1397" s="160" t="s">
        <v>2785</v>
      </c>
      <c r="I1397" s="186" t="s">
        <v>2786</v>
      </c>
      <c r="J1397" s="3">
        <v>3</v>
      </c>
      <c r="K1397" s="3">
        <v>5</v>
      </c>
      <c r="L1397" s="3">
        <v>5</v>
      </c>
      <c r="M1397" s="3">
        <v>4</v>
      </c>
      <c r="N1397" s="3">
        <v>5</v>
      </c>
      <c r="O1397" s="238">
        <v>1029295</v>
      </c>
      <c r="P1397" s="93"/>
      <c r="Q1397" s="93"/>
      <c r="R13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397" s="93">
        <v>1</v>
      </c>
      <c r="T1397" s="93" t="b">
        <f>Data[[#This Row],[Day Rank]]=Data[[#This Row],[W Rank]]</f>
        <v>0</v>
      </c>
      <c r="U1397" s="331"/>
    </row>
    <row r="1398" spans="1:21" ht="15" customHeight="1">
      <c r="A1398" s="326"/>
      <c r="B1398" s="326"/>
      <c r="C1398" s="329"/>
      <c r="D1398" s="81">
        <f t="shared" si="82"/>
        <v>45959</v>
      </c>
      <c r="E1398" s="140" t="str">
        <f t="shared" si="83"/>
        <v>danram</v>
      </c>
      <c r="F1398" s="8">
        <f>IFERROR(AVERAGE(Data[[#This Row],[alappatjoe]:[currydestroyer27]]), "TBD")</f>
        <v>2.2000000000000002</v>
      </c>
      <c r="G1398" s="177">
        <f>IFERROR(_xlfn.STDEV.P(Data[[#This Row],[alappatjoe]:[currydestroyer27]]), "TBD")</f>
        <v>0.9797958971132712</v>
      </c>
      <c r="H1398" s="135" t="s">
        <v>2787</v>
      </c>
      <c r="I1398" s="229" t="s">
        <v>616</v>
      </c>
      <c r="J1398" s="3">
        <v>4</v>
      </c>
      <c r="K1398" s="3">
        <v>1</v>
      </c>
      <c r="L1398" s="3">
        <v>2</v>
      </c>
      <c r="M1398" s="3">
        <v>2</v>
      </c>
      <c r="N1398" s="3">
        <v>2</v>
      </c>
      <c r="O1398" s="238"/>
      <c r="P1398" s="93"/>
      <c r="Q1398" s="93"/>
      <c r="R13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98" s="93">
        <v>1</v>
      </c>
      <c r="T1398" s="93" t="b">
        <f>Data[[#This Row],[Day Rank]]=Data[[#This Row],[W Rank]]</f>
        <v>1</v>
      </c>
      <c r="U1398" s="323"/>
    </row>
    <row r="1399" spans="1:21" ht="15" customHeight="1">
      <c r="A1399" s="326"/>
      <c r="B1399" s="326"/>
      <c r="C1399" s="329"/>
      <c r="D1399" s="81">
        <f t="shared" si="84"/>
        <v>45959</v>
      </c>
      <c r="E1399" s="140" t="str">
        <f t="shared" si="85"/>
        <v>loganworsdell</v>
      </c>
      <c r="F1399" s="8">
        <f>IFERROR(AVERAGE(Data[[#This Row],[alappatjoe]:[currydestroyer27]]), "TBD")</f>
        <v>2.2000000000000002</v>
      </c>
      <c r="G1399" s="177">
        <f>IFERROR(_xlfn.STDEV.P(Data[[#This Row],[alappatjoe]:[currydestroyer27]]), "TBD")</f>
        <v>0.9797958971132712</v>
      </c>
      <c r="H1399" s="135" t="s">
        <v>2788</v>
      </c>
      <c r="I1399" s="229" t="s">
        <v>1404</v>
      </c>
      <c r="J1399" s="3">
        <v>1</v>
      </c>
      <c r="K1399" s="3">
        <v>3</v>
      </c>
      <c r="L1399" s="3">
        <v>1</v>
      </c>
      <c r="M1399" s="3">
        <v>3</v>
      </c>
      <c r="N1399" s="3">
        <v>3</v>
      </c>
      <c r="O1399" s="238">
        <v>4685657</v>
      </c>
      <c r="P1399" s="93"/>
      <c r="Q1399" s="93"/>
      <c r="R13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399" s="93">
        <v>2</v>
      </c>
      <c r="T1399" s="93" t="b">
        <f>Data[[#This Row],[Day Rank]]=Data[[#This Row],[W Rank]]</f>
        <v>0</v>
      </c>
      <c r="U1399" s="323"/>
    </row>
    <row r="1400" spans="1:21" ht="15" customHeight="1">
      <c r="A1400" s="326"/>
      <c r="B1400" s="326"/>
      <c r="C1400" s="329"/>
      <c r="D1400" s="81">
        <f t="shared" si="86"/>
        <v>45959</v>
      </c>
      <c r="E1400" s="140" t="str">
        <f t="shared" si="87"/>
        <v>samuelbattista</v>
      </c>
      <c r="F1400" s="8">
        <f>IFERROR(AVERAGE(Data[[#This Row],[alappatjoe]:[currydestroyer27]]), "TBD")</f>
        <v>2.8</v>
      </c>
      <c r="G1400" s="177">
        <f>IFERROR(_xlfn.STDEV.P(Data[[#This Row],[alappatjoe]:[currydestroyer27]]), "TBD")</f>
        <v>1.1661903789690602</v>
      </c>
      <c r="H1400" s="135" t="s">
        <v>2789</v>
      </c>
      <c r="I1400" s="229" t="s">
        <v>2790</v>
      </c>
      <c r="J1400" s="3">
        <v>2</v>
      </c>
      <c r="K1400" s="3">
        <v>4</v>
      </c>
      <c r="L1400" s="3">
        <v>3</v>
      </c>
      <c r="M1400" s="3">
        <v>1</v>
      </c>
      <c r="N1400" s="3">
        <v>4</v>
      </c>
      <c r="O1400" s="238"/>
      <c r="P1400" s="93"/>
      <c r="Q1400" s="93"/>
      <c r="R14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00" s="93">
        <v>1</v>
      </c>
      <c r="T1400" s="93" t="b">
        <f>Data[[#This Row],[Day Rank]]=Data[[#This Row],[W Rank]]</f>
        <v>0</v>
      </c>
      <c r="U1400" s="323"/>
    </row>
    <row r="1401" spans="1:21" ht="15" customHeight="1" thickBot="1">
      <c r="A1401" s="327"/>
      <c r="B1401" s="327"/>
      <c r="C1401" s="330"/>
      <c r="D1401" s="164">
        <f t="shared" si="88"/>
        <v>45959</v>
      </c>
      <c r="E1401" s="215" t="str">
        <f t="shared" si="89"/>
        <v>currydestroyer27</v>
      </c>
      <c r="F1401" s="228">
        <f>IFERROR(AVERAGE(Data[[#This Row],[alappatjoe]:[currydestroyer27]]), "TBD")</f>
        <v>3.4</v>
      </c>
      <c r="G1401" s="256">
        <f>IFERROR(_xlfn.STDEV.P(Data[[#This Row],[alappatjoe]:[currydestroyer27]]), "TBD")</f>
        <v>1.6248076809271921</v>
      </c>
      <c r="H1401" s="227" t="s">
        <v>2791</v>
      </c>
      <c r="I1401" s="257" t="s">
        <v>2792</v>
      </c>
      <c r="J1401" s="166">
        <v>5</v>
      </c>
      <c r="K1401" s="166">
        <v>2</v>
      </c>
      <c r="L1401" s="166">
        <v>4</v>
      </c>
      <c r="M1401" s="166">
        <v>5</v>
      </c>
      <c r="N1401" s="166">
        <v>1</v>
      </c>
      <c r="O1401" s="242">
        <v>2150213</v>
      </c>
      <c r="P1401" s="167" t="s">
        <v>76</v>
      </c>
      <c r="Q1401" s="167" t="s">
        <v>99</v>
      </c>
      <c r="R140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01" s="167">
        <v>1</v>
      </c>
      <c r="T1401" s="93" t="b">
        <f>Data[[#This Row],[Day Rank]]=Data[[#This Row],[W Rank]]</f>
        <v>0</v>
      </c>
      <c r="U1401" s="324"/>
    </row>
    <row r="1402" spans="1:21" ht="15" customHeight="1">
      <c r="A1402" s="325">
        <v>45960</v>
      </c>
      <c r="B1402" s="325"/>
      <c r="C1402" s="338" t="str" cm="1">
        <f t="array" ref="C1402">_xlfn.LET(_xlpm.matches, _xlfn._xlws.FILTER(Data[Poster], (Data[Date]=A1402)*(Data[Winner]=TRUE)), IF(ROWS(_xlpm.matches)&gt;1, "TIE", _xlpm.matches))</f>
        <v>danram</v>
      </c>
      <c r="D1402" s="147">
        <f t="shared" ref="D1402" si="92">A1402</f>
        <v>45960</v>
      </c>
      <c r="E1402" s="181" t="str">
        <f t="shared" si="81"/>
        <v>alappatjoe</v>
      </c>
      <c r="F1402" s="9">
        <f>IFERROR(AVERAGE(Data[[#This Row],[alappatjoe]:[currydestroyer27]]), "TBD")</f>
        <v>4.2</v>
      </c>
      <c r="G1402" s="178">
        <f>IFERROR(_xlfn.STDEV.P(Data[[#This Row],[alappatjoe]:[currydestroyer27]]), "TBD")</f>
        <v>1.6</v>
      </c>
      <c r="H1402" s="160" t="s">
        <v>2793</v>
      </c>
      <c r="I1402" s="186" t="s">
        <v>1593</v>
      </c>
      <c r="J1402" s="3">
        <v>1</v>
      </c>
      <c r="K1402" s="3">
        <v>5</v>
      </c>
      <c r="L1402" s="3">
        <v>5</v>
      </c>
      <c r="M1402" s="3">
        <v>5</v>
      </c>
      <c r="N1402" s="3">
        <v>5</v>
      </c>
      <c r="O1402" s="238">
        <v>169282</v>
      </c>
      <c r="P1402" s="93"/>
      <c r="Q1402" s="93"/>
      <c r="R14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02" s="93">
        <v>1</v>
      </c>
      <c r="T1402" s="93" t="b">
        <f>Data[[#This Row],[Day Rank]]=Data[[#This Row],[W Rank]]</f>
        <v>0</v>
      </c>
      <c r="U1402" s="331" t="s">
        <v>2794</v>
      </c>
    </row>
    <row r="1403" spans="1:21" ht="15" customHeight="1">
      <c r="A1403" s="326"/>
      <c r="B1403" s="326"/>
      <c r="C1403" s="339"/>
      <c r="D1403" s="81">
        <f t="shared" si="82"/>
        <v>45960</v>
      </c>
      <c r="E1403" s="140" t="str">
        <f t="shared" si="83"/>
        <v>danram</v>
      </c>
      <c r="F1403" s="8">
        <f>IFERROR(AVERAGE(Data[[#This Row],[alappatjoe]:[currydestroyer27]]), "TBD")</f>
        <v>2.2000000000000002</v>
      </c>
      <c r="G1403" s="177">
        <f>IFERROR(_xlfn.STDEV.P(Data[[#This Row],[alappatjoe]:[currydestroyer27]]), "TBD")</f>
        <v>0.74833147735478833</v>
      </c>
      <c r="H1403" s="135" t="s">
        <v>2795</v>
      </c>
      <c r="I1403" s="229" t="s">
        <v>2796</v>
      </c>
      <c r="J1403" s="3">
        <v>3</v>
      </c>
      <c r="K1403" s="3">
        <v>3</v>
      </c>
      <c r="L1403" s="3">
        <v>2</v>
      </c>
      <c r="M1403" s="3">
        <v>1</v>
      </c>
      <c r="N1403" s="3">
        <v>2</v>
      </c>
      <c r="O1403" s="238"/>
      <c r="P1403" s="93"/>
      <c r="Q1403" s="93"/>
      <c r="R14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03" s="93">
        <v>1</v>
      </c>
      <c r="T1403" s="93" t="b">
        <f>Data[[#This Row],[Day Rank]]=Data[[#This Row],[W Rank]]</f>
        <v>1</v>
      </c>
      <c r="U1403" s="323"/>
    </row>
    <row r="1404" spans="1:21" ht="15" customHeight="1">
      <c r="A1404" s="326"/>
      <c r="B1404" s="326"/>
      <c r="C1404" s="339"/>
      <c r="D1404" s="81">
        <f t="shared" si="84"/>
        <v>45960</v>
      </c>
      <c r="E1404" s="140" t="str">
        <f t="shared" si="85"/>
        <v>loganworsdell</v>
      </c>
      <c r="F1404" s="8">
        <f>IFERROR(AVERAGE(Data[[#This Row],[alappatjoe]:[currydestroyer27]]), "TBD")</f>
        <v>3.4</v>
      </c>
      <c r="G1404" s="177">
        <f>IFERROR(_xlfn.STDEV.P(Data[[#This Row],[alappatjoe]:[currydestroyer27]]), "TBD")</f>
        <v>0.8</v>
      </c>
      <c r="H1404" s="135" t="s">
        <v>2797</v>
      </c>
      <c r="I1404" s="229" t="s">
        <v>2798</v>
      </c>
      <c r="J1404" s="3">
        <v>2</v>
      </c>
      <c r="K1404" s="3">
        <v>4</v>
      </c>
      <c r="L1404" s="3">
        <v>4</v>
      </c>
      <c r="M1404" s="3">
        <v>3</v>
      </c>
      <c r="N1404" s="3">
        <v>4</v>
      </c>
      <c r="O1404" s="238">
        <v>203493341</v>
      </c>
      <c r="P1404" s="93"/>
      <c r="Q1404" s="93"/>
      <c r="R14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04" s="93">
        <v>1</v>
      </c>
      <c r="T1404" s="93" t="b">
        <f>Data[[#This Row],[Day Rank]]=Data[[#This Row],[W Rank]]</f>
        <v>0</v>
      </c>
      <c r="U1404" s="323"/>
    </row>
    <row r="1405" spans="1:21" ht="15" customHeight="1">
      <c r="A1405" s="326"/>
      <c r="B1405" s="326"/>
      <c r="C1405" s="339"/>
      <c r="D1405" s="81">
        <f t="shared" si="86"/>
        <v>45960</v>
      </c>
      <c r="E1405" s="140" t="str">
        <f t="shared" si="87"/>
        <v>samuelbattista</v>
      </c>
      <c r="F1405" s="8">
        <f>IFERROR(AVERAGE(Data[[#This Row],[alappatjoe]:[currydestroyer27]]), "TBD")</f>
        <v>2.8</v>
      </c>
      <c r="G1405" s="177">
        <f>IFERROR(_xlfn.STDEV.P(Data[[#This Row],[alappatjoe]:[currydestroyer27]]), "TBD")</f>
        <v>1.3266499161421599</v>
      </c>
      <c r="H1405" s="135" t="s">
        <v>2799</v>
      </c>
      <c r="I1405" s="229" t="s">
        <v>2800</v>
      </c>
      <c r="J1405" s="3">
        <v>5</v>
      </c>
      <c r="K1405" s="3">
        <v>1</v>
      </c>
      <c r="L1405" s="3">
        <v>3</v>
      </c>
      <c r="M1405" s="3">
        <v>2</v>
      </c>
      <c r="N1405" s="3">
        <v>3</v>
      </c>
      <c r="O1405" s="238"/>
      <c r="P1405" s="93"/>
      <c r="Q1405" s="93"/>
      <c r="R14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05" s="93">
        <v>1</v>
      </c>
      <c r="T1405" s="93" t="b">
        <f>Data[[#This Row],[Day Rank]]=Data[[#This Row],[W Rank]]</f>
        <v>0</v>
      </c>
      <c r="U1405" s="323"/>
    </row>
    <row r="1406" spans="1:21" ht="15" customHeight="1" thickBot="1">
      <c r="A1406" s="327"/>
      <c r="B1406" s="327"/>
      <c r="C1406" s="340"/>
      <c r="D1406" s="164">
        <f t="shared" si="88"/>
        <v>45960</v>
      </c>
      <c r="E1406" s="215" t="str">
        <f t="shared" si="89"/>
        <v>currydestroyer27</v>
      </c>
      <c r="F1406" s="228">
        <f>IFERROR(AVERAGE(Data[[#This Row],[alappatjoe]:[currydestroyer27]]), "TBD")</f>
        <v>2.4</v>
      </c>
      <c r="G1406" s="256">
        <f>IFERROR(_xlfn.STDEV.P(Data[[#This Row],[alappatjoe]:[currydestroyer27]]), "TBD")</f>
        <v>1.3564659966250536</v>
      </c>
      <c r="H1406" s="227" t="s">
        <v>2801</v>
      </c>
      <c r="I1406" s="257" t="s">
        <v>2802</v>
      </c>
      <c r="J1406" s="166">
        <v>4</v>
      </c>
      <c r="K1406" s="166">
        <v>2</v>
      </c>
      <c r="L1406" s="166">
        <v>1</v>
      </c>
      <c r="M1406" s="166">
        <v>4</v>
      </c>
      <c r="N1406" s="166">
        <v>1</v>
      </c>
      <c r="O1406" s="242">
        <v>12725756</v>
      </c>
      <c r="P1406" s="167"/>
      <c r="Q1406" s="167"/>
      <c r="R140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06" s="167">
        <v>1</v>
      </c>
      <c r="T1406" s="93" t="b">
        <f>Data[[#This Row],[Day Rank]]=Data[[#This Row],[W Rank]]</f>
        <v>0</v>
      </c>
      <c r="U1406" s="324"/>
    </row>
    <row r="1407" spans="1:21" ht="15" customHeight="1">
      <c r="A1407" s="325">
        <v>45964</v>
      </c>
      <c r="B1407" s="325"/>
      <c r="C1407" s="328" t="str" cm="1">
        <f t="array" ref="C1407">_xlfn.LET(_xlpm.matches, _xlfn._xlws.FILTER(Data[Poster], (Data[Date]=A1407)*(Data[Winner]=TRUE)), IF(ROWS(_xlpm.matches)&gt;1, "TIE", _xlpm.matches))</f>
        <v>currydestroyer27</v>
      </c>
      <c r="D1407" s="147">
        <f t="shared" ref="D1407" si="93">A1407</f>
        <v>45964</v>
      </c>
      <c r="E1407" s="181" t="str">
        <f t="shared" si="81"/>
        <v>alappatjoe</v>
      </c>
      <c r="F1407" s="9">
        <f>IFERROR(AVERAGE(Data[[#This Row],[alappatjoe]:[currydestroyer27]]), "TBD")</f>
        <v>2.6</v>
      </c>
      <c r="G1407" s="178">
        <f>IFERROR(_xlfn.STDEV.P(Data[[#This Row],[alappatjoe]:[currydestroyer27]]), "TBD")</f>
        <v>1.019803902718557</v>
      </c>
      <c r="H1407" s="160" t="s">
        <v>2803</v>
      </c>
      <c r="I1407" s="186" t="s">
        <v>2804</v>
      </c>
      <c r="J1407" s="3">
        <v>2</v>
      </c>
      <c r="K1407" s="3">
        <v>3</v>
      </c>
      <c r="L1407" s="3">
        <v>3</v>
      </c>
      <c r="M1407" s="3">
        <v>1</v>
      </c>
      <c r="N1407" s="3">
        <v>4</v>
      </c>
      <c r="O1407" s="238">
        <v>2711618</v>
      </c>
      <c r="P1407" s="93"/>
      <c r="Q1407" s="93"/>
      <c r="R14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07" s="93">
        <v>1</v>
      </c>
      <c r="T1407" s="93" t="b">
        <f>Data[[#This Row],[Day Rank]]=Data[[#This Row],[W Rank]]</f>
        <v>0</v>
      </c>
      <c r="U1407" s="331"/>
    </row>
    <row r="1408" spans="1:21" ht="15" customHeight="1">
      <c r="A1408" s="326"/>
      <c r="B1408" s="326"/>
      <c r="C1408" s="329"/>
      <c r="D1408" s="81">
        <f t="shared" si="82"/>
        <v>45964</v>
      </c>
      <c r="E1408" s="140" t="str">
        <f t="shared" si="83"/>
        <v>danram</v>
      </c>
      <c r="F1408" s="8">
        <f>IFERROR(AVERAGE(Data[[#This Row],[alappatjoe]:[currydestroyer27]]), "TBD")</f>
        <v>3.6</v>
      </c>
      <c r="G1408" s="177">
        <f>IFERROR(_xlfn.STDEV.P(Data[[#This Row],[alappatjoe]:[currydestroyer27]]), "TBD")</f>
        <v>1.019803902718557</v>
      </c>
      <c r="H1408" s="135" t="s">
        <v>2805</v>
      </c>
      <c r="I1408" s="229" t="s">
        <v>361</v>
      </c>
      <c r="J1408" s="3">
        <v>4</v>
      </c>
      <c r="K1408" s="3">
        <v>2</v>
      </c>
      <c r="L1408" s="3">
        <v>5</v>
      </c>
      <c r="M1408" s="3">
        <v>4</v>
      </c>
      <c r="N1408" s="3">
        <v>3</v>
      </c>
      <c r="O1408" s="238"/>
      <c r="P1408" s="93"/>
      <c r="Q1408" s="93"/>
      <c r="R14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08" s="93">
        <v>1</v>
      </c>
      <c r="T1408" s="93" t="b">
        <f>Data[[#This Row],[Day Rank]]=Data[[#This Row],[W Rank]]</f>
        <v>0</v>
      </c>
      <c r="U1408" s="323"/>
    </row>
    <row r="1409" spans="1:21" ht="15" customHeight="1">
      <c r="A1409" s="326"/>
      <c r="B1409" s="326"/>
      <c r="C1409" s="329"/>
      <c r="D1409" s="81">
        <f t="shared" si="84"/>
        <v>45964</v>
      </c>
      <c r="E1409" s="140" t="str">
        <f t="shared" si="85"/>
        <v>loganworsdell</v>
      </c>
      <c r="F1409" s="8">
        <f>IFERROR(AVERAGE(Data[[#This Row],[alappatjoe]:[currydestroyer27]]), "TBD")</f>
        <v>3.4</v>
      </c>
      <c r="G1409" s="177">
        <f>IFERROR(_xlfn.STDEV.P(Data[[#This Row],[alappatjoe]:[currydestroyer27]]), "TBD")</f>
        <v>1.9595917942265424</v>
      </c>
      <c r="H1409" s="135" t="s">
        <v>2806</v>
      </c>
      <c r="I1409" s="229" t="s">
        <v>2807</v>
      </c>
      <c r="J1409" s="3">
        <v>5</v>
      </c>
      <c r="K1409" s="3">
        <v>1</v>
      </c>
      <c r="L1409" s="3">
        <v>1</v>
      </c>
      <c r="M1409" s="3">
        <v>5</v>
      </c>
      <c r="N1409" s="3">
        <v>5</v>
      </c>
      <c r="O1409" s="238">
        <v>768671</v>
      </c>
      <c r="P1409" s="93"/>
      <c r="Q1409" s="93"/>
      <c r="R14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09" s="93">
        <v>1</v>
      </c>
      <c r="T1409" s="93" t="b">
        <f>Data[[#This Row],[Day Rank]]=Data[[#This Row],[W Rank]]</f>
        <v>0</v>
      </c>
      <c r="U1409" s="323"/>
    </row>
    <row r="1410" spans="1:21" ht="15" customHeight="1">
      <c r="A1410" s="326"/>
      <c r="B1410" s="326"/>
      <c r="C1410" s="329"/>
      <c r="D1410" s="81">
        <f t="shared" si="86"/>
        <v>45964</v>
      </c>
      <c r="E1410" s="140" t="str">
        <f t="shared" si="87"/>
        <v>samuelbattista</v>
      </c>
      <c r="F1410" s="8">
        <f>IFERROR(AVERAGE(Data[[#This Row],[alappatjoe]:[currydestroyer27]]), "TBD")</f>
        <v>3</v>
      </c>
      <c r="G1410" s="177">
        <f>IFERROR(_xlfn.STDEV.P(Data[[#This Row],[alappatjoe]:[currydestroyer27]]), "TBD")</f>
        <v>0.89442719099991586</v>
      </c>
      <c r="H1410" s="135" t="s">
        <v>2808</v>
      </c>
      <c r="I1410" s="229" t="s">
        <v>2809</v>
      </c>
      <c r="J1410" s="3">
        <v>3</v>
      </c>
      <c r="K1410" s="3">
        <v>4</v>
      </c>
      <c r="L1410" s="3">
        <v>4</v>
      </c>
      <c r="M1410" s="3">
        <v>2</v>
      </c>
      <c r="N1410" s="3">
        <v>2</v>
      </c>
      <c r="O1410" s="238"/>
      <c r="P1410" s="93"/>
      <c r="Q1410" s="93"/>
      <c r="R14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10" s="93">
        <v>1</v>
      </c>
      <c r="T1410" s="93" t="b">
        <f>Data[[#This Row],[Day Rank]]=Data[[#This Row],[W Rank]]</f>
        <v>0</v>
      </c>
      <c r="U1410" s="323"/>
    </row>
    <row r="1411" spans="1:21" ht="15" customHeight="1" thickBot="1">
      <c r="A1411" s="327"/>
      <c r="B1411" s="327"/>
      <c r="C1411" s="330"/>
      <c r="D1411" s="164">
        <f t="shared" si="88"/>
        <v>45964</v>
      </c>
      <c r="E1411" s="215" t="str">
        <f t="shared" si="89"/>
        <v>currydestroyer27</v>
      </c>
      <c r="F1411" s="228">
        <f>IFERROR(AVERAGE(Data[[#This Row],[alappatjoe]:[currydestroyer27]]), "TBD")</f>
        <v>2.4</v>
      </c>
      <c r="G1411" s="256">
        <f>IFERROR(_xlfn.STDEV.P(Data[[#This Row],[alappatjoe]:[currydestroyer27]]), "TBD")</f>
        <v>1.4966629547095767</v>
      </c>
      <c r="H1411" s="227" t="s">
        <v>2810</v>
      </c>
      <c r="I1411" s="257" t="s">
        <v>655</v>
      </c>
      <c r="J1411" s="166">
        <v>1</v>
      </c>
      <c r="K1411" s="166">
        <v>5</v>
      </c>
      <c r="L1411" s="166">
        <v>2</v>
      </c>
      <c r="M1411" s="166">
        <v>3</v>
      </c>
      <c r="N1411" s="166">
        <v>1</v>
      </c>
      <c r="O1411" s="242">
        <v>80421305</v>
      </c>
      <c r="P1411" s="167" t="s">
        <v>76</v>
      </c>
      <c r="Q1411" s="167" t="s">
        <v>99</v>
      </c>
      <c r="R14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11" s="167">
        <v>1</v>
      </c>
      <c r="T1411" s="93" t="b">
        <f>Data[[#This Row],[Day Rank]]=Data[[#This Row],[W Rank]]</f>
        <v>1</v>
      </c>
      <c r="U1411" s="324"/>
    </row>
    <row r="1412" spans="1:21" ht="15" customHeight="1">
      <c r="A1412" s="325">
        <v>45965</v>
      </c>
      <c r="B1412" s="325"/>
      <c r="C1412" s="338" t="str" cm="1">
        <f t="array" ref="C1412">_xlfn.LET(_xlpm.matches, _xlfn._xlws.FILTER(Data[Poster], (Data[Date]=A1412)*(Data[Winner]=TRUE)), IF(ROWS(_xlpm.matches)&gt;1, "TIE", _xlpm.matches))</f>
        <v>alappatjoe</v>
      </c>
      <c r="D1412" s="147">
        <f t="shared" ref="D1412" si="94">A1412</f>
        <v>45965</v>
      </c>
      <c r="E1412" s="181" t="str">
        <f t="shared" si="81"/>
        <v>alappatjoe</v>
      </c>
      <c r="F1412" s="9">
        <f>IFERROR(AVERAGE(Data[[#This Row],[alappatjoe]:[currydestroyer27]]), "TBD")</f>
        <v>2.6</v>
      </c>
      <c r="G1412" s="178">
        <f>IFERROR(_xlfn.STDEV.P(Data[[#This Row],[alappatjoe]:[currydestroyer27]]), "TBD")</f>
        <v>1.3564659966250536</v>
      </c>
      <c r="H1412" s="160" t="s">
        <v>2811</v>
      </c>
      <c r="I1412" s="186" t="s">
        <v>2812</v>
      </c>
      <c r="J1412" s="3">
        <v>1</v>
      </c>
      <c r="K1412" s="3">
        <v>2</v>
      </c>
      <c r="L1412" s="3">
        <v>2</v>
      </c>
      <c r="M1412" s="3">
        <v>5</v>
      </c>
      <c r="N1412" s="3">
        <v>3</v>
      </c>
      <c r="O1412" s="238">
        <v>27234353</v>
      </c>
      <c r="P1412" s="93"/>
      <c r="Q1412" s="93"/>
      <c r="R14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12" s="93">
        <v>1</v>
      </c>
      <c r="T1412" s="93" t="b">
        <f>Data[[#This Row],[Day Rank]]=Data[[#This Row],[W Rank]]</f>
        <v>1</v>
      </c>
      <c r="U1412" s="331"/>
    </row>
    <row r="1413" spans="1:21" ht="15" customHeight="1">
      <c r="A1413" s="326"/>
      <c r="B1413" s="326"/>
      <c r="C1413" s="339"/>
      <c r="D1413" s="81">
        <f t="shared" si="82"/>
        <v>45965</v>
      </c>
      <c r="E1413" s="140" t="str">
        <f t="shared" si="83"/>
        <v>danram</v>
      </c>
      <c r="F1413" s="8">
        <f>IFERROR(AVERAGE(Data[[#This Row],[alappatjoe]:[currydestroyer27]]), "TBD")</f>
        <v>3.6</v>
      </c>
      <c r="G1413" s="177">
        <f>IFERROR(_xlfn.STDEV.P(Data[[#This Row],[alappatjoe]:[currydestroyer27]]), "TBD")</f>
        <v>1.3564659966250536</v>
      </c>
      <c r="H1413" s="135" t="s">
        <v>2813</v>
      </c>
      <c r="I1413" s="229" t="s">
        <v>2814</v>
      </c>
      <c r="J1413" s="3">
        <v>2</v>
      </c>
      <c r="K1413" s="3">
        <v>5</v>
      </c>
      <c r="L1413" s="3">
        <v>5</v>
      </c>
      <c r="M1413" s="3">
        <v>4</v>
      </c>
      <c r="N1413" s="3">
        <v>2</v>
      </c>
      <c r="O1413" s="238"/>
      <c r="P1413" s="93"/>
      <c r="Q1413" s="93"/>
      <c r="R14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13" s="93">
        <v>1</v>
      </c>
      <c r="T1413" s="93" t="b">
        <f>Data[[#This Row],[Day Rank]]=Data[[#This Row],[W Rank]]</f>
        <v>0</v>
      </c>
      <c r="U1413" s="323"/>
    </row>
    <row r="1414" spans="1:21" ht="15" customHeight="1">
      <c r="A1414" s="326"/>
      <c r="B1414" s="326"/>
      <c r="C1414" s="339"/>
      <c r="D1414" s="81">
        <f t="shared" si="84"/>
        <v>45965</v>
      </c>
      <c r="E1414" s="140" t="str">
        <f t="shared" si="85"/>
        <v>loganworsdell</v>
      </c>
      <c r="F1414" s="8">
        <f>IFERROR(AVERAGE(Data[[#This Row],[alappatjoe]:[currydestroyer27]]), "TBD")</f>
        <v>3</v>
      </c>
      <c r="G1414" s="177">
        <f>IFERROR(_xlfn.STDEV.P(Data[[#This Row],[alappatjoe]:[currydestroyer27]]), "TBD")</f>
        <v>0.63245553203367588</v>
      </c>
      <c r="H1414" s="135" t="s">
        <v>2815</v>
      </c>
      <c r="I1414" s="229" t="s">
        <v>2816</v>
      </c>
      <c r="J1414" s="3">
        <v>3</v>
      </c>
      <c r="K1414" s="3">
        <v>3</v>
      </c>
      <c r="L1414" s="3">
        <v>3</v>
      </c>
      <c r="M1414" s="3">
        <v>2</v>
      </c>
      <c r="N1414" s="3">
        <v>4</v>
      </c>
      <c r="O1414" s="238">
        <v>7190327</v>
      </c>
      <c r="P1414" s="93"/>
      <c r="Q1414" s="93"/>
      <c r="R14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14" s="93">
        <v>1</v>
      </c>
      <c r="T1414" s="93" t="b">
        <f>Data[[#This Row],[Day Rank]]=Data[[#This Row],[W Rank]]</f>
        <v>0</v>
      </c>
      <c r="U1414" s="323"/>
    </row>
    <row r="1415" spans="1:21" ht="15" customHeight="1">
      <c r="A1415" s="326"/>
      <c r="B1415" s="326"/>
      <c r="C1415" s="339"/>
      <c r="D1415" s="81">
        <f t="shared" si="86"/>
        <v>45965</v>
      </c>
      <c r="E1415" s="140" t="str">
        <f t="shared" si="87"/>
        <v>samuelbattista</v>
      </c>
      <c r="F1415" s="8">
        <f>IFERROR(AVERAGE(Data[[#This Row],[alappatjoe]:[currydestroyer27]]), "TBD")</f>
        <v>2.6</v>
      </c>
      <c r="G1415" s="177">
        <f>IFERROR(_xlfn.STDEV.P(Data[[#This Row],[alappatjoe]:[currydestroyer27]]), "TBD")</f>
        <v>1.9595917942265424</v>
      </c>
      <c r="H1415" s="135" t="s">
        <v>2817</v>
      </c>
      <c r="I1415" s="229" t="s">
        <v>868</v>
      </c>
      <c r="J1415" s="3">
        <v>5</v>
      </c>
      <c r="K1415" s="3">
        <v>1</v>
      </c>
      <c r="L1415" s="3">
        <v>1</v>
      </c>
      <c r="M1415" s="3">
        <v>1</v>
      </c>
      <c r="N1415" s="3">
        <v>5</v>
      </c>
      <c r="O1415" s="238"/>
      <c r="P1415" s="93"/>
      <c r="Q1415" s="93"/>
      <c r="R14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15" s="93">
        <v>1</v>
      </c>
      <c r="T1415" s="93" t="b">
        <f>Data[[#This Row],[Day Rank]]=Data[[#This Row],[W Rank]]</f>
        <v>0</v>
      </c>
      <c r="U1415" s="323"/>
    </row>
    <row r="1416" spans="1:21" ht="15" customHeight="1" thickBot="1">
      <c r="A1416" s="327"/>
      <c r="B1416" s="327"/>
      <c r="C1416" s="340"/>
      <c r="D1416" s="164">
        <f t="shared" si="88"/>
        <v>45965</v>
      </c>
      <c r="E1416" s="215" t="str">
        <f t="shared" si="89"/>
        <v>currydestroyer27</v>
      </c>
      <c r="F1416" s="228">
        <f>IFERROR(AVERAGE(Data[[#This Row],[alappatjoe]:[currydestroyer27]]), "TBD")</f>
        <v>3.2</v>
      </c>
      <c r="G1416" s="256">
        <f>IFERROR(_xlfn.STDEV.P(Data[[#This Row],[alappatjoe]:[currydestroyer27]]), "TBD")</f>
        <v>1.1661903789690602</v>
      </c>
      <c r="H1416" s="227" t="s">
        <v>2818</v>
      </c>
      <c r="I1416" s="257" t="s">
        <v>2819</v>
      </c>
      <c r="J1416" s="166">
        <v>4</v>
      </c>
      <c r="K1416" s="166">
        <v>4</v>
      </c>
      <c r="L1416" s="166">
        <v>4</v>
      </c>
      <c r="M1416" s="166">
        <v>3</v>
      </c>
      <c r="N1416" s="166">
        <v>1</v>
      </c>
      <c r="O1416" s="242">
        <v>38492421</v>
      </c>
      <c r="P1416" s="167" t="s">
        <v>76</v>
      </c>
      <c r="Q1416" s="167" t="s">
        <v>99</v>
      </c>
      <c r="R14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16" s="167">
        <v>1</v>
      </c>
      <c r="T1416" s="93" t="b">
        <f>Data[[#This Row],[Day Rank]]=Data[[#This Row],[W Rank]]</f>
        <v>0</v>
      </c>
      <c r="U1416" s="324"/>
    </row>
    <row r="1417" spans="1:21" ht="15" customHeight="1">
      <c r="A1417" s="325">
        <v>45966</v>
      </c>
      <c r="B1417" s="325"/>
      <c r="C1417" s="328" t="str" cm="1">
        <f t="array" ref="C1417">_xlfn.LET(_xlpm.matches, _xlfn._xlws.FILTER(Data[Poster], (Data[Date]=A1417)*(Data[Winner]=TRUE)), IF(ROWS(_xlpm.matches)&gt;1, "TIE", _xlpm.matches))</f>
        <v>alappatjoe</v>
      </c>
      <c r="D1417" s="147">
        <f t="shared" ref="D1417" si="95">A1417</f>
        <v>45966</v>
      </c>
      <c r="E1417" s="181" t="str">
        <f t="shared" si="81"/>
        <v>alappatjoe</v>
      </c>
      <c r="F1417" s="9">
        <f>IFERROR(AVERAGE(Data[[#This Row],[alappatjoe]:[currydestroyer27]]), "TBD")</f>
        <v>2</v>
      </c>
      <c r="G1417" s="178">
        <f>IFERROR(_xlfn.STDEV.P(Data[[#This Row],[alappatjoe]:[currydestroyer27]]), "TBD")</f>
        <v>1.2649110640673518</v>
      </c>
      <c r="H1417" s="160" t="s">
        <v>2820</v>
      </c>
      <c r="I1417" s="186" t="s">
        <v>1559</v>
      </c>
      <c r="J1417" s="3">
        <v>1</v>
      </c>
      <c r="K1417" s="3">
        <v>3</v>
      </c>
      <c r="L1417" s="3">
        <v>1</v>
      </c>
      <c r="M1417" s="3">
        <v>1</v>
      </c>
      <c r="N1417" s="3">
        <v>4</v>
      </c>
      <c r="O1417" s="238">
        <v>12628324</v>
      </c>
      <c r="P1417" s="93"/>
      <c r="Q1417" s="93"/>
      <c r="R14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17" s="93">
        <v>1</v>
      </c>
      <c r="T1417" s="93" t="b">
        <f>Data[[#This Row],[Day Rank]]=Data[[#This Row],[W Rank]]</f>
        <v>1</v>
      </c>
      <c r="U1417" s="331"/>
    </row>
    <row r="1418" spans="1:21" ht="15" customHeight="1">
      <c r="A1418" s="326"/>
      <c r="B1418" s="326"/>
      <c r="C1418" s="329"/>
      <c r="D1418" s="81">
        <f t="shared" si="82"/>
        <v>45966</v>
      </c>
      <c r="E1418" s="140" t="str">
        <f t="shared" si="83"/>
        <v>danram</v>
      </c>
      <c r="F1418" s="8">
        <f>IFERROR(AVERAGE(Data[[#This Row],[alappatjoe]:[currydestroyer27]]), "TBD")</f>
        <v>3.4</v>
      </c>
      <c r="G1418" s="177">
        <f>IFERROR(_xlfn.STDEV.P(Data[[#This Row],[alappatjoe]:[currydestroyer27]]), "TBD")</f>
        <v>1.6248076809271921</v>
      </c>
      <c r="H1418" s="135" t="s">
        <v>2821</v>
      </c>
      <c r="I1418" s="229" t="s">
        <v>664</v>
      </c>
      <c r="J1418" s="3">
        <v>5</v>
      </c>
      <c r="K1418" s="3">
        <v>1</v>
      </c>
      <c r="L1418" s="3">
        <v>4</v>
      </c>
      <c r="M1418" s="3">
        <v>5</v>
      </c>
      <c r="N1418" s="3">
        <v>2</v>
      </c>
      <c r="O1418" s="238"/>
      <c r="P1418" s="93"/>
      <c r="Q1418" s="93"/>
      <c r="R14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18" s="93">
        <v>1</v>
      </c>
      <c r="T1418" s="93" t="b">
        <f>Data[[#This Row],[Day Rank]]=Data[[#This Row],[W Rank]]</f>
        <v>0</v>
      </c>
      <c r="U1418" s="323"/>
    </row>
    <row r="1419" spans="1:21" ht="15" customHeight="1">
      <c r="A1419" s="326"/>
      <c r="B1419" s="326"/>
      <c r="C1419" s="329"/>
      <c r="D1419" s="81">
        <f t="shared" si="84"/>
        <v>45966</v>
      </c>
      <c r="E1419" s="140" t="str">
        <f t="shared" si="85"/>
        <v>loganworsdell</v>
      </c>
      <c r="F1419" s="8">
        <f>IFERROR(AVERAGE(Data[[#This Row],[alappatjoe]:[currydestroyer27]]), "TBD")</f>
        <v>3</v>
      </c>
      <c r="G1419" s="177">
        <f>IFERROR(_xlfn.STDEV.P(Data[[#This Row],[alappatjoe]:[currydestroyer27]]), "TBD")</f>
        <v>0.89442719099991586</v>
      </c>
      <c r="H1419" s="135" t="s">
        <v>2822</v>
      </c>
      <c r="I1419" s="229" t="s">
        <v>571</v>
      </c>
      <c r="J1419" s="3">
        <v>4</v>
      </c>
      <c r="K1419" s="3">
        <v>4</v>
      </c>
      <c r="L1419" s="3">
        <v>2</v>
      </c>
      <c r="M1419" s="3">
        <v>2</v>
      </c>
      <c r="N1419" s="3">
        <v>3</v>
      </c>
      <c r="O1419" s="238">
        <v>998784</v>
      </c>
      <c r="P1419" s="93"/>
      <c r="Q1419" s="93"/>
      <c r="R14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19" s="93">
        <v>1</v>
      </c>
      <c r="T1419" s="93" t="b">
        <f>Data[[#This Row],[Day Rank]]=Data[[#This Row],[W Rank]]</f>
        <v>0</v>
      </c>
      <c r="U1419" s="323"/>
    </row>
    <row r="1420" spans="1:21" ht="15" customHeight="1">
      <c r="A1420" s="326"/>
      <c r="B1420" s="326"/>
      <c r="C1420" s="329"/>
      <c r="D1420" s="81">
        <f t="shared" si="86"/>
        <v>45966</v>
      </c>
      <c r="E1420" s="140" t="str">
        <f t="shared" si="87"/>
        <v>samuelbattista</v>
      </c>
      <c r="F1420" s="8">
        <f>IFERROR(AVERAGE(Data[[#This Row],[alappatjoe]:[currydestroyer27]]), "TBD")</f>
        <v>3.4</v>
      </c>
      <c r="G1420" s="177">
        <f>IFERROR(_xlfn.STDEV.P(Data[[#This Row],[alappatjoe]:[currydestroyer27]]), "TBD")</f>
        <v>1.3564659966250536</v>
      </c>
      <c r="H1420" s="135" t="s">
        <v>2823</v>
      </c>
      <c r="I1420" s="229" t="s">
        <v>2824</v>
      </c>
      <c r="J1420" s="3">
        <v>2</v>
      </c>
      <c r="K1420" s="3">
        <v>2</v>
      </c>
      <c r="L1420" s="3">
        <v>5</v>
      </c>
      <c r="M1420" s="3">
        <v>3</v>
      </c>
      <c r="N1420" s="3">
        <v>5</v>
      </c>
      <c r="O1420" s="238"/>
      <c r="P1420" s="93"/>
      <c r="Q1420" s="93"/>
      <c r="R14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20" s="93">
        <v>1</v>
      </c>
      <c r="T1420" s="93" t="b">
        <f>Data[[#This Row],[Day Rank]]=Data[[#This Row],[W Rank]]</f>
        <v>0</v>
      </c>
      <c r="U1420" s="323"/>
    </row>
    <row r="1421" spans="1:21" ht="15" customHeight="1" thickBot="1">
      <c r="A1421" s="327"/>
      <c r="B1421" s="327"/>
      <c r="C1421" s="330"/>
      <c r="D1421" s="164">
        <f t="shared" si="88"/>
        <v>45966</v>
      </c>
      <c r="E1421" s="215" t="str">
        <f t="shared" si="89"/>
        <v>currydestroyer27</v>
      </c>
      <c r="F1421" s="228">
        <f>IFERROR(AVERAGE(Data[[#This Row],[alappatjoe]:[currydestroyer27]]), "TBD")</f>
        <v>3.2</v>
      </c>
      <c r="G1421" s="256">
        <f>IFERROR(_xlfn.STDEV.P(Data[[#This Row],[alappatjoe]:[currydestroyer27]]), "TBD")</f>
        <v>1.3266499161421599</v>
      </c>
      <c r="H1421" s="227" t="s">
        <v>2825</v>
      </c>
      <c r="I1421" s="257" t="s">
        <v>2814</v>
      </c>
      <c r="J1421" s="166">
        <v>3</v>
      </c>
      <c r="K1421" s="166">
        <v>5</v>
      </c>
      <c r="L1421" s="166">
        <v>3</v>
      </c>
      <c r="M1421" s="166">
        <v>4</v>
      </c>
      <c r="N1421" s="166">
        <v>1</v>
      </c>
      <c r="O1421" s="242">
        <v>6240954</v>
      </c>
      <c r="P1421" s="167" t="s">
        <v>76</v>
      </c>
      <c r="Q1421" s="167" t="s">
        <v>490</v>
      </c>
      <c r="R14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21" s="167">
        <v>1</v>
      </c>
      <c r="T1421" s="93" t="b">
        <f>Data[[#This Row],[Day Rank]]=Data[[#This Row],[W Rank]]</f>
        <v>0</v>
      </c>
      <c r="U1421" s="324"/>
    </row>
    <row r="1422" spans="1:21" ht="15" customHeight="1">
      <c r="A1422" s="325">
        <v>45967</v>
      </c>
      <c r="B1422" s="325"/>
      <c r="C1422" s="338" t="str" cm="1">
        <f t="array" ref="C1422">_xlfn.LET(_xlpm.matches, _xlfn._xlws.FILTER(Data[Poster], (Data[Date]=A1422)*(Data[Winner]=TRUE)), IF(ROWS(_xlpm.matches)&gt;1, "TIE", _xlpm.matches))</f>
        <v>samuelbattista</v>
      </c>
      <c r="D1422" s="147">
        <f t="shared" ref="D1422" si="96">A1422</f>
        <v>45967</v>
      </c>
      <c r="E1422" s="181" t="str">
        <f t="shared" si="81"/>
        <v>alappatjoe</v>
      </c>
      <c r="F1422" s="9">
        <f>IFERROR(AVERAGE(Data[[#This Row],[alappatjoe]:[currydestroyer27]]), "TBD")</f>
        <v>4.5999999999999996</v>
      </c>
      <c r="G1422" s="178">
        <f>IFERROR(_xlfn.STDEV.P(Data[[#This Row],[alappatjoe]:[currydestroyer27]]), "TBD")</f>
        <v>0.8</v>
      </c>
      <c r="H1422" s="160" t="s">
        <v>2826</v>
      </c>
      <c r="I1422" s="186" t="s">
        <v>2827</v>
      </c>
      <c r="J1422" s="3">
        <v>3</v>
      </c>
      <c r="K1422" s="3">
        <v>5</v>
      </c>
      <c r="L1422" s="3">
        <v>5</v>
      </c>
      <c r="M1422" s="3">
        <v>5</v>
      </c>
      <c r="N1422" s="3">
        <v>5</v>
      </c>
      <c r="O1422" s="238">
        <v>1030274924</v>
      </c>
      <c r="P1422" s="93"/>
      <c r="Q1422" s="93"/>
      <c r="R14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22" s="93">
        <v>1</v>
      </c>
      <c r="T1422" s="93" t="b">
        <f>Data[[#This Row],[Day Rank]]=Data[[#This Row],[W Rank]]</f>
        <v>0</v>
      </c>
      <c r="U1422" s="331" t="s">
        <v>2828</v>
      </c>
    </row>
    <row r="1423" spans="1:21" ht="15" customHeight="1">
      <c r="A1423" s="326"/>
      <c r="B1423" s="326"/>
      <c r="C1423" s="339"/>
      <c r="D1423" s="81">
        <f t="shared" si="82"/>
        <v>45967</v>
      </c>
      <c r="E1423" s="140" t="str">
        <f t="shared" si="83"/>
        <v>danram</v>
      </c>
      <c r="F1423" s="8">
        <f>IFERROR(AVERAGE(Data[[#This Row],[alappatjoe]:[currydestroyer27]]), "TBD")</f>
        <v>4.2</v>
      </c>
      <c r="G1423" s="177">
        <f>IFERROR(_xlfn.STDEV.P(Data[[#This Row],[alappatjoe]:[currydestroyer27]]), "TBD")</f>
        <v>0.39999999999999997</v>
      </c>
      <c r="H1423" s="135" t="s">
        <v>2829</v>
      </c>
      <c r="I1423" s="229" t="s">
        <v>2830</v>
      </c>
      <c r="J1423" s="3">
        <v>5</v>
      </c>
      <c r="K1423" s="3">
        <v>4</v>
      </c>
      <c r="L1423" s="3">
        <v>4</v>
      </c>
      <c r="M1423" s="3">
        <v>4</v>
      </c>
      <c r="N1423" s="3">
        <v>4</v>
      </c>
      <c r="O1423" s="238"/>
      <c r="P1423" s="93"/>
      <c r="Q1423" s="93"/>
      <c r="R14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23" s="93">
        <v>1</v>
      </c>
      <c r="T1423" s="93" t="b">
        <f>Data[[#This Row],[Day Rank]]=Data[[#This Row],[W Rank]]</f>
        <v>0</v>
      </c>
      <c r="U1423" s="323"/>
    </row>
    <row r="1424" spans="1:21" ht="15" customHeight="1">
      <c r="A1424" s="326"/>
      <c r="B1424" s="326"/>
      <c r="C1424" s="339"/>
      <c r="D1424" s="81">
        <f t="shared" si="84"/>
        <v>45967</v>
      </c>
      <c r="E1424" s="140" t="str">
        <f t="shared" si="85"/>
        <v>loganworsdell</v>
      </c>
      <c r="F1424" s="8">
        <f>IFERROR(AVERAGE(Data[[#This Row],[alappatjoe]:[currydestroyer27]]), "TBD")</f>
        <v>2.8</v>
      </c>
      <c r="G1424" s="177">
        <f>IFERROR(_xlfn.STDEV.P(Data[[#This Row],[alappatjoe]:[currydestroyer27]]), "TBD")</f>
        <v>0.74833147735478833</v>
      </c>
      <c r="H1424" s="135" t="s">
        <v>2831</v>
      </c>
      <c r="I1424" s="229" t="s">
        <v>2832</v>
      </c>
      <c r="J1424" s="3">
        <v>4</v>
      </c>
      <c r="K1424" s="3">
        <v>3</v>
      </c>
      <c r="L1424" s="3">
        <v>2</v>
      </c>
      <c r="M1424" s="3">
        <v>2</v>
      </c>
      <c r="N1424" s="3">
        <v>3</v>
      </c>
      <c r="O1424" s="238">
        <v>8158786</v>
      </c>
      <c r="P1424" s="93"/>
      <c r="Q1424" s="93"/>
      <c r="R14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24" s="93">
        <v>1</v>
      </c>
      <c r="T1424" s="93" t="b">
        <f>Data[[#This Row],[Day Rank]]=Data[[#This Row],[W Rank]]</f>
        <v>0</v>
      </c>
      <c r="U1424" s="323"/>
    </row>
    <row r="1425" spans="1:21" ht="15" customHeight="1">
      <c r="A1425" s="326"/>
      <c r="B1425" s="326"/>
      <c r="C1425" s="339"/>
      <c r="D1425" s="81">
        <f t="shared" si="86"/>
        <v>45967</v>
      </c>
      <c r="E1425" s="140" t="str">
        <f t="shared" si="87"/>
        <v>samuelbattista</v>
      </c>
      <c r="F1425" s="8">
        <f>IFERROR(AVERAGE(Data[[#This Row],[alappatjoe]:[currydestroyer27]]), "TBD")</f>
        <v>1.2</v>
      </c>
      <c r="G1425" s="177">
        <f>IFERROR(_xlfn.STDEV.P(Data[[#This Row],[alappatjoe]:[currydestroyer27]]), "TBD")</f>
        <v>0.4</v>
      </c>
      <c r="H1425" s="135" t="s">
        <v>2833</v>
      </c>
      <c r="I1425" s="229" t="s">
        <v>647</v>
      </c>
      <c r="J1425" s="3">
        <v>1</v>
      </c>
      <c r="K1425" s="3">
        <v>1</v>
      </c>
      <c r="L1425" s="3">
        <v>1</v>
      </c>
      <c r="M1425" s="3">
        <v>1</v>
      </c>
      <c r="N1425" s="3">
        <v>2</v>
      </c>
      <c r="O1425" s="238"/>
      <c r="P1425" s="93"/>
      <c r="Q1425" s="93"/>
      <c r="R14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25" s="93">
        <v>1</v>
      </c>
      <c r="T1425" s="93" t="b">
        <f>Data[[#This Row],[Day Rank]]=Data[[#This Row],[W Rank]]</f>
        <v>1</v>
      </c>
      <c r="U1425" s="323"/>
    </row>
    <row r="1426" spans="1:21" ht="15" customHeight="1" thickBot="1">
      <c r="A1426" s="327"/>
      <c r="B1426" s="327"/>
      <c r="C1426" s="340"/>
      <c r="D1426" s="164">
        <f t="shared" si="88"/>
        <v>45967</v>
      </c>
      <c r="E1426" s="215" t="str">
        <f t="shared" si="89"/>
        <v>currydestroyer27</v>
      </c>
      <c r="F1426" s="228">
        <f>IFERROR(AVERAGE(Data[[#This Row],[alappatjoe]:[currydestroyer27]]), "TBD")</f>
        <v>2.2000000000000002</v>
      </c>
      <c r="G1426" s="256">
        <f>IFERROR(_xlfn.STDEV.P(Data[[#This Row],[alappatjoe]:[currydestroyer27]]), "TBD")</f>
        <v>0.74833147735478833</v>
      </c>
      <c r="H1426" s="227" t="s">
        <v>2075</v>
      </c>
      <c r="I1426" s="257" t="s">
        <v>2834</v>
      </c>
      <c r="J1426" s="166">
        <v>2</v>
      </c>
      <c r="K1426" s="166">
        <v>2</v>
      </c>
      <c r="L1426" s="166">
        <v>3</v>
      </c>
      <c r="M1426" s="166">
        <v>3</v>
      </c>
      <c r="N1426" s="166">
        <v>1</v>
      </c>
      <c r="O1426" s="242">
        <v>173845154</v>
      </c>
      <c r="P1426" s="167"/>
      <c r="Q1426" s="167"/>
      <c r="R14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26" s="167">
        <v>1</v>
      </c>
      <c r="T1426" s="93" t="b">
        <f>Data[[#This Row],[Day Rank]]=Data[[#This Row],[W Rank]]</f>
        <v>0</v>
      </c>
      <c r="U1426" s="324"/>
    </row>
    <row r="1427" spans="1:21" ht="15" customHeight="1">
      <c r="A1427" s="325">
        <v>45971</v>
      </c>
      <c r="B1427" s="325"/>
      <c r="C1427" s="328" t="str" cm="1">
        <f t="array" ref="C1427">_xlfn.LET(_xlpm.matches, _xlfn._xlws.FILTER(Data[Poster], (Data[Date]=A1427)*(Data[Winner]=TRUE)), IF(ROWS(_xlpm.matches)&gt;1, "TIE", _xlpm.matches))</f>
        <v>samuelbattista</v>
      </c>
      <c r="D1427" s="147">
        <f t="shared" ref="D1427" si="97">A1427</f>
        <v>45971</v>
      </c>
      <c r="E1427" s="181" t="str">
        <f t="shared" ref="E1427:E1462" si="98">$J$1</f>
        <v>alappatjoe</v>
      </c>
      <c r="F1427" s="9">
        <f>IFERROR(AVERAGE(Data[[#This Row],[alappatjoe]:[currydestroyer27]]), "TBD")</f>
        <v>4</v>
      </c>
      <c r="G1427" s="178">
        <f>IFERROR(_xlfn.STDEV.P(Data[[#This Row],[alappatjoe]:[currydestroyer27]]), "TBD")</f>
        <v>1.5491933384829668</v>
      </c>
      <c r="H1427" s="160" t="s">
        <v>2835</v>
      </c>
      <c r="I1427" s="186" t="s">
        <v>2836</v>
      </c>
      <c r="J1427" s="3">
        <v>1</v>
      </c>
      <c r="K1427" s="3">
        <v>5</v>
      </c>
      <c r="L1427" s="3">
        <v>4</v>
      </c>
      <c r="M1427" s="3">
        <v>5</v>
      </c>
      <c r="N1427" s="3">
        <v>5</v>
      </c>
      <c r="O1427" s="238">
        <v>10653015</v>
      </c>
      <c r="P1427" s="93"/>
      <c r="Q1427" s="93"/>
      <c r="R14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27" s="93">
        <v>1</v>
      </c>
      <c r="T1427" s="93" t="b">
        <f>Data[[#This Row],[Day Rank]]=Data[[#This Row],[W Rank]]</f>
        <v>0</v>
      </c>
      <c r="U1427" s="331"/>
    </row>
    <row r="1428" spans="1:21" ht="15" customHeight="1">
      <c r="A1428" s="326"/>
      <c r="B1428" s="326"/>
      <c r="C1428" s="329"/>
      <c r="D1428" s="81">
        <f t="shared" ref="D1428:D1463" si="99">D1427</f>
        <v>45971</v>
      </c>
      <c r="E1428" s="140" t="str">
        <f t="shared" ref="E1428:E1463" si="100">$K$1</f>
        <v>danram</v>
      </c>
      <c r="F1428" s="8">
        <f>IFERROR(AVERAGE(Data[[#This Row],[alappatjoe]:[currydestroyer27]]), "TBD")</f>
        <v>2.6</v>
      </c>
      <c r="G1428" s="177">
        <f>IFERROR(_xlfn.STDEV.P(Data[[#This Row],[alappatjoe]:[currydestroyer27]]), "TBD")</f>
        <v>1.3564659966250536</v>
      </c>
      <c r="H1428" s="135" t="s">
        <v>2837</v>
      </c>
      <c r="I1428" s="229" t="s">
        <v>657</v>
      </c>
      <c r="J1428" s="3">
        <v>5</v>
      </c>
      <c r="K1428" s="3">
        <v>1</v>
      </c>
      <c r="L1428" s="3">
        <v>3</v>
      </c>
      <c r="M1428" s="3">
        <v>2</v>
      </c>
      <c r="N1428" s="3">
        <v>2</v>
      </c>
      <c r="O1428" s="238"/>
      <c r="P1428" s="93"/>
      <c r="Q1428" s="93"/>
      <c r="R14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28" s="93">
        <v>1</v>
      </c>
      <c r="T1428" s="93" t="b">
        <f>Data[[#This Row],[Day Rank]]=Data[[#This Row],[W Rank]]</f>
        <v>0</v>
      </c>
      <c r="U1428" s="323"/>
    </row>
    <row r="1429" spans="1:21" ht="15" customHeight="1">
      <c r="A1429" s="326"/>
      <c r="B1429" s="326"/>
      <c r="C1429" s="329"/>
      <c r="D1429" s="81">
        <f t="shared" ref="D1429:D1464" si="101">D1427</f>
        <v>45971</v>
      </c>
      <c r="E1429" s="140" t="str">
        <f t="shared" ref="E1429:E1464" si="102">$L$1</f>
        <v>loganworsdell</v>
      </c>
      <c r="F1429" s="8">
        <f>IFERROR(AVERAGE(Data[[#This Row],[alappatjoe]:[currydestroyer27]]), "TBD")</f>
        <v>2.6</v>
      </c>
      <c r="G1429" s="177">
        <f>IFERROR(_xlfn.STDEV.P(Data[[#This Row],[alappatjoe]:[currydestroyer27]]), "TBD")</f>
        <v>1.2</v>
      </c>
      <c r="H1429" s="135" t="s">
        <v>2838</v>
      </c>
      <c r="I1429" s="229" t="s">
        <v>2839</v>
      </c>
      <c r="J1429" s="3">
        <v>2</v>
      </c>
      <c r="K1429" s="3">
        <v>2</v>
      </c>
      <c r="L1429" s="3">
        <v>1</v>
      </c>
      <c r="M1429" s="3">
        <v>4</v>
      </c>
      <c r="N1429" s="3">
        <v>4</v>
      </c>
      <c r="O1429" s="238">
        <v>69196</v>
      </c>
      <c r="P1429" s="93"/>
      <c r="Q1429" s="93"/>
      <c r="R14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29" s="93">
        <v>1</v>
      </c>
      <c r="T1429" s="93" t="b">
        <f>Data[[#This Row],[Day Rank]]=Data[[#This Row],[W Rank]]</f>
        <v>0</v>
      </c>
      <c r="U1429" s="323"/>
    </row>
    <row r="1430" spans="1:21" ht="15" customHeight="1">
      <c r="A1430" s="326"/>
      <c r="B1430" s="326"/>
      <c r="C1430" s="329"/>
      <c r="D1430" s="81">
        <f t="shared" ref="D1430:D1465" si="103">D1427</f>
        <v>45971</v>
      </c>
      <c r="E1430" s="140" t="str">
        <f t="shared" ref="E1430:E1465" si="104">$M$1</f>
        <v>samuelbattista</v>
      </c>
      <c r="F1430" s="8">
        <f>IFERROR(AVERAGE(Data[[#This Row],[alappatjoe]:[currydestroyer27]]), "TBD")</f>
        <v>2.4</v>
      </c>
      <c r="G1430" s="177">
        <f>IFERROR(_xlfn.STDEV.P(Data[[#This Row],[alappatjoe]:[currydestroyer27]]), "TBD")</f>
        <v>0.8</v>
      </c>
      <c r="H1430" s="135" t="s">
        <v>2840</v>
      </c>
      <c r="I1430" s="229" t="s">
        <v>1541</v>
      </c>
      <c r="J1430" s="3">
        <v>3</v>
      </c>
      <c r="K1430" s="3">
        <v>3</v>
      </c>
      <c r="L1430" s="3">
        <v>2</v>
      </c>
      <c r="M1430" s="3">
        <v>1</v>
      </c>
      <c r="N1430" s="3">
        <v>3</v>
      </c>
      <c r="O1430" s="238"/>
      <c r="P1430" s="93"/>
      <c r="Q1430" s="93"/>
      <c r="R14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30" s="93">
        <v>1</v>
      </c>
      <c r="T1430" s="93" t="b">
        <f>Data[[#This Row],[Day Rank]]=Data[[#This Row],[W Rank]]</f>
        <v>1</v>
      </c>
      <c r="U1430" s="323"/>
    </row>
    <row r="1431" spans="1:21" ht="15" customHeight="1" thickBot="1">
      <c r="A1431" s="327"/>
      <c r="B1431" s="327"/>
      <c r="C1431" s="330"/>
      <c r="D1431" s="164">
        <f t="shared" ref="D1431:D1466" si="105">D1427</f>
        <v>45971</v>
      </c>
      <c r="E1431" s="215" t="str">
        <f t="shared" ref="E1431:E1466" si="106">$N$1</f>
        <v>currydestroyer27</v>
      </c>
      <c r="F1431" s="228">
        <f>IFERROR(AVERAGE(Data[[#This Row],[alappatjoe]:[currydestroyer27]]), "TBD")</f>
        <v>3.4</v>
      </c>
      <c r="G1431" s="256">
        <f>IFERROR(_xlfn.STDEV.P(Data[[#This Row],[alappatjoe]:[currydestroyer27]]), "TBD")</f>
        <v>1.3564659966250536</v>
      </c>
      <c r="H1431" s="227" t="s">
        <v>2841</v>
      </c>
      <c r="I1431" s="257" t="s">
        <v>2814</v>
      </c>
      <c r="J1431" s="166">
        <v>4</v>
      </c>
      <c r="K1431" s="166">
        <v>4</v>
      </c>
      <c r="L1431" s="166">
        <v>5</v>
      </c>
      <c r="M1431" s="166">
        <v>3</v>
      </c>
      <c r="N1431" s="166">
        <v>1</v>
      </c>
      <c r="O1431" s="242">
        <v>7031234</v>
      </c>
      <c r="P1431" s="167" t="s">
        <v>76</v>
      </c>
      <c r="Q1431" s="167" t="s">
        <v>490</v>
      </c>
      <c r="R143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31" s="167">
        <v>1</v>
      </c>
      <c r="T1431" s="93" t="b">
        <f>Data[[#This Row],[Day Rank]]=Data[[#This Row],[W Rank]]</f>
        <v>0</v>
      </c>
      <c r="U1431" s="324"/>
    </row>
    <row r="1432" spans="1:21" ht="15" customHeight="1">
      <c r="A1432" s="325">
        <v>45972</v>
      </c>
      <c r="B1432" s="325"/>
      <c r="C1432" s="338" t="str" cm="1">
        <f t="array" ref="C1432">_xlfn.LET(_xlpm.matches, _xlfn._xlws.FILTER(Data[Poster], (Data[Date]=A1432)*(Data[Winner]=TRUE)), IF(ROWS(_xlpm.matches)&gt;1, "TIE", _xlpm.matches))</f>
        <v>alappatjoe</v>
      </c>
      <c r="D1432" s="147">
        <f t="shared" ref="D1432" si="107">A1432</f>
        <v>45972</v>
      </c>
      <c r="E1432" s="181" t="str">
        <f t="shared" si="98"/>
        <v>alappatjoe</v>
      </c>
      <c r="F1432" s="9">
        <f>IFERROR(AVERAGE(Data[[#This Row],[alappatjoe]:[currydestroyer27]]), "TBD")</f>
        <v>2</v>
      </c>
      <c r="G1432" s="178">
        <f>IFERROR(_xlfn.STDEV.P(Data[[#This Row],[alappatjoe]:[currydestroyer27]]), "TBD")</f>
        <v>0.89442719099991586</v>
      </c>
      <c r="H1432" s="160" t="s">
        <v>304</v>
      </c>
      <c r="I1432" s="186" t="s">
        <v>2842</v>
      </c>
      <c r="J1432" s="3">
        <v>1</v>
      </c>
      <c r="K1432" s="3">
        <v>1</v>
      </c>
      <c r="L1432" s="3">
        <v>3</v>
      </c>
      <c r="M1432" s="3">
        <v>3</v>
      </c>
      <c r="N1432" s="3">
        <v>2</v>
      </c>
      <c r="O1432" s="238">
        <v>849214</v>
      </c>
      <c r="P1432" s="93"/>
      <c r="Q1432" s="93"/>
      <c r="R14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32" s="93">
        <v>1</v>
      </c>
      <c r="T1432" s="93" t="b">
        <f>Data[[#This Row],[Day Rank]]=Data[[#This Row],[W Rank]]</f>
        <v>1</v>
      </c>
      <c r="U1432" s="331"/>
    </row>
    <row r="1433" spans="1:21" ht="15" customHeight="1">
      <c r="A1433" s="326"/>
      <c r="B1433" s="326"/>
      <c r="C1433" s="339"/>
      <c r="D1433" s="81">
        <f t="shared" si="99"/>
        <v>45972</v>
      </c>
      <c r="E1433" s="140" t="str">
        <f t="shared" si="100"/>
        <v>danram</v>
      </c>
      <c r="F1433" s="8">
        <f>IFERROR(AVERAGE(Data[[#This Row],[alappatjoe]:[currydestroyer27]]), "TBD")</f>
        <v>3.2</v>
      </c>
      <c r="G1433" s="177">
        <f>IFERROR(_xlfn.STDEV.P(Data[[#This Row],[alappatjoe]:[currydestroyer27]]), "TBD")</f>
        <v>1.4696938456699069</v>
      </c>
      <c r="H1433" s="135" t="s">
        <v>2843</v>
      </c>
      <c r="I1433" s="229" t="s">
        <v>2844</v>
      </c>
      <c r="J1433" s="3">
        <v>2</v>
      </c>
      <c r="K1433" s="3">
        <v>2</v>
      </c>
      <c r="L1433" s="3">
        <v>5</v>
      </c>
      <c r="M1433" s="3">
        <v>2</v>
      </c>
      <c r="N1433" s="3">
        <v>5</v>
      </c>
      <c r="O1433" s="238"/>
      <c r="P1433" s="93"/>
      <c r="Q1433" s="93"/>
      <c r="R14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33" s="93">
        <v>1</v>
      </c>
      <c r="T1433" s="93" t="b">
        <f>Data[[#This Row],[Day Rank]]=Data[[#This Row],[W Rank]]</f>
        <v>0</v>
      </c>
      <c r="U1433" s="323"/>
    </row>
    <row r="1434" spans="1:21" ht="15" customHeight="1">
      <c r="A1434" s="326"/>
      <c r="B1434" s="326"/>
      <c r="C1434" s="339"/>
      <c r="D1434" s="81">
        <f t="shared" si="101"/>
        <v>45972</v>
      </c>
      <c r="E1434" s="140" t="str">
        <f t="shared" si="102"/>
        <v>loganworsdell</v>
      </c>
      <c r="F1434" s="8">
        <f>IFERROR(AVERAGE(Data[[#This Row],[alappatjoe]:[currydestroyer27]]), "TBD")</f>
        <v>3.2</v>
      </c>
      <c r="G1434" s="177">
        <f>IFERROR(_xlfn.STDEV.P(Data[[#This Row],[alappatjoe]:[currydestroyer27]]), "TBD")</f>
        <v>0.74833147735478833</v>
      </c>
      <c r="H1434" s="135" t="s">
        <v>2845</v>
      </c>
      <c r="I1434" s="229" t="s">
        <v>2846</v>
      </c>
      <c r="J1434" s="3">
        <v>3</v>
      </c>
      <c r="K1434" s="3">
        <v>4</v>
      </c>
      <c r="L1434" s="3">
        <v>2</v>
      </c>
      <c r="M1434" s="3">
        <v>4</v>
      </c>
      <c r="N1434" s="3">
        <v>3</v>
      </c>
      <c r="O1434" s="238">
        <v>426068</v>
      </c>
      <c r="P1434" s="93"/>
      <c r="Q1434" s="93"/>
      <c r="R14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34" s="93">
        <v>1</v>
      </c>
      <c r="T1434" s="93" t="b">
        <f>Data[[#This Row],[Day Rank]]=Data[[#This Row],[W Rank]]</f>
        <v>0</v>
      </c>
      <c r="U1434" s="323"/>
    </row>
    <row r="1435" spans="1:21" ht="15" customHeight="1">
      <c r="A1435" s="326"/>
      <c r="B1435" s="326"/>
      <c r="C1435" s="339"/>
      <c r="D1435" s="81">
        <f t="shared" si="103"/>
        <v>45972</v>
      </c>
      <c r="E1435" s="140" t="str">
        <f t="shared" si="104"/>
        <v>samuelbattista</v>
      </c>
      <c r="F1435" s="8">
        <f>IFERROR(AVERAGE(Data[[#This Row],[alappatjoe]:[currydestroyer27]]), "TBD")</f>
        <v>2.6</v>
      </c>
      <c r="G1435" s="177">
        <f>IFERROR(_xlfn.STDEV.P(Data[[#This Row],[alappatjoe]:[currydestroyer27]]), "TBD")</f>
        <v>1.3564659966250536</v>
      </c>
      <c r="H1435" s="135" t="s">
        <v>2847</v>
      </c>
      <c r="I1435" s="229" t="s">
        <v>2848</v>
      </c>
      <c r="J1435" s="3">
        <v>4</v>
      </c>
      <c r="K1435" s="3">
        <v>3</v>
      </c>
      <c r="L1435" s="3">
        <v>1</v>
      </c>
      <c r="M1435" s="3">
        <v>1</v>
      </c>
      <c r="N1435" s="3">
        <v>4</v>
      </c>
      <c r="O1435" s="238"/>
      <c r="P1435" s="93"/>
      <c r="Q1435" s="93"/>
      <c r="R14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35" s="93">
        <v>1</v>
      </c>
      <c r="T1435" s="93" t="b">
        <f>Data[[#This Row],[Day Rank]]=Data[[#This Row],[W Rank]]</f>
        <v>0</v>
      </c>
      <c r="U1435" s="323"/>
    </row>
    <row r="1436" spans="1:21" ht="15" customHeight="1" thickBot="1">
      <c r="A1436" s="327"/>
      <c r="B1436" s="327"/>
      <c r="C1436" s="340"/>
      <c r="D1436" s="164">
        <f t="shared" si="105"/>
        <v>45972</v>
      </c>
      <c r="E1436" s="215" t="str">
        <f t="shared" si="106"/>
        <v>currydestroyer27</v>
      </c>
      <c r="F1436" s="228">
        <f>IFERROR(AVERAGE(Data[[#This Row],[alappatjoe]:[currydestroyer27]]), "TBD")</f>
        <v>4</v>
      </c>
      <c r="G1436" s="256">
        <f>IFERROR(_xlfn.STDEV.P(Data[[#This Row],[alappatjoe]:[currydestroyer27]]), "TBD")</f>
        <v>1.5491933384829668</v>
      </c>
      <c r="H1436" s="227" t="s">
        <v>2849</v>
      </c>
      <c r="I1436" s="257" t="s">
        <v>2850</v>
      </c>
      <c r="J1436" s="166">
        <v>5</v>
      </c>
      <c r="K1436" s="166">
        <v>5</v>
      </c>
      <c r="L1436" s="166">
        <v>4</v>
      </c>
      <c r="M1436" s="166">
        <v>5</v>
      </c>
      <c r="N1436" s="166">
        <v>1</v>
      </c>
      <c r="O1436" s="242">
        <v>25396467</v>
      </c>
      <c r="P1436" s="167" t="s">
        <v>76</v>
      </c>
      <c r="Q1436" s="167" t="s">
        <v>77</v>
      </c>
      <c r="R143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36" s="167">
        <v>1</v>
      </c>
      <c r="T1436" s="93" t="b">
        <f>Data[[#This Row],[Day Rank]]=Data[[#This Row],[W Rank]]</f>
        <v>0</v>
      </c>
      <c r="U1436" s="324"/>
    </row>
    <row r="1437" spans="1:21" ht="15" customHeight="1">
      <c r="A1437" s="325">
        <v>45973</v>
      </c>
      <c r="B1437" s="325"/>
      <c r="C1437" s="328" t="str" cm="1">
        <f t="array" ref="C1437">_xlfn.LET(_xlpm.matches, _xlfn._xlws.FILTER(Data[Poster], (Data[Date]=A1437)*(Data[Winner]=TRUE)), IF(ROWS(_xlpm.matches)&gt;1, "TIE", _xlpm.matches))</f>
        <v>currydestroyer27</v>
      </c>
      <c r="D1437" s="147">
        <f t="shared" ref="D1437" si="108">A1437</f>
        <v>45973</v>
      </c>
      <c r="E1437" s="181" t="str">
        <f t="shared" si="98"/>
        <v>alappatjoe</v>
      </c>
      <c r="F1437" s="9">
        <f>IFERROR(AVERAGE(Data[[#This Row],[alappatjoe]:[currydestroyer27]]), "TBD")</f>
        <v>2.6</v>
      </c>
      <c r="G1437" s="178">
        <f>IFERROR(_xlfn.STDEV.P(Data[[#This Row],[alappatjoe]:[currydestroyer27]]), "TBD")</f>
        <v>1.6248076809271921</v>
      </c>
      <c r="H1437" s="160" t="s">
        <v>2851</v>
      </c>
      <c r="I1437" s="186" t="s">
        <v>239</v>
      </c>
      <c r="J1437" s="3">
        <v>1</v>
      </c>
      <c r="K1437" s="3">
        <v>1</v>
      </c>
      <c r="L1437" s="3">
        <v>4</v>
      </c>
      <c r="M1437" s="3">
        <v>5</v>
      </c>
      <c r="N1437" s="3">
        <v>2</v>
      </c>
      <c r="O1437" s="238">
        <v>9606114</v>
      </c>
      <c r="P1437" s="93"/>
      <c r="Q1437" s="93"/>
      <c r="R14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37" s="93">
        <v>1</v>
      </c>
      <c r="T1437" s="93" t="b">
        <f>Data[[#This Row],[Day Rank]]=Data[[#This Row],[W Rank]]</f>
        <v>0</v>
      </c>
      <c r="U1437" s="331"/>
    </row>
    <row r="1438" spans="1:21" ht="15" customHeight="1">
      <c r="A1438" s="326"/>
      <c r="B1438" s="326"/>
      <c r="C1438" s="329"/>
      <c r="D1438" s="81">
        <f t="shared" si="99"/>
        <v>45973</v>
      </c>
      <c r="E1438" s="140" t="str">
        <f t="shared" si="100"/>
        <v>danram</v>
      </c>
      <c r="F1438" s="8">
        <f>IFERROR(AVERAGE(Data[[#This Row],[alappatjoe]:[currydestroyer27]]), "TBD")</f>
        <v>4</v>
      </c>
      <c r="G1438" s="177">
        <f>IFERROR(_xlfn.STDEV.P(Data[[#This Row],[alappatjoe]:[currydestroyer27]]), "TBD")</f>
        <v>0.89442719099991586</v>
      </c>
      <c r="H1438" s="135" t="s">
        <v>2852</v>
      </c>
      <c r="I1438" s="229" t="s">
        <v>2853</v>
      </c>
      <c r="J1438" s="3">
        <v>5</v>
      </c>
      <c r="K1438" s="3">
        <v>3</v>
      </c>
      <c r="L1438" s="3">
        <v>5</v>
      </c>
      <c r="M1438" s="3">
        <v>4</v>
      </c>
      <c r="N1438" s="3">
        <v>3</v>
      </c>
      <c r="O1438" s="238"/>
      <c r="P1438" s="93"/>
      <c r="Q1438" s="93"/>
      <c r="R14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38" s="93">
        <v>1</v>
      </c>
      <c r="T1438" s="93" t="b">
        <f>Data[[#This Row],[Day Rank]]=Data[[#This Row],[W Rank]]</f>
        <v>0</v>
      </c>
      <c r="U1438" s="323"/>
    </row>
    <row r="1439" spans="1:21" ht="15" customHeight="1">
      <c r="A1439" s="326"/>
      <c r="B1439" s="326"/>
      <c r="C1439" s="329"/>
      <c r="D1439" s="81">
        <f t="shared" si="101"/>
        <v>45973</v>
      </c>
      <c r="E1439" s="140" t="str">
        <f t="shared" si="102"/>
        <v>loganworsdell</v>
      </c>
      <c r="F1439" s="8">
        <f>IFERROR(AVERAGE(Data[[#This Row],[alappatjoe]:[currydestroyer27]]), "TBD")</f>
        <v>3.4</v>
      </c>
      <c r="G1439" s="177">
        <f>IFERROR(_xlfn.STDEV.P(Data[[#This Row],[alappatjoe]:[currydestroyer27]]), "TBD")</f>
        <v>1.4966629547095767</v>
      </c>
      <c r="H1439" s="135" t="s">
        <v>2854</v>
      </c>
      <c r="I1439" s="229" t="s">
        <v>2855</v>
      </c>
      <c r="J1439" s="3">
        <v>3</v>
      </c>
      <c r="K1439" s="3">
        <v>5</v>
      </c>
      <c r="L1439" s="3">
        <v>1</v>
      </c>
      <c r="M1439" s="3">
        <v>3</v>
      </c>
      <c r="N1439" s="3">
        <v>5</v>
      </c>
      <c r="O1439" s="238">
        <v>1766745</v>
      </c>
      <c r="P1439" s="93"/>
      <c r="Q1439" s="93"/>
      <c r="R14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39" s="93">
        <v>1</v>
      </c>
      <c r="T1439" s="93" t="b">
        <f>Data[[#This Row],[Day Rank]]=Data[[#This Row],[W Rank]]</f>
        <v>0</v>
      </c>
      <c r="U1439" s="323"/>
    </row>
    <row r="1440" spans="1:21" ht="15" customHeight="1">
      <c r="A1440" s="326"/>
      <c r="B1440" s="326"/>
      <c r="C1440" s="329"/>
      <c r="D1440" s="81">
        <f t="shared" si="103"/>
        <v>45973</v>
      </c>
      <c r="E1440" s="140" t="str">
        <f t="shared" si="104"/>
        <v>samuelbattista</v>
      </c>
      <c r="F1440" s="8">
        <f>IFERROR(AVERAGE(Data[[#This Row],[alappatjoe]:[currydestroyer27]]), "TBD")</f>
        <v>2.6</v>
      </c>
      <c r="G1440" s="177">
        <f>IFERROR(_xlfn.STDEV.P(Data[[#This Row],[alappatjoe]:[currydestroyer27]]), "TBD")</f>
        <v>1.2</v>
      </c>
      <c r="H1440" s="135" t="s">
        <v>2856</v>
      </c>
      <c r="I1440" s="229" t="s">
        <v>2857</v>
      </c>
      <c r="J1440" s="3">
        <v>2</v>
      </c>
      <c r="K1440" s="3">
        <v>4</v>
      </c>
      <c r="L1440" s="3">
        <v>2</v>
      </c>
      <c r="M1440" s="3">
        <v>1</v>
      </c>
      <c r="N1440" s="3">
        <v>4</v>
      </c>
      <c r="O1440" s="238"/>
      <c r="P1440" s="93"/>
      <c r="Q1440" s="93"/>
      <c r="R14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40" s="93">
        <v>1</v>
      </c>
      <c r="T1440" s="93" t="b">
        <f>Data[[#This Row],[Day Rank]]=Data[[#This Row],[W Rank]]</f>
        <v>0</v>
      </c>
      <c r="U1440" s="323"/>
    </row>
    <row r="1441" spans="1:21" ht="15" customHeight="1" thickBot="1">
      <c r="A1441" s="327"/>
      <c r="B1441" s="327"/>
      <c r="C1441" s="330"/>
      <c r="D1441" s="164">
        <f t="shared" si="105"/>
        <v>45973</v>
      </c>
      <c r="E1441" s="215" t="str">
        <f t="shared" si="106"/>
        <v>currydestroyer27</v>
      </c>
      <c r="F1441" s="228">
        <f>IFERROR(AVERAGE(Data[[#This Row],[alappatjoe]:[currydestroyer27]]), "TBD")</f>
        <v>2.4</v>
      </c>
      <c r="G1441" s="256">
        <f>IFERROR(_xlfn.STDEV.P(Data[[#This Row],[alappatjoe]:[currydestroyer27]]), "TBD")</f>
        <v>1.019803902718557</v>
      </c>
      <c r="H1441" s="227" t="s">
        <v>2858</v>
      </c>
      <c r="I1441" s="257" t="s">
        <v>2859</v>
      </c>
      <c r="J1441" s="166">
        <v>4</v>
      </c>
      <c r="K1441" s="166">
        <v>2</v>
      </c>
      <c r="L1441" s="166">
        <v>3</v>
      </c>
      <c r="M1441" s="166">
        <v>2</v>
      </c>
      <c r="N1441" s="166">
        <v>1</v>
      </c>
      <c r="O1441" s="242">
        <v>343628897</v>
      </c>
      <c r="P1441" s="167"/>
      <c r="Q1441" s="167"/>
      <c r="R144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41" s="167">
        <v>1</v>
      </c>
      <c r="T1441" s="93" t="b">
        <f>Data[[#This Row],[Day Rank]]=Data[[#This Row],[W Rank]]</f>
        <v>1</v>
      </c>
      <c r="U1441" s="324"/>
    </row>
    <row r="1442" spans="1:21" ht="15" customHeight="1">
      <c r="A1442" s="325">
        <v>45974</v>
      </c>
      <c r="B1442" s="325"/>
      <c r="C1442" s="338" t="str" cm="1">
        <f t="array" ref="C1442">_xlfn.LET(_xlpm.matches, _xlfn._xlws.FILTER(Data[Poster], (Data[Date]=A1442)*(Data[Winner]=TRUE)), IF(ROWS(_xlpm.matches)&gt;1, "TIE", _xlpm.matches))</f>
        <v>alappatjoe</v>
      </c>
      <c r="D1442" s="147">
        <f t="shared" ref="D1442" si="109">A1442</f>
        <v>45974</v>
      </c>
      <c r="E1442" s="181" t="str">
        <f t="shared" si="98"/>
        <v>alappatjoe</v>
      </c>
      <c r="F1442" s="9">
        <f>IFERROR(AVERAGE(Data[[#This Row],[alappatjoe]:[currydestroyer27]]), "TBD")</f>
        <v>2.4</v>
      </c>
      <c r="G1442" s="178">
        <f>IFERROR(_xlfn.STDEV.P(Data[[#This Row],[alappatjoe]:[currydestroyer27]]), "TBD")</f>
        <v>1.3564659966250536</v>
      </c>
      <c r="H1442" s="283" t="s">
        <v>2860</v>
      </c>
      <c r="I1442" s="186" t="s">
        <v>2861</v>
      </c>
      <c r="J1442" s="3">
        <v>1</v>
      </c>
      <c r="K1442" s="3">
        <v>1</v>
      </c>
      <c r="L1442" s="3">
        <v>4</v>
      </c>
      <c r="M1442" s="3">
        <v>2</v>
      </c>
      <c r="N1442" s="3">
        <v>4</v>
      </c>
      <c r="O1442" s="238">
        <v>292138285</v>
      </c>
      <c r="P1442" s="93"/>
      <c r="Q1442" s="93"/>
      <c r="R14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42" s="93">
        <v>1</v>
      </c>
      <c r="T1442" s="93" t="b">
        <f>Data[[#This Row],[Day Rank]]=Data[[#This Row],[W Rank]]</f>
        <v>1</v>
      </c>
      <c r="U1442" s="331" t="s">
        <v>2862</v>
      </c>
    </row>
    <row r="1443" spans="1:21" ht="15" customHeight="1">
      <c r="A1443" s="326"/>
      <c r="B1443" s="326"/>
      <c r="C1443" s="339"/>
      <c r="D1443" s="81">
        <f t="shared" si="99"/>
        <v>45974</v>
      </c>
      <c r="E1443" s="140" t="str">
        <f t="shared" si="100"/>
        <v>danram</v>
      </c>
      <c r="F1443" s="8">
        <f>IFERROR(AVERAGE(Data[[#This Row],[alappatjoe]:[currydestroyer27]]), "TBD")</f>
        <v>3</v>
      </c>
      <c r="G1443" s="177">
        <f>IFERROR(_xlfn.STDEV.P(Data[[#This Row],[alappatjoe]:[currydestroyer27]]), "TBD")</f>
        <v>1.4142135623730951</v>
      </c>
      <c r="H1443" s="135" t="s">
        <v>2863</v>
      </c>
      <c r="I1443" s="229" t="s">
        <v>2864</v>
      </c>
      <c r="J1443" s="3">
        <v>2</v>
      </c>
      <c r="K1443" s="3">
        <v>3</v>
      </c>
      <c r="L1443" s="3">
        <v>1</v>
      </c>
      <c r="M1443" s="3">
        <v>4</v>
      </c>
      <c r="N1443" s="3">
        <v>5</v>
      </c>
      <c r="O1443" s="238"/>
      <c r="P1443" s="93"/>
      <c r="Q1443" s="93"/>
      <c r="R14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43" s="93">
        <v>1</v>
      </c>
      <c r="T1443" s="93" t="b">
        <f>Data[[#This Row],[Day Rank]]=Data[[#This Row],[W Rank]]</f>
        <v>0</v>
      </c>
      <c r="U1443" s="323"/>
    </row>
    <row r="1444" spans="1:21" ht="15" customHeight="1">
      <c r="A1444" s="326"/>
      <c r="B1444" s="326"/>
      <c r="C1444" s="339"/>
      <c r="D1444" s="81">
        <f t="shared" si="101"/>
        <v>45974</v>
      </c>
      <c r="E1444" s="140" t="str">
        <f t="shared" si="102"/>
        <v>loganworsdell</v>
      </c>
      <c r="F1444" s="8">
        <f>IFERROR(AVERAGE(Data[[#This Row],[alappatjoe]:[currydestroyer27]]), "TBD")</f>
        <v>2.6</v>
      </c>
      <c r="G1444" s="177">
        <f>IFERROR(_xlfn.STDEV.P(Data[[#This Row],[alappatjoe]:[currydestroyer27]]), "TBD")</f>
        <v>1.019803902718557</v>
      </c>
      <c r="H1444" s="135" t="s">
        <v>2865</v>
      </c>
      <c r="I1444" s="229" t="s">
        <v>2866</v>
      </c>
      <c r="J1444" s="3">
        <v>3</v>
      </c>
      <c r="K1444" s="3">
        <v>4</v>
      </c>
      <c r="L1444" s="3">
        <v>2</v>
      </c>
      <c r="M1444" s="3">
        <v>1</v>
      </c>
      <c r="N1444" s="3">
        <v>3</v>
      </c>
      <c r="O1444" s="238">
        <v>392960632</v>
      </c>
      <c r="P1444" s="93"/>
      <c r="Q1444" s="93"/>
      <c r="R14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44" s="93">
        <v>1</v>
      </c>
      <c r="T1444" s="93" t="b">
        <f>Data[[#This Row],[Day Rank]]=Data[[#This Row],[W Rank]]</f>
        <v>0</v>
      </c>
      <c r="U1444" s="323"/>
    </row>
    <row r="1445" spans="1:21" ht="15" customHeight="1">
      <c r="A1445" s="326"/>
      <c r="B1445" s="326"/>
      <c r="C1445" s="339"/>
      <c r="D1445" s="81">
        <f t="shared" si="103"/>
        <v>45974</v>
      </c>
      <c r="E1445" s="140" t="str">
        <f t="shared" si="104"/>
        <v>samuelbattista</v>
      </c>
      <c r="F1445" s="8">
        <f>IFERROR(AVERAGE(Data[[#This Row],[alappatjoe]:[currydestroyer27]]), "TBD")</f>
        <v>2.6</v>
      </c>
      <c r="G1445" s="177">
        <f>IFERROR(_xlfn.STDEV.P(Data[[#This Row],[alappatjoe]:[currydestroyer27]]), "TBD")</f>
        <v>1.019803902718557</v>
      </c>
      <c r="H1445" s="135" t="s">
        <v>2867</v>
      </c>
      <c r="I1445" s="229" t="s">
        <v>2868</v>
      </c>
      <c r="J1445" s="3">
        <v>4</v>
      </c>
      <c r="K1445" s="3">
        <v>2</v>
      </c>
      <c r="L1445" s="3">
        <v>3</v>
      </c>
      <c r="M1445" s="3">
        <v>3</v>
      </c>
      <c r="N1445" s="3">
        <v>1</v>
      </c>
      <c r="O1445" s="238"/>
      <c r="P1445" s="93"/>
      <c r="Q1445" s="93"/>
      <c r="R14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45" s="93">
        <v>1</v>
      </c>
      <c r="T1445" s="93" t="b">
        <f>Data[[#This Row],[Day Rank]]=Data[[#This Row],[W Rank]]</f>
        <v>0</v>
      </c>
      <c r="U1445" s="323"/>
    </row>
    <row r="1446" spans="1:21" ht="15" customHeight="1" thickBot="1">
      <c r="A1446" s="327"/>
      <c r="B1446" s="327"/>
      <c r="C1446" s="340"/>
      <c r="D1446" s="164">
        <f t="shared" si="105"/>
        <v>45974</v>
      </c>
      <c r="E1446" s="215" t="str">
        <f t="shared" si="106"/>
        <v>currydestroyer27</v>
      </c>
      <c r="F1446" s="228">
        <f>IFERROR(AVERAGE(Data[[#This Row],[alappatjoe]:[currydestroyer27]]), "TBD")</f>
        <v>4.4000000000000004</v>
      </c>
      <c r="G1446" s="256">
        <f>IFERROR(_xlfn.STDEV.P(Data[[#This Row],[alappatjoe]:[currydestroyer27]]), "TBD")</f>
        <v>1.2</v>
      </c>
      <c r="H1446" s="227" t="s">
        <v>2869</v>
      </c>
      <c r="I1446" s="257" t="s">
        <v>2870</v>
      </c>
      <c r="J1446" s="166">
        <v>5</v>
      </c>
      <c r="K1446" s="166">
        <v>5</v>
      </c>
      <c r="L1446" s="166">
        <v>5</v>
      </c>
      <c r="M1446" s="166">
        <v>5</v>
      </c>
      <c r="N1446" s="166">
        <v>2</v>
      </c>
      <c r="O1446" s="242">
        <v>41320194</v>
      </c>
      <c r="P1446" s="167" t="s">
        <v>76</v>
      </c>
      <c r="Q1446" s="167"/>
      <c r="R144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46" s="167">
        <v>1</v>
      </c>
      <c r="T1446" s="93" t="b">
        <f>Data[[#This Row],[Day Rank]]=Data[[#This Row],[W Rank]]</f>
        <v>0</v>
      </c>
      <c r="U1446" s="324"/>
    </row>
    <row r="1447" spans="1:21" ht="15" customHeight="1">
      <c r="A1447" s="325">
        <v>45978</v>
      </c>
      <c r="B1447" s="325"/>
      <c r="C1447" s="328" t="str" cm="1">
        <f t="array" ref="C1447">_xlfn.LET(_xlpm.matches, _xlfn._xlws.FILTER(Data[Poster], (Data[Date]=A1447)*(Data[Winner]=TRUE)), IF(ROWS(_xlpm.matches)&gt;1, "TIE", _xlpm.matches))</f>
        <v>currydestroyer27</v>
      </c>
      <c r="D1447" s="147">
        <f t="shared" ref="D1447" si="110">A1447</f>
        <v>45978</v>
      </c>
      <c r="E1447" s="181" t="str">
        <f t="shared" si="98"/>
        <v>alappatjoe</v>
      </c>
      <c r="F1447" s="9">
        <f>IFERROR(AVERAGE(Data[[#This Row],[alappatjoe]:[currydestroyer27]]), "TBD")</f>
        <v>3.4</v>
      </c>
      <c r="G1447" s="178">
        <f>IFERROR(_xlfn.STDEV.P(Data[[#This Row],[alappatjoe]:[currydestroyer27]]), "TBD")</f>
        <v>1.2</v>
      </c>
      <c r="H1447" s="160" t="s">
        <v>2871</v>
      </c>
      <c r="I1447" s="186" t="s">
        <v>2872</v>
      </c>
      <c r="J1447" s="3">
        <v>1</v>
      </c>
      <c r="K1447" s="3">
        <v>4</v>
      </c>
      <c r="L1447" s="3">
        <v>4</v>
      </c>
      <c r="M1447" s="3">
        <v>4</v>
      </c>
      <c r="N1447" s="3">
        <v>4</v>
      </c>
      <c r="O1447" s="238">
        <v>113498</v>
      </c>
      <c r="P1447" s="93"/>
      <c r="Q1447" s="93"/>
      <c r="R14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47" s="93">
        <v>1</v>
      </c>
      <c r="T1447" s="93" t="b">
        <f>Data[[#This Row],[Day Rank]]=Data[[#This Row],[W Rank]]</f>
        <v>0</v>
      </c>
      <c r="U1447" s="331"/>
    </row>
    <row r="1448" spans="1:21" ht="15" customHeight="1">
      <c r="A1448" s="326"/>
      <c r="B1448" s="326"/>
      <c r="C1448" s="329"/>
      <c r="D1448" s="81">
        <f t="shared" si="99"/>
        <v>45978</v>
      </c>
      <c r="E1448" s="140" t="str">
        <f t="shared" si="100"/>
        <v>danram</v>
      </c>
      <c r="F1448" s="8">
        <f>IFERROR(AVERAGE(Data[[#This Row],[alappatjoe]:[currydestroyer27]]), "TBD")</f>
        <v>3.4</v>
      </c>
      <c r="G1448" s="177">
        <f>IFERROR(_xlfn.STDEV.P(Data[[#This Row],[alappatjoe]:[currydestroyer27]]), "TBD")</f>
        <v>1.019803902718557</v>
      </c>
      <c r="H1448" s="135" t="s">
        <v>2873</v>
      </c>
      <c r="I1448" s="229" t="s">
        <v>2874</v>
      </c>
      <c r="J1448" s="3">
        <v>4</v>
      </c>
      <c r="K1448" s="3">
        <v>3</v>
      </c>
      <c r="L1448" s="3">
        <v>5</v>
      </c>
      <c r="M1448" s="3">
        <v>2</v>
      </c>
      <c r="N1448" s="3">
        <v>3</v>
      </c>
      <c r="O1448" s="238"/>
      <c r="P1448" s="93"/>
      <c r="Q1448" s="93"/>
      <c r="R14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48" s="93">
        <v>1</v>
      </c>
      <c r="T1448" s="93" t="b">
        <f>Data[[#This Row],[Day Rank]]=Data[[#This Row],[W Rank]]</f>
        <v>0</v>
      </c>
      <c r="U1448" s="323"/>
    </row>
    <row r="1449" spans="1:21" ht="15" customHeight="1">
      <c r="A1449" s="326"/>
      <c r="B1449" s="326"/>
      <c r="C1449" s="329"/>
      <c r="D1449" s="81">
        <f t="shared" si="101"/>
        <v>45978</v>
      </c>
      <c r="E1449" s="140" t="str">
        <f t="shared" si="102"/>
        <v>loganworsdell</v>
      </c>
      <c r="F1449" s="8">
        <f>IFERROR(AVERAGE(Data[[#This Row],[alappatjoe]:[currydestroyer27]]), "TBD")</f>
        <v>3.2</v>
      </c>
      <c r="G1449" s="177">
        <f>IFERROR(_xlfn.STDEV.P(Data[[#This Row],[alappatjoe]:[currydestroyer27]]), "TBD")</f>
        <v>1.6</v>
      </c>
      <c r="H1449" s="135" t="s">
        <v>2875</v>
      </c>
      <c r="I1449" s="229" t="s">
        <v>2876</v>
      </c>
      <c r="J1449" s="3">
        <v>5</v>
      </c>
      <c r="K1449" s="3">
        <v>5</v>
      </c>
      <c r="L1449" s="3">
        <v>1</v>
      </c>
      <c r="M1449" s="3">
        <v>3</v>
      </c>
      <c r="N1449" s="3">
        <v>2</v>
      </c>
      <c r="O1449" s="238">
        <v>102322448</v>
      </c>
      <c r="P1449" s="93"/>
      <c r="Q1449" s="93"/>
      <c r="R14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49" s="93">
        <v>1</v>
      </c>
      <c r="T1449" s="93" t="b">
        <f>Data[[#This Row],[Day Rank]]=Data[[#This Row],[W Rank]]</f>
        <v>0</v>
      </c>
      <c r="U1449" s="323"/>
    </row>
    <row r="1450" spans="1:21" ht="15" customHeight="1">
      <c r="A1450" s="326"/>
      <c r="B1450" s="326"/>
      <c r="C1450" s="329"/>
      <c r="D1450" s="81">
        <f t="shared" si="103"/>
        <v>45978</v>
      </c>
      <c r="E1450" s="140" t="str">
        <f t="shared" si="104"/>
        <v>samuelbattista</v>
      </c>
      <c r="F1450" s="8">
        <f>IFERROR(AVERAGE(Data[[#This Row],[alappatjoe]:[currydestroyer27]]), "TBD")</f>
        <v>2.6</v>
      </c>
      <c r="G1450" s="177">
        <f>IFERROR(_xlfn.STDEV.P(Data[[#This Row],[alappatjoe]:[currydestroyer27]]), "TBD")</f>
        <v>1.3564659966250536</v>
      </c>
      <c r="H1450" s="135" t="s">
        <v>2877</v>
      </c>
      <c r="I1450" s="229" t="s">
        <v>1521</v>
      </c>
      <c r="J1450" s="3">
        <v>3</v>
      </c>
      <c r="K1450" s="3">
        <v>2</v>
      </c>
      <c r="L1450" s="3">
        <v>2</v>
      </c>
      <c r="M1450" s="3">
        <v>1</v>
      </c>
      <c r="N1450" s="3">
        <v>5</v>
      </c>
      <c r="O1450" s="238"/>
      <c r="P1450" s="93"/>
      <c r="Q1450" s="93"/>
      <c r="R14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50" s="93">
        <v>1</v>
      </c>
      <c r="T1450" s="93" t="b">
        <f>Data[[#This Row],[Day Rank]]=Data[[#This Row],[W Rank]]</f>
        <v>0</v>
      </c>
      <c r="U1450" s="323"/>
    </row>
    <row r="1451" spans="1:21" ht="15" customHeight="1" thickBot="1">
      <c r="A1451" s="327"/>
      <c r="B1451" s="327"/>
      <c r="C1451" s="330"/>
      <c r="D1451" s="164">
        <f t="shared" si="105"/>
        <v>45978</v>
      </c>
      <c r="E1451" s="215" t="str">
        <f t="shared" si="106"/>
        <v>currydestroyer27</v>
      </c>
      <c r="F1451" s="228">
        <f>IFERROR(AVERAGE(Data[[#This Row],[alappatjoe]:[currydestroyer27]]), "TBD")</f>
        <v>2.4</v>
      </c>
      <c r="G1451" s="256">
        <f>IFERROR(_xlfn.STDEV.P(Data[[#This Row],[alappatjoe]:[currydestroyer27]]), "TBD")</f>
        <v>1.4966629547095767</v>
      </c>
      <c r="H1451" s="227" t="s">
        <v>2878</v>
      </c>
      <c r="I1451" s="257" t="s">
        <v>2879</v>
      </c>
      <c r="J1451" s="166">
        <v>2</v>
      </c>
      <c r="K1451" s="166">
        <v>1</v>
      </c>
      <c r="L1451" s="166">
        <v>3</v>
      </c>
      <c r="M1451" s="166">
        <v>5</v>
      </c>
      <c r="N1451" s="166">
        <v>1</v>
      </c>
      <c r="O1451" s="242">
        <v>259522378</v>
      </c>
      <c r="P1451" s="167" t="s">
        <v>76</v>
      </c>
      <c r="Q1451" s="167"/>
      <c r="R145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51" s="167">
        <v>1</v>
      </c>
      <c r="T1451" s="93" t="b">
        <f>Data[[#This Row],[Day Rank]]=Data[[#This Row],[W Rank]]</f>
        <v>1</v>
      </c>
      <c r="U1451" s="324"/>
    </row>
    <row r="1452" spans="1:21" ht="15" customHeight="1">
      <c r="A1452" s="325">
        <v>45979</v>
      </c>
      <c r="B1452" s="325"/>
      <c r="C1452" s="338" t="str" cm="1">
        <f t="array" ref="C1452">_xlfn.LET(_xlpm.matches, _xlfn._xlws.FILTER(Data[Poster], (Data[Date]=A1452)*(Data[Winner]=TRUE)), IF(ROWS(_xlpm.matches)&gt;1, "TIE", _xlpm.matches))</f>
        <v>danram</v>
      </c>
      <c r="D1452" s="147">
        <f t="shared" ref="D1452" si="111">A1452</f>
        <v>45979</v>
      </c>
      <c r="E1452" s="181" t="str">
        <f t="shared" si="98"/>
        <v>alappatjoe</v>
      </c>
      <c r="F1452" s="9">
        <f>IFERROR(AVERAGE(Data[[#This Row],[alappatjoe]:[currydestroyer27]]), "TBD")</f>
        <v>4.2</v>
      </c>
      <c r="G1452" s="178">
        <f>IFERROR(_xlfn.STDEV.P(Data[[#This Row],[alappatjoe]:[currydestroyer27]]), "TBD")</f>
        <v>1.1661903789690602</v>
      </c>
      <c r="H1452" s="160" t="s">
        <v>2880</v>
      </c>
      <c r="I1452" s="186" t="s">
        <v>2881</v>
      </c>
      <c r="J1452" s="3">
        <v>2</v>
      </c>
      <c r="K1452" s="3">
        <v>5</v>
      </c>
      <c r="L1452" s="3">
        <v>5</v>
      </c>
      <c r="M1452" s="3">
        <v>5</v>
      </c>
      <c r="N1452" s="3">
        <v>4</v>
      </c>
      <c r="O1452" s="238">
        <v>169521</v>
      </c>
      <c r="P1452" s="93"/>
      <c r="Q1452" s="93"/>
      <c r="R14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52" s="93">
        <v>1</v>
      </c>
      <c r="T1452" s="93" t="b">
        <f>Data[[#This Row],[Day Rank]]=Data[[#This Row],[W Rank]]</f>
        <v>0</v>
      </c>
      <c r="U1452" s="331"/>
    </row>
    <row r="1453" spans="1:21" ht="15" customHeight="1">
      <c r="A1453" s="326"/>
      <c r="B1453" s="326"/>
      <c r="C1453" s="339"/>
      <c r="D1453" s="81">
        <f t="shared" si="99"/>
        <v>45979</v>
      </c>
      <c r="E1453" s="140" t="str">
        <f t="shared" si="100"/>
        <v>danram</v>
      </c>
      <c r="F1453" s="8">
        <f>IFERROR(AVERAGE(Data[[#This Row],[alappatjoe]:[currydestroyer27]]), "TBD")</f>
        <v>2.4</v>
      </c>
      <c r="G1453" s="177">
        <f>IFERROR(_xlfn.STDEV.P(Data[[#This Row],[alappatjoe]:[currydestroyer27]]), "TBD")</f>
        <v>1.019803902718557</v>
      </c>
      <c r="H1453" s="135" t="s">
        <v>2882</v>
      </c>
      <c r="I1453" s="229" t="s">
        <v>2883</v>
      </c>
      <c r="J1453" s="3">
        <v>1</v>
      </c>
      <c r="K1453" s="3">
        <v>2</v>
      </c>
      <c r="L1453" s="3">
        <v>4</v>
      </c>
      <c r="M1453" s="3">
        <v>2</v>
      </c>
      <c r="N1453" s="3">
        <v>3</v>
      </c>
      <c r="O1453" s="238"/>
      <c r="P1453" s="93"/>
      <c r="Q1453" s="93"/>
      <c r="R14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53" s="93">
        <v>1</v>
      </c>
      <c r="T1453" s="93" t="b">
        <f>Data[[#This Row],[Day Rank]]=Data[[#This Row],[W Rank]]</f>
        <v>1</v>
      </c>
      <c r="U1453" s="323"/>
    </row>
    <row r="1454" spans="1:21" ht="15" customHeight="1">
      <c r="A1454" s="326"/>
      <c r="B1454" s="326"/>
      <c r="C1454" s="339"/>
      <c r="D1454" s="81">
        <f t="shared" si="101"/>
        <v>45979</v>
      </c>
      <c r="E1454" s="140" t="str">
        <f t="shared" si="102"/>
        <v>loganworsdell</v>
      </c>
      <c r="F1454" s="8">
        <f>IFERROR(AVERAGE(Data[[#This Row],[alappatjoe]:[currydestroyer27]]), "TBD")</f>
        <v>2.8</v>
      </c>
      <c r="G1454" s="177">
        <f>IFERROR(_xlfn.STDEV.P(Data[[#This Row],[alappatjoe]:[currydestroyer27]]), "TBD")</f>
        <v>1.1661903789690602</v>
      </c>
      <c r="H1454" s="135" t="s">
        <v>2884</v>
      </c>
      <c r="I1454" s="229" t="s">
        <v>2885</v>
      </c>
      <c r="J1454" s="3">
        <v>4</v>
      </c>
      <c r="K1454" s="3">
        <v>4</v>
      </c>
      <c r="L1454" s="3">
        <v>2</v>
      </c>
      <c r="M1454" s="3">
        <v>3</v>
      </c>
      <c r="N1454" s="3">
        <v>1</v>
      </c>
      <c r="O1454" s="238">
        <v>15351230</v>
      </c>
      <c r="P1454" s="93"/>
      <c r="Q1454" s="93"/>
      <c r="R14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54" s="93">
        <v>1</v>
      </c>
      <c r="T1454" s="93" t="b">
        <f>Data[[#This Row],[Day Rank]]=Data[[#This Row],[W Rank]]</f>
        <v>0</v>
      </c>
      <c r="U1454" s="323"/>
    </row>
    <row r="1455" spans="1:21" ht="15" customHeight="1">
      <c r="A1455" s="326"/>
      <c r="B1455" s="326"/>
      <c r="C1455" s="339"/>
      <c r="D1455" s="81">
        <f t="shared" si="103"/>
        <v>45979</v>
      </c>
      <c r="E1455" s="140" t="str">
        <f t="shared" si="104"/>
        <v>samuelbattista</v>
      </c>
      <c r="F1455" s="8">
        <f>IFERROR(AVERAGE(Data[[#This Row],[alappatjoe]:[currydestroyer27]]), "TBD")</f>
        <v>2.6</v>
      </c>
      <c r="G1455" s="177">
        <f>IFERROR(_xlfn.STDEV.P(Data[[#This Row],[alappatjoe]:[currydestroyer27]]), "TBD")</f>
        <v>1.4966629547095767</v>
      </c>
      <c r="H1455" s="135" t="s">
        <v>2886</v>
      </c>
      <c r="I1455" s="229" t="s">
        <v>326</v>
      </c>
      <c r="J1455" s="3">
        <v>3</v>
      </c>
      <c r="K1455" s="3">
        <v>1</v>
      </c>
      <c r="L1455" s="3">
        <v>3</v>
      </c>
      <c r="M1455" s="3">
        <v>1</v>
      </c>
      <c r="N1455" s="3">
        <v>5</v>
      </c>
      <c r="O1455" s="238"/>
      <c r="P1455" s="93"/>
      <c r="Q1455" s="93"/>
      <c r="R14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55" s="93">
        <v>1</v>
      </c>
      <c r="T1455" s="93" t="b">
        <f>Data[[#This Row],[Day Rank]]=Data[[#This Row],[W Rank]]</f>
        <v>0</v>
      </c>
      <c r="U1455" s="323"/>
    </row>
    <row r="1456" spans="1:21" ht="15" customHeight="1" thickBot="1">
      <c r="A1456" s="327"/>
      <c r="B1456" s="327"/>
      <c r="C1456" s="340"/>
      <c r="D1456" s="164">
        <f t="shared" si="105"/>
        <v>45979</v>
      </c>
      <c r="E1456" s="215" t="str">
        <f t="shared" si="106"/>
        <v>currydestroyer27</v>
      </c>
      <c r="F1456" s="228">
        <f>IFERROR(AVERAGE(Data[[#This Row],[alappatjoe]:[currydestroyer27]]), "TBD")</f>
        <v>3</v>
      </c>
      <c r="G1456" s="256">
        <f>IFERROR(_xlfn.STDEV.P(Data[[#This Row],[alappatjoe]:[currydestroyer27]]), "TBD")</f>
        <v>1.4142135623730951</v>
      </c>
      <c r="H1456" s="227" t="s">
        <v>2887</v>
      </c>
      <c r="I1456" s="257" t="s">
        <v>2888</v>
      </c>
      <c r="J1456" s="166">
        <v>5</v>
      </c>
      <c r="K1456" s="166">
        <v>3</v>
      </c>
      <c r="L1456" s="166">
        <v>1</v>
      </c>
      <c r="M1456" s="166">
        <v>4</v>
      </c>
      <c r="N1456" s="166">
        <v>2</v>
      </c>
      <c r="O1456" s="242">
        <v>8693234</v>
      </c>
      <c r="P1456" s="167" t="s">
        <v>69</v>
      </c>
      <c r="Q1456" s="167"/>
      <c r="R145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56" s="167">
        <v>1</v>
      </c>
      <c r="T1456" s="93" t="b">
        <f>Data[[#This Row],[Day Rank]]=Data[[#This Row],[W Rank]]</f>
        <v>0</v>
      </c>
      <c r="U1456" s="324"/>
    </row>
    <row r="1457" spans="1:21" ht="15" customHeight="1">
      <c r="A1457" s="325">
        <v>45980</v>
      </c>
      <c r="B1457" s="325"/>
      <c r="C1457" s="328" t="str" cm="1">
        <f t="array" ref="C1457">_xlfn.LET(_xlpm.matches, _xlfn._xlws.FILTER(Data[Poster], (Data[Date]=A1457)*(Data[Winner]=TRUE)), IF(ROWS(_xlpm.matches)&gt;1, "TIE", _xlpm.matches))</f>
        <v>samuelbattista</v>
      </c>
      <c r="D1457" s="147">
        <f t="shared" ref="D1457" si="112">A1457</f>
        <v>45980</v>
      </c>
      <c r="E1457" s="181" t="str">
        <f t="shared" si="98"/>
        <v>alappatjoe</v>
      </c>
      <c r="F1457" s="9">
        <f>IFERROR(AVERAGE(Data[[#This Row],[alappatjoe]:[currydestroyer27]]), "TBD")</f>
        <v>3.4</v>
      </c>
      <c r="G1457" s="178">
        <f>IFERROR(_xlfn.STDEV.P(Data[[#This Row],[alappatjoe]:[currydestroyer27]]), "TBD")</f>
        <v>1.019803902718557</v>
      </c>
      <c r="H1457" s="160" t="s">
        <v>2889</v>
      </c>
      <c r="I1457" s="186" t="s">
        <v>2612</v>
      </c>
      <c r="J1457" s="3">
        <v>2</v>
      </c>
      <c r="K1457" s="3">
        <v>5</v>
      </c>
      <c r="L1457" s="3">
        <v>3</v>
      </c>
      <c r="M1457" s="3">
        <v>4</v>
      </c>
      <c r="N1457" s="3">
        <v>3</v>
      </c>
      <c r="O1457" s="238">
        <v>114352637</v>
      </c>
      <c r="P1457" s="93"/>
      <c r="Q1457" s="93"/>
      <c r="R14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57" s="93">
        <v>1</v>
      </c>
      <c r="T1457" s="93" t="b">
        <f>Data[[#This Row],[Day Rank]]=Data[[#This Row],[W Rank]]</f>
        <v>0</v>
      </c>
      <c r="U1457" s="331"/>
    </row>
    <row r="1458" spans="1:21" ht="15" customHeight="1">
      <c r="A1458" s="326"/>
      <c r="B1458" s="326"/>
      <c r="C1458" s="329"/>
      <c r="D1458" s="81">
        <f t="shared" si="99"/>
        <v>45980</v>
      </c>
      <c r="E1458" s="140" t="str">
        <f t="shared" si="100"/>
        <v>danram</v>
      </c>
      <c r="F1458" s="8">
        <f>IFERROR(AVERAGE(Data[[#This Row],[alappatjoe]:[currydestroyer27]]), "TBD")</f>
        <v>4.4000000000000004</v>
      </c>
      <c r="G1458" s="177">
        <f>IFERROR(_xlfn.STDEV.P(Data[[#This Row],[alappatjoe]:[currydestroyer27]]), "TBD")</f>
        <v>1.2</v>
      </c>
      <c r="H1458" s="135" t="s">
        <v>2890</v>
      </c>
      <c r="I1458" s="229" t="s">
        <v>2891</v>
      </c>
      <c r="J1458" s="3">
        <v>5</v>
      </c>
      <c r="K1458" s="3">
        <v>2</v>
      </c>
      <c r="L1458" s="3">
        <v>5</v>
      </c>
      <c r="M1458" s="3">
        <v>5</v>
      </c>
      <c r="N1458" s="3">
        <v>5</v>
      </c>
      <c r="O1458" s="238"/>
      <c r="P1458" s="93"/>
      <c r="Q1458" s="93"/>
      <c r="R14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58" s="93">
        <v>1</v>
      </c>
      <c r="T1458" s="93" t="b">
        <f>Data[[#This Row],[Day Rank]]=Data[[#This Row],[W Rank]]</f>
        <v>0</v>
      </c>
      <c r="U1458" s="323"/>
    </row>
    <row r="1459" spans="1:21" ht="15" customHeight="1">
      <c r="A1459" s="326"/>
      <c r="B1459" s="326"/>
      <c r="C1459" s="329"/>
      <c r="D1459" s="81">
        <f t="shared" si="101"/>
        <v>45980</v>
      </c>
      <c r="E1459" s="140" t="str">
        <f t="shared" si="102"/>
        <v>loganworsdell</v>
      </c>
      <c r="F1459" s="8">
        <f>IFERROR(AVERAGE(Data[[#This Row],[alappatjoe]:[currydestroyer27]]), "TBD")</f>
        <v>2.8</v>
      </c>
      <c r="G1459" s="177">
        <f>IFERROR(_xlfn.STDEV.P(Data[[#This Row],[alappatjoe]:[currydestroyer27]]), "TBD")</f>
        <v>1.1661903789690602</v>
      </c>
      <c r="H1459" s="135" t="s">
        <v>2892</v>
      </c>
      <c r="I1459" s="229" t="s">
        <v>1118</v>
      </c>
      <c r="J1459" s="3">
        <v>4</v>
      </c>
      <c r="K1459" s="3">
        <v>3</v>
      </c>
      <c r="L1459" s="3">
        <v>1</v>
      </c>
      <c r="M1459" s="3">
        <v>2</v>
      </c>
      <c r="N1459" s="3">
        <v>4</v>
      </c>
      <c r="O1459" s="238">
        <v>10171701</v>
      </c>
      <c r="P1459" s="93"/>
      <c r="Q1459" s="93"/>
      <c r="R14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59" s="93">
        <v>1</v>
      </c>
      <c r="T1459" s="93" t="b">
        <f>Data[[#This Row],[Day Rank]]=Data[[#This Row],[W Rank]]</f>
        <v>0</v>
      </c>
      <c r="U1459" s="323"/>
    </row>
    <row r="1460" spans="1:21" ht="15" customHeight="1">
      <c r="A1460" s="326"/>
      <c r="B1460" s="326"/>
      <c r="C1460" s="329"/>
      <c r="D1460" s="81">
        <f t="shared" si="103"/>
        <v>45980</v>
      </c>
      <c r="E1460" s="140" t="str">
        <f t="shared" si="104"/>
        <v>samuelbattista</v>
      </c>
      <c r="F1460" s="8">
        <f>IFERROR(AVERAGE(Data[[#This Row],[alappatjoe]:[currydestroyer27]]), "TBD")</f>
        <v>1.8</v>
      </c>
      <c r="G1460" s="177">
        <f>IFERROR(_xlfn.STDEV.P(Data[[#This Row],[alappatjoe]:[currydestroyer27]]), "TBD")</f>
        <v>0.74833147735478833</v>
      </c>
      <c r="H1460" s="135" t="s">
        <v>2893</v>
      </c>
      <c r="I1460" s="229" t="s">
        <v>2894</v>
      </c>
      <c r="J1460" s="3">
        <v>3</v>
      </c>
      <c r="K1460" s="3">
        <v>1</v>
      </c>
      <c r="L1460" s="3">
        <v>2</v>
      </c>
      <c r="M1460" s="3">
        <v>1</v>
      </c>
      <c r="N1460" s="3">
        <v>2</v>
      </c>
      <c r="O1460" s="238"/>
      <c r="P1460" s="93"/>
      <c r="Q1460" s="93"/>
      <c r="R14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60" s="93">
        <v>1</v>
      </c>
      <c r="T1460" s="93" t="b">
        <f>Data[[#This Row],[Day Rank]]=Data[[#This Row],[W Rank]]</f>
        <v>1</v>
      </c>
      <c r="U1460" s="323"/>
    </row>
    <row r="1461" spans="1:21" ht="15" customHeight="1" thickBot="1">
      <c r="A1461" s="327"/>
      <c r="B1461" s="327"/>
      <c r="C1461" s="330"/>
      <c r="D1461" s="164">
        <f t="shared" si="105"/>
        <v>45980</v>
      </c>
      <c r="E1461" s="215" t="str">
        <f t="shared" si="106"/>
        <v>currydestroyer27</v>
      </c>
      <c r="F1461" s="228">
        <f>IFERROR(AVERAGE(Data[[#This Row],[alappatjoe]:[currydestroyer27]]), "TBD")</f>
        <v>2.6</v>
      </c>
      <c r="G1461" s="256">
        <f>IFERROR(_xlfn.STDEV.P(Data[[#This Row],[alappatjoe]:[currydestroyer27]]), "TBD")</f>
        <v>1.3564659966250536</v>
      </c>
      <c r="H1461" s="227" t="s">
        <v>2895</v>
      </c>
      <c r="I1461" s="257" t="s">
        <v>2896</v>
      </c>
      <c r="J1461" s="166">
        <v>1</v>
      </c>
      <c r="K1461" s="166">
        <v>4</v>
      </c>
      <c r="L1461" s="166">
        <v>4</v>
      </c>
      <c r="M1461" s="166">
        <v>3</v>
      </c>
      <c r="N1461" s="166">
        <v>1</v>
      </c>
      <c r="O1461" s="242">
        <v>113515477</v>
      </c>
      <c r="P1461" s="167" t="s">
        <v>69</v>
      </c>
      <c r="Q1461" s="167"/>
      <c r="R146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61" s="167">
        <v>1</v>
      </c>
      <c r="T1461" s="93" t="b">
        <f>Data[[#This Row],[Day Rank]]=Data[[#This Row],[W Rank]]</f>
        <v>0</v>
      </c>
      <c r="U1461" s="324"/>
    </row>
    <row r="1462" spans="1:21" ht="15" customHeight="1">
      <c r="A1462" s="325">
        <v>45981</v>
      </c>
      <c r="B1462" s="325"/>
      <c r="C1462" s="338" t="str" cm="1">
        <f t="array" ref="C1462">_xlfn.LET(_xlpm.matches, _xlfn._xlws.FILTER(Data[Poster], (Data[Date]=A1462)*(Data[Winner]=TRUE)), IF(ROWS(_xlpm.matches)&gt;1, "TIE", _xlpm.matches))</f>
        <v>danram</v>
      </c>
      <c r="D1462" s="147">
        <f t="shared" ref="D1462" si="113">A1462</f>
        <v>45981</v>
      </c>
      <c r="E1462" s="181" t="str">
        <f t="shared" si="98"/>
        <v>alappatjoe</v>
      </c>
      <c r="F1462" s="9">
        <f>IFERROR(AVERAGE(Data[[#This Row],[alappatjoe]:[currydestroyer27]]), "TBD")</f>
        <v>3.4</v>
      </c>
      <c r="G1462" s="178">
        <f>IFERROR(_xlfn.STDEV.P(Data[[#This Row],[alappatjoe]:[currydestroyer27]]), "TBD")</f>
        <v>1.3564659966250536</v>
      </c>
      <c r="H1462" s="160" t="s">
        <v>2897</v>
      </c>
      <c r="I1462" s="186" t="s">
        <v>408</v>
      </c>
      <c r="J1462" s="3">
        <v>1</v>
      </c>
      <c r="K1462" s="3">
        <v>3</v>
      </c>
      <c r="L1462" s="3">
        <v>5</v>
      </c>
      <c r="M1462" s="3">
        <v>4</v>
      </c>
      <c r="N1462" s="3">
        <v>4</v>
      </c>
      <c r="O1462" s="238">
        <v>2744909412</v>
      </c>
      <c r="P1462" s="93"/>
      <c r="Q1462" s="93"/>
      <c r="R14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62" s="93">
        <v>1</v>
      </c>
      <c r="T1462" s="93" t="b">
        <f>Data[[#This Row],[Day Rank]]=Data[[#This Row],[W Rank]]</f>
        <v>0</v>
      </c>
      <c r="U1462" s="331" t="s">
        <v>2898</v>
      </c>
    </row>
    <row r="1463" spans="1:21" ht="15" customHeight="1">
      <c r="A1463" s="326"/>
      <c r="B1463" s="326"/>
      <c r="C1463" s="339"/>
      <c r="D1463" s="81">
        <f t="shared" si="99"/>
        <v>45981</v>
      </c>
      <c r="E1463" s="140" t="str">
        <f t="shared" si="100"/>
        <v>danram</v>
      </c>
      <c r="F1463" s="8">
        <f>IFERROR(AVERAGE(Data[[#This Row],[alappatjoe]:[currydestroyer27]]), "TBD")</f>
        <v>2.2000000000000002</v>
      </c>
      <c r="G1463" s="177">
        <f>IFERROR(_xlfn.STDEV.P(Data[[#This Row],[alappatjoe]:[currydestroyer27]]), "TBD")</f>
        <v>0.74833147735478833</v>
      </c>
      <c r="H1463" s="135" t="s">
        <v>2899</v>
      </c>
      <c r="I1463" s="229" t="s">
        <v>2900</v>
      </c>
      <c r="J1463" s="3">
        <v>3</v>
      </c>
      <c r="K1463" s="3">
        <v>1</v>
      </c>
      <c r="L1463" s="3">
        <v>3</v>
      </c>
      <c r="M1463" s="3">
        <v>2</v>
      </c>
      <c r="N1463" s="3">
        <v>2</v>
      </c>
      <c r="O1463" s="238"/>
      <c r="P1463" s="93"/>
      <c r="Q1463" s="93"/>
      <c r="R14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63" s="93">
        <v>1</v>
      </c>
      <c r="T1463" s="93" t="b">
        <f>Data[[#This Row],[Day Rank]]=Data[[#This Row],[W Rank]]</f>
        <v>1</v>
      </c>
      <c r="U1463" s="323"/>
    </row>
    <row r="1464" spans="1:21" ht="15" customHeight="1">
      <c r="A1464" s="326"/>
      <c r="B1464" s="326"/>
      <c r="C1464" s="339"/>
      <c r="D1464" s="81">
        <f t="shared" si="101"/>
        <v>45981</v>
      </c>
      <c r="E1464" s="140" t="str">
        <f t="shared" si="102"/>
        <v>loganworsdell</v>
      </c>
      <c r="F1464" s="8">
        <f>IFERROR(AVERAGE(Data[[#This Row],[alappatjoe]:[currydestroyer27]]), "TBD")</f>
        <v>3</v>
      </c>
      <c r="G1464" s="177">
        <f>IFERROR(_xlfn.STDEV.P(Data[[#This Row],[alappatjoe]:[currydestroyer27]]), "TBD")</f>
        <v>1.4142135623730951</v>
      </c>
      <c r="H1464" s="135" t="s">
        <v>2901</v>
      </c>
      <c r="I1464" s="229" t="s">
        <v>2902</v>
      </c>
      <c r="J1464" s="3">
        <v>4</v>
      </c>
      <c r="K1464" s="3">
        <v>2</v>
      </c>
      <c r="L1464" s="3">
        <v>1</v>
      </c>
      <c r="M1464" s="3">
        <v>5</v>
      </c>
      <c r="N1464" s="3">
        <v>3</v>
      </c>
      <c r="O1464" s="238">
        <v>77376</v>
      </c>
      <c r="P1464" s="93"/>
      <c r="Q1464" s="93"/>
      <c r="R14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64" s="93">
        <v>1</v>
      </c>
      <c r="T1464" s="93" t="b">
        <f>Data[[#This Row],[Day Rank]]=Data[[#This Row],[W Rank]]</f>
        <v>0</v>
      </c>
      <c r="U1464" s="323"/>
    </row>
    <row r="1465" spans="1:21" ht="15" customHeight="1">
      <c r="A1465" s="326"/>
      <c r="B1465" s="326"/>
      <c r="C1465" s="339"/>
      <c r="D1465" s="81">
        <f t="shared" si="103"/>
        <v>45981</v>
      </c>
      <c r="E1465" s="140" t="str">
        <f t="shared" si="104"/>
        <v>samuelbattista</v>
      </c>
      <c r="F1465" s="8">
        <f>IFERROR(AVERAGE(Data[[#This Row],[alappatjoe]:[currydestroyer27]]), "TBD")</f>
        <v>3.2</v>
      </c>
      <c r="G1465" s="177">
        <f>IFERROR(_xlfn.STDEV.P(Data[[#This Row],[alappatjoe]:[currydestroyer27]]), "TBD")</f>
        <v>1.4696938456699069</v>
      </c>
      <c r="H1465" s="135" t="s">
        <v>2903</v>
      </c>
      <c r="I1465" s="229" t="s">
        <v>1695</v>
      </c>
      <c r="J1465" s="3">
        <v>2</v>
      </c>
      <c r="K1465" s="3">
        <v>4</v>
      </c>
      <c r="L1465" s="3">
        <v>4</v>
      </c>
      <c r="M1465" s="3">
        <v>1</v>
      </c>
      <c r="N1465" s="3">
        <v>5</v>
      </c>
      <c r="O1465" s="238"/>
      <c r="P1465" s="93"/>
      <c r="Q1465" s="93"/>
      <c r="R14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65" s="93">
        <v>1</v>
      </c>
      <c r="T1465" s="93" t="b">
        <f>Data[[#This Row],[Day Rank]]=Data[[#This Row],[W Rank]]</f>
        <v>0</v>
      </c>
      <c r="U1465" s="323"/>
    </row>
    <row r="1466" spans="1:21" ht="15" customHeight="1" thickBot="1">
      <c r="A1466" s="327"/>
      <c r="B1466" s="327"/>
      <c r="C1466" s="340"/>
      <c r="D1466" s="164">
        <f t="shared" si="105"/>
        <v>45981</v>
      </c>
      <c r="E1466" s="215" t="str">
        <f t="shared" si="106"/>
        <v>currydestroyer27</v>
      </c>
      <c r="F1466" s="228">
        <f>IFERROR(AVERAGE(Data[[#This Row],[alappatjoe]:[currydestroyer27]]), "TBD")</f>
        <v>3.2</v>
      </c>
      <c r="G1466" s="256">
        <f>IFERROR(_xlfn.STDEV.P(Data[[#This Row],[alappatjoe]:[currydestroyer27]]), "TBD")</f>
        <v>1.6</v>
      </c>
      <c r="H1466" s="227" t="s">
        <v>2904</v>
      </c>
      <c r="I1466" s="257" t="s">
        <v>2905</v>
      </c>
      <c r="J1466" s="166">
        <v>5</v>
      </c>
      <c r="K1466" s="166">
        <v>5</v>
      </c>
      <c r="L1466" s="166">
        <v>2</v>
      </c>
      <c r="M1466" s="166">
        <v>3</v>
      </c>
      <c r="N1466" s="166">
        <v>1</v>
      </c>
      <c r="O1466" s="242">
        <v>134528498</v>
      </c>
      <c r="P1466" s="167"/>
      <c r="Q1466" s="167"/>
      <c r="R146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66" s="167">
        <v>1</v>
      </c>
      <c r="T1466" s="93" t="b">
        <f>Data[[#This Row],[Day Rank]]=Data[[#This Row],[W Rank]]</f>
        <v>0</v>
      </c>
      <c r="U1466" s="324"/>
    </row>
    <row r="1467" spans="1:21" ht="15" customHeight="1">
      <c r="A1467" s="325">
        <v>45985</v>
      </c>
      <c r="B1467" s="325"/>
      <c r="C1467" s="328" t="str" cm="1">
        <f t="array" ref="C1467">_xlfn.LET(_xlpm.matches, _xlfn._xlws.FILTER(Data[Poster], (Data[Date]=A1467)*(Data[Winner]=TRUE)), IF(ROWS(_xlpm.matches)&gt;1, "TIE", _xlpm.matches))</f>
        <v>currydestroyer27</v>
      </c>
      <c r="D1467" s="81">
        <f t="shared" ref="D1467" si="114">A1467</f>
        <v>45985</v>
      </c>
      <c r="E1467" s="140" t="str">
        <f t="shared" ref="E1467" si="115">$J$1</f>
        <v>alappatjoe</v>
      </c>
      <c r="F1467" s="8">
        <f>IFERROR(AVERAGE(Data[[#This Row],[alappatjoe]:[currydestroyer27]]), "TBD")</f>
        <v>3</v>
      </c>
      <c r="G1467" s="177">
        <f>IFERROR(_xlfn.STDEV.P(Data[[#This Row],[alappatjoe]:[currydestroyer27]]), "TBD")</f>
        <v>1.2649110640673518</v>
      </c>
      <c r="H1467" s="135" t="s">
        <v>2906</v>
      </c>
      <c r="I1467" s="229" t="s">
        <v>2907</v>
      </c>
      <c r="J1467" s="3">
        <v>1</v>
      </c>
      <c r="K1467" s="3">
        <v>2</v>
      </c>
      <c r="L1467" s="3">
        <v>4</v>
      </c>
      <c r="M1467" s="3">
        <v>4</v>
      </c>
      <c r="N1467" s="3">
        <v>4</v>
      </c>
      <c r="O1467" s="238">
        <v>117001</v>
      </c>
      <c r="P1467" s="93"/>
      <c r="Q1467" s="93"/>
      <c r="R14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67" s="93">
        <v>1</v>
      </c>
      <c r="T1467" s="93" t="b">
        <f>Data[[#This Row],[Day Rank]]=Data[[#This Row],[W Rank]]</f>
        <v>0</v>
      </c>
      <c r="U1467" s="331"/>
    </row>
    <row r="1468" spans="1:21" ht="15" customHeight="1">
      <c r="A1468" s="326"/>
      <c r="B1468" s="326"/>
      <c r="C1468" s="329"/>
      <c r="D1468" s="81">
        <f t="shared" ref="D1468" si="116">D1467</f>
        <v>45985</v>
      </c>
      <c r="E1468" s="140" t="str">
        <f t="shared" ref="E1468" si="117">$K$1</f>
        <v>danram</v>
      </c>
      <c r="F1468" s="8">
        <f>IFERROR(AVERAGE(Data[[#This Row],[alappatjoe]:[currydestroyer27]]), "TBD")</f>
        <v>3</v>
      </c>
      <c r="G1468" s="177">
        <f>IFERROR(_xlfn.STDEV.P(Data[[#This Row],[alappatjoe]:[currydestroyer27]]), "TBD")</f>
        <v>1.2649110640673518</v>
      </c>
      <c r="H1468" s="135" t="s">
        <v>2908</v>
      </c>
      <c r="I1468" s="229" t="s">
        <v>373</v>
      </c>
      <c r="J1468" s="3">
        <v>3</v>
      </c>
      <c r="K1468" s="3">
        <v>1</v>
      </c>
      <c r="L1468" s="3">
        <v>3</v>
      </c>
      <c r="M1468" s="3">
        <v>3</v>
      </c>
      <c r="N1468" s="3">
        <v>5</v>
      </c>
      <c r="O1468" s="238"/>
      <c r="P1468" s="93"/>
      <c r="Q1468" s="93"/>
      <c r="R14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68" s="93">
        <v>1</v>
      </c>
      <c r="T1468" s="93" t="b">
        <f>Data[[#This Row],[Day Rank]]=Data[[#This Row],[W Rank]]</f>
        <v>0</v>
      </c>
      <c r="U1468" s="323"/>
    </row>
    <row r="1469" spans="1:21" ht="15" customHeight="1">
      <c r="A1469" s="326"/>
      <c r="B1469" s="326"/>
      <c r="C1469" s="329"/>
      <c r="D1469" s="81">
        <f t="shared" ref="D1469" si="118">D1467</f>
        <v>45985</v>
      </c>
      <c r="E1469" s="140" t="str">
        <f t="shared" ref="E1469" si="119">$L$1</f>
        <v>loganworsdell</v>
      </c>
      <c r="F1469" s="8">
        <f>IFERROR(AVERAGE(Data[[#This Row],[alappatjoe]:[currydestroyer27]]), "TBD")</f>
        <v>3.4</v>
      </c>
      <c r="G1469" s="177">
        <f>IFERROR(_xlfn.STDEV.P(Data[[#This Row],[alappatjoe]:[currydestroyer27]]), "TBD")</f>
        <v>1.6248076809271921</v>
      </c>
      <c r="H1469" s="135" t="s">
        <v>2909</v>
      </c>
      <c r="I1469" s="229" t="s">
        <v>2910</v>
      </c>
      <c r="J1469" s="3">
        <v>4</v>
      </c>
      <c r="K1469" s="3">
        <v>5</v>
      </c>
      <c r="L1469" s="3">
        <v>1</v>
      </c>
      <c r="M1469" s="3">
        <v>5</v>
      </c>
      <c r="N1469" s="3">
        <v>2</v>
      </c>
      <c r="O1469" s="238">
        <v>2036863</v>
      </c>
      <c r="P1469" s="93"/>
      <c r="Q1469" s="93"/>
      <c r="R14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69" s="93">
        <v>1</v>
      </c>
      <c r="T1469" s="93" t="b">
        <f>Data[[#This Row],[Day Rank]]=Data[[#This Row],[W Rank]]</f>
        <v>0</v>
      </c>
      <c r="U1469" s="323"/>
    </row>
    <row r="1470" spans="1:21" ht="15" customHeight="1">
      <c r="A1470" s="326"/>
      <c r="B1470" s="326"/>
      <c r="C1470" s="329"/>
      <c r="D1470" s="81">
        <f t="shared" ref="D1470" si="120">D1467</f>
        <v>45985</v>
      </c>
      <c r="E1470" s="140" t="str">
        <f t="shared" ref="E1470" si="121">$M$1</f>
        <v>samuelbattista</v>
      </c>
      <c r="F1470" s="8">
        <f>IFERROR(AVERAGE(Data[[#This Row],[alappatjoe]:[currydestroyer27]]), "TBD")</f>
        <v>3.6</v>
      </c>
      <c r="G1470" s="177">
        <f>IFERROR(_xlfn.STDEV.P(Data[[#This Row],[alappatjoe]:[currydestroyer27]]), "TBD")</f>
        <v>1.4966629547095767</v>
      </c>
      <c r="H1470" s="135" t="s">
        <v>2911</v>
      </c>
      <c r="I1470" s="229" t="s">
        <v>2912</v>
      </c>
      <c r="J1470" s="3">
        <v>5</v>
      </c>
      <c r="K1470" s="3">
        <v>4</v>
      </c>
      <c r="L1470" s="3">
        <v>5</v>
      </c>
      <c r="M1470" s="3">
        <v>1</v>
      </c>
      <c r="N1470" s="3">
        <v>3</v>
      </c>
      <c r="O1470" s="238"/>
      <c r="P1470" s="93"/>
      <c r="Q1470" s="93"/>
      <c r="R14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70" s="93">
        <v>1</v>
      </c>
      <c r="T1470" s="93" t="b">
        <f>Data[[#This Row],[Day Rank]]=Data[[#This Row],[W Rank]]</f>
        <v>0</v>
      </c>
      <c r="U1470" s="323"/>
    </row>
    <row r="1471" spans="1:21" ht="15" customHeight="1" thickBot="1">
      <c r="A1471" s="327"/>
      <c r="B1471" s="327"/>
      <c r="C1471" s="330"/>
      <c r="D1471" s="164">
        <f t="shared" ref="D1471" si="122">D1467</f>
        <v>45985</v>
      </c>
      <c r="E1471" s="215" t="str">
        <f t="shared" ref="E1471" si="123">$N$1</f>
        <v>currydestroyer27</v>
      </c>
      <c r="F1471" s="165">
        <f>IFERROR(AVERAGE(Data[[#This Row],[alappatjoe]:[currydestroyer27]]), "TBD")</f>
        <v>2</v>
      </c>
      <c r="G1471" s="256">
        <f>IFERROR(_xlfn.STDEV.P(Data[[#This Row],[alappatjoe]:[currydestroyer27]]), "TBD")</f>
        <v>0.63245553203367588</v>
      </c>
      <c r="H1471" s="227" t="s">
        <v>2913</v>
      </c>
      <c r="I1471" s="257" t="s">
        <v>2914</v>
      </c>
      <c r="J1471" s="166">
        <v>2</v>
      </c>
      <c r="K1471" s="166">
        <v>3</v>
      </c>
      <c r="L1471" s="166">
        <v>2</v>
      </c>
      <c r="M1471" s="166">
        <v>2</v>
      </c>
      <c r="N1471" s="166">
        <v>1</v>
      </c>
      <c r="O1471" s="242">
        <v>91624662</v>
      </c>
      <c r="P1471" s="167"/>
      <c r="Q1471" s="167"/>
      <c r="R147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71" s="167">
        <v>1</v>
      </c>
      <c r="T1471" s="167" t="b">
        <f>Data[[#This Row],[Day Rank]]=Data[[#This Row],[W Rank]]</f>
        <v>1</v>
      </c>
      <c r="U1471" s="324"/>
    </row>
    <row r="1472" spans="1:21" ht="15" customHeight="1">
      <c r="A1472" s="325">
        <v>45986</v>
      </c>
      <c r="B1472" s="325"/>
      <c r="C1472" s="338" t="str" cm="1">
        <f t="array" ref="C1472">_xlfn.LET(_xlpm.matches, _xlfn._xlws.FILTER(Data[Poster], (Data[Date]=A1472)*(Data[Winner]=TRUE)), IF(ROWS(_xlpm.matches)&gt;1, "TIE", _xlpm.matches))</f>
        <v>samuelbattista</v>
      </c>
      <c r="D1472" s="147">
        <f t="shared" ref="D1472" si="124">A1472</f>
        <v>45986</v>
      </c>
      <c r="E1472" s="181" t="str">
        <f t="shared" ref="E1472" si="125">$J$1</f>
        <v>alappatjoe</v>
      </c>
      <c r="F1472" s="9">
        <f>IFERROR(AVERAGE(Data[[#This Row],[alappatjoe]:[currydestroyer27]]), "TBD")</f>
        <v>2.6</v>
      </c>
      <c r="G1472" s="178">
        <f>IFERROR(_xlfn.STDEV.P(Data[[#This Row],[alappatjoe]:[currydestroyer27]]), "TBD")</f>
        <v>1.4966629547095767</v>
      </c>
      <c r="H1472" s="160" t="s">
        <v>2915</v>
      </c>
      <c r="I1472" s="186" t="s">
        <v>2916</v>
      </c>
      <c r="J1472" s="3">
        <v>1</v>
      </c>
      <c r="K1472" s="3">
        <v>1</v>
      </c>
      <c r="L1472" s="3">
        <v>3</v>
      </c>
      <c r="M1472" s="3">
        <v>5</v>
      </c>
      <c r="N1472" s="3">
        <v>3</v>
      </c>
      <c r="O1472" s="238">
        <v>2554848</v>
      </c>
      <c r="P1472" s="93"/>
      <c r="Q1472" s="93"/>
      <c r="R14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72" s="93">
        <v>1</v>
      </c>
      <c r="T1472" s="93" t="b">
        <f>Data[[#This Row],[Day Rank]]=Data[[#This Row],[W Rank]]</f>
        <v>0</v>
      </c>
      <c r="U1472" s="331"/>
    </row>
    <row r="1473" spans="1:21" ht="15" customHeight="1">
      <c r="A1473" s="326"/>
      <c r="B1473" s="326"/>
      <c r="C1473" s="339"/>
      <c r="D1473" s="81">
        <f t="shared" ref="D1473" si="126">D1472</f>
        <v>45986</v>
      </c>
      <c r="E1473" s="140" t="str">
        <f t="shared" ref="E1473" si="127">$K$1</f>
        <v>danram</v>
      </c>
      <c r="F1473" s="8">
        <f>IFERROR(AVERAGE(Data[[#This Row],[alappatjoe]:[currydestroyer27]]), "TBD")</f>
        <v>3.2</v>
      </c>
      <c r="G1473" s="177">
        <f>IFERROR(_xlfn.STDEV.P(Data[[#This Row],[alappatjoe]:[currydestroyer27]]), "TBD")</f>
        <v>1.1661903789690602</v>
      </c>
      <c r="H1473" s="135" t="s">
        <v>2917</v>
      </c>
      <c r="I1473" s="229" t="s">
        <v>2918</v>
      </c>
      <c r="J1473" s="3">
        <v>3</v>
      </c>
      <c r="K1473" s="3">
        <v>2</v>
      </c>
      <c r="L1473" s="3">
        <v>5</v>
      </c>
      <c r="M1473" s="3">
        <v>2</v>
      </c>
      <c r="N1473" s="3">
        <v>4</v>
      </c>
      <c r="O1473" s="238"/>
      <c r="P1473" s="93"/>
      <c r="Q1473" s="93"/>
      <c r="R14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73" s="93">
        <v>1</v>
      </c>
      <c r="T1473" s="93" t="b">
        <f>Data[[#This Row],[Day Rank]]=Data[[#This Row],[W Rank]]</f>
        <v>0</v>
      </c>
      <c r="U1473" s="323"/>
    </row>
    <row r="1474" spans="1:21" ht="15" customHeight="1">
      <c r="A1474" s="326"/>
      <c r="B1474" s="326"/>
      <c r="C1474" s="339"/>
      <c r="D1474" s="81">
        <f t="shared" ref="D1474" si="128">D1472</f>
        <v>45986</v>
      </c>
      <c r="E1474" s="140" t="str">
        <f t="shared" ref="E1474" si="129">$L$1</f>
        <v>loganworsdell</v>
      </c>
      <c r="F1474" s="8">
        <f>IFERROR(AVERAGE(Data[[#This Row],[alappatjoe]:[currydestroyer27]]), "TBD")</f>
        <v>3.6</v>
      </c>
      <c r="G1474" s="177">
        <f>IFERROR(_xlfn.STDEV.P(Data[[#This Row],[alappatjoe]:[currydestroyer27]]), "TBD")</f>
        <v>1.3564659966250536</v>
      </c>
      <c r="H1474" s="135" t="s">
        <v>2919</v>
      </c>
      <c r="I1474" s="229" t="s">
        <v>2920</v>
      </c>
      <c r="J1474" s="3">
        <v>2</v>
      </c>
      <c r="K1474" s="3">
        <v>5</v>
      </c>
      <c r="L1474" s="3">
        <v>2</v>
      </c>
      <c r="M1474" s="3">
        <v>4</v>
      </c>
      <c r="N1474" s="3">
        <v>5</v>
      </c>
      <c r="O1474" s="238">
        <v>39364699</v>
      </c>
      <c r="P1474" s="93"/>
      <c r="Q1474" s="93"/>
      <c r="R14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74" s="93">
        <v>1</v>
      </c>
      <c r="T1474" s="93" t="b">
        <f>Data[[#This Row],[Day Rank]]=Data[[#This Row],[W Rank]]</f>
        <v>0</v>
      </c>
      <c r="U1474" s="323"/>
    </row>
    <row r="1475" spans="1:21" ht="15" customHeight="1">
      <c r="A1475" s="326"/>
      <c r="B1475" s="326"/>
      <c r="C1475" s="339"/>
      <c r="D1475" s="81">
        <f t="shared" ref="D1475" si="130">D1472</f>
        <v>45986</v>
      </c>
      <c r="E1475" s="140" t="str">
        <f t="shared" ref="E1475" si="131">$M$1</f>
        <v>samuelbattista</v>
      </c>
      <c r="F1475" s="8">
        <f>IFERROR(AVERAGE(Data[[#This Row],[alappatjoe]:[currydestroyer27]]), "TBD")</f>
        <v>2.4</v>
      </c>
      <c r="G1475" s="177">
        <f>IFERROR(_xlfn.STDEV.P(Data[[#This Row],[alappatjoe]:[currydestroyer27]]), "TBD")</f>
        <v>1.4966629547095767</v>
      </c>
      <c r="H1475" s="135" t="s">
        <v>2921</v>
      </c>
      <c r="I1475" s="229" t="s">
        <v>1509</v>
      </c>
      <c r="J1475" s="3">
        <v>5</v>
      </c>
      <c r="K1475" s="3">
        <v>3</v>
      </c>
      <c r="L1475" s="3">
        <v>1</v>
      </c>
      <c r="M1475" s="3">
        <v>1</v>
      </c>
      <c r="N1475" s="3">
        <v>2</v>
      </c>
      <c r="O1475" s="238"/>
      <c r="P1475" s="93"/>
      <c r="Q1475" s="93"/>
      <c r="R14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75" s="93">
        <v>1</v>
      </c>
      <c r="T1475" s="93" t="b">
        <f>Data[[#This Row],[Day Rank]]=Data[[#This Row],[W Rank]]</f>
        <v>1</v>
      </c>
      <c r="U1475" s="323"/>
    </row>
    <row r="1476" spans="1:21" ht="15" customHeight="1" thickBot="1">
      <c r="A1476" s="327"/>
      <c r="B1476" s="327"/>
      <c r="C1476" s="340"/>
      <c r="D1476" s="164">
        <f t="shared" ref="D1476" si="132">D1472</f>
        <v>45986</v>
      </c>
      <c r="E1476" s="215" t="str">
        <f t="shared" ref="E1476" si="133">$N$1</f>
        <v>currydestroyer27</v>
      </c>
      <c r="F1476" s="165">
        <f>IFERROR(AVERAGE(Data[[#This Row],[alappatjoe]:[currydestroyer27]]), "TBD")</f>
        <v>3.2</v>
      </c>
      <c r="G1476" s="256">
        <f>IFERROR(_xlfn.STDEV.P(Data[[#This Row],[alappatjoe]:[currydestroyer27]]), "TBD")</f>
        <v>1.1661903789690602</v>
      </c>
      <c r="H1476" s="227" t="s">
        <v>2922</v>
      </c>
      <c r="I1476" s="257" t="s">
        <v>1541</v>
      </c>
      <c r="J1476" s="166">
        <v>4</v>
      </c>
      <c r="K1476" s="166">
        <v>4</v>
      </c>
      <c r="L1476" s="166">
        <v>4</v>
      </c>
      <c r="M1476" s="166">
        <v>3</v>
      </c>
      <c r="N1476" s="166">
        <v>1</v>
      </c>
      <c r="O1476" s="242">
        <v>80792120</v>
      </c>
      <c r="P1476" s="167"/>
      <c r="Q1476" s="167"/>
      <c r="R147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76" s="167">
        <v>1</v>
      </c>
      <c r="T1476" s="167" t="b">
        <f>Data[[#This Row],[Day Rank]]=Data[[#This Row],[W Rank]]</f>
        <v>0</v>
      </c>
      <c r="U1476" s="324"/>
    </row>
    <row r="1477" spans="1:21" ht="15" customHeight="1">
      <c r="A1477" s="325">
        <v>45987</v>
      </c>
      <c r="B1477" s="325"/>
      <c r="C1477" s="328" t="str" cm="1">
        <f t="array" ref="C1477">_xlfn.LET(_xlpm.matches, _xlfn._xlws.FILTER(Data[Poster], (Data[Date]=A1477)*(Data[Winner]=TRUE)), IF(ROWS(_xlpm.matches)&gt;1, "TIE", _xlpm.matches))</f>
        <v>alappatjoe</v>
      </c>
      <c r="D1477" s="147">
        <f t="shared" ref="D1477" si="134">A1477</f>
        <v>45987</v>
      </c>
      <c r="E1477" s="181" t="str">
        <f t="shared" ref="E1477" si="135">$J$1</f>
        <v>alappatjoe</v>
      </c>
      <c r="F1477" s="9">
        <f>IFERROR(AVERAGE(Data[[#This Row],[alappatjoe]:[currydestroyer27]]), "TBD")</f>
        <v>2</v>
      </c>
      <c r="G1477" s="178">
        <f>IFERROR(_xlfn.STDEV.P(Data[[#This Row],[alappatjoe]:[currydestroyer27]]), "TBD")</f>
        <v>0.89442719099991586</v>
      </c>
      <c r="H1477" s="160" t="s">
        <v>2923</v>
      </c>
      <c r="I1477" s="186" t="s">
        <v>803</v>
      </c>
      <c r="J1477" s="3">
        <v>1</v>
      </c>
      <c r="K1477" s="3">
        <v>1</v>
      </c>
      <c r="L1477" s="3">
        <v>2</v>
      </c>
      <c r="M1477" s="3">
        <v>3</v>
      </c>
      <c r="N1477" s="3">
        <v>3</v>
      </c>
      <c r="O1477" s="238">
        <v>4459280</v>
      </c>
      <c r="P1477" s="93"/>
      <c r="Q1477" s="93"/>
      <c r="R14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77" s="93">
        <v>1</v>
      </c>
      <c r="T1477" s="93" t="b">
        <f>Data[[#This Row],[Day Rank]]=Data[[#This Row],[W Rank]]</f>
        <v>1</v>
      </c>
      <c r="U1477" s="331"/>
    </row>
    <row r="1478" spans="1:21" ht="15" customHeight="1">
      <c r="A1478" s="326"/>
      <c r="B1478" s="326"/>
      <c r="C1478" s="329"/>
      <c r="D1478" s="81">
        <f t="shared" ref="D1478" si="136">D1477</f>
        <v>45987</v>
      </c>
      <c r="E1478" s="140" t="str">
        <f t="shared" ref="E1478" si="137">$K$1</f>
        <v>danram</v>
      </c>
      <c r="F1478" s="8">
        <f>IFERROR(AVERAGE(Data[[#This Row],[alappatjoe]:[currydestroyer27]]), "TBD")</f>
        <v>3.8</v>
      </c>
      <c r="G1478" s="177">
        <f>IFERROR(_xlfn.STDEV.P(Data[[#This Row],[alappatjoe]:[currydestroyer27]]), "TBD")</f>
        <v>1.1661903789690602</v>
      </c>
      <c r="H1478" s="135" t="s">
        <v>2924</v>
      </c>
      <c r="I1478" s="229" t="s">
        <v>2925</v>
      </c>
      <c r="J1478" s="3">
        <v>3</v>
      </c>
      <c r="K1478" s="3">
        <v>4</v>
      </c>
      <c r="L1478" s="3">
        <v>5</v>
      </c>
      <c r="M1478" s="3">
        <v>2</v>
      </c>
      <c r="N1478" s="3">
        <v>5</v>
      </c>
      <c r="O1478" s="238"/>
      <c r="P1478" s="93"/>
      <c r="Q1478" s="93"/>
      <c r="R14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78" s="93">
        <v>1</v>
      </c>
      <c r="T1478" s="93" t="b">
        <f>Data[[#This Row],[Day Rank]]=Data[[#This Row],[W Rank]]</f>
        <v>0</v>
      </c>
      <c r="U1478" s="323"/>
    </row>
    <row r="1479" spans="1:21" ht="15" customHeight="1">
      <c r="A1479" s="326"/>
      <c r="B1479" s="326"/>
      <c r="C1479" s="329"/>
      <c r="D1479" s="81">
        <f t="shared" ref="D1479" si="138">D1477</f>
        <v>45987</v>
      </c>
      <c r="E1479" s="140" t="str">
        <f t="shared" ref="E1479" si="139">$L$1</f>
        <v>loganworsdell</v>
      </c>
      <c r="F1479" s="8">
        <f>IFERROR(AVERAGE(Data[[#This Row],[alappatjoe]:[currydestroyer27]]), "TBD")</f>
        <v>3.4</v>
      </c>
      <c r="G1479" s="177">
        <f>IFERROR(_xlfn.STDEV.P(Data[[#This Row],[alappatjoe]:[currydestroyer27]]), "TBD")</f>
        <v>1.3564659966250536</v>
      </c>
      <c r="H1479" s="135" t="s">
        <v>2926</v>
      </c>
      <c r="I1479" s="229" t="s">
        <v>2927</v>
      </c>
      <c r="J1479" s="3">
        <v>5</v>
      </c>
      <c r="K1479" s="3">
        <v>2</v>
      </c>
      <c r="L1479" s="3">
        <v>3</v>
      </c>
      <c r="M1479" s="3">
        <v>5</v>
      </c>
      <c r="N1479" s="3">
        <v>2</v>
      </c>
      <c r="O1479" s="238">
        <v>17741</v>
      </c>
      <c r="P1479" s="93"/>
      <c r="Q1479" s="93"/>
      <c r="R14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79" s="93">
        <v>1</v>
      </c>
      <c r="T1479" s="93" t="b">
        <f>Data[[#This Row],[Day Rank]]=Data[[#This Row],[W Rank]]</f>
        <v>0</v>
      </c>
      <c r="U1479" s="323"/>
    </row>
    <row r="1480" spans="1:21" ht="15" customHeight="1">
      <c r="A1480" s="326"/>
      <c r="B1480" s="326"/>
      <c r="C1480" s="329"/>
      <c r="D1480" s="81">
        <f t="shared" ref="D1480" si="140">D1477</f>
        <v>45987</v>
      </c>
      <c r="E1480" s="140" t="str">
        <f t="shared" ref="E1480" si="141">$M$1</f>
        <v>samuelbattista</v>
      </c>
      <c r="F1480" s="8">
        <f>IFERROR(AVERAGE(Data[[#This Row],[alappatjoe]:[currydestroyer27]]), "TBD")</f>
        <v>3.2</v>
      </c>
      <c r="G1480" s="177">
        <f>IFERROR(_xlfn.STDEV.P(Data[[#This Row],[alappatjoe]:[currydestroyer27]]), "TBD")</f>
        <v>1.4696938456699069</v>
      </c>
      <c r="H1480" s="135" t="s">
        <v>2928</v>
      </c>
      <c r="I1480" s="229" t="s">
        <v>1705</v>
      </c>
      <c r="J1480" s="3">
        <v>2</v>
      </c>
      <c r="K1480" s="3">
        <v>5</v>
      </c>
      <c r="L1480" s="3">
        <v>4</v>
      </c>
      <c r="M1480" s="3">
        <v>1</v>
      </c>
      <c r="N1480" s="3">
        <v>4</v>
      </c>
      <c r="O1480" s="238"/>
      <c r="P1480" s="93"/>
      <c r="Q1480" s="93"/>
      <c r="R14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80" s="93">
        <v>1</v>
      </c>
      <c r="T1480" s="93" t="b">
        <f>Data[[#This Row],[Day Rank]]=Data[[#This Row],[W Rank]]</f>
        <v>0</v>
      </c>
      <c r="U1480" s="323"/>
    </row>
    <row r="1481" spans="1:21" ht="15" customHeight="1" thickBot="1">
      <c r="A1481" s="327"/>
      <c r="B1481" s="327"/>
      <c r="C1481" s="330"/>
      <c r="D1481" s="164">
        <f t="shared" ref="D1481" si="142">D1477</f>
        <v>45987</v>
      </c>
      <c r="E1481" s="215" t="str">
        <f t="shared" ref="E1481" si="143">$N$1</f>
        <v>currydestroyer27</v>
      </c>
      <c r="F1481" s="165">
        <f>IFERROR(AVERAGE(Data[[#This Row],[alappatjoe]:[currydestroyer27]]), "TBD")</f>
        <v>2.6</v>
      </c>
      <c r="G1481" s="256">
        <f>IFERROR(_xlfn.STDEV.P(Data[[#This Row],[alappatjoe]:[currydestroyer27]]), "TBD")</f>
        <v>1.3564659966250536</v>
      </c>
      <c r="H1481" s="227" t="s">
        <v>2929</v>
      </c>
      <c r="I1481" s="257" t="s">
        <v>2930</v>
      </c>
      <c r="J1481" s="166">
        <v>4</v>
      </c>
      <c r="K1481" s="166">
        <v>3</v>
      </c>
      <c r="L1481" s="166">
        <v>1</v>
      </c>
      <c r="M1481" s="166">
        <v>4</v>
      </c>
      <c r="N1481" s="166">
        <v>1</v>
      </c>
      <c r="O1481" s="242">
        <v>2883211530</v>
      </c>
      <c r="P1481" s="167"/>
      <c r="Q1481" s="167"/>
      <c r="R148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81" s="167">
        <v>1</v>
      </c>
      <c r="T1481" s="167" t="b">
        <f>Data[[#This Row],[Day Rank]]=Data[[#This Row],[W Rank]]</f>
        <v>0</v>
      </c>
      <c r="U1481" s="324"/>
    </row>
    <row r="1482" spans="1:21" ht="15" customHeight="1">
      <c r="A1482" s="325">
        <v>45988</v>
      </c>
      <c r="B1482" s="325"/>
      <c r="C1482" s="338" t="str" cm="1">
        <f t="array" ref="C1482">_xlfn.LET(_xlpm.matches, _xlfn._xlws.FILTER(Data[Poster], (Data[Date]=A1482)*(Data[Winner]=TRUE)), IF(ROWS(_xlpm.matches)&gt;1, "TIE", _xlpm.matches))</f>
        <v>danram</v>
      </c>
      <c r="D1482" s="147">
        <f t="shared" ref="D1482" si="144">A1482</f>
        <v>45988</v>
      </c>
      <c r="E1482" s="181" t="str">
        <f t="shared" ref="E1482" si="145">$J$1</f>
        <v>alappatjoe</v>
      </c>
      <c r="F1482" s="9">
        <f>IFERROR(AVERAGE(Data[[#This Row],[alappatjoe]:[currydestroyer27]]), "TBD")</f>
        <v>2.8</v>
      </c>
      <c r="G1482" s="178">
        <f>IFERROR(_xlfn.STDEV.P(Data[[#This Row],[alappatjoe]:[currydestroyer27]]), "TBD")</f>
        <v>1.6</v>
      </c>
      <c r="H1482" s="160" t="s">
        <v>2931</v>
      </c>
      <c r="I1482" s="186" t="s">
        <v>2932</v>
      </c>
      <c r="J1482" s="3">
        <v>1</v>
      </c>
      <c r="K1482" s="3">
        <v>4</v>
      </c>
      <c r="L1482" s="3">
        <v>1</v>
      </c>
      <c r="M1482" s="3">
        <v>3</v>
      </c>
      <c r="N1482" s="3">
        <v>5</v>
      </c>
      <c r="O1482" s="238">
        <v>123603897</v>
      </c>
      <c r="P1482" s="93"/>
      <c r="Q1482" s="93"/>
      <c r="R14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82" s="93">
        <v>1</v>
      </c>
      <c r="T1482" s="93" t="b">
        <f>Data[[#This Row],[Day Rank]]=Data[[#This Row],[W Rank]]</f>
        <v>0</v>
      </c>
      <c r="U1482" s="331" t="s">
        <v>2933</v>
      </c>
    </row>
    <row r="1483" spans="1:21" ht="15" customHeight="1">
      <c r="A1483" s="326"/>
      <c r="B1483" s="326"/>
      <c r="C1483" s="339"/>
      <c r="D1483" s="81">
        <f t="shared" ref="D1483" si="146">D1482</f>
        <v>45988</v>
      </c>
      <c r="E1483" s="140" t="str">
        <f t="shared" ref="E1483" si="147">$K$1</f>
        <v>danram</v>
      </c>
      <c r="F1483" s="8">
        <f>IFERROR(AVERAGE(Data[[#This Row],[alappatjoe]:[currydestroyer27]]), "TBD")</f>
        <v>2.6</v>
      </c>
      <c r="G1483" s="177">
        <f>IFERROR(_xlfn.STDEV.P(Data[[#This Row],[alappatjoe]:[currydestroyer27]]), "TBD")</f>
        <v>1.019803902718557</v>
      </c>
      <c r="H1483" s="135" t="s">
        <v>2934</v>
      </c>
      <c r="I1483" s="229" t="s">
        <v>2935</v>
      </c>
      <c r="J1483" s="3">
        <v>2</v>
      </c>
      <c r="K1483" s="3">
        <v>1</v>
      </c>
      <c r="L1483" s="3">
        <v>3</v>
      </c>
      <c r="M1483" s="3">
        <v>4</v>
      </c>
      <c r="N1483" s="3">
        <v>3</v>
      </c>
      <c r="O1483" s="238"/>
      <c r="P1483" s="93"/>
      <c r="Q1483" s="93"/>
      <c r="R14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83" s="93">
        <v>1</v>
      </c>
      <c r="T1483" s="93" t="b">
        <f>Data[[#This Row],[Day Rank]]=Data[[#This Row],[W Rank]]</f>
        <v>1</v>
      </c>
      <c r="U1483" s="323"/>
    </row>
    <row r="1484" spans="1:21" ht="15" customHeight="1">
      <c r="A1484" s="326"/>
      <c r="B1484" s="326"/>
      <c r="C1484" s="339"/>
      <c r="D1484" s="81">
        <f t="shared" ref="D1484" si="148">D1482</f>
        <v>45988</v>
      </c>
      <c r="E1484" s="140" t="str">
        <f t="shared" ref="E1484" si="149">$L$1</f>
        <v>loganworsdell</v>
      </c>
      <c r="F1484" s="8">
        <f>IFERROR(AVERAGE(Data[[#This Row],[alappatjoe]:[currydestroyer27]]), "TBD")</f>
        <v>3</v>
      </c>
      <c r="G1484" s="177">
        <f>IFERROR(_xlfn.STDEV.P(Data[[#This Row],[alappatjoe]:[currydestroyer27]]), "TBD")</f>
        <v>0.89442719099991586</v>
      </c>
      <c r="H1484" s="135" t="s">
        <v>2936</v>
      </c>
      <c r="I1484" s="229" t="s">
        <v>2937</v>
      </c>
      <c r="J1484" s="3">
        <v>4</v>
      </c>
      <c r="K1484" s="3">
        <v>3</v>
      </c>
      <c r="L1484" s="3">
        <v>4</v>
      </c>
      <c r="M1484" s="3">
        <v>2</v>
      </c>
      <c r="N1484" s="3">
        <v>2</v>
      </c>
      <c r="O1484" s="238">
        <v>814362</v>
      </c>
      <c r="P1484" s="93"/>
      <c r="Q1484" s="93"/>
      <c r="R14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84" s="93">
        <v>1</v>
      </c>
      <c r="T1484" s="93" t="b">
        <f>Data[[#This Row],[Day Rank]]=Data[[#This Row],[W Rank]]</f>
        <v>0</v>
      </c>
      <c r="U1484" s="323"/>
    </row>
    <row r="1485" spans="1:21" ht="15" customHeight="1">
      <c r="A1485" s="326"/>
      <c r="B1485" s="326"/>
      <c r="C1485" s="339"/>
      <c r="D1485" s="81">
        <f t="shared" ref="D1485" si="150">D1482</f>
        <v>45988</v>
      </c>
      <c r="E1485" s="140" t="str">
        <f t="shared" ref="E1485" si="151">$M$1</f>
        <v>samuelbattista</v>
      </c>
      <c r="F1485" s="8">
        <f>IFERROR(AVERAGE(Data[[#This Row],[alappatjoe]:[currydestroyer27]]), "TBD")</f>
        <v>4</v>
      </c>
      <c r="G1485" s="177">
        <f>IFERROR(_xlfn.STDEV.P(Data[[#This Row],[alappatjoe]:[currydestroyer27]]), "TBD")</f>
        <v>1.5491933384829668</v>
      </c>
      <c r="H1485" s="135" t="s">
        <v>2938</v>
      </c>
      <c r="I1485" s="229" t="s">
        <v>2939</v>
      </c>
      <c r="J1485" s="3">
        <v>5</v>
      </c>
      <c r="K1485" s="3">
        <v>5</v>
      </c>
      <c r="L1485" s="3">
        <v>5</v>
      </c>
      <c r="M1485" s="3">
        <v>1</v>
      </c>
      <c r="N1485" s="3">
        <v>4</v>
      </c>
      <c r="O1485" s="238"/>
      <c r="P1485" s="93"/>
      <c r="Q1485" s="93"/>
      <c r="R14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85" s="93">
        <v>1</v>
      </c>
      <c r="T1485" s="93" t="b">
        <f>Data[[#This Row],[Day Rank]]=Data[[#This Row],[W Rank]]</f>
        <v>0</v>
      </c>
      <c r="U1485" s="323"/>
    </row>
    <row r="1486" spans="1:21" ht="15" customHeight="1" thickBot="1">
      <c r="A1486" s="327"/>
      <c r="B1486" s="327"/>
      <c r="C1486" s="340"/>
      <c r="D1486" s="164">
        <f t="shared" ref="D1486" si="152">D1482</f>
        <v>45988</v>
      </c>
      <c r="E1486" s="215" t="str">
        <f t="shared" ref="E1486" si="153">$N$1</f>
        <v>currydestroyer27</v>
      </c>
      <c r="F1486" s="165">
        <f>IFERROR(AVERAGE(Data[[#This Row],[alappatjoe]:[currydestroyer27]]), "TBD")</f>
        <v>2.6</v>
      </c>
      <c r="G1486" s="256">
        <f>IFERROR(_xlfn.STDEV.P(Data[[#This Row],[alappatjoe]:[currydestroyer27]]), "TBD")</f>
        <v>1.3564659966250536</v>
      </c>
      <c r="H1486" s="227" t="s">
        <v>2940</v>
      </c>
      <c r="I1486" s="257" t="s">
        <v>2941</v>
      </c>
      <c r="J1486" s="166">
        <v>3</v>
      </c>
      <c r="K1486" s="166">
        <v>2</v>
      </c>
      <c r="L1486" s="166">
        <v>2</v>
      </c>
      <c r="M1486" s="166">
        <v>5</v>
      </c>
      <c r="N1486" s="166">
        <v>1</v>
      </c>
      <c r="O1486" s="242">
        <v>116439807</v>
      </c>
      <c r="P1486" s="167"/>
      <c r="Q1486" s="167"/>
      <c r="R148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86" s="167">
        <v>1</v>
      </c>
      <c r="T1486" s="167" t="b">
        <f>Data[[#This Row],[Day Rank]]=Data[[#This Row],[W Rank]]</f>
        <v>0</v>
      </c>
      <c r="U1486" s="324"/>
    </row>
    <row r="1487" spans="1:21" ht="15" customHeight="1">
      <c r="A1487" s="325">
        <v>45992</v>
      </c>
      <c r="B1487" s="325"/>
      <c r="C1487" s="328" t="str" cm="1">
        <f t="array" ref="C1487">_xlfn.LET(_xlpm.matches, _xlfn._xlws.FILTER(Data[Poster], (Data[Date]=A1487)*(Data[Winner]=TRUE)), IF(ROWS(_xlpm.matches)&gt;1, "TIE", _xlpm.matches))</f>
        <v>currydestroyer27</v>
      </c>
      <c r="D1487" s="147">
        <f>A1487</f>
        <v>45992</v>
      </c>
      <c r="E1487" s="181" t="str">
        <f>$J$1</f>
        <v>alappatjoe</v>
      </c>
      <c r="F1487" s="9">
        <f>IFERROR(AVERAGE(Data[[#This Row],[alappatjoe]:[currydestroyer27]]), "TBD")</f>
        <v>3</v>
      </c>
      <c r="G1487" s="178">
        <f>IFERROR(_xlfn.STDEV.P(Data[[#This Row],[alappatjoe]:[currydestroyer27]]), "TBD")</f>
        <v>0.63245553203367588</v>
      </c>
      <c r="H1487" s="160" t="s">
        <v>2942</v>
      </c>
      <c r="I1487" s="186" t="s">
        <v>2943</v>
      </c>
      <c r="J1487" s="3">
        <v>2</v>
      </c>
      <c r="K1487" s="3">
        <v>3</v>
      </c>
      <c r="L1487" s="3">
        <v>3</v>
      </c>
      <c r="M1487" s="3">
        <v>3</v>
      </c>
      <c r="N1487" s="3">
        <v>4</v>
      </c>
      <c r="O1487" s="238">
        <v>175039</v>
      </c>
      <c r="P1487" s="93"/>
      <c r="Q1487" s="93"/>
      <c r="R14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87" s="93">
        <v>1</v>
      </c>
      <c r="T1487" s="93" t="b">
        <f>Data[[#This Row],[Day Rank]]=Data[[#This Row],[W Rank]]</f>
        <v>0</v>
      </c>
      <c r="U1487" s="331"/>
    </row>
    <row r="1488" spans="1:21" ht="15" customHeight="1">
      <c r="A1488" s="326"/>
      <c r="B1488" s="326"/>
      <c r="C1488" s="329"/>
      <c r="D1488" s="81">
        <f>D1487</f>
        <v>45992</v>
      </c>
      <c r="E1488" s="140" t="str">
        <f>$K$1</f>
        <v>danram</v>
      </c>
      <c r="F1488" s="8">
        <f>IFERROR(AVERAGE(Data[[#This Row],[alappatjoe]:[currydestroyer27]]), "TBD")</f>
        <v>5</v>
      </c>
      <c r="G1488" s="177">
        <f>IFERROR(_xlfn.STDEV.P(Data[[#This Row],[alappatjoe]:[currydestroyer27]]), "TBD")</f>
        <v>0</v>
      </c>
      <c r="H1488" s="135" t="s">
        <v>2944</v>
      </c>
      <c r="I1488" s="229" t="s">
        <v>2945</v>
      </c>
      <c r="J1488" s="3">
        <v>5</v>
      </c>
      <c r="K1488" s="3">
        <v>5</v>
      </c>
      <c r="L1488" s="3">
        <v>5</v>
      </c>
      <c r="M1488" s="3">
        <v>5</v>
      </c>
      <c r="N1488" s="3">
        <v>5</v>
      </c>
      <c r="O1488" s="238"/>
      <c r="P1488" s="93"/>
      <c r="Q1488" s="93"/>
      <c r="R14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88" s="93">
        <v>1</v>
      </c>
      <c r="T1488" s="93" t="b">
        <f>Data[[#This Row],[Day Rank]]=Data[[#This Row],[W Rank]]</f>
        <v>0</v>
      </c>
      <c r="U1488" s="323"/>
    </row>
    <row r="1489" spans="1:21" ht="15" customHeight="1">
      <c r="A1489" s="326"/>
      <c r="B1489" s="326"/>
      <c r="C1489" s="329"/>
      <c r="D1489" s="81">
        <f>D1487</f>
        <v>45992</v>
      </c>
      <c r="E1489" s="140" t="str">
        <f>$L$1</f>
        <v>loganworsdell</v>
      </c>
      <c r="F1489" s="8">
        <f>IFERROR(AVERAGE(Data[[#This Row],[alappatjoe]:[currydestroyer27]]), "TBD")</f>
        <v>2.4</v>
      </c>
      <c r="G1489" s="177">
        <f>IFERROR(_xlfn.STDEV.P(Data[[#This Row],[alappatjoe]:[currydestroyer27]]), "TBD")</f>
        <v>1.019803902718557</v>
      </c>
      <c r="H1489" s="135" t="s">
        <v>2946</v>
      </c>
      <c r="I1489" s="229" t="s">
        <v>2947</v>
      </c>
      <c r="J1489" s="3">
        <v>3</v>
      </c>
      <c r="K1489" s="3">
        <v>2</v>
      </c>
      <c r="L1489" s="3">
        <v>1</v>
      </c>
      <c r="M1489" s="3">
        <v>4</v>
      </c>
      <c r="N1489" s="3">
        <v>2</v>
      </c>
      <c r="O1489" s="238">
        <v>91725718</v>
      </c>
      <c r="P1489" s="93"/>
      <c r="Q1489" s="93"/>
      <c r="R14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89" s="93">
        <v>1</v>
      </c>
      <c r="T1489" s="93" t="b">
        <f>Data[[#This Row],[Day Rank]]=Data[[#This Row],[W Rank]]</f>
        <v>0</v>
      </c>
      <c r="U1489" s="323"/>
    </row>
    <row r="1490" spans="1:21" ht="15" customHeight="1">
      <c r="A1490" s="326"/>
      <c r="B1490" s="326"/>
      <c r="C1490" s="329"/>
      <c r="D1490" s="81">
        <f>D1487</f>
        <v>45992</v>
      </c>
      <c r="E1490" s="140" t="str">
        <f>$M$1</f>
        <v>samuelbattista</v>
      </c>
      <c r="F1490" s="8">
        <f>IFERROR(AVERAGE(Data[[#This Row],[alappatjoe]:[currydestroyer27]]), "TBD")</f>
        <v>3.2</v>
      </c>
      <c r="G1490" s="177">
        <f>IFERROR(_xlfn.STDEV.P(Data[[#This Row],[alappatjoe]:[currydestroyer27]]), "TBD")</f>
        <v>1.1661903789690602</v>
      </c>
      <c r="H1490" s="135" t="s">
        <v>2948</v>
      </c>
      <c r="I1490" s="229" t="s">
        <v>2949</v>
      </c>
      <c r="J1490" s="3">
        <v>4</v>
      </c>
      <c r="K1490" s="3">
        <v>4</v>
      </c>
      <c r="L1490" s="3">
        <v>4</v>
      </c>
      <c r="M1490" s="3">
        <v>1</v>
      </c>
      <c r="N1490" s="3">
        <v>3</v>
      </c>
      <c r="O1490" s="238"/>
      <c r="P1490" s="93"/>
      <c r="Q1490" s="93"/>
      <c r="R14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90" s="93">
        <v>1</v>
      </c>
      <c r="T1490" s="93" t="b">
        <f>Data[[#This Row],[Day Rank]]=Data[[#This Row],[W Rank]]</f>
        <v>0</v>
      </c>
      <c r="U1490" s="323"/>
    </row>
    <row r="1491" spans="1:21" ht="15" customHeight="1" thickBot="1">
      <c r="A1491" s="327"/>
      <c r="B1491" s="327"/>
      <c r="C1491" s="330"/>
      <c r="D1491" s="164">
        <f>D1487</f>
        <v>45992</v>
      </c>
      <c r="E1491" s="215" t="str">
        <f>$N$1</f>
        <v>currydestroyer27</v>
      </c>
      <c r="F1491" s="165">
        <f>IFERROR(AVERAGE(Data[[#This Row],[alappatjoe]:[currydestroyer27]]), "TBD")</f>
        <v>1.4</v>
      </c>
      <c r="G1491" s="256">
        <f>IFERROR(_xlfn.STDEV.P(Data[[#This Row],[alappatjoe]:[currydestroyer27]]), "TBD")</f>
        <v>0.4898979485566356</v>
      </c>
      <c r="H1491" s="227" t="s">
        <v>2950</v>
      </c>
      <c r="I1491" s="257" t="s">
        <v>457</v>
      </c>
      <c r="J1491" s="166">
        <v>1</v>
      </c>
      <c r="K1491" s="166">
        <v>1</v>
      </c>
      <c r="L1491" s="166">
        <v>2</v>
      </c>
      <c r="M1491" s="166">
        <v>2</v>
      </c>
      <c r="N1491" s="166">
        <v>1</v>
      </c>
      <c r="O1491" s="242">
        <v>604699673</v>
      </c>
      <c r="P1491" s="167"/>
      <c r="Q1491" s="167"/>
      <c r="R149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91" s="167">
        <v>1</v>
      </c>
      <c r="T1491" s="167" t="b">
        <f>Data[[#This Row],[Day Rank]]=Data[[#This Row],[W Rank]]</f>
        <v>1</v>
      </c>
      <c r="U1491" s="324"/>
    </row>
    <row r="1492" spans="1:21" ht="15" customHeight="1">
      <c r="A1492" s="325">
        <v>45993</v>
      </c>
      <c r="B1492" s="325"/>
      <c r="C1492" s="338" t="str" cm="1">
        <f t="array" ref="C1492">_xlfn.LET(_xlpm.matches, _xlfn._xlws.FILTER(Data[Poster], (Data[Date]=A1492)*(Data[Winner]=TRUE)), IF(ROWS(_xlpm.matches)&gt;1, "TIE", _xlpm.matches))</f>
        <v>danram</v>
      </c>
      <c r="D1492" s="147">
        <f>A1492</f>
        <v>45993</v>
      </c>
      <c r="E1492" s="181" t="str">
        <f>$J$1</f>
        <v>alappatjoe</v>
      </c>
      <c r="F1492" s="9">
        <f>IFERROR(AVERAGE(Data[[#This Row],[alappatjoe]:[currydestroyer27]]), "TBD")</f>
        <v>2.2000000000000002</v>
      </c>
      <c r="G1492" s="178">
        <f>IFERROR(_xlfn.STDEV.P(Data[[#This Row],[alappatjoe]:[currydestroyer27]]), "TBD")</f>
        <v>0.74833147735478833</v>
      </c>
      <c r="H1492" s="160" t="s">
        <v>2951</v>
      </c>
      <c r="I1492" s="186" t="s">
        <v>2534</v>
      </c>
      <c r="J1492" s="3">
        <v>1</v>
      </c>
      <c r="K1492" s="3">
        <v>3</v>
      </c>
      <c r="L1492" s="3">
        <v>2</v>
      </c>
      <c r="M1492" s="3">
        <v>3</v>
      </c>
      <c r="N1492" s="3">
        <v>2</v>
      </c>
      <c r="O1492" s="238">
        <v>2687646</v>
      </c>
      <c r="P1492" s="93"/>
      <c r="Q1492" s="93"/>
      <c r="R14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92" s="93">
        <v>1</v>
      </c>
      <c r="T1492" s="93" t="b">
        <f>Data[[#This Row],[Day Rank]]=Data[[#This Row],[W Rank]]</f>
        <v>0</v>
      </c>
      <c r="U1492" s="331"/>
    </row>
    <row r="1493" spans="1:21" ht="15" customHeight="1">
      <c r="A1493" s="326"/>
      <c r="B1493" s="326"/>
      <c r="C1493" s="339"/>
      <c r="D1493" s="81">
        <f>D1492</f>
        <v>45993</v>
      </c>
      <c r="E1493" s="140" t="str">
        <f>$K$1</f>
        <v>danram</v>
      </c>
      <c r="F1493" s="8">
        <f>IFERROR(AVERAGE(Data[[#This Row],[alappatjoe]:[currydestroyer27]]), "TBD")</f>
        <v>2</v>
      </c>
      <c r="G1493" s="177">
        <f>IFERROR(_xlfn.STDEV.P(Data[[#This Row],[alappatjoe]:[currydestroyer27]]), "TBD")</f>
        <v>0.89442719099991586</v>
      </c>
      <c r="H1493" s="135" t="s">
        <v>2952</v>
      </c>
      <c r="I1493" s="229" t="s">
        <v>2953</v>
      </c>
      <c r="J1493" s="3">
        <v>3</v>
      </c>
      <c r="K1493" s="3">
        <v>1</v>
      </c>
      <c r="L1493" s="3">
        <v>1</v>
      </c>
      <c r="M1493" s="3">
        <v>2</v>
      </c>
      <c r="N1493" s="3">
        <v>3</v>
      </c>
      <c r="O1493" s="238"/>
      <c r="P1493" s="93"/>
      <c r="Q1493" s="93"/>
      <c r="R14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93" s="93">
        <v>1</v>
      </c>
      <c r="T1493" s="93" t="b">
        <f>Data[[#This Row],[Day Rank]]=Data[[#This Row],[W Rank]]</f>
        <v>1</v>
      </c>
      <c r="U1493" s="323"/>
    </row>
    <row r="1494" spans="1:21" ht="15" customHeight="1">
      <c r="A1494" s="326"/>
      <c r="B1494" s="326"/>
      <c r="C1494" s="339"/>
      <c r="D1494" s="81">
        <f>D1492</f>
        <v>45993</v>
      </c>
      <c r="E1494" s="140" t="str">
        <f>$L$1</f>
        <v>loganworsdell</v>
      </c>
      <c r="F1494" s="8">
        <f>IFERROR(AVERAGE(Data[[#This Row],[alappatjoe]:[currydestroyer27]]), "TBD")</f>
        <v>4.4000000000000004</v>
      </c>
      <c r="G1494" s="177">
        <f>IFERROR(_xlfn.STDEV.P(Data[[#This Row],[alappatjoe]:[currydestroyer27]]), "TBD")</f>
        <v>0.4898979485566356</v>
      </c>
      <c r="H1494" s="135" t="s">
        <v>2954</v>
      </c>
      <c r="I1494" s="229" t="s">
        <v>2002</v>
      </c>
      <c r="J1494" s="3">
        <v>4</v>
      </c>
      <c r="K1494" s="3">
        <v>5</v>
      </c>
      <c r="L1494" s="3">
        <v>4</v>
      </c>
      <c r="M1494" s="3">
        <v>5</v>
      </c>
      <c r="N1494" s="3">
        <v>4</v>
      </c>
      <c r="O1494" s="238">
        <v>5574221</v>
      </c>
      <c r="P1494" s="93"/>
      <c r="Q1494" s="93"/>
      <c r="R14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94" s="93">
        <v>1</v>
      </c>
      <c r="T1494" s="93" t="b">
        <f>Data[[#This Row],[Day Rank]]=Data[[#This Row],[W Rank]]</f>
        <v>0</v>
      </c>
      <c r="U1494" s="323"/>
    </row>
    <row r="1495" spans="1:21" ht="15" customHeight="1">
      <c r="A1495" s="326"/>
      <c r="B1495" s="326"/>
      <c r="C1495" s="339"/>
      <c r="D1495" s="81">
        <f>D1492</f>
        <v>45993</v>
      </c>
      <c r="E1495" s="140" t="str">
        <f>$M$1</f>
        <v>samuelbattista</v>
      </c>
      <c r="F1495" s="8">
        <f>IFERROR(AVERAGE(Data[[#This Row],[alappatjoe]:[currydestroyer27]]), "TBD")</f>
        <v>4</v>
      </c>
      <c r="G1495" s="177">
        <f>IFERROR(_xlfn.STDEV.P(Data[[#This Row],[alappatjoe]:[currydestroyer27]]), "TBD")</f>
        <v>1.5491933384829668</v>
      </c>
      <c r="H1495" s="135" t="s">
        <v>2955</v>
      </c>
      <c r="I1495" s="229" t="s">
        <v>2956</v>
      </c>
      <c r="J1495" s="3">
        <v>5</v>
      </c>
      <c r="K1495" s="3">
        <v>4</v>
      </c>
      <c r="L1495" s="3">
        <v>5</v>
      </c>
      <c r="M1495" s="3">
        <v>1</v>
      </c>
      <c r="N1495" s="3">
        <v>5</v>
      </c>
      <c r="O1495" s="238"/>
      <c r="P1495" s="93"/>
      <c r="Q1495" s="93"/>
      <c r="R14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495" s="93">
        <v>1</v>
      </c>
      <c r="T1495" s="93" t="b">
        <f>Data[[#This Row],[Day Rank]]=Data[[#This Row],[W Rank]]</f>
        <v>0</v>
      </c>
      <c r="U1495" s="323"/>
    </row>
    <row r="1496" spans="1:21" ht="15" customHeight="1" thickBot="1">
      <c r="A1496" s="327"/>
      <c r="B1496" s="327"/>
      <c r="C1496" s="340"/>
      <c r="D1496" s="164">
        <f>D1492</f>
        <v>45993</v>
      </c>
      <c r="E1496" s="215" t="str">
        <f>$N$1</f>
        <v>currydestroyer27</v>
      </c>
      <c r="F1496" s="165">
        <f>IFERROR(AVERAGE(Data[[#This Row],[alappatjoe]:[currydestroyer27]]), "TBD")</f>
        <v>2.4</v>
      </c>
      <c r="G1496" s="256">
        <f>IFERROR(_xlfn.STDEV.P(Data[[#This Row],[alappatjoe]:[currydestroyer27]]), "TBD")</f>
        <v>1.019803902718557</v>
      </c>
      <c r="H1496" s="227" t="s">
        <v>2957</v>
      </c>
      <c r="I1496" s="257" t="s">
        <v>2958</v>
      </c>
      <c r="J1496" s="166">
        <v>2</v>
      </c>
      <c r="K1496" s="166">
        <v>2</v>
      </c>
      <c r="L1496" s="166">
        <v>3</v>
      </c>
      <c r="M1496" s="166">
        <v>4</v>
      </c>
      <c r="N1496" s="166">
        <v>1</v>
      </c>
      <c r="O1496" s="242">
        <v>14600593</v>
      </c>
      <c r="P1496" s="167"/>
      <c r="Q1496" s="167"/>
      <c r="R149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496" s="167">
        <v>1</v>
      </c>
      <c r="T1496" s="167" t="b">
        <f>Data[[#This Row],[Day Rank]]=Data[[#This Row],[W Rank]]</f>
        <v>0</v>
      </c>
      <c r="U1496" s="324"/>
    </row>
    <row r="1497" spans="1:21" ht="15" customHeight="1">
      <c r="A1497" s="325">
        <v>45994</v>
      </c>
      <c r="B1497" s="325"/>
      <c r="C1497" s="328" t="str" cm="1">
        <f t="array" ref="C1497">_xlfn.LET(_xlpm.matches, _xlfn._xlws.FILTER(Data[Poster], (Data[Date]=A1497)*(Data[Winner]=TRUE)), IF(ROWS(_xlpm.matches)&gt;1, "TIE", _xlpm.matches))</f>
        <v>alappatjoe</v>
      </c>
      <c r="D1497" s="147">
        <f>A1497</f>
        <v>45994</v>
      </c>
      <c r="E1497" s="181" t="str">
        <f>$J$1</f>
        <v>alappatjoe</v>
      </c>
      <c r="F1497" s="9">
        <f>IFERROR(AVERAGE(Data[[#This Row],[alappatjoe]:[currydestroyer27]]), "TBD")</f>
        <v>1.6</v>
      </c>
      <c r="G1497" s="178">
        <f>IFERROR(_xlfn.STDEV.P(Data[[#This Row],[alappatjoe]:[currydestroyer27]]), "TBD")</f>
        <v>0.4898979485566356</v>
      </c>
      <c r="H1497" s="160" t="s">
        <v>2959</v>
      </c>
      <c r="I1497" s="186" t="s">
        <v>448</v>
      </c>
      <c r="J1497" s="3">
        <v>1</v>
      </c>
      <c r="K1497" s="3">
        <v>2</v>
      </c>
      <c r="L1497" s="3">
        <v>1</v>
      </c>
      <c r="M1497" s="3">
        <v>2</v>
      </c>
      <c r="N1497" s="3">
        <v>2</v>
      </c>
      <c r="O1497" s="238">
        <v>10420999</v>
      </c>
      <c r="P1497" s="93"/>
      <c r="Q1497" s="93"/>
      <c r="R14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497" s="93">
        <v>1</v>
      </c>
      <c r="T1497" s="93" t="b">
        <f>Data[[#This Row],[Day Rank]]=Data[[#This Row],[W Rank]]</f>
        <v>1</v>
      </c>
      <c r="U1497" s="331" t="s">
        <v>2960</v>
      </c>
    </row>
    <row r="1498" spans="1:21" ht="15" customHeight="1">
      <c r="A1498" s="326"/>
      <c r="B1498" s="326"/>
      <c r="C1498" s="329"/>
      <c r="D1498" s="81">
        <f>D1497</f>
        <v>45994</v>
      </c>
      <c r="E1498" s="140" t="str">
        <f>$K$1</f>
        <v>danram</v>
      </c>
      <c r="F1498" s="8">
        <f>IFERROR(AVERAGE(Data[[#This Row],[alappatjoe]:[currydestroyer27]]), "TBD")</f>
        <v>1.8</v>
      </c>
      <c r="G1498" s="177">
        <f>IFERROR(_xlfn.STDEV.P(Data[[#This Row],[alappatjoe]:[currydestroyer27]]), "TBD")</f>
        <v>0.74833147735478833</v>
      </c>
      <c r="H1498" s="135" t="s">
        <v>2961</v>
      </c>
      <c r="I1498" s="229" t="s">
        <v>373</v>
      </c>
      <c r="J1498" s="3">
        <v>2</v>
      </c>
      <c r="K1498" s="3">
        <v>1</v>
      </c>
      <c r="L1498" s="3">
        <v>2</v>
      </c>
      <c r="M1498" s="3">
        <v>1</v>
      </c>
      <c r="N1498" s="3">
        <v>3</v>
      </c>
      <c r="O1498" s="238"/>
      <c r="P1498" s="93"/>
      <c r="Q1498" s="93"/>
      <c r="R14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498" s="93">
        <v>1</v>
      </c>
      <c r="T1498" s="93" t="b">
        <f>Data[[#This Row],[Day Rank]]=Data[[#This Row],[W Rank]]</f>
        <v>0</v>
      </c>
      <c r="U1498" s="323"/>
    </row>
    <row r="1499" spans="1:21" ht="15" customHeight="1">
      <c r="A1499" s="326"/>
      <c r="B1499" s="326"/>
      <c r="C1499" s="329"/>
      <c r="D1499" s="81">
        <f>D1497</f>
        <v>45994</v>
      </c>
      <c r="E1499" s="140" t="str">
        <f>$L$1</f>
        <v>loganworsdell</v>
      </c>
      <c r="F1499" s="8">
        <f>IFERROR(AVERAGE(Data[[#This Row],[alappatjoe]:[currydestroyer27]]), "TBD")</f>
        <v>4.4000000000000004</v>
      </c>
      <c r="G1499" s="177">
        <f>IFERROR(_xlfn.STDEV.P(Data[[#This Row],[alappatjoe]:[currydestroyer27]]), "TBD")</f>
        <v>0.8</v>
      </c>
      <c r="H1499" s="135" t="s">
        <v>2962</v>
      </c>
      <c r="I1499" s="229" t="s">
        <v>2963</v>
      </c>
      <c r="J1499" s="3">
        <v>5</v>
      </c>
      <c r="K1499" s="3">
        <v>5</v>
      </c>
      <c r="L1499" s="3">
        <v>3</v>
      </c>
      <c r="M1499" s="3">
        <v>4</v>
      </c>
      <c r="N1499" s="3">
        <v>5</v>
      </c>
      <c r="O1499" s="238">
        <v>5904596</v>
      </c>
      <c r="P1499" s="93"/>
      <c r="Q1499" s="93"/>
      <c r="R14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499" s="93">
        <v>1</v>
      </c>
      <c r="T1499" s="93" t="b">
        <f>Data[[#This Row],[Day Rank]]=Data[[#This Row],[W Rank]]</f>
        <v>0</v>
      </c>
      <c r="U1499" s="323"/>
    </row>
    <row r="1500" spans="1:21" ht="15" customHeight="1">
      <c r="A1500" s="326"/>
      <c r="B1500" s="326"/>
      <c r="C1500" s="329"/>
      <c r="D1500" s="81">
        <f>D1497</f>
        <v>45994</v>
      </c>
      <c r="E1500" s="140" t="str">
        <f>$M$1</f>
        <v>samuelbattista</v>
      </c>
      <c r="F1500" s="8">
        <f>IFERROR(AVERAGE(Data[[#This Row],[alappatjoe]:[currydestroyer27]]), "TBD")</f>
        <v>4</v>
      </c>
      <c r="G1500" s="177">
        <f>IFERROR(_xlfn.STDEV.P(Data[[#This Row],[alappatjoe]:[currydestroyer27]]), "TBD")</f>
        <v>0.63245553203367588</v>
      </c>
      <c r="H1500" s="135" t="s">
        <v>2964</v>
      </c>
      <c r="I1500" s="229" t="s">
        <v>2965</v>
      </c>
      <c r="J1500" s="3">
        <v>4</v>
      </c>
      <c r="K1500" s="3">
        <v>4</v>
      </c>
      <c r="L1500" s="3">
        <v>5</v>
      </c>
      <c r="M1500" s="3">
        <v>3</v>
      </c>
      <c r="N1500" s="3">
        <v>4</v>
      </c>
      <c r="O1500" s="238"/>
      <c r="P1500" s="93"/>
      <c r="Q1500" s="93"/>
      <c r="R15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00" s="93">
        <v>1</v>
      </c>
      <c r="T1500" s="93" t="b">
        <f>Data[[#This Row],[Day Rank]]=Data[[#This Row],[W Rank]]</f>
        <v>0</v>
      </c>
      <c r="U1500" s="323"/>
    </row>
    <row r="1501" spans="1:21" ht="15" customHeight="1" thickBot="1">
      <c r="A1501" s="327"/>
      <c r="B1501" s="327"/>
      <c r="C1501" s="330"/>
      <c r="D1501" s="164">
        <f>D1497</f>
        <v>45994</v>
      </c>
      <c r="E1501" s="215" t="str">
        <f>$N$1</f>
        <v>currydestroyer27</v>
      </c>
      <c r="F1501" s="165">
        <f>IFERROR(AVERAGE(Data[[#This Row],[alappatjoe]:[currydestroyer27]]), "TBD")</f>
        <v>3.2</v>
      </c>
      <c r="G1501" s="256">
        <f>IFERROR(_xlfn.STDEV.P(Data[[#This Row],[alappatjoe]:[currydestroyer27]]), "TBD")</f>
        <v>1.3266499161421599</v>
      </c>
      <c r="H1501" s="227" t="s">
        <v>2966</v>
      </c>
      <c r="I1501" s="257" t="s">
        <v>2967</v>
      </c>
      <c r="J1501" s="166">
        <v>3</v>
      </c>
      <c r="K1501" s="166">
        <v>3</v>
      </c>
      <c r="L1501" s="166">
        <v>4</v>
      </c>
      <c r="M1501" s="166">
        <v>5</v>
      </c>
      <c r="N1501" s="166">
        <v>1</v>
      </c>
      <c r="O1501" s="242">
        <v>68471199</v>
      </c>
      <c r="P1501" s="167" t="s">
        <v>76</v>
      </c>
      <c r="Q1501" s="167" t="s">
        <v>99</v>
      </c>
      <c r="R150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01" s="167">
        <v>1</v>
      </c>
      <c r="T1501" s="167" t="b">
        <f>Data[[#This Row],[Day Rank]]=Data[[#This Row],[W Rank]]</f>
        <v>0</v>
      </c>
      <c r="U1501" s="324"/>
    </row>
    <row r="1502" spans="1:21" ht="15" customHeight="1">
      <c r="A1502" s="325">
        <v>45995</v>
      </c>
      <c r="B1502" s="325"/>
      <c r="C1502" s="338" t="str" cm="1">
        <f t="array" ref="C1502">_xlfn.LET(_xlpm.matches, _xlfn._xlws.FILTER(Data[Poster], (Data[Date]=A1502)*(Data[Winner]=TRUE)), IF(ROWS(_xlpm.matches)&gt;1, "TIE", _xlpm.matches))</f>
        <v>samuelbattista</v>
      </c>
      <c r="D1502" s="147">
        <f>A1502</f>
        <v>45995</v>
      </c>
      <c r="E1502" s="181" t="str">
        <f>$J$1</f>
        <v>alappatjoe</v>
      </c>
      <c r="F1502" s="9">
        <f>IFERROR(AVERAGE(Data[[#This Row],[alappatjoe]:[currydestroyer27]]), "TBD")</f>
        <v>4.2</v>
      </c>
      <c r="G1502" s="178">
        <f>IFERROR(_xlfn.STDEV.P(Data[[#This Row],[alappatjoe]:[currydestroyer27]]), "TBD")</f>
        <v>0.9797958971132712</v>
      </c>
      <c r="H1502" s="160" t="s">
        <v>2968</v>
      </c>
      <c r="I1502" s="186" t="s">
        <v>2969</v>
      </c>
      <c r="J1502" s="3">
        <v>3</v>
      </c>
      <c r="K1502" s="3">
        <v>5</v>
      </c>
      <c r="L1502" s="3">
        <v>5</v>
      </c>
      <c r="M1502" s="3">
        <v>3</v>
      </c>
      <c r="N1502" s="3">
        <v>5</v>
      </c>
      <c r="O1502" s="238">
        <v>304986622</v>
      </c>
      <c r="P1502" s="93"/>
      <c r="Q1502" s="93"/>
      <c r="R15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02" s="93">
        <v>1</v>
      </c>
      <c r="T1502" s="93" t="b">
        <f>Data[[#This Row],[Day Rank]]=Data[[#This Row],[W Rank]]</f>
        <v>0</v>
      </c>
      <c r="U1502" s="331" t="s">
        <v>2970</v>
      </c>
    </row>
    <row r="1503" spans="1:21" ht="15" customHeight="1">
      <c r="A1503" s="326"/>
      <c r="B1503" s="326"/>
      <c r="C1503" s="339"/>
      <c r="D1503" s="81">
        <f>D1502</f>
        <v>45995</v>
      </c>
      <c r="E1503" s="140" t="str">
        <f>$K$1</f>
        <v>danram</v>
      </c>
      <c r="F1503" s="8">
        <f>IFERROR(AVERAGE(Data[[#This Row],[alappatjoe]:[currydestroyer27]]), "TBD")</f>
        <v>3.2</v>
      </c>
      <c r="G1503" s="177">
        <f>IFERROR(_xlfn.STDEV.P(Data[[#This Row],[alappatjoe]:[currydestroyer27]]), "TBD")</f>
        <v>1.833030277982336</v>
      </c>
      <c r="H1503" s="135" t="s">
        <v>2971</v>
      </c>
      <c r="I1503" s="229" t="s">
        <v>2972</v>
      </c>
      <c r="J1503" s="3">
        <v>5</v>
      </c>
      <c r="K1503" s="3">
        <v>1</v>
      </c>
      <c r="L1503" s="3">
        <v>4</v>
      </c>
      <c r="M1503" s="3">
        <v>5</v>
      </c>
      <c r="N1503" s="3">
        <v>1</v>
      </c>
      <c r="O1503" s="238"/>
      <c r="P1503" s="93"/>
      <c r="Q1503" s="93"/>
      <c r="R15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03" s="93">
        <v>1</v>
      </c>
      <c r="T1503" s="93" t="b">
        <f>Data[[#This Row],[Day Rank]]=Data[[#This Row],[W Rank]]</f>
        <v>0</v>
      </c>
      <c r="U1503" s="323"/>
    </row>
    <row r="1504" spans="1:21" ht="15" customHeight="1">
      <c r="A1504" s="326"/>
      <c r="B1504" s="326"/>
      <c r="C1504" s="339"/>
      <c r="D1504" s="81">
        <f>D1502</f>
        <v>45995</v>
      </c>
      <c r="E1504" s="140" t="str">
        <f>$L$1</f>
        <v>loganworsdell</v>
      </c>
      <c r="F1504" s="8">
        <f>IFERROR(AVERAGE(Data[[#This Row],[alappatjoe]:[currydestroyer27]]), "TBD")</f>
        <v>3</v>
      </c>
      <c r="G1504" s="177">
        <f>IFERROR(_xlfn.STDEV.P(Data[[#This Row],[alappatjoe]:[currydestroyer27]]), "TBD")</f>
        <v>1.0954451150103321</v>
      </c>
      <c r="H1504" s="135" t="s">
        <v>2973</v>
      </c>
      <c r="I1504" s="229" t="s">
        <v>2974</v>
      </c>
      <c r="J1504" s="3">
        <v>1</v>
      </c>
      <c r="K1504" s="3">
        <v>4</v>
      </c>
      <c r="L1504" s="3">
        <v>3</v>
      </c>
      <c r="M1504" s="3">
        <v>4</v>
      </c>
      <c r="N1504" s="3">
        <v>3</v>
      </c>
      <c r="O1504" s="238">
        <v>44205572</v>
      </c>
      <c r="P1504" s="93"/>
      <c r="Q1504" s="93"/>
      <c r="R15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04" s="93">
        <v>1</v>
      </c>
      <c r="T1504" s="93" t="b">
        <f>Data[[#This Row],[Day Rank]]=Data[[#This Row],[W Rank]]</f>
        <v>0</v>
      </c>
      <c r="U1504" s="323"/>
    </row>
    <row r="1505" spans="1:21" ht="15" customHeight="1">
      <c r="A1505" s="326"/>
      <c r="B1505" s="326"/>
      <c r="C1505" s="339"/>
      <c r="D1505" s="81">
        <f>D1502</f>
        <v>45995</v>
      </c>
      <c r="E1505" s="140" t="str">
        <f>$M$1</f>
        <v>samuelbattista</v>
      </c>
      <c r="F1505" s="8">
        <f>IFERROR(AVERAGE(Data[[#This Row],[alappatjoe]:[currydestroyer27]]), "TBD")</f>
        <v>2</v>
      </c>
      <c r="G1505" s="177">
        <f>IFERROR(_xlfn.STDEV.P(Data[[#This Row],[alappatjoe]:[currydestroyer27]]), "TBD")</f>
        <v>1.0954451150103321</v>
      </c>
      <c r="H1505" s="135" t="s">
        <v>2975</v>
      </c>
      <c r="I1505" s="229" t="s">
        <v>1937</v>
      </c>
      <c r="J1505" s="3">
        <v>2</v>
      </c>
      <c r="K1505" s="3">
        <v>2</v>
      </c>
      <c r="L1505" s="3">
        <v>1</v>
      </c>
      <c r="M1505" s="3">
        <v>1</v>
      </c>
      <c r="N1505" s="3">
        <v>4</v>
      </c>
      <c r="O1505" s="238"/>
      <c r="P1505" s="93"/>
      <c r="Q1505" s="93"/>
      <c r="R15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05" s="93">
        <v>1</v>
      </c>
      <c r="T1505" s="93" t="b">
        <f>Data[[#This Row],[Day Rank]]=Data[[#This Row],[W Rank]]</f>
        <v>1</v>
      </c>
      <c r="U1505" s="323"/>
    </row>
    <row r="1506" spans="1:21" ht="15" customHeight="1" thickBot="1">
      <c r="A1506" s="327"/>
      <c r="B1506" s="327"/>
      <c r="C1506" s="340"/>
      <c r="D1506" s="164">
        <f>D1502</f>
        <v>45995</v>
      </c>
      <c r="E1506" s="215" t="str">
        <f>$N$1</f>
        <v>currydestroyer27</v>
      </c>
      <c r="F1506" s="165">
        <f>IFERROR(AVERAGE(Data[[#This Row],[alappatjoe]:[currydestroyer27]]), "TBD")</f>
        <v>2.6</v>
      </c>
      <c r="G1506" s="256">
        <f>IFERROR(_xlfn.STDEV.P(Data[[#This Row],[alappatjoe]:[currydestroyer27]]), "TBD")</f>
        <v>0.8</v>
      </c>
      <c r="H1506" s="227" t="s">
        <v>1563</v>
      </c>
      <c r="I1506" s="257" t="s">
        <v>2976</v>
      </c>
      <c r="J1506" s="166">
        <v>4</v>
      </c>
      <c r="K1506" s="166">
        <v>3</v>
      </c>
      <c r="L1506" s="166">
        <v>2</v>
      </c>
      <c r="M1506" s="166">
        <v>2</v>
      </c>
      <c r="N1506" s="166">
        <v>2</v>
      </c>
      <c r="O1506" s="242">
        <v>1115299910</v>
      </c>
      <c r="P1506" s="167" t="s">
        <v>76</v>
      </c>
      <c r="Q1506" s="167" t="s">
        <v>96</v>
      </c>
      <c r="R150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06" s="167">
        <v>1</v>
      </c>
      <c r="T1506" s="167" t="b">
        <f>Data[[#This Row],[Day Rank]]=Data[[#This Row],[W Rank]]</f>
        <v>0</v>
      </c>
      <c r="U1506" s="324"/>
    </row>
    <row r="1507" spans="1:21" ht="15" customHeight="1">
      <c r="A1507" s="325">
        <v>45999</v>
      </c>
      <c r="B1507" s="325"/>
      <c r="C1507" s="328" t="str" cm="1">
        <f t="array" ref="C1507">_xlfn.LET(_xlpm.matches, _xlfn._xlws.FILTER(Data[Poster], (Data[Date]=A1507)*(Data[Winner]=TRUE)), IF(ROWS(_xlpm.matches)&gt;1, "TIE", _xlpm.matches))</f>
        <v>samuelbattista</v>
      </c>
      <c r="D1507" s="147">
        <f>A1507</f>
        <v>45999</v>
      </c>
      <c r="E1507" s="181" t="str">
        <f>$J$1</f>
        <v>alappatjoe</v>
      </c>
      <c r="F1507" s="9">
        <f>IFERROR(AVERAGE(Data[[#This Row],[alappatjoe]:[currydestroyer27]]), "TBD")</f>
        <v>3</v>
      </c>
      <c r="G1507" s="178">
        <f>IFERROR(_xlfn.STDEV.P(Data[[#This Row],[alappatjoe]:[currydestroyer27]]), "TBD")</f>
        <v>1.0954451150103321</v>
      </c>
      <c r="H1507" s="160" t="s">
        <v>2977</v>
      </c>
      <c r="I1507" s="186" t="s">
        <v>2978</v>
      </c>
      <c r="J1507" s="3">
        <v>1</v>
      </c>
      <c r="K1507" s="3">
        <v>4</v>
      </c>
      <c r="L1507" s="3">
        <v>3</v>
      </c>
      <c r="M1507" s="3">
        <v>3</v>
      </c>
      <c r="N1507" s="3">
        <v>4</v>
      </c>
      <c r="O1507" s="238">
        <v>7794487</v>
      </c>
      <c r="P1507" s="93"/>
      <c r="Q1507" s="93"/>
      <c r="R15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07" s="93">
        <v>1</v>
      </c>
      <c r="T1507" s="93" t="b">
        <f>Data[[#This Row],[Day Rank]]=Data[[#This Row],[W Rank]]</f>
        <v>0</v>
      </c>
      <c r="U1507" s="331"/>
    </row>
    <row r="1508" spans="1:21" ht="15" customHeight="1">
      <c r="A1508" s="326"/>
      <c r="B1508" s="326"/>
      <c r="C1508" s="329"/>
      <c r="D1508" s="81">
        <f>D1507</f>
        <v>45999</v>
      </c>
      <c r="E1508" s="140" t="str">
        <f>$K$1</f>
        <v>danram</v>
      </c>
      <c r="F1508" s="8">
        <f>IFERROR(AVERAGE(Data[[#This Row],[alappatjoe]:[currydestroyer27]]), "TBD")</f>
        <v>4.8</v>
      </c>
      <c r="G1508" s="177">
        <f>IFERROR(_xlfn.STDEV.P(Data[[#This Row],[alappatjoe]:[currydestroyer27]]), "TBD")</f>
        <v>0.39999999999999997</v>
      </c>
      <c r="H1508" s="135" t="s">
        <v>2979</v>
      </c>
      <c r="I1508" s="229" t="s">
        <v>2980</v>
      </c>
      <c r="J1508" s="3">
        <v>5</v>
      </c>
      <c r="K1508" s="3">
        <v>5</v>
      </c>
      <c r="L1508" s="3">
        <v>5</v>
      </c>
      <c r="M1508" s="3">
        <v>4</v>
      </c>
      <c r="N1508" s="3">
        <v>5</v>
      </c>
      <c r="O1508" s="238"/>
      <c r="P1508" s="93"/>
      <c r="Q1508" s="93"/>
      <c r="R15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08" s="93">
        <v>1</v>
      </c>
      <c r="T1508" s="93" t="b">
        <f>Data[[#This Row],[Day Rank]]=Data[[#This Row],[W Rank]]</f>
        <v>0</v>
      </c>
      <c r="U1508" s="323"/>
    </row>
    <row r="1509" spans="1:21" ht="15" customHeight="1">
      <c r="A1509" s="326"/>
      <c r="B1509" s="326"/>
      <c r="C1509" s="329"/>
      <c r="D1509" s="81">
        <f>D1507</f>
        <v>45999</v>
      </c>
      <c r="E1509" s="140" t="str">
        <f>$L$1</f>
        <v>loganworsdell</v>
      </c>
      <c r="F1509" s="8">
        <f>IFERROR(AVERAGE(Data[[#This Row],[alappatjoe]:[currydestroyer27]]), "TBD")</f>
        <v>3.2</v>
      </c>
      <c r="G1509" s="177">
        <f>IFERROR(_xlfn.STDEV.P(Data[[#This Row],[alappatjoe]:[currydestroyer27]]), "TBD")</f>
        <v>1.1661903789690602</v>
      </c>
      <c r="H1509" s="135" t="s">
        <v>2981</v>
      </c>
      <c r="I1509" s="229" t="s">
        <v>624</v>
      </c>
      <c r="J1509" s="3">
        <v>4</v>
      </c>
      <c r="K1509" s="3">
        <v>3</v>
      </c>
      <c r="L1509" s="3">
        <v>2</v>
      </c>
      <c r="M1509" s="3">
        <v>5</v>
      </c>
      <c r="N1509" s="3">
        <v>2</v>
      </c>
      <c r="O1509" s="238">
        <v>1890020</v>
      </c>
      <c r="P1509" s="93"/>
      <c r="Q1509" s="93"/>
      <c r="R15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09" s="93">
        <v>1</v>
      </c>
      <c r="T1509" s="93" t="b">
        <f>Data[[#This Row],[Day Rank]]=Data[[#This Row],[W Rank]]</f>
        <v>0</v>
      </c>
      <c r="U1509" s="323"/>
    </row>
    <row r="1510" spans="1:21" ht="15" customHeight="1">
      <c r="A1510" s="326"/>
      <c r="B1510" s="326"/>
      <c r="C1510" s="329"/>
      <c r="D1510" s="81">
        <f>D1507</f>
        <v>45999</v>
      </c>
      <c r="E1510" s="140" t="str">
        <f>$M$1</f>
        <v>samuelbattista</v>
      </c>
      <c r="F1510" s="8">
        <f>IFERROR(AVERAGE(Data[[#This Row],[alappatjoe]:[currydestroyer27]]), "TBD")</f>
        <v>1.8</v>
      </c>
      <c r="G1510" s="177">
        <f>IFERROR(_xlfn.STDEV.P(Data[[#This Row],[alappatjoe]:[currydestroyer27]]), "TBD")</f>
        <v>0.9797958971132712</v>
      </c>
      <c r="H1510" s="268">
        <v>1979</v>
      </c>
      <c r="I1510" s="229" t="s">
        <v>1509</v>
      </c>
      <c r="J1510" s="3">
        <v>3</v>
      </c>
      <c r="K1510" s="3">
        <v>1</v>
      </c>
      <c r="L1510" s="3">
        <v>1</v>
      </c>
      <c r="M1510" s="3">
        <v>1</v>
      </c>
      <c r="N1510" s="3">
        <v>3</v>
      </c>
      <c r="O1510" s="238"/>
      <c r="P1510" s="93"/>
      <c r="Q1510" s="93"/>
      <c r="R15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10" s="93">
        <v>1</v>
      </c>
      <c r="T1510" s="93" t="b">
        <f>Data[[#This Row],[Day Rank]]=Data[[#This Row],[W Rank]]</f>
        <v>1</v>
      </c>
      <c r="U1510" s="323"/>
    </row>
    <row r="1511" spans="1:21" ht="15" customHeight="1" thickBot="1">
      <c r="A1511" s="327"/>
      <c r="B1511" s="327"/>
      <c r="C1511" s="330"/>
      <c r="D1511" s="164">
        <f>D1507</f>
        <v>45999</v>
      </c>
      <c r="E1511" s="215" t="str">
        <f>$N$1</f>
        <v>currydestroyer27</v>
      </c>
      <c r="F1511" s="165">
        <f>IFERROR(AVERAGE(Data[[#This Row],[alappatjoe]:[currydestroyer27]]), "TBD")</f>
        <v>2.2000000000000002</v>
      </c>
      <c r="G1511" s="256">
        <f>IFERROR(_xlfn.STDEV.P(Data[[#This Row],[alappatjoe]:[currydestroyer27]]), "TBD")</f>
        <v>0.9797958971132712</v>
      </c>
      <c r="H1511" s="227" t="s">
        <v>2982</v>
      </c>
      <c r="I1511" s="257" t="s">
        <v>1809</v>
      </c>
      <c r="J1511" s="166">
        <v>2</v>
      </c>
      <c r="K1511" s="166">
        <v>2</v>
      </c>
      <c r="L1511" s="166">
        <v>4</v>
      </c>
      <c r="M1511" s="166">
        <v>2</v>
      </c>
      <c r="N1511" s="166">
        <v>1</v>
      </c>
      <c r="O1511" s="242">
        <v>37589054</v>
      </c>
      <c r="P1511" s="167"/>
      <c r="Q1511" s="167"/>
      <c r="R15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11" s="167">
        <v>1</v>
      </c>
      <c r="T1511" s="167" t="b">
        <f>Data[[#This Row],[Day Rank]]=Data[[#This Row],[W Rank]]</f>
        <v>0</v>
      </c>
      <c r="U1511" s="324"/>
    </row>
    <row r="1512" spans="1:21" ht="15" customHeight="1">
      <c r="A1512" s="325">
        <v>46000</v>
      </c>
      <c r="B1512" s="325"/>
      <c r="C1512" s="338" t="str" cm="1">
        <f t="array" ref="C1512">_xlfn.LET(_xlpm.matches, _xlfn._xlws.FILTER(Data[Poster], (Data[Date]=A1512)*(Data[Winner]=TRUE)), IF(ROWS(_xlpm.matches)&gt;1, "TIE", _xlpm.matches))</f>
        <v>currydestroyer27</v>
      </c>
      <c r="D1512" s="147">
        <f>A1512</f>
        <v>46000</v>
      </c>
      <c r="E1512" s="181" t="str">
        <f>$J$1</f>
        <v>alappatjoe</v>
      </c>
      <c r="F1512" s="9">
        <f>IFERROR(AVERAGE(Data[[#This Row],[alappatjoe]:[currydestroyer27]]), "TBD")</f>
        <v>3.4</v>
      </c>
      <c r="G1512" s="178">
        <f>IFERROR(_xlfn.STDEV.P(Data[[#This Row],[alappatjoe]:[currydestroyer27]]), "TBD")</f>
        <v>1.4966629547095767</v>
      </c>
      <c r="H1512" s="160" t="s">
        <v>2983</v>
      </c>
      <c r="I1512" s="186" t="s">
        <v>2984</v>
      </c>
      <c r="J1512" s="3">
        <v>1</v>
      </c>
      <c r="K1512" s="3">
        <v>5</v>
      </c>
      <c r="L1512" s="3">
        <v>3</v>
      </c>
      <c r="M1512" s="3">
        <v>5</v>
      </c>
      <c r="N1512" s="3">
        <v>3</v>
      </c>
      <c r="O1512" s="238">
        <v>1249971</v>
      </c>
      <c r="P1512" s="93"/>
      <c r="Q1512" s="93"/>
      <c r="R15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12" s="93">
        <v>1</v>
      </c>
      <c r="T1512" s="93" t="b">
        <f>Data[[#This Row],[Day Rank]]=Data[[#This Row],[W Rank]]</f>
        <v>0</v>
      </c>
      <c r="U1512" s="331"/>
    </row>
    <row r="1513" spans="1:21" ht="15" customHeight="1">
      <c r="A1513" s="326"/>
      <c r="B1513" s="326"/>
      <c r="C1513" s="339"/>
      <c r="D1513" s="81">
        <f>D1512</f>
        <v>46000</v>
      </c>
      <c r="E1513" s="140" t="str">
        <f>$K$1</f>
        <v>danram</v>
      </c>
      <c r="F1513" s="8">
        <f>IFERROR(AVERAGE(Data[[#This Row],[alappatjoe]:[currydestroyer27]]), "TBD")</f>
        <v>3.2</v>
      </c>
      <c r="G1513" s="177">
        <f>IFERROR(_xlfn.STDEV.P(Data[[#This Row],[alappatjoe]:[currydestroyer27]]), "TBD")</f>
        <v>1.6</v>
      </c>
      <c r="H1513" s="135" t="s">
        <v>2985</v>
      </c>
      <c r="I1513" s="229" t="s">
        <v>2986</v>
      </c>
      <c r="J1513" s="3">
        <v>5</v>
      </c>
      <c r="K1513" s="3">
        <v>3</v>
      </c>
      <c r="L1513" s="3">
        <v>1</v>
      </c>
      <c r="M1513" s="3">
        <v>2</v>
      </c>
      <c r="N1513" s="3">
        <v>5</v>
      </c>
      <c r="O1513" s="238"/>
      <c r="P1513" s="93"/>
      <c r="Q1513" s="93"/>
      <c r="R15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13" s="93">
        <v>1</v>
      </c>
      <c r="T1513" s="93" t="b">
        <f>Data[[#This Row],[Day Rank]]=Data[[#This Row],[W Rank]]</f>
        <v>0</v>
      </c>
      <c r="U1513" s="323"/>
    </row>
    <row r="1514" spans="1:21" ht="15" customHeight="1">
      <c r="A1514" s="326"/>
      <c r="B1514" s="326"/>
      <c r="C1514" s="339"/>
      <c r="D1514" s="81">
        <f>D1512</f>
        <v>46000</v>
      </c>
      <c r="E1514" s="140" t="str">
        <f>$L$1</f>
        <v>loganworsdell</v>
      </c>
      <c r="F1514" s="8">
        <f>IFERROR(AVERAGE(Data[[#This Row],[alappatjoe]:[currydestroyer27]]), "TBD")</f>
        <v>2.8</v>
      </c>
      <c r="G1514" s="177">
        <f>IFERROR(_xlfn.STDEV.P(Data[[#This Row],[alappatjoe]:[currydestroyer27]]), "TBD")</f>
        <v>1.1661903789690602</v>
      </c>
      <c r="H1514" s="135" t="s">
        <v>2987</v>
      </c>
      <c r="I1514" s="229" t="s">
        <v>2988</v>
      </c>
      <c r="J1514" s="3">
        <v>3</v>
      </c>
      <c r="K1514" s="3">
        <v>1</v>
      </c>
      <c r="L1514" s="3">
        <v>2</v>
      </c>
      <c r="M1514" s="3">
        <v>4</v>
      </c>
      <c r="N1514" s="3">
        <v>4</v>
      </c>
      <c r="O1514" s="238">
        <v>35252384</v>
      </c>
      <c r="P1514" s="93"/>
      <c r="Q1514" s="93"/>
      <c r="R15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14" s="93">
        <v>1</v>
      </c>
      <c r="T1514" s="93" t="b">
        <f>Data[[#This Row],[Day Rank]]=Data[[#This Row],[W Rank]]</f>
        <v>0</v>
      </c>
      <c r="U1514" s="323"/>
    </row>
    <row r="1515" spans="1:21" ht="15" customHeight="1">
      <c r="A1515" s="326"/>
      <c r="B1515" s="326"/>
      <c r="C1515" s="339"/>
      <c r="D1515" s="81">
        <f>D1512</f>
        <v>46000</v>
      </c>
      <c r="E1515" s="140" t="str">
        <f>$M$1</f>
        <v>samuelbattista</v>
      </c>
      <c r="F1515" s="8">
        <f>IFERROR(AVERAGE(Data[[#This Row],[alappatjoe]:[currydestroyer27]]), "TBD")</f>
        <v>3.2</v>
      </c>
      <c r="G1515" s="177">
        <f>IFERROR(_xlfn.STDEV.P(Data[[#This Row],[alappatjoe]:[currydestroyer27]]), "TBD")</f>
        <v>1.4696938456699069</v>
      </c>
      <c r="H1515" s="135" t="s">
        <v>2989</v>
      </c>
      <c r="I1515" s="229" t="s">
        <v>1818</v>
      </c>
      <c r="J1515" s="3">
        <v>4</v>
      </c>
      <c r="K1515" s="3">
        <v>4</v>
      </c>
      <c r="L1515" s="3">
        <v>5</v>
      </c>
      <c r="M1515" s="3">
        <v>1</v>
      </c>
      <c r="N1515" s="3">
        <v>2</v>
      </c>
      <c r="O1515" s="238"/>
      <c r="P1515" s="93"/>
      <c r="Q1515" s="93"/>
      <c r="R15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15" s="93">
        <v>1</v>
      </c>
      <c r="T1515" s="93" t="b">
        <f>Data[[#This Row],[Day Rank]]=Data[[#This Row],[W Rank]]</f>
        <v>0</v>
      </c>
      <c r="U1515" s="323"/>
    </row>
    <row r="1516" spans="1:21" ht="15" customHeight="1" thickBot="1">
      <c r="A1516" s="327"/>
      <c r="B1516" s="327"/>
      <c r="C1516" s="340"/>
      <c r="D1516" s="164">
        <f>D1512</f>
        <v>46000</v>
      </c>
      <c r="E1516" s="215" t="str">
        <f>$N$1</f>
        <v>currydestroyer27</v>
      </c>
      <c r="F1516" s="165">
        <f>IFERROR(AVERAGE(Data[[#This Row],[alappatjoe]:[currydestroyer27]]), "TBD")</f>
        <v>2.4</v>
      </c>
      <c r="G1516" s="256">
        <f>IFERROR(_xlfn.STDEV.P(Data[[#This Row],[alappatjoe]:[currydestroyer27]]), "TBD")</f>
        <v>1.019803902718557</v>
      </c>
      <c r="H1516" s="227" t="s">
        <v>2990</v>
      </c>
      <c r="I1516" s="257" t="s">
        <v>2991</v>
      </c>
      <c r="J1516" s="166">
        <v>2</v>
      </c>
      <c r="K1516" s="166">
        <v>2</v>
      </c>
      <c r="L1516" s="166">
        <v>4</v>
      </c>
      <c r="M1516" s="166">
        <v>3</v>
      </c>
      <c r="N1516" s="166">
        <v>1</v>
      </c>
      <c r="O1516" s="242">
        <v>11157250</v>
      </c>
      <c r="P1516" s="167"/>
      <c r="Q1516" s="167"/>
      <c r="R15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16" s="167">
        <v>1</v>
      </c>
      <c r="T1516" s="167" t="b">
        <f>Data[[#This Row],[Day Rank]]=Data[[#This Row],[W Rank]]</f>
        <v>1</v>
      </c>
      <c r="U1516" s="324"/>
    </row>
    <row r="1517" spans="1:21" ht="15" customHeight="1">
      <c r="A1517" s="325">
        <v>46001</v>
      </c>
      <c r="B1517" s="325"/>
      <c r="C1517" s="328" t="str" cm="1">
        <f t="array" ref="C1517">_xlfn.LET(_xlpm.matches, _xlfn._xlws.FILTER(Data[Poster], (Data[Date]=A1517)*(Data[Winner]=TRUE)), IF(ROWS(_xlpm.matches)&gt;1, "TIE", _xlpm.matches))</f>
        <v>loganworsdell</v>
      </c>
      <c r="D1517" s="147">
        <f>A1517</f>
        <v>46001</v>
      </c>
      <c r="E1517" s="181" t="str">
        <f>$J$1</f>
        <v>alappatjoe</v>
      </c>
      <c r="F1517" s="9">
        <f>IFERROR(AVERAGE(Data[[#This Row],[alappatjoe]:[currydestroyer27]]), "TBD")</f>
        <v>3</v>
      </c>
      <c r="G1517" s="178">
        <f>IFERROR(_xlfn.STDEV.P(Data[[#This Row],[alappatjoe]:[currydestroyer27]]), "TBD")</f>
        <v>1.6733200530681511</v>
      </c>
      <c r="H1517" s="160" t="s">
        <v>2992</v>
      </c>
      <c r="I1517" s="186" t="s">
        <v>2993</v>
      </c>
      <c r="J1517" s="3">
        <v>1</v>
      </c>
      <c r="K1517" s="3">
        <v>2</v>
      </c>
      <c r="L1517" s="3">
        <v>5</v>
      </c>
      <c r="M1517" s="3">
        <v>2</v>
      </c>
      <c r="N1517" s="3">
        <v>5</v>
      </c>
      <c r="O1517" s="238">
        <v>3130178</v>
      </c>
      <c r="P1517" s="93"/>
      <c r="Q1517" s="93"/>
      <c r="R15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17" s="93">
        <v>1</v>
      </c>
      <c r="T1517" s="93" t="b">
        <f>Data[[#This Row],[Day Rank]]=Data[[#This Row],[W Rank]]</f>
        <v>0</v>
      </c>
      <c r="U1517" s="331"/>
    </row>
    <row r="1518" spans="1:21" ht="15" customHeight="1">
      <c r="A1518" s="326"/>
      <c r="B1518" s="326"/>
      <c r="C1518" s="329"/>
      <c r="D1518" s="81">
        <f>D1517</f>
        <v>46001</v>
      </c>
      <c r="E1518" s="140" t="str">
        <f>$K$1</f>
        <v>danram</v>
      </c>
      <c r="F1518" s="8">
        <f>IFERROR(AVERAGE(Data[[#This Row],[alappatjoe]:[currydestroyer27]]), "TBD")</f>
        <v>2.8</v>
      </c>
      <c r="G1518" s="177">
        <f>IFERROR(_xlfn.STDEV.P(Data[[#This Row],[alappatjoe]:[currydestroyer27]]), "TBD")</f>
        <v>1.6</v>
      </c>
      <c r="H1518" s="135" t="s">
        <v>2994</v>
      </c>
      <c r="I1518" s="229" t="s">
        <v>2995</v>
      </c>
      <c r="J1518" s="3">
        <v>5</v>
      </c>
      <c r="K1518" s="3">
        <v>1</v>
      </c>
      <c r="L1518" s="3">
        <v>3</v>
      </c>
      <c r="M1518" s="3">
        <v>4</v>
      </c>
      <c r="N1518" s="3">
        <v>1</v>
      </c>
      <c r="O1518" s="238"/>
      <c r="P1518" s="93"/>
      <c r="Q1518" s="93"/>
      <c r="R15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18" s="93">
        <v>1</v>
      </c>
      <c r="T1518" s="93" t="b">
        <f>Data[[#This Row],[Day Rank]]=Data[[#This Row],[W Rank]]</f>
        <v>0</v>
      </c>
      <c r="U1518" s="323"/>
    </row>
    <row r="1519" spans="1:21" ht="15" customHeight="1">
      <c r="A1519" s="326"/>
      <c r="B1519" s="326"/>
      <c r="C1519" s="329"/>
      <c r="D1519" s="81">
        <f>D1517</f>
        <v>46001</v>
      </c>
      <c r="E1519" s="140" t="str">
        <f>$L$1</f>
        <v>loganworsdell</v>
      </c>
      <c r="F1519" s="8">
        <f>IFERROR(AVERAGE(Data[[#This Row],[alappatjoe]:[currydestroyer27]]), "TBD")</f>
        <v>2.4</v>
      </c>
      <c r="G1519" s="177">
        <f>IFERROR(_xlfn.STDEV.P(Data[[#This Row],[alappatjoe]:[currydestroyer27]]), "TBD")</f>
        <v>0.8</v>
      </c>
      <c r="H1519" s="135" t="s">
        <v>2996</v>
      </c>
      <c r="I1519" s="229" t="s">
        <v>2997</v>
      </c>
      <c r="J1519" s="3">
        <v>2</v>
      </c>
      <c r="K1519" s="3">
        <v>3</v>
      </c>
      <c r="L1519" s="3">
        <v>1</v>
      </c>
      <c r="M1519" s="3">
        <v>3</v>
      </c>
      <c r="N1519" s="3">
        <v>3</v>
      </c>
      <c r="O1519" s="238">
        <v>98967162</v>
      </c>
      <c r="P1519" s="93"/>
      <c r="Q1519" s="93"/>
      <c r="R15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19" s="93">
        <v>1</v>
      </c>
      <c r="T1519" s="93" t="b">
        <f>Data[[#This Row],[Day Rank]]=Data[[#This Row],[W Rank]]</f>
        <v>1</v>
      </c>
      <c r="U1519" s="323"/>
    </row>
    <row r="1520" spans="1:21" ht="15" customHeight="1">
      <c r="A1520" s="326"/>
      <c r="B1520" s="326"/>
      <c r="C1520" s="329"/>
      <c r="D1520" s="81">
        <f>D1517</f>
        <v>46001</v>
      </c>
      <c r="E1520" s="140" t="str">
        <f>$M$1</f>
        <v>samuelbattista</v>
      </c>
      <c r="F1520" s="8">
        <f>IFERROR(AVERAGE(Data[[#This Row],[alappatjoe]:[currydestroyer27]]), "TBD")</f>
        <v>3.2</v>
      </c>
      <c r="G1520" s="177">
        <f>IFERROR(_xlfn.STDEV.P(Data[[#This Row],[alappatjoe]:[currydestroyer27]]), "TBD")</f>
        <v>1.1661903789690602</v>
      </c>
      <c r="H1520" s="135" t="s">
        <v>2998</v>
      </c>
      <c r="I1520" s="229" t="s">
        <v>2999</v>
      </c>
      <c r="J1520" s="3">
        <v>3</v>
      </c>
      <c r="K1520" s="3">
        <v>4</v>
      </c>
      <c r="L1520" s="3">
        <v>4</v>
      </c>
      <c r="M1520" s="3">
        <v>1</v>
      </c>
      <c r="N1520" s="3">
        <v>4</v>
      </c>
      <c r="O1520" s="238"/>
      <c r="P1520" s="93"/>
      <c r="Q1520" s="93"/>
      <c r="R15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20" s="93">
        <v>1</v>
      </c>
      <c r="T1520" s="93" t="b">
        <f>Data[[#This Row],[Day Rank]]=Data[[#This Row],[W Rank]]</f>
        <v>0</v>
      </c>
      <c r="U1520" s="323"/>
    </row>
    <row r="1521" spans="1:21" ht="15" customHeight="1" thickBot="1">
      <c r="A1521" s="327"/>
      <c r="B1521" s="327"/>
      <c r="C1521" s="330"/>
      <c r="D1521" s="164">
        <f>D1517</f>
        <v>46001</v>
      </c>
      <c r="E1521" s="215" t="str">
        <f>$N$1</f>
        <v>currydestroyer27</v>
      </c>
      <c r="F1521" s="165">
        <f>IFERROR(AVERAGE(Data[[#This Row],[alappatjoe]:[currydestroyer27]]), "TBD")</f>
        <v>3.6</v>
      </c>
      <c r="G1521" s="256">
        <f>IFERROR(_xlfn.STDEV.P(Data[[#This Row],[alappatjoe]:[currydestroyer27]]), "TBD")</f>
        <v>1.3564659966250536</v>
      </c>
      <c r="H1521" s="227" t="s">
        <v>3000</v>
      </c>
      <c r="I1521" s="257" t="s">
        <v>3001</v>
      </c>
      <c r="J1521" s="166">
        <v>4</v>
      </c>
      <c r="K1521" s="166">
        <v>5</v>
      </c>
      <c r="L1521" s="166">
        <v>2</v>
      </c>
      <c r="M1521" s="166">
        <v>5</v>
      </c>
      <c r="N1521" s="166">
        <v>2</v>
      </c>
      <c r="O1521" s="242">
        <v>157307754</v>
      </c>
      <c r="P1521" s="167"/>
      <c r="Q1521" s="167"/>
      <c r="R15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21" s="167">
        <v>1</v>
      </c>
      <c r="T1521" s="167" t="b">
        <f>Data[[#This Row],[Day Rank]]=Data[[#This Row],[W Rank]]</f>
        <v>0</v>
      </c>
      <c r="U1521" s="324"/>
    </row>
    <row r="1522" spans="1:21" ht="15" customHeight="1">
      <c r="A1522" s="325">
        <v>46002</v>
      </c>
      <c r="B1522" s="325"/>
      <c r="C1522" s="338" t="str" cm="1">
        <f t="array" ref="C1522">_xlfn.LET(_xlpm.matches, _xlfn._xlws.FILTER(Data[Poster], (Data[Date]=A1522)*(Data[Winner]=TRUE)), IF(ROWS(_xlpm.matches)&gt;1, "TIE", _xlpm.matches))</f>
        <v>loganworsdell</v>
      </c>
      <c r="D1522" s="147">
        <f>A1522</f>
        <v>46002</v>
      </c>
      <c r="E1522" s="181" t="str">
        <f>$J$1</f>
        <v>alappatjoe</v>
      </c>
      <c r="F1522" s="9">
        <f>IFERROR(AVERAGE(Data[[#This Row],[alappatjoe]:[currydestroyer27]]), "TBD")</f>
        <v>3.2</v>
      </c>
      <c r="G1522" s="178">
        <f>IFERROR(_xlfn.STDEV.P(Data[[#This Row],[alappatjoe]:[currydestroyer27]]), "TBD")</f>
        <v>1.1661903789690602</v>
      </c>
      <c r="H1522" s="160" t="s">
        <v>3002</v>
      </c>
      <c r="I1522" s="186" t="s">
        <v>778</v>
      </c>
      <c r="J1522" s="3">
        <v>2</v>
      </c>
      <c r="K1522" s="3">
        <v>4</v>
      </c>
      <c r="L1522" s="3">
        <v>5</v>
      </c>
      <c r="M1522" s="3">
        <v>3</v>
      </c>
      <c r="N1522" s="3">
        <v>2</v>
      </c>
      <c r="O1522" s="238">
        <v>435208155</v>
      </c>
      <c r="P1522" s="93"/>
      <c r="Q1522" s="93"/>
      <c r="R15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22" s="93">
        <v>1</v>
      </c>
      <c r="T1522" s="93" t="b">
        <f>Data[[#This Row],[Day Rank]]=Data[[#This Row],[W Rank]]</f>
        <v>0</v>
      </c>
      <c r="U1522" s="331" t="s">
        <v>3003</v>
      </c>
    </row>
    <row r="1523" spans="1:21" ht="15" customHeight="1">
      <c r="A1523" s="326"/>
      <c r="B1523" s="326"/>
      <c r="C1523" s="339"/>
      <c r="D1523" s="81">
        <f>D1522</f>
        <v>46002</v>
      </c>
      <c r="E1523" s="140" t="str">
        <f>$K$1</f>
        <v>danram</v>
      </c>
      <c r="F1523" s="8">
        <f>IFERROR(AVERAGE(Data[[#This Row],[alappatjoe]:[currydestroyer27]]), "TBD")</f>
        <v>2.4</v>
      </c>
      <c r="G1523" s="177">
        <f>IFERROR(_xlfn.STDEV.P(Data[[#This Row],[alappatjoe]:[currydestroyer27]]), "TBD")</f>
        <v>1.3564659966250536</v>
      </c>
      <c r="H1523" s="135" t="s">
        <v>3004</v>
      </c>
      <c r="I1523" s="229" t="s">
        <v>3005</v>
      </c>
      <c r="J1523" s="3">
        <v>1</v>
      </c>
      <c r="K1523" s="3">
        <v>2</v>
      </c>
      <c r="L1523" s="3">
        <v>2</v>
      </c>
      <c r="M1523" s="3">
        <v>2</v>
      </c>
      <c r="N1523" s="3">
        <v>5</v>
      </c>
      <c r="O1523" s="238"/>
      <c r="P1523" s="93"/>
      <c r="Q1523" s="93"/>
      <c r="R15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23" s="93">
        <v>1</v>
      </c>
      <c r="T1523" s="93" t="b">
        <f>Data[[#This Row],[Day Rank]]=Data[[#This Row],[W Rank]]</f>
        <v>0</v>
      </c>
      <c r="U1523" s="323"/>
    </row>
    <row r="1524" spans="1:21" ht="15" customHeight="1">
      <c r="A1524" s="326"/>
      <c r="B1524" s="326"/>
      <c r="C1524" s="339"/>
      <c r="D1524" s="81">
        <f>D1522</f>
        <v>46002</v>
      </c>
      <c r="E1524" s="140" t="str">
        <f>$L$1</f>
        <v>loganworsdell</v>
      </c>
      <c r="F1524" s="8">
        <f>IFERROR(AVERAGE(Data[[#This Row],[alappatjoe]:[currydestroyer27]]), "TBD")</f>
        <v>1.4</v>
      </c>
      <c r="G1524" s="177">
        <f>IFERROR(_xlfn.STDEV.P(Data[[#This Row],[alappatjoe]:[currydestroyer27]]), "TBD")</f>
        <v>0.8</v>
      </c>
      <c r="H1524" s="135" t="s">
        <v>3006</v>
      </c>
      <c r="I1524" s="229" t="s">
        <v>3007</v>
      </c>
      <c r="J1524" s="3">
        <v>3</v>
      </c>
      <c r="K1524" s="3">
        <v>1</v>
      </c>
      <c r="L1524" s="3">
        <v>1</v>
      </c>
      <c r="M1524" s="3">
        <v>1</v>
      </c>
      <c r="N1524" s="3">
        <v>1</v>
      </c>
      <c r="O1524" s="238">
        <v>24008703</v>
      </c>
      <c r="P1524" s="93"/>
      <c r="Q1524" s="93"/>
      <c r="R15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24" s="93">
        <v>1</v>
      </c>
      <c r="T1524" s="93" t="b">
        <f>Data[[#This Row],[Day Rank]]=Data[[#This Row],[W Rank]]</f>
        <v>1</v>
      </c>
      <c r="U1524" s="323"/>
    </row>
    <row r="1525" spans="1:21" ht="15" customHeight="1">
      <c r="A1525" s="326"/>
      <c r="B1525" s="326"/>
      <c r="C1525" s="339"/>
      <c r="D1525" s="81">
        <f>D1522</f>
        <v>46002</v>
      </c>
      <c r="E1525" s="140" t="str">
        <f>$M$1</f>
        <v>samuelbattista</v>
      </c>
      <c r="F1525" s="8">
        <f>IFERROR(AVERAGE(Data[[#This Row],[alappatjoe]:[currydestroyer27]]), "TBD")</f>
        <v>4</v>
      </c>
      <c r="G1525" s="177">
        <f>IFERROR(_xlfn.STDEV.P(Data[[#This Row],[alappatjoe]:[currydestroyer27]]), "TBD")</f>
        <v>0.63245553203367588</v>
      </c>
      <c r="H1525" s="135" t="s">
        <v>3008</v>
      </c>
      <c r="I1525" s="229" t="s">
        <v>3009</v>
      </c>
      <c r="J1525" s="3">
        <v>4</v>
      </c>
      <c r="K1525" s="3">
        <v>5</v>
      </c>
      <c r="L1525" s="3">
        <v>3</v>
      </c>
      <c r="M1525" s="3">
        <v>4</v>
      </c>
      <c r="N1525" s="3">
        <v>4</v>
      </c>
      <c r="O1525" s="238"/>
      <c r="P1525" s="93"/>
      <c r="Q1525" s="93"/>
      <c r="R15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25" s="93">
        <v>1</v>
      </c>
      <c r="T1525" s="93" t="b">
        <f>Data[[#This Row],[Day Rank]]=Data[[#This Row],[W Rank]]</f>
        <v>0</v>
      </c>
      <c r="U1525" s="323"/>
    </row>
    <row r="1526" spans="1:21" ht="15" customHeight="1" thickBot="1">
      <c r="A1526" s="327"/>
      <c r="B1526" s="327"/>
      <c r="C1526" s="340"/>
      <c r="D1526" s="164">
        <f>D1522</f>
        <v>46002</v>
      </c>
      <c r="E1526" s="215" t="str">
        <f>$N$1</f>
        <v>currydestroyer27</v>
      </c>
      <c r="F1526" s="165">
        <f>IFERROR(AVERAGE(Data[[#This Row],[alappatjoe]:[currydestroyer27]]), "TBD")</f>
        <v>4</v>
      </c>
      <c r="G1526" s="256">
        <f>IFERROR(_xlfn.STDEV.P(Data[[#This Row],[alappatjoe]:[currydestroyer27]]), "TBD")</f>
        <v>0.89442719099991586</v>
      </c>
      <c r="H1526" s="227" t="s">
        <v>3010</v>
      </c>
      <c r="I1526" s="257" t="s">
        <v>3011</v>
      </c>
      <c r="J1526" s="166">
        <v>5</v>
      </c>
      <c r="K1526" s="166">
        <v>3</v>
      </c>
      <c r="L1526" s="166">
        <v>4</v>
      </c>
      <c r="M1526" s="166">
        <v>5</v>
      </c>
      <c r="N1526" s="166">
        <v>3</v>
      </c>
      <c r="O1526" s="242">
        <v>901848484</v>
      </c>
      <c r="P1526" s="167"/>
      <c r="Q1526" s="167"/>
      <c r="R15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26" s="167">
        <v>1</v>
      </c>
      <c r="T1526" s="167" t="b">
        <f>Data[[#This Row],[Day Rank]]=Data[[#This Row],[W Rank]]</f>
        <v>0</v>
      </c>
      <c r="U1526" s="324"/>
    </row>
    <row r="1527" spans="1:21" ht="15" customHeight="1">
      <c r="A1527" s="325">
        <v>46006</v>
      </c>
      <c r="B1527" s="325"/>
      <c r="C1527" s="328" t="str" cm="1">
        <f t="array" ref="C1527">_xlfn.LET(_xlpm.matches, _xlfn._xlws.FILTER(Data[Poster], (Data[Date]=A1527)*(Data[Winner]=TRUE)), IF(ROWS(_xlpm.matches)&gt;1, "TIE", _xlpm.matches))</f>
        <v>currydestroyer27</v>
      </c>
      <c r="D1527" s="147">
        <f>A1527</f>
        <v>46006</v>
      </c>
      <c r="E1527" s="181" t="str">
        <f>$J$1</f>
        <v>alappatjoe</v>
      </c>
      <c r="F1527" s="9">
        <f>IFERROR(AVERAGE(Data[[#This Row],[alappatjoe]:[currydestroyer27]]), "TBD")</f>
        <v>3</v>
      </c>
      <c r="G1527" s="178">
        <f>IFERROR(_xlfn.STDEV.P(Data[[#This Row],[alappatjoe]:[currydestroyer27]]), "TBD")</f>
        <v>1.6733200530681511</v>
      </c>
      <c r="H1527" s="160" t="s">
        <v>3012</v>
      </c>
      <c r="I1527" s="186" t="s">
        <v>1349</v>
      </c>
      <c r="J1527" s="3">
        <v>1</v>
      </c>
      <c r="K1527" s="3">
        <v>5</v>
      </c>
      <c r="L1527" s="3">
        <v>2</v>
      </c>
      <c r="M1527" s="3">
        <v>5</v>
      </c>
      <c r="N1527" s="3">
        <v>2</v>
      </c>
      <c r="O1527" s="238">
        <v>372740</v>
      </c>
      <c r="P1527" s="93"/>
      <c r="Q1527" s="93"/>
      <c r="R15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27" s="93">
        <v>1</v>
      </c>
      <c r="T1527" s="93" t="b">
        <f>Data[[#This Row],[Day Rank]]=Data[[#This Row],[W Rank]]</f>
        <v>0</v>
      </c>
      <c r="U1527" s="331"/>
    </row>
    <row r="1528" spans="1:21" ht="15" customHeight="1">
      <c r="A1528" s="326"/>
      <c r="B1528" s="326"/>
      <c r="C1528" s="329"/>
      <c r="D1528" s="81">
        <f>D1527</f>
        <v>46006</v>
      </c>
      <c r="E1528" s="140" t="str">
        <f>$K$1</f>
        <v>danram</v>
      </c>
      <c r="F1528" s="8">
        <f>IFERROR(AVERAGE(Data[[#This Row],[alappatjoe]:[currydestroyer27]]), "TBD")</f>
        <v>4.5999999999999996</v>
      </c>
      <c r="G1528" s="177">
        <f>IFERROR(_xlfn.STDEV.P(Data[[#This Row],[alappatjoe]:[currydestroyer27]]), "TBD")</f>
        <v>0.4898979485566356</v>
      </c>
      <c r="H1528" s="135" t="s">
        <v>3013</v>
      </c>
      <c r="I1528" s="229" t="s">
        <v>3014</v>
      </c>
      <c r="J1528" s="3">
        <v>5</v>
      </c>
      <c r="K1528" s="3">
        <v>4</v>
      </c>
      <c r="L1528" s="3">
        <v>5</v>
      </c>
      <c r="M1528" s="3">
        <v>4</v>
      </c>
      <c r="N1528" s="3">
        <v>5</v>
      </c>
      <c r="O1528" s="238"/>
      <c r="P1528" s="93"/>
      <c r="Q1528" s="93"/>
      <c r="R15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28" s="93">
        <v>1</v>
      </c>
      <c r="T1528" s="93" t="b">
        <f>Data[[#This Row],[Day Rank]]=Data[[#This Row],[W Rank]]</f>
        <v>0</v>
      </c>
      <c r="U1528" s="323"/>
    </row>
    <row r="1529" spans="1:21" ht="15" customHeight="1">
      <c r="A1529" s="326"/>
      <c r="B1529" s="326"/>
      <c r="C1529" s="329"/>
      <c r="D1529" s="81">
        <f>D1527</f>
        <v>46006</v>
      </c>
      <c r="E1529" s="140" t="str">
        <f>$L$1</f>
        <v>loganworsdell</v>
      </c>
      <c r="F1529" s="8">
        <f>IFERROR(AVERAGE(Data[[#This Row],[alappatjoe]:[currydestroyer27]]), "TBD")</f>
        <v>2.6</v>
      </c>
      <c r="G1529" s="177">
        <f>IFERROR(_xlfn.STDEV.P(Data[[#This Row],[alappatjoe]:[currydestroyer27]]), "TBD")</f>
        <v>1.019803902718557</v>
      </c>
      <c r="H1529" s="135" t="s">
        <v>3015</v>
      </c>
      <c r="I1529" s="229" t="s">
        <v>3016</v>
      </c>
      <c r="J1529" s="3">
        <v>4</v>
      </c>
      <c r="K1529" s="3">
        <v>2</v>
      </c>
      <c r="L1529" s="3">
        <v>1</v>
      </c>
      <c r="M1529" s="3">
        <v>3</v>
      </c>
      <c r="N1529" s="3">
        <v>3</v>
      </c>
      <c r="O1529" s="238">
        <v>17683058</v>
      </c>
      <c r="P1529" s="93"/>
      <c r="Q1529" s="93"/>
      <c r="R15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29" s="93">
        <v>1</v>
      </c>
      <c r="T1529" s="93" t="b">
        <f>Data[[#This Row],[Day Rank]]=Data[[#This Row],[W Rank]]</f>
        <v>0</v>
      </c>
      <c r="U1529" s="323"/>
    </row>
    <row r="1530" spans="1:21" ht="15" customHeight="1">
      <c r="A1530" s="326"/>
      <c r="B1530" s="326"/>
      <c r="C1530" s="329"/>
      <c r="D1530" s="81">
        <f>D1527</f>
        <v>46006</v>
      </c>
      <c r="E1530" s="140" t="str">
        <f>$M$1</f>
        <v>samuelbattista</v>
      </c>
      <c r="F1530" s="8">
        <f>IFERROR(AVERAGE(Data[[#This Row],[alappatjoe]:[currydestroyer27]]), "TBD")</f>
        <v>2.6</v>
      </c>
      <c r="G1530" s="177">
        <f>IFERROR(_xlfn.STDEV.P(Data[[#This Row],[alappatjoe]:[currydestroyer27]]), "TBD")</f>
        <v>1.3564659966250536</v>
      </c>
      <c r="H1530" s="135" t="s">
        <v>3017</v>
      </c>
      <c r="I1530" s="229" t="s">
        <v>3018</v>
      </c>
      <c r="J1530" s="3">
        <v>3</v>
      </c>
      <c r="K1530" s="3">
        <v>1</v>
      </c>
      <c r="L1530" s="3">
        <v>4</v>
      </c>
      <c r="M1530" s="3">
        <v>1</v>
      </c>
      <c r="N1530" s="3">
        <v>4</v>
      </c>
      <c r="O1530" s="238"/>
      <c r="P1530" s="93"/>
      <c r="Q1530" s="93"/>
      <c r="R15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30" s="93">
        <v>1</v>
      </c>
      <c r="T1530" s="93" t="b">
        <f>Data[[#This Row],[Day Rank]]=Data[[#This Row],[W Rank]]</f>
        <v>0</v>
      </c>
      <c r="U1530" s="323"/>
    </row>
    <row r="1531" spans="1:21" ht="15" customHeight="1" thickBot="1">
      <c r="A1531" s="327"/>
      <c r="B1531" s="327"/>
      <c r="C1531" s="330"/>
      <c r="D1531" s="164">
        <f>D1527</f>
        <v>46006</v>
      </c>
      <c r="E1531" s="215" t="str">
        <f>$N$1</f>
        <v>currydestroyer27</v>
      </c>
      <c r="F1531" s="165">
        <f>IFERROR(AVERAGE(Data[[#This Row],[alappatjoe]:[currydestroyer27]]), "TBD")</f>
        <v>2.2000000000000002</v>
      </c>
      <c r="G1531" s="256">
        <f>IFERROR(_xlfn.STDEV.P(Data[[#This Row],[alappatjoe]:[currydestroyer27]]), "TBD")</f>
        <v>0.74833147735478833</v>
      </c>
      <c r="H1531" s="227" t="s">
        <v>3019</v>
      </c>
      <c r="I1531" s="257" t="s">
        <v>3020</v>
      </c>
      <c r="J1531" s="166">
        <v>2</v>
      </c>
      <c r="K1531" s="166">
        <v>3</v>
      </c>
      <c r="L1531" s="166">
        <v>3</v>
      </c>
      <c r="M1531" s="166">
        <v>2</v>
      </c>
      <c r="N1531" s="166">
        <v>1</v>
      </c>
      <c r="O1531" s="242">
        <v>112881295</v>
      </c>
      <c r="P1531" s="167" t="s">
        <v>76</v>
      </c>
      <c r="Q1531" s="167" t="s">
        <v>99</v>
      </c>
      <c r="R153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31" s="167">
        <v>1</v>
      </c>
      <c r="T1531" s="167" t="b">
        <f>Data[[#This Row],[Day Rank]]=Data[[#This Row],[W Rank]]</f>
        <v>1</v>
      </c>
      <c r="U1531" s="324"/>
    </row>
    <row r="1532" spans="1:21" ht="15" customHeight="1">
      <c r="A1532" s="325">
        <v>46007</v>
      </c>
      <c r="B1532" s="325"/>
      <c r="C1532" s="338" t="str" cm="1">
        <f t="array" ref="C1532">_xlfn.LET(_xlpm.matches, _xlfn._xlws.FILTER(Data[Poster], (Data[Date]=A1532)*(Data[Winner]=TRUE)), IF(ROWS(_xlpm.matches)&gt;1, "TIE", _xlpm.matches))</f>
        <v>loganworsdell</v>
      </c>
      <c r="D1532" s="147">
        <f>A1532</f>
        <v>46007</v>
      </c>
      <c r="E1532" s="181" t="str">
        <f>$J$1</f>
        <v>alappatjoe</v>
      </c>
      <c r="F1532" s="9">
        <f>IFERROR(AVERAGE(Data[[#This Row],[alappatjoe]:[currydestroyer27]]), "TBD")</f>
        <v>3</v>
      </c>
      <c r="G1532" s="178">
        <f>IFERROR(_xlfn.STDEV.P(Data[[#This Row],[alappatjoe]:[currydestroyer27]]), "TBD")</f>
        <v>1.0954451150103321</v>
      </c>
      <c r="H1532" s="160" t="s">
        <v>3021</v>
      </c>
      <c r="I1532" s="186" t="s">
        <v>3022</v>
      </c>
      <c r="J1532" s="3">
        <v>1</v>
      </c>
      <c r="K1532" s="3">
        <v>4</v>
      </c>
      <c r="L1532" s="3">
        <v>4</v>
      </c>
      <c r="M1532" s="3">
        <v>3</v>
      </c>
      <c r="N1532" s="3">
        <v>3</v>
      </c>
      <c r="O1532" s="238">
        <v>849914</v>
      </c>
      <c r="P1532" s="93"/>
      <c r="Q1532" s="93"/>
      <c r="R15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32" s="93">
        <v>1</v>
      </c>
      <c r="T1532" s="93" t="b">
        <f>Data[[#This Row],[Day Rank]]=Data[[#This Row],[W Rank]]</f>
        <v>0</v>
      </c>
      <c r="U1532" s="331"/>
    </row>
    <row r="1533" spans="1:21" ht="15" customHeight="1">
      <c r="A1533" s="326"/>
      <c r="B1533" s="326"/>
      <c r="C1533" s="339"/>
      <c r="D1533" s="81">
        <f>D1532</f>
        <v>46007</v>
      </c>
      <c r="E1533" s="140" t="str">
        <f>$K$1</f>
        <v>danram</v>
      </c>
      <c r="F1533" s="8">
        <f>IFERROR(AVERAGE(Data[[#This Row],[alappatjoe]:[currydestroyer27]]), "TBD")</f>
        <v>2.2000000000000002</v>
      </c>
      <c r="G1533" s="177">
        <f>IFERROR(_xlfn.STDEV.P(Data[[#This Row],[alappatjoe]:[currydestroyer27]]), "TBD")</f>
        <v>0.74833147735478833</v>
      </c>
      <c r="H1533" s="135" t="s">
        <v>3023</v>
      </c>
      <c r="I1533" s="229" t="s">
        <v>909</v>
      </c>
      <c r="J1533" s="3">
        <v>3</v>
      </c>
      <c r="K1533" s="3">
        <v>1</v>
      </c>
      <c r="L1533" s="3">
        <v>3</v>
      </c>
      <c r="M1533" s="3">
        <v>2</v>
      </c>
      <c r="N1533" s="3">
        <v>2</v>
      </c>
      <c r="O1533" s="238"/>
      <c r="P1533" s="93"/>
      <c r="Q1533" s="93"/>
      <c r="R15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33" s="93">
        <v>1</v>
      </c>
      <c r="T1533" s="93" t="b">
        <f>Data[[#This Row],[Day Rank]]=Data[[#This Row],[W Rank]]</f>
        <v>0</v>
      </c>
      <c r="U1533" s="323"/>
    </row>
    <row r="1534" spans="1:21" ht="15" customHeight="1">
      <c r="A1534" s="326"/>
      <c r="B1534" s="326"/>
      <c r="C1534" s="339"/>
      <c r="D1534" s="81">
        <f>D1532</f>
        <v>46007</v>
      </c>
      <c r="E1534" s="140" t="str">
        <f>$L$1</f>
        <v>loganworsdell</v>
      </c>
      <c r="F1534" s="8">
        <f>IFERROR(AVERAGE(Data[[#This Row],[alappatjoe]:[currydestroyer27]]), "TBD")</f>
        <v>2</v>
      </c>
      <c r="G1534" s="177">
        <f>IFERROR(_xlfn.STDEV.P(Data[[#This Row],[alappatjoe]:[currydestroyer27]]), "TBD")</f>
        <v>1.0954451150103321</v>
      </c>
      <c r="H1534" s="135" t="s">
        <v>3024</v>
      </c>
      <c r="I1534" s="229" t="s">
        <v>3025</v>
      </c>
      <c r="J1534" s="3">
        <v>2</v>
      </c>
      <c r="K1534" s="3">
        <v>2</v>
      </c>
      <c r="L1534" s="3">
        <v>1</v>
      </c>
      <c r="M1534" s="3">
        <v>4</v>
      </c>
      <c r="N1534" s="3">
        <v>1</v>
      </c>
      <c r="O1534" s="238">
        <v>8924805</v>
      </c>
      <c r="P1534" s="93"/>
      <c r="Q1534" s="93"/>
      <c r="R15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34" s="93">
        <v>1</v>
      </c>
      <c r="T1534" s="93" t="b">
        <f>Data[[#This Row],[Day Rank]]=Data[[#This Row],[W Rank]]</f>
        <v>1</v>
      </c>
      <c r="U1534" s="323"/>
    </row>
    <row r="1535" spans="1:21" ht="15" customHeight="1">
      <c r="A1535" s="326"/>
      <c r="B1535" s="326"/>
      <c r="C1535" s="339"/>
      <c r="D1535" s="81">
        <f>D1532</f>
        <v>46007</v>
      </c>
      <c r="E1535" s="140" t="str">
        <f>$M$1</f>
        <v>samuelbattista</v>
      </c>
      <c r="F1535" s="8">
        <f>IFERROR(AVERAGE(Data[[#This Row],[alappatjoe]:[currydestroyer27]]), "TBD")</f>
        <v>3.4</v>
      </c>
      <c r="G1535" s="177">
        <f>IFERROR(_xlfn.STDEV.P(Data[[#This Row],[alappatjoe]:[currydestroyer27]]), "TBD")</f>
        <v>1.3564659966250536</v>
      </c>
      <c r="H1535" s="135" t="s">
        <v>3026</v>
      </c>
      <c r="I1535" s="229" t="s">
        <v>3027</v>
      </c>
      <c r="J1535" s="3">
        <v>4</v>
      </c>
      <c r="K1535" s="3">
        <v>3</v>
      </c>
      <c r="L1535" s="3">
        <v>5</v>
      </c>
      <c r="M1535" s="3">
        <v>1</v>
      </c>
      <c r="N1535" s="3">
        <v>4</v>
      </c>
      <c r="O1535" s="238"/>
      <c r="P1535" s="93"/>
      <c r="Q1535" s="93"/>
      <c r="R15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35" s="93">
        <v>1</v>
      </c>
      <c r="T1535" s="93" t="b">
        <f>Data[[#This Row],[Day Rank]]=Data[[#This Row],[W Rank]]</f>
        <v>0</v>
      </c>
      <c r="U1535" s="323"/>
    </row>
    <row r="1536" spans="1:21" ht="15" customHeight="1" thickBot="1">
      <c r="A1536" s="327"/>
      <c r="B1536" s="327"/>
      <c r="C1536" s="340"/>
      <c r="D1536" s="164">
        <f>D1532</f>
        <v>46007</v>
      </c>
      <c r="E1536" s="215" t="str">
        <f>$N$1</f>
        <v>currydestroyer27</v>
      </c>
      <c r="F1536" s="165">
        <f>IFERROR(AVERAGE(Data[[#This Row],[alappatjoe]:[currydestroyer27]]), "TBD")</f>
        <v>4.4000000000000004</v>
      </c>
      <c r="G1536" s="256">
        <f>IFERROR(_xlfn.STDEV.P(Data[[#This Row],[alappatjoe]:[currydestroyer27]]), "TBD")</f>
        <v>1.2</v>
      </c>
      <c r="H1536" s="227" t="s">
        <v>3028</v>
      </c>
      <c r="I1536" s="257" t="s">
        <v>3029</v>
      </c>
      <c r="J1536" s="166">
        <v>5</v>
      </c>
      <c r="K1536" s="166">
        <v>5</v>
      </c>
      <c r="L1536" s="166">
        <v>2</v>
      </c>
      <c r="M1536" s="166">
        <v>5</v>
      </c>
      <c r="N1536" s="166">
        <v>5</v>
      </c>
      <c r="O1536" s="242">
        <v>9713</v>
      </c>
      <c r="P1536" s="167"/>
      <c r="Q1536" s="167"/>
      <c r="R153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36" s="167">
        <v>1</v>
      </c>
      <c r="T1536" s="167" t="b">
        <f>Data[[#This Row],[Day Rank]]=Data[[#This Row],[W Rank]]</f>
        <v>0</v>
      </c>
      <c r="U1536" s="324"/>
    </row>
    <row r="1537" spans="1:21" ht="15" customHeight="1">
      <c r="A1537" s="325">
        <v>46008</v>
      </c>
      <c r="B1537" s="325"/>
      <c r="C1537" s="328" t="str" cm="1">
        <f t="array" ref="C1537">_xlfn.LET(_xlpm.matches, _xlfn._xlws.FILTER(Data[Poster], (Data[Date]=A1537)*(Data[Winner]=TRUE)), IF(ROWS(_xlpm.matches)&gt;1, "TIE", _xlpm.matches))</f>
        <v>currydestroyer27</v>
      </c>
      <c r="D1537" s="147">
        <f>A1537</f>
        <v>46008</v>
      </c>
      <c r="E1537" s="181" t="str">
        <f>$J$1</f>
        <v>alappatjoe</v>
      </c>
      <c r="F1537" s="9">
        <f>IFERROR(AVERAGE(Data[[#This Row],[alappatjoe]:[currydestroyer27]]), "TBD")</f>
        <v>3.4</v>
      </c>
      <c r="G1537" s="178">
        <f>IFERROR(_xlfn.STDEV.P(Data[[#This Row],[alappatjoe]:[currydestroyer27]]), "TBD")</f>
        <v>1.6248076809271921</v>
      </c>
      <c r="H1537" s="160" t="s">
        <v>3030</v>
      </c>
      <c r="I1537" s="186" t="s">
        <v>3031</v>
      </c>
      <c r="J1537" s="3">
        <v>1</v>
      </c>
      <c r="K1537" s="3">
        <v>5</v>
      </c>
      <c r="L1537" s="3">
        <v>4</v>
      </c>
      <c r="M1537" s="3">
        <v>5</v>
      </c>
      <c r="N1537" s="3">
        <v>2</v>
      </c>
      <c r="O1537" s="238">
        <v>180210079</v>
      </c>
      <c r="P1537" s="93"/>
      <c r="Q1537" s="93"/>
      <c r="R15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37" s="93">
        <v>1</v>
      </c>
      <c r="T1537" s="93" t="b">
        <f>Data[[#This Row],[Day Rank]]=Data[[#This Row],[W Rank]]</f>
        <v>0</v>
      </c>
      <c r="U1537" s="331"/>
    </row>
    <row r="1538" spans="1:21" ht="15" customHeight="1">
      <c r="A1538" s="326"/>
      <c r="B1538" s="326"/>
      <c r="C1538" s="329"/>
      <c r="D1538" s="81">
        <f>D1537</f>
        <v>46008</v>
      </c>
      <c r="E1538" s="140" t="str">
        <f>$K$1</f>
        <v>danram</v>
      </c>
      <c r="F1538" s="8">
        <f>IFERROR(AVERAGE(Data[[#This Row],[alappatjoe]:[currydestroyer27]]), "TBD")</f>
        <v>3.6</v>
      </c>
      <c r="G1538" s="177">
        <f>IFERROR(_xlfn.STDEV.P(Data[[#This Row],[alappatjoe]:[currydestroyer27]]), "TBD")</f>
        <v>1.2</v>
      </c>
      <c r="H1538" s="135" t="s">
        <v>3032</v>
      </c>
      <c r="I1538" s="229" t="s">
        <v>3033</v>
      </c>
      <c r="J1538" s="3">
        <v>2</v>
      </c>
      <c r="K1538" s="3">
        <v>3</v>
      </c>
      <c r="L1538" s="3">
        <v>5</v>
      </c>
      <c r="M1538" s="3">
        <v>3</v>
      </c>
      <c r="N1538" s="3">
        <v>5</v>
      </c>
      <c r="O1538" s="238"/>
      <c r="P1538" s="93"/>
      <c r="Q1538" s="93"/>
      <c r="R15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38" s="93">
        <v>1</v>
      </c>
      <c r="T1538" s="93" t="b">
        <f>Data[[#This Row],[Day Rank]]=Data[[#This Row],[W Rank]]</f>
        <v>0</v>
      </c>
      <c r="U1538" s="323"/>
    </row>
    <row r="1539" spans="1:21" ht="15" customHeight="1">
      <c r="A1539" s="326"/>
      <c r="B1539" s="326"/>
      <c r="C1539" s="329"/>
      <c r="D1539" s="81">
        <f>D1537</f>
        <v>46008</v>
      </c>
      <c r="E1539" s="140" t="str">
        <f>$L$1</f>
        <v>loganworsdell</v>
      </c>
      <c r="F1539" s="8">
        <f>IFERROR(AVERAGE(Data[[#This Row],[alappatjoe]:[currydestroyer27]]), "TBD")</f>
        <v>3.4</v>
      </c>
      <c r="G1539" s="177">
        <f>IFERROR(_xlfn.STDEV.P(Data[[#This Row],[alappatjoe]:[currydestroyer27]]), "TBD")</f>
        <v>1.2</v>
      </c>
      <c r="H1539" s="135" t="s">
        <v>3034</v>
      </c>
      <c r="I1539" s="229" t="s">
        <v>3035</v>
      </c>
      <c r="J1539" s="3">
        <v>5</v>
      </c>
      <c r="K1539" s="3">
        <v>4</v>
      </c>
      <c r="L1539" s="3">
        <v>2</v>
      </c>
      <c r="M1539" s="3">
        <v>2</v>
      </c>
      <c r="N1539" s="3">
        <v>4</v>
      </c>
      <c r="O1539" s="238">
        <v>323619</v>
      </c>
      <c r="P1539" s="93"/>
      <c r="Q1539" s="93"/>
      <c r="R15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39" s="93">
        <v>1</v>
      </c>
      <c r="T1539" s="93" t="b">
        <f>Data[[#This Row],[Day Rank]]=Data[[#This Row],[W Rank]]</f>
        <v>0</v>
      </c>
      <c r="U1539" s="323"/>
    </row>
    <row r="1540" spans="1:21" ht="15" customHeight="1">
      <c r="A1540" s="326"/>
      <c r="B1540" s="326"/>
      <c r="C1540" s="329"/>
      <c r="D1540" s="81">
        <f>D1537</f>
        <v>46008</v>
      </c>
      <c r="E1540" s="140" t="str">
        <f>$M$1</f>
        <v>samuelbattista</v>
      </c>
      <c r="F1540" s="8">
        <f>IFERROR(AVERAGE(Data[[#This Row],[alappatjoe]:[currydestroyer27]]), "TBD")</f>
        <v>2.4</v>
      </c>
      <c r="G1540" s="177">
        <f>IFERROR(_xlfn.STDEV.P(Data[[#This Row],[alappatjoe]:[currydestroyer27]]), "TBD")</f>
        <v>0.8</v>
      </c>
      <c r="H1540" s="135" t="s">
        <v>3036</v>
      </c>
      <c r="I1540" s="229" t="s">
        <v>3037</v>
      </c>
      <c r="J1540" s="3">
        <v>3</v>
      </c>
      <c r="K1540" s="3">
        <v>2</v>
      </c>
      <c r="L1540" s="3">
        <v>3</v>
      </c>
      <c r="M1540" s="3">
        <v>1</v>
      </c>
      <c r="N1540" s="3">
        <v>3</v>
      </c>
      <c r="O1540" s="238"/>
      <c r="P1540" s="93"/>
      <c r="Q1540" s="93"/>
      <c r="R15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40" s="93">
        <v>1</v>
      </c>
      <c r="T1540" s="93" t="b">
        <f>Data[[#This Row],[Day Rank]]=Data[[#This Row],[W Rank]]</f>
        <v>0</v>
      </c>
      <c r="U1540" s="323"/>
    </row>
    <row r="1541" spans="1:21" ht="15" customHeight="1" thickBot="1">
      <c r="A1541" s="327"/>
      <c r="B1541" s="327"/>
      <c r="C1541" s="330"/>
      <c r="D1541" s="164">
        <f>D1537</f>
        <v>46008</v>
      </c>
      <c r="E1541" s="215" t="str">
        <f>$N$1</f>
        <v>currydestroyer27</v>
      </c>
      <c r="F1541" s="165">
        <f>IFERROR(AVERAGE(Data[[#This Row],[alappatjoe]:[currydestroyer27]]), "TBD")</f>
        <v>2.2000000000000002</v>
      </c>
      <c r="G1541" s="256">
        <f>IFERROR(_xlfn.STDEV.P(Data[[#This Row],[alappatjoe]:[currydestroyer27]]), "TBD")</f>
        <v>1.4696938456699069</v>
      </c>
      <c r="H1541" s="227" t="s">
        <v>3038</v>
      </c>
      <c r="I1541" s="257" t="s">
        <v>3039</v>
      </c>
      <c r="J1541" s="166">
        <v>4</v>
      </c>
      <c r="K1541" s="166">
        <v>1</v>
      </c>
      <c r="L1541" s="166">
        <v>1</v>
      </c>
      <c r="M1541" s="166">
        <v>4</v>
      </c>
      <c r="N1541" s="166">
        <v>1</v>
      </c>
      <c r="O1541" s="242">
        <v>21178971</v>
      </c>
      <c r="P1541" s="167"/>
      <c r="Q1541" s="167"/>
      <c r="R154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41" s="167">
        <v>1</v>
      </c>
      <c r="T1541" s="167" t="b">
        <f>Data[[#This Row],[Day Rank]]=Data[[#This Row],[W Rank]]</f>
        <v>1</v>
      </c>
      <c r="U1541" s="324"/>
    </row>
    <row r="1542" spans="1:21" ht="15" customHeight="1">
      <c r="A1542" s="325">
        <v>46009</v>
      </c>
      <c r="B1542" s="325"/>
      <c r="C1542" s="338" t="str" cm="1">
        <f t="array" ref="C1542">_xlfn.LET(_xlpm.matches, _xlfn._xlws.FILTER(Data[Poster], (Data[Date]=A1542)*(Data[Winner]=TRUE)), IF(ROWS(_xlpm.matches)&gt;1, "TIE", _xlpm.matches))</f>
        <v>currydestroyer27</v>
      </c>
      <c r="D1542" s="147">
        <f>A1542</f>
        <v>46009</v>
      </c>
      <c r="E1542" s="181" t="str">
        <f>$J$1</f>
        <v>alappatjoe</v>
      </c>
      <c r="F1542" s="9">
        <f>IFERROR(AVERAGE(Data[[#This Row],[alappatjoe]:[currydestroyer27]]), "TBD")</f>
        <v>2.6</v>
      </c>
      <c r="G1542" s="178">
        <f>IFERROR(_xlfn.STDEV.P(Data[[#This Row],[alappatjoe]:[currydestroyer27]]), "TBD")</f>
        <v>1.019803902718557</v>
      </c>
      <c r="H1542" s="160" t="s">
        <v>3040</v>
      </c>
      <c r="I1542" s="186" t="s">
        <v>122</v>
      </c>
      <c r="J1542" s="3">
        <v>1</v>
      </c>
      <c r="K1542" s="3">
        <v>2</v>
      </c>
      <c r="L1542" s="3">
        <v>4</v>
      </c>
      <c r="M1542" s="3">
        <v>3</v>
      </c>
      <c r="N1542" s="3">
        <v>3</v>
      </c>
      <c r="O1542" s="238">
        <v>204286106</v>
      </c>
      <c r="P1542" s="93"/>
      <c r="Q1542" s="93"/>
      <c r="R15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42" s="93">
        <v>1</v>
      </c>
      <c r="T1542" s="93" t="b">
        <f>Data[[#This Row],[Day Rank]]=Data[[#This Row],[W Rank]]</f>
        <v>0</v>
      </c>
      <c r="U1542" s="331" t="s">
        <v>1248</v>
      </c>
    </row>
    <row r="1543" spans="1:21" ht="15" customHeight="1">
      <c r="A1543" s="326"/>
      <c r="B1543" s="326"/>
      <c r="C1543" s="339"/>
      <c r="D1543" s="81">
        <f>D1542</f>
        <v>46009</v>
      </c>
      <c r="E1543" s="140" t="str">
        <f>$K$1</f>
        <v>danram</v>
      </c>
      <c r="F1543" s="8">
        <f>IFERROR(AVERAGE(Data[[#This Row],[alappatjoe]:[currydestroyer27]]), "TBD")</f>
        <v>2</v>
      </c>
      <c r="G1543" s="177">
        <f>IFERROR(_xlfn.STDEV.P(Data[[#This Row],[alappatjoe]:[currydestroyer27]]), "TBD")</f>
        <v>1.2649110640673518</v>
      </c>
      <c r="H1543" s="135" t="s">
        <v>3041</v>
      </c>
      <c r="I1543" s="229" t="s">
        <v>3042</v>
      </c>
      <c r="J1543" s="3">
        <v>3</v>
      </c>
      <c r="K1543" s="3">
        <v>1</v>
      </c>
      <c r="L1543" s="3">
        <v>1</v>
      </c>
      <c r="M1543" s="3">
        <v>1</v>
      </c>
      <c r="N1543" s="3">
        <v>4</v>
      </c>
      <c r="O1543" s="238"/>
      <c r="P1543" s="93"/>
      <c r="Q1543" s="93"/>
      <c r="R15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43" s="93">
        <v>1</v>
      </c>
      <c r="T1543" s="93" t="b">
        <f>Data[[#This Row],[Day Rank]]=Data[[#This Row],[W Rank]]</f>
        <v>0</v>
      </c>
      <c r="U1543" s="323"/>
    </row>
    <row r="1544" spans="1:21" ht="15" customHeight="1">
      <c r="A1544" s="326"/>
      <c r="B1544" s="326"/>
      <c r="C1544" s="339"/>
      <c r="D1544" s="81">
        <f>D1542</f>
        <v>46009</v>
      </c>
      <c r="E1544" s="140" t="str">
        <f>$L$1</f>
        <v>loganworsdell</v>
      </c>
      <c r="F1544" s="8">
        <f>IFERROR(AVERAGE(Data[[#This Row],[alappatjoe]:[currydestroyer27]]), "TBD")</f>
        <v>3.4</v>
      </c>
      <c r="G1544" s="177">
        <f>IFERROR(_xlfn.STDEV.P(Data[[#This Row],[alappatjoe]:[currydestroyer27]]), "TBD")</f>
        <v>0.8</v>
      </c>
      <c r="H1544" s="135" t="s">
        <v>3043</v>
      </c>
      <c r="I1544" s="229" t="s">
        <v>1619</v>
      </c>
      <c r="J1544" s="3">
        <v>4</v>
      </c>
      <c r="K1544" s="3">
        <v>4</v>
      </c>
      <c r="L1544" s="3">
        <v>3</v>
      </c>
      <c r="M1544" s="3">
        <v>4</v>
      </c>
      <c r="N1544" s="3">
        <v>2</v>
      </c>
      <c r="O1544" s="238">
        <v>12423526</v>
      </c>
      <c r="P1544" s="93"/>
      <c r="Q1544" s="93"/>
      <c r="R15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44" s="93">
        <v>1</v>
      </c>
      <c r="T1544" s="93" t="b">
        <f>Data[[#This Row],[Day Rank]]=Data[[#This Row],[W Rank]]</f>
        <v>0</v>
      </c>
      <c r="U1544" s="323"/>
    </row>
    <row r="1545" spans="1:21" ht="15" customHeight="1">
      <c r="A1545" s="326"/>
      <c r="B1545" s="326"/>
      <c r="C1545" s="339"/>
      <c r="D1545" s="81">
        <f>D1542</f>
        <v>46009</v>
      </c>
      <c r="E1545" s="140" t="str">
        <f>$M$1</f>
        <v>samuelbattista</v>
      </c>
      <c r="F1545" s="8">
        <f>IFERROR(AVERAGE(Data[[#This Row],[alappatjoe]:[currydestroyer27]]), "TBD")</f>
        <v>5</v>
      </c>
      <c r="G1545" s="177">
        <f>IFERROR(_xlfn.STDEV.P(Data[[#This Row],[alappatjoe]:[currydestroyer27]]), "TBD")</f>
        <v>0</v>
      </c>
      <c r="H1545" s="135" t="s">
        <v>3044</v>
      </c>
      <c r="I1545" s="229" t="s">
        <v>3045</v>
      </c>
      <c r="J1545" s="3">
        <v>5</v>
      </c>
      <c r="K1545" s="3">
        <v>5</v>
      </c>
      <c r="L1545" s="3">
        <v>5</v>
      </c>
      <c r="M1545" s="3">
        <v>5</v>
      </c>
      <c r="N1545" s="3">
        <v>5</v>
      </c>
      <c r="O1545" s="238"/>
      <c r="P1545" s="93"/>
      <c r="Q1545" s="93"/>
      <c r="R15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45" s="93">
        <v>1</v>
      </c>
      <c r="T1545" s="93" t="b">
        <f>Data[[#This Row],[Day Rank]]=Data[[#This Row],[W Rank]]</f>
        <v>0</v>
      </c>
      <c r="U1545" s="323"/>
    </row>
    <row r="1546" spans="1:21" ht="15" customHeight="1" thickBot="1">
      <c r="A1546" s="327"/>
      <c r="B1546" s="327"/>
      <c r="C1546" s="340"/>
      <c r="D1546" s="164">
        <f>D1542</f>
        <v>46009</v>
      </c>
      <c r="E1546" s="215" t="str">
        <f>$N$1</f>
        <v>currydestroyer27</v>
      </c>
      <c r="F1546" s="165">
        <f>IFERROR(AVERAGE(Data[[#This Row],[alappatjoe]:[currydestroyer27]]), "TBD")</f>
        <v>2</v>
      </c>
      <c r="G1546" s="256">
        <f>IFERROR(_xlfn.STDEV.P(Data[[#This Row],[alappatjoe]:[currydestroyer27]]), "TBD")</f>
        <v>0.63245553203367588</v>
      </c>
      <c r="H1546" s="227" t="s">
        <v>3046</v>
      </c>
      <c r="I1546" s="257" t="s">
        <v>3047</v>
      </c>
      <c r="J1546" s="166">
        <v>2</v>
      </c>
      <c r="K1546" s="166">
        <v>3</v>
      </c>
      <c r="L1546" s="166">
        <v>2</v>
      </c>
      <c r="M1546" s="166">
        <v>2</v>
      </c>
      <c r="N1546" s="166">
        <v>1</v>
      </c>
      <c r="O1546" s="242">
        <v>14721426</v>
      </c>
      <c r="P1546" s="167"/>
      <c r="Q1546" s="167"/>
      <c r="R154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46" s="167">
        <v>1</v>
      </c>
      <c r="T1546" s="167" t="b">
        <f>Data[[#This Row],[Day Rank]]=Data[[#This Row],[W Rank]]</f>
        <v>1</v>
      </c>
      <c r="U1546" s="324"/>
    </row>
    <row r="1547" spans="1:21" ht="15" customHeight="1">
      <c r="A1547" s="325">
        <v>46027</v>
      </c>
      <c r="B1547" s="325"/>
      <c r="C1547" s="328" t="str" cm="1">
        <f t="array" ref="C1547">_xlfn.LET(_xlpm.matches, _xlfn._xlws.FILTER(Data[Poster], (Data[Date]=A1547)*(Data[Winner]=TRUE)), IF(ROWS(_xlpm.matches)&gt;1, "TIE", _xlpm.matches))</f>
        <v>samuelbattista</v>
      </c>
      <c r="D1547" s="147">
        <f>A1547</f>
        <v>46027</v>
      </c>
      <c r="E1547" s="181" t="str">
        <f>$J$1</f>
        <v>alappatjoe</v>
      </c>
      <c r="F1547" s="9">
        <f>IFERROR(AVERAGE(Data[[#This Row],[alappatjoe]:[currydestroyer27]]), "TBD")</f>
        <v>3</v>
      </c>
      <c r="G1547" s="178">
        <f>IFERROR(_xlfn.STDEV.P(Data[[#This Row],[alappatjoe]:[currydestroyer27]]), "TBD")</f>
        <v>1.6733200530681511</v>
      </c>
      <c r="H1547" s="160" t="s">
        <v>3048</v>
      </c>
      <c r="I1547" s="186" t="s">
        <v>3049</v>
      </c>
      <c r="J1547" s="3">
        <v>1</v>
      </c>
      <c r="K1547" s="3">
        <v>2</v>
      </c>
      <c r="L1547" s="3">
        <v>5</v>
      </c>
      <c r="M1547" s="3">
        <v>2</v>
      </c>
      <c r="N1547" s="3">
        <v>5</v>
      </c>
      <c r="O1547" s="238">
        <v>44388974</v>
      </c>
      <c r="P1547" s="93"/>
      <c r="Q1547" s="93"/>
      <c r="R15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47" s="93">
        <v>1</v>
      </c>
      <c r="T1547" s="93" t="b">
        <f>Data[[#This Row],[Day Rank]]=Data[[#This Row],[W Rank]]</f>
        <v>0</v>
      </c>
      <c r="U1547" s="331"/>
    </row>
    <row r="1548" spans="1:21" ht="15" customHeight="1">
      <c r="A1548" s="326"/>
      <c r="B1548" s="326"/>
      <c r="C1548" s="329"/>
      <c r="D1548" s="81">
        <f>D1547</f>
        <v>46027</v>
      </c>
      <c r="E1548" s="140" t="str">
        <f>$K$1</f>
        <v>danram</v>
      </c>
      <c r="F1548" s="8">
        <f>IFERROR(AVERAGE(Data[[#This Row],[alappatjoe]:[currydestroyer27]]), "TBD")</f>
        <v>3.8</v>
      </c>
      <c r="G1548" s="177">
        <f>IFERROR(_xlfn.STDEV.P(Data[[#This Row],[alappatjoe]:[currydestroyer27]]), "TBD")</f>
        <v>0.4</v>
      </c>
      <c r="H1548" s="135" t="s">
        <v>3050</v>
      </c>
      <c r="I1548" s="229" t="s">
        <v>3051</v>
      </c>
      <c r="J1548" s="3">
        <v>4</v>
      </c>
      <c r="K1548" s="3">
        <v>4</v>
      </c>
      <c r="L1548" s="3">
        <v>4</v>
      </c>
      <c r="M1548" s="3">
        <v>3</v>
      </c>
      <c r="N1548" s="3">
        <v>4</v>
      </c>
      <c r="O1548" s="238"/>
      <c r="P1548" s="93"/>
      <c r="Q1548" s="93"/>
      <c r="R15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48" s="93">
        <v>1</v>
      </c>
      <c r="T1548" s="93" t="b">
        <f>Data[[#This Row],[Day Rank]]=Data[[#This Row],[W Rank]]</f>
        <v>0</v>
      </c>
      <c r="U1548" s="323"/>
    </row>
    <row r="1549" spans="1:21" ht="15" customHeight="1">
      <c r="A1549" s="326"/>
      <c r="B1549" s="326"/>
      <c r="C1549" s="329"/>
      <c r="D1549" s="81">
        <f>D1547</f>
        <v>46027</v>
      </c>
      <c r="E1549" s="140" t="str">
        <f>$L$1</f>
        <v>loganworsdell</v>
      </c>
      <c r="F1549" s="8">
        <f>IFERROR(AVERAGE(Data[[#This Row],[alappatjoe]:[currydestroyer27]]), "TBD")</f>
        <v>3</v>
      </c>
      <c r="G1549" s="177">
        <f>IFERROR(_xlfn.STDEV.P(Data[[#This Row],[alappatjoe]:[currydestroyer27]]), "TBD")</f>
        <v>1.0954451150103321</v>
      </c>
      <c r="H1549" s="135" t="s">
        <v>3052</v>
      </c>
      <c r="I1549" s="229" t="s">
        <v>57</v>
      </c>
      <c r="J1549" s="3">
        <v>3</v>
      </c>
      <c r="K1549" s="3">
        <v>3</v>
      </c>
      <c r="L1549" s="3">
        <v>2</v>
      </c>
      <c r="M1549" s="3">
        <v>5</v>
      </c>
      <c r="N1549" s="3">
        <v>2</v>
      </c>
      <c r="O1549" s="238">
        <v>64738</v>
      </c>
      <c r="P1549" s="93"/>
      <c r="Q1549" s="93"/>
      <c r="R15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49" s="93">
        <v>1</v>
      </c>
      <c r="T1549" s="93" t="b">
        <f>Data[[#This Row],[Day Rank]]=Data[[#This Row],[W Rank]]</f>
        <v>0</v>
      </c>
      <c r="U1549" s="323"/>
    </row>
    <row r="1550" spans="1:21" ht="15" customHeight="1">
      <c r="A1550" s="326"/>
      <c r="B1550" s="326"/>
      <c r="C1550" s="329"/>
      <c r="D1550" s="81">
        <f>D1547</f>
        <v>46027</v>
      </c>
      <c r="E1550" s="140" t="str">
        <f>$M$1</f>
        <v>samuelbattista</v>
      </c>
      <c r="F1550" s="8">
        <f>IFERROR(AVERAGE(Data[[#This Row],[alappatjoe]:[currydestroyer27]]), "TBD")</f>
        <v>2</v>
      </c>
      <c r="G1550" s="177">
        <f>IFERROR(_xlfn.STDEV.P(Data[[#This Row],[alappatjoe]:[currydestroyer27]]), "TBD")</f>
        <v>0.89442719099991586</v>
      </c>
      <c r="H1550" s="135" t="s">
        <v>3053</v>
      </c>
      <c r="I1550" s="229" t="s">
        <v>3054</v>
      </c>
      <c r="J1550" s="3">
        <v>2</v>
      </c>
      <c r="K1550" s="3">
        <v>1</v>
      </c>
      <c r="L1550" s="3">
        <v>3</v>
      </c>
      <c r="M1550" s="3">
        <v>1</v>
      </c>
      <c r="N1550" s="3">
        <v>3</v>
      </c>
      <c r="O1550" s="238"/>
      <c r="P1550" s="93"/>
      <c r="Q1550" s="93"/>
      <c r="R15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50" s="93">
        <v>1</v>
      </c>
      <c r="T1550" s="93" t="b">
        <f>Data[[#This Row],[Day Rank]]=Data[[#This Row],[W Rank]]</f>
        <v>1</v>
      </c>
      <c r="U1550" s="323"/>
    </row>
    <row r="1551" spans="1:21" ht="15" customHeight="1" thickBot="1">
      <c r="A1551" s="327"/>
      <c r="B1551" s="327"/>
      <c r="C1551" s="330"/>
      <c r="D1551" s="164">
        <f>D1547</f>
        <v>46027</v>
      </c>
      <c r="E1551" s="215" t="str">
        <f>$N$1</f>
        <v>currydestroyer27</v>
      </c>
      <c r="F1551" s="165">
        <f>IFERROR(AVERAGE(Data[[#This Row],[alappatjoe]:[currydestroyer27]]), "TBD")</f>
        <v>3.2</v>
      </c>
      <c r="G1551" s="256">
        <f>IFERROR(_xlfn.STDEV.P(Data[[#This Row],[alappatjoe]:[currydestroyer27]]), "TBD")</f>
        <v>1.833030277982336</v>
      </c>
      <c r="H1551" s="227" t="s">
        <v>3055</v>
      </c>
      <c r="I1551" s="257" t="s">
        <v>71</v>
      </c>
      <c r="J1551" s="166">
        <v>5</v>
      </c>
      <c r="K1551" s="166">
        <v>5</v>
      </c>
      <c r="L1551" s="166">
        <v>1</v>
      </c>
      <c r="M1551" s="166">
        <v>4</v>
      </c>
      <c r="N1551" s="166">
        <v>1</v>
      </c>
      <c r="O1551" s="242">
        <v>29039747</v>
      </c>
      <c r="P1551" s="167"/>
      <c r="Q1551" s="167"/>
      <c r="R155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51" s="167">
        <v>1</v>
      </c>
      <c r="T1551" s="167" t="b">
        <f>Data[[#This Row],[Day Rank]]=Data[[#This Row],[W Rank]]</f>
        <v>0</v>
      </c>
      <c r="U1551" s="324"/>
    </row>
    <row r="1552" spans="1:21" ht="15" customHeight="1">
      <c r="A1552" s="325">
        <v>46028</v>
      </c>
      <c r="B1552" s="325"/>
      <c r="C1552" s="338" t="str" cm="1">
        <f t="array" ref="C1552">_xlfn.LET(_xlpm.matches, _xlfn._xlws.FILTER(Data[Poster], (Data[Date]=A1552)*(Data[Winner]=TRUE)), IF(ROWS(_xlpm.matches)&gt;1, "TIE", _xlpm.matches))</f>
        <v>alappatjoe</v>
      </c>
      <c r="D1552" s="147">
        <f>A1552</f>
        <v>46028</v>
      </c>
      <c r="E1552" s="181" t="str">
        <f>$J$1</f>
        <v>alappatjoe</v>
      </c>
      <c r="F1552" s="9">
        <f>IFERROR(AVERAGE(Data[[#This Row],[alappatjoe]:[currydestroyer27]]), "TBD")</f>
        <v>1.6</v>
      </c>
      <c r="G1552" s="178">
        <f>IFERROR(_xlfn.STDEV.P(Data[[#This Row],[alappatjoe]:[currydestroyer27]]), "TBD")</f>
        <v>0.4898979485566356</v>
      </c>
      <c r="H1552" s="160" t="s">
        <v>2948</v>
      </c>
      <c r="I1552" s="186" t="s">
        <v>3056</v>
      </c>
      <c r="J1552" s="3">
        <v>1</v>
      </c>
      <c r="K1552" s="3">
        <v>1</v>
      </c>
      <c r="L1552" s="3">
        <v>2</v>
      </c>
      <c r="M1552" s="3">
        <v>2</v>
      </c>
      <c r="N1552" s="3">
        <v>2</v>
      </c>
      <c r="O1552" s="238">
        <v>744690</v>
      </c>
      <c r="P1552" s="93"/>
      <c r="Q1552" s="93"/>
      <c r="R15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52" s="93">
        <v>1</v>
      </c>
      <c r="T1552" s="93" t="b">
        <f>Data[[#This Row],[Day Rank]]=Data[[#This Row],[W Rank]]</f>
        <v>1</v>
      </c>
      <c r="U1552" s="331"/>
    </row>
    <row r="1553" spans="1:21" ht="15" customHeight="1">
      <c r="A1553" s="326"/>
      <c r="B1553" s="326"/>
      <c r="C1553" s="339"/>
      <c r="D1553" s="81">
        <f>D1552</f>
        <v>46028</v>
      </c>
      <c r="E1553" s="140" t="str">
        <f>$K$1</f>
        <v>danram</v>
      </c>
      <c r="F1553" s="8">
        <f>IFERROR(AVERAGE(Data[[#This Row],[alappatjoe]:[currydestroyer27]]), "TBD")</f>
        <v>3.8</v>
      </c>
      <c r="G1553" s="177">
        <f>IFERROR(_xlfn.STDEV.P(Data[[#This Row],[alappatjoe]:[currydestroyer27]]), "TBD")</f>
        <v>1.1661903789690602</v>
      </c>
      <c r="H1553" s="135" t="s">
        <v>3057</v>
      </c>
      <c r="I1553" s="229" t="s">
        <v>3058</v>
      </c>
      <c r="J1553" s="3">
        <v>2</v>
      </c>
      <c r="K1553" s="3">
        <v>3</v>
      </c>
      <c r="L1553" s="3">
        <v>4</v>
      </c>
      <c r="M1553" s="3">
        <v>5</v>
      </c>
      <c r="N1553" s="3">
        <v>5</v>
      </c>
      <c r="O1553" s="238"/>
      <c r="P1553" s="93"/>
      <c r="Q1553" s="93"/>
      <c r="R15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53" s="93">
        <v>1</v>
      </c>
      <c r="T1553" s="93" t="b">
        <f>Data[[#This Row],[Day Rank]]=Data[[#This Row],[W Rank]]</f>
        <v>0</v>
      </c>
      <c r="U1553" s="323"/>
    </row>
    <row r="1554" spans="1:21" ht="15" customHeight="1">
      <c r="A1554" s="326"/>
      <c r="B1554" s="326"/>
      <c r="C1554" s="339"/>
      <c r="D1554" s="81">
        <f>D1552</f>
        <v>46028</v>
      </c>
      <c r="E1554" s="140" t="str">
        <f>$L$1</f>
        <v>loganworsdell</v>
      </c>
      <c r="F1554" s="8">
        <f>IFERROR(AVERAGE(Data[[#This Row],[alappatjoe]:[currydestroyer27]]), "TBD")</f>
        <v>3.6</v>
      </c>
      <c r="G1554" s="177">
        <f>IFERROR(_xlfn.STDEV.P(Data[[#This Row],[alappatjoe]:[currydestroyer27]]), "TBD")</f>
        <v>1.4966629547095767</v>
      </c>
      <c r="H1554" s="135" t="s">
        <v>3059</v>
      </c>
      <c r="I1554" s="229" t="s">
        <v>71</v>
      </c>
      <c r="J1554" s="3">
        <v>5</v>
      </c>
      <c r="K1554" s="3">
        <v>5</v>
      </c>
      <c r="L1554" s="3">
        <v>1</v>
      </c>
      <c r="M1554" s="3">
        <v>3</v>
      </c>
      <c r="N1554" s="3">
        <v>4</v>
      </c>
      <c r="O1554" s="238">
        <v>123467482</v>
      </c>
      <c r="P1554" s="93"/>
      <c r="Q1554" s="93"/>
      <c r="R15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54" s="93">
        <v>1</v>
      </c>
      <c r="T1554" s="93" t="b">
        <f>Data[[#This Row],[Day Rank]]=Data[[#This Row],[W Rank]]</f>
        <v>0</v>
      </c>
      <c r="U1554" s="323"/>
    </row>
    <row r="1555" spans="1:21" ht="15" customHeight="1">
      <c r="A1555" s="326"/>
      <c r="B1555" s="326"/>
      <c r="C1555" s="339"/>
      <c r="D1555" s="81">
        <f>D1552</f>
        <v>46028</v>
      </c>
      <c r="E1555" s="140" t="str">
        <f>$M$1</f>
        <v>samuelbattista</v>
      </c>
      <c r="F1555" s="8">
        <f>IFERROR(AVERAGE(Data[[#This Row],[alappatjoe]:[currydestroyer27]]), "TBD")</f>
        <v>3</v>
      </c>
      <c r="G1555" s="177">
        <f>IFERROR(_xlfn.STDEV.P(Data[[#This Row],[alappatjoe]:[currydestroyer27]]), "TBD")</f>
        <v>1.4142135623730951</v>
      </c>
      <c r="H1555" s="135" t="s">
        <v>1067</v>
      </c>
      <c r="I1555" s="229" t="s">
        <v>3060</v>
      </c>
      <c r="J1555" s="3">
        <v>4</v>
      </c>
      <c r="K1555" s="3">
        <v>2</v>
      </c>
      <c r="L1555" s="3">
        <v>5</v>
      </c>
      <c r="M1555" s="3">
        <v>1</v>
      </c>
      <c r="N1555" s="3">
        <v>3</v>
      </c>
      <c r="O1555" s="238"/>
      <c r="P1555" s="93"/>
      <c r="Q1555" s="93"/>
      <c r="R15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55" s="93">
        <v>1</v>
      </c>
      <c r="T1555" s="93" t="b">
        <f>Data[[#This Row],[Day Rank]]=Data[[#This Row],[W Rank]]</f>
        <v>0</v>
      </c>
      <c r="U1555" s="323"/>
    </row>
    <row r="1556" spans="1:21" ht="15" customHeight="1" thickBot="1">
      <c r="A1556" s="327"/>
      <c r="B1556" s="327"/>
      <c r="C1556" s="340"/>
      <c r="D1556" s="164">
        <f>D1552</f>
        <v>46028</v>
      </c>
      <c r="E1556" s="215" t="str">
        <f>$N$1</f>
        <v>currydestroyer27</v>
      </c>
      <c r="F1556" s="165">
        <f>IFERROR(AVERAGE(Data[[#This Row],[alappatjoe]:[currydestroyer27]]), "TBD")</f>
        <v>3</v>
      </c>
      <c r="G1556" s="256">
        <f>IFERROR(_xlfn.STDEV.P(Data[[#This Row],[alappatjoe]:[currydestroyer27]]), "TBD")</f>
        <v>1.0954451150103321</v>
      </c>
      <c r="H1556" s="227" t="s">
        <v>3061</v>
      </c>
      <c r="I1556" s="257" t="s">
        <v>655</v>
      </c>
      <c r="J1556" s="166">
        <v>3</v>
      </c>
      <c r="K1556" s="166">
        <v>4</v>
      </c>
      <c r="L1556" s="166">
        <v>3</v>
      </c>
      <c r="M1556" s="166">
        <v>4</v>
      </c>
      <c r="N1556" s="166">
        <v>1</v>
      </c>
      <c r="O1556" s="242">
        <v>87835145</v>
      </c>
      <c r="P1556" s="167" t="s">
        <v>76</v>
      </c>
      <c r="Q1556" s="167" t="s">
        <v>99</v>
      </c>
      <c r="R155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56" s="167">
        <v>1</v>
      </c>
      <c r="T1556" s="167" t="b">
        <f>Data[[#This Row],[Day Rank]]=Data[[#This Row],[W Rank]]</f>
        <v>0</v>
      </c>
      <c r="U1556" s="324"/>
    </row>
    <row r="1557" spans="1:21" ht="15" customHeight="1">
      <c r="A1557" s="325">
        <v>46029</v>
      </c>
      <c r="B1557" s="325"/>
      <c r="C1557" s="328" t="str" cm="1">
        <f t="array" ref="C1557">_xlfn.LET(_xlpm.matches, _xlfn._xlws.FILTER(Data[Poster], (Data[Date]=A1557)*(Data[Winner]=TRUE)), IF(ROWS(_xlpm.matches)&gt;1, "TIE", _xlpm.matches))</f>
        <v>loganworsdell</v>
      </c>
      <c r="D1557" s="147">
        <f>A1557</f>
        <v>46029</v>
      </c>
      <c r="E1557" s="181" t="str">
        <f>$J$1</f>
        <v>alappatjoe</v>
      </c>
      <c r="F1557" s="9">
        <f>IFERROR(AVERAGE(Data[[#This Row],[alappatjoe]:[currydestroyer27]]), "TBD")</f>
        <v>3.8</v>
      </c>
      <c r="G1557" s="178">
        <f>IFERROR(_xlfn.STDEV.P(Data[[#This Row],[alappatjoe]:[currydestroyer27]]), "TBD")</f>
        <v>0.74833147735478833</v>
      </c>
      <c r="H1557" s="160" t="s">
        <v>3062</v>
      </c>
      <c r="I1557" s="186" t="s">
        <v>3063</v>
      </c>
      <c r="J1557" s="3">
        <v>3</v>
      </c>
      <c r="K1557" s="3">
        <v>4</v>
      </c>
      <c r="L1557" s="3">
        <v>4</v>
      </c>
      <c r="M1557" s="3">
        <v>5</v>
      </c>
      <c r="N1557" s="3">
        <v>3</v>
      </c>
      <c r="O1557" s="238">
        <v>53835808</v>
      </c>
      <c r="P1557" s="93"/>
      <c r="Q1557" s="93"/>
      <c r="R15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57" s="93">
        <v>1</v>
      </c>
      <c r="T1557" s="93" t="b">
        <f>Data[[#This Row],[Day Rank]]=Data[[#This Row],[W Rank]]</f>
        <v>0</v>
      </c>
      <c r="U1557" s="331"/>
    </row>
    <row r="1558" spans="1:21" ht="15" customHeight="1">
      <c r="A1558" s="326"/>
      <c r="B1558" s="326"/>
      <c r="C1558" s="329"/>
      <c r="D1558" s="81">
        <f>D1557</f>
        <v>46029</v>
      </c>
      <c r="E1558" s="140" t="str">
        <f>$K$1</f>
        <v>danram</v>
      </c>
      <c r="F1558" s="8">
        <f>IFERROR(AVERAGE(Data[[#This Row],[alappatjoe]:[currydestroyer27]]), "TBD")</f>
        <v>2.8</v>
      </c>
      <c r="G1558" s="177">
        <f>IFERROR(_xlfn.STDEV.P(Data[[#This Row],[alappatjoe]:[currydestroyer27]]), "TBD")</f>
        <v>1.3266499161421599</v>
      </c>
      <c r="H1558" s="135" t="s">
        <v>3064</v>
      </c>
      <c r="I1558" s="229" t="s">
        <v>657</v>
      </c>
      <c r="J1558" s="3">
        <v>5</v>
      </c>
      <c r="K1558" s="3">
        <v>1</v>
      </c>
      <c r="L1558" s="3">
        <v>3</v>
      </c>
      <c r="M1558" s="3">
        <v>3</v>
      </c>
      <c r="N1558" s="3">
        <v>2</v>
      </c>
      <c r="O1558" s="238"/>
      <c r="P1558" s="93"/>
      <c r="Q1558" s="93"/>
      <c r="R15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58" s="93">
        <v>1</v>
      </c>
      <c r="T1558" s="93" t="b">
        <f>Data[[#This Row],[Day Rank]]=Data[[#This Row],[W Rank]]</f>
        <v>0</v>
      </c>
      <c r="U1558" s="323"/>
    </row>
    <row r="1559" spans="1:21" ht="15" customHeight="1">
      <c r="A1559" s="326"/>
      <c r="B1559" s="326"/>
      <c r="C1559" s="329"/>
      <c r="D1559" s="81">
        <f>D1557</f>
        <v>46029</v>
      </c>
      <c r="E1559" s="140" t="str">
        <f>$L$1</f>
        <v>loganworsdell</v>
      </c>
      <c r="F1559" s="8">
        <f>IFERROR(AVERAGE(Data[[#This Row],[alappatjoe]:[currydestroyer27]]), "TBD")</f>
        <v>2.4</v>
      </c>
      <c r="G1559" s="177">
        <f>IFERROR(_xlfn.STDEV.P(Data[[#This Row],[alappatjoe]:[currydestroyer27]]), "TBD")</f>
        <v>1.3564659966250536</v>
      </c>
      <c r="H1559" s="135" t="s">
        <v>3065</v>
      </c>
      <c r="I1559" s="229" t="s">
        <v>1180</v>
      </c>
      <c r="J1559" s="3">
        <v>1</v>
      </c>
      <c r="K1559" s="3">
        <v>2</v>
      </c>
      <c r="L1559" s="3">
        <v>2</v>
      </c>
      <c r="M1559" s="3">
        <v>2</v>
      </c>
      <c r="N1559" s="3">
        <v>5</v>
      </c>
      <c r="O1559" s="238">
        <v>4395196</v>
      </c>
      <c r="P1559" s="93"/>
      <c r="Q1559" s="93"/>
      <c r="R15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59" s="93">
        <v>1</v>
      </c>
      <c r="T1559" s="93" t="b">
        <f>Data[[#This Row],[Day Rank]]=Data[[#This Row],[W Rank]]</f>
        <v>1</v>
      </c>
      <c r="U1559" s="323"/>
    </row>
    <row r="1560" spans="1:21" ht="15" customHeight="1">
      <c r="A1560" s="326"/>
      <c r="B1560" s="326"/>
      <c r="C1560" s="329"/>
      <c r="D1560" s="81">
        <f>D1557</f>
        <v>46029</v>
      </c>
      <c r="E1560" s="140" t="str">
        <f>$M$1</f>
        <v>samuelbattista</v>
      </c>
      <c r="F1560" s="8">
        <f>IFERROR(AVERAGE(Data[[#This Row],[alappatjoe]:[currydestroyer27]]), "TBD")</f>
        <v>3</v>
      </c>
      <c r="G1560" s="177">
        <f>IFERROR(_xlfn.STDEV.P(Data[[#This Row],[alappatjoe]:[currydestroyer27]]), "TBD")</f>
        <v>1.6733200530681511</v>
      </c>
      <c r="H1560" s="135" t="s">
        <v>3066</v>
      </c>
      <c r="I1560" s="229" t="s">
        <v>1140</v>
      </c>
      <c r="J1560" s="3">
        <v>4</v>
      </c>
      <c r="K1560" s="3">
        <v>5</v>
      </c>
      <c r="L1560" s="3">
        <v>1</v>
      </c>
      <c r="M1560" s="3">
        <v>1</v>
      </c>
      <c r="N1560" s="3">
        <v>4</v>
      </c>
      <c r="O1560" s="238"/>
      <c r="P1560" s="93"/>
      <c r="Q1560" s="93"/>
      <c r="R15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60" s="93">
        <v>1</v>
      </c>
      <c r="T1560" s="93" t="b">
        <f>Data[[#This Row],[Day Rank]]=Data[[#This Row],[W Rank]]</f>
        <v>0</v>
      </c>
      <c r="U1560" s="323"/>
    </row>
    <row r="1561" spans="1:21" ht="15" customHeight="1" thickBot="1">
      <c r="A1561" s="327"/>
      <c r="B1561" s="327"/>
      <c r="C1561" s="330"/>
      <c r="D1561" s="164">
        <f>D1557</f>
        <v>46029</v>
      </c>
      <c r="E1561" s="215" t="str">
        <f>$N$1</f>
        <v>currydestroyer27</v>
      </c>
      <c r="F1561" s="165">
        <f>IFERROR(AVERAGE(Data[[#This Row],[alappatjoe]:[currydestroyer27]]), "TBD")</f>
        <v>3</v>
      </c>
      <c r="G1561" s="256">
        <f>IFERROR(_xlfn.STDEV.P(Data[[#This Row],[alappatjoe]:[currydestroyer27]]), "TBD")</f>
        <v>1.4142135623730951</v>
      </c>
      <c r="H1561" s="227" t="s">
        <v>3067</v>
      </c>
      <c r="I1561" s="257" t="s">
        <v>3068</v>
      </c>
      <c r="J1561" s="166">
        <v>2</v>
      </c>
      <c r="K1561" s="166">
        <v>3</v>
      </c>
      <c r="L1561" s="166">
        <v>5</v>
      </c>
      <c r="M1561" s="166">
        <v>4</v>
      </c>
      <c r="N1561" s="166">
        <v>1</v>
      </c>
      <c r="O1561" s="242">
        <v>130297544</v>
      </c>
      <c r="P1561" s="167" t="s">
        <v>76</v>
      </c>
      <c r="Q1561" s="167"/>
      <c r="R156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61" s="167">
        <v>1</v>
      </c>
      <c r="T1561" s="167" t="b">
        <f>Data[[#This Row],[Day Rank]]=Data[[#This Row],[W Rank]]</f>
        <v>0</v>
      </c>
      <c r="U1561" s="324"/>
    </row>
    <row r="1562" spans="1:21" ht="15" customHeight="1">
      <c r="A1562" s="325">
        <v>46030</v>
      </c>
      <c r="B1562" s="325"/>
      <c r="C1562" s="338" t="str" cm="1">
        <f t="array" ref="C1562">_xlfn.LET(_xlpm.matches, _xlfn._xlws.FILTER(Data[Poster], (Data[Date]=A1562)*(Data[Winner]=TRUE)), IF(ROWS(_xlpm.matches)&gt;1, "TIE", _xlpm.matches))</f>
        <v>alappatjoe</v>
      </c>
      <c r="D1562" s="147">
        <f>A1562</f>
        <v>46030</v>
      </c>
      <c r="E1562" s="181" t="str">
        <f>$J$1</f>
        <v>alappatjoe</v>
      </c>
      <c r="F1562" s="9">
        <f>IFERROR(AVERAGE(Data[[#This Row],[alappatjoe]:[currydestroyer27]]), "TBD")</f>
        <v>1.8</v>
      </c>
      <c r="G1562" s="178">
        <f>IFERROR(_xlfn.STDEV.P(Data[[#This Row],[alappatjoe]:[currydestroyer27]]), "TBD")</f>
        <v>1.1661903789690602</v>
      </c>
      <c r="H1562" s="160" t="s">
        <v>3069</v>
      </c>
      <c r="I1562" s="186" t="s">
        <v>2466</v>
      </c>
      <c r="J1562" s="3">
        <v>1</v>
      </c>
      <c r="K1562" s="3">
        <v>1</v>
      </c>
      <c r="L1562" s="3">
        <v>1</v>
      </c>
      <c r="M1562" s="3">
        <v>2</v>
      </c>
      <c r="N1562" s="3">
        <v>4</v>
      </c>
      <c r="O1562" s="238">
        <v>722039358</v>
      </c>
      <c r="P1562" s="93"/>
      <c r="Q1562" s="93"/>
      <c r="R15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62" s="93">
        <v>1</v>
      </c>
      <c r="T1562" s="93" t="b">
        <f>Data[[#This Row],[Day Rank]]=Data[[#This Row],[W Rank]]</f>
        <v>1</v>
      </c>
      <c r="U1562" s="331" t="s">
        <v>3070</v>
      </c>
    </row>
    <row r="1563" spans="1:21" ht="15" customHeight="1">
      <c r="A1563" s="326"/>
      <c r="B1563" s="326"/>
      <c r="C1563" s="339"/>
      <c r="D1563" s="81">
        <f>D1562</f>
        <v>46030</v>
      </c>
      <c r="E1563" s="140" t="str">
        <f>$K$1</f>
        <v>danram</v>
      </c>
      <c r="F1563" s="8">
        <f>IFERROR(AVERAGE(Data[[#This Row],[alappatjoe]:[currydestroyer27]]), "TBD")</f>
        <v>3.4</v>
      </c>
      <c r="G1563" s="177">
        <f>IFERROR(_xlfn.STDEV.P(Data[[#This Row],[alappatjoe]:[currydestroyer27]]), "TBD")</f>
        <v>1.3564659966250536</v>
      </c>
      <c r="H1563" s="135" t="s">
        <v>3071</v>
      </c>
      <c r="I1563" s="229" t="s">
        <v>2466</v>
      </c>
      <c r="J1563" s="3">
        <v>2</v>
      </c>
      <c r="K1563" s="3">
        <v>2</v>
      </c>
      <c r="L1563" s="3">
        <v>5</v>
      </c>
      <c r="M1563" s="3">
        <v>3</v>
      </c>
      <c r="N1563" s="3">
        <v>5</v>
      </c>
      <c r="O1563" s="238"/>
      <c r="P1563" s="93"/>
      <c r="Q1563" s="93"/>
      <c r="R15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63" s="93">
        <v>1</v>
      </c>
      <c r="T1563" s="93" t="b">
        <f>Data[[#This Row],[Day Rank]]=Data[[#This Row],[W Rank]]</f>
        <v>0</v>
      </c>
      <c r="U1563" s="323"/>
    </row>
    <row r="1564" spans="1:21" ht="15" customHeight="1">
      <c r="A1564" s="326"/>
      <c r="B1564" s="326"/>
      <c r="C1564" s="339"/>
      <c r="D1564" s="81">
        <f>D1562</f>
        <v>46030</v>
      </c>
      <c r="E1564" s="140" t="str">
        <f>$L$1</f>
        <v>loganworsdell</v>
      </c>
      <c r="F1564" s="8">
        <f>IFERROR(AVERAGE(Data[[#This Row],[alappatjoe]:[currydestroyer27]]), "TBD")</f>
        <v>3</v>
      </c>
      <c r="G1564" s="177">
        <f>IFERROR(_xlfn.STDEV.P(Data[[#This Row],[alappatjoe]:[currydestroyer27]]), "TBD")</f>
        <v>1.4142135623730951</v>
      </c>
      <c r="H1564" s="135" t="s">
        <v>3072</v>
      </c>
      <c r="I1564" s="229" t="s">
        <v>3073</v>
      </c>
      <c r="J1564" s="3">
        <v>4</v>
      </c>
      <c r="K1564" s="3">
        <v>3</v>
      </c>
      <c r="L1564" s="3">
        <v>2</v>
      </c>
      <c r="M1564" s="3">
        <v>5</v>
      </c>
      <c r="N1564" s="3">
        <v>1</v>
      </c>
      <c r="O1564" s="238"/>
      <c r="P1564" s="93"/>
      <c r="Q1564" s="93"/>
      <c r="R15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64" s="93">
        <v>1</v>
      </c>
      <c r="T1564" s="93" t="b">
        <f>Data[[#This Row],[Day Rank]]=Data[[#This Row],[W Rank]]</f>
        <v>0</v>
      </c>
      <c r="U1564" s="323"/>
    </row>
    <row r="1565" spans="1:21" ht="15" customHeight="1">
      <c r="A1565" s="326"/>
      <c r="B1565" s="326"/>
      <c r="C1565" s="339"/>
      <c r="D1565" s="81">
        <f>D1562</f>
        <v>46030</v>
      </c>
      <c r="E1565" s="140" t="str">
        <f>$M$1</f>
        <v>samuelbattista</v>
      </c>
      <c r="F1565" s="8">
        <f>IFERROR(AVERAGE(Data[[#This Row],[alappatjoe]:[currydestroyer27]]), "TBD")</f>
        <v>3.4</v>
      </c>
      <c r="G1565" s="177">
        <f>IFERROR(_xlfn.STDEV.P(Data[[#This Row],[alappatjoe]:[currydestroyer27]]), "TBD")</f>
        <v>1.3564659966250536</v>
      </c>
      <c r="H1565" s="135" t="s">
        <v>3074</v>
      </c>
      <c r="I1565" s="229" t="s">
        <v>3075</v>
      </c>
      <c r="J1565" s="3">
        <v>5</v>
      </c>
      <c r="K1565" s="3">
        <v>4</v>
      </c>
      <c r="L1565" s="3">
        <v>4</v>
      </c>
      <c r="M1565" s="3">
        <v>1</v>
      </c>
      <c r="N1565" s="3">
        <v>3</v>
      </c>
      <c r="O1565" s="238"/>
      <c r="P1565" s="93"/>
      <c r="Q1565" s="93"/>
      <c r="R15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65" s="93">
        <v>1</v>
      </c>
      <c r="T1565" s="93" t="b">
        <f>Data[[#This Row],[Day Rank]]=Data[[#This Row],[W Rank]]</f>
        <v>0</v>
      </c>
      <c r="U1565" s="323"/>
    </row>
    <row r="1566" spans="1:21" ht="15" customHeight="1" thickBot="1">
      <c r="A1566" s="327"/>
      <c r="B1566" s="327"/>
      <c r="C1566" s="340"/>
      <c r="D1566" s="164">
        <f>D1562</f>
        <v>46030</v>
      </c>
      <c r="E1566" s="215" t="str">
        <f>$N$1</f>
        <v>currydestroyer27</v>
      </c>
      <c r="F1566" s="165">
        <f>IFERROR(AVERAGE(Data[[#This Row],[alappatjoe]:[currydestroyer27]]), "TBD")</f>
        <v>3.4</v>
      </c>
      <c r="G1566" s="256">
        <f>IFERROR(_xlfn.STDEV.P(Data[[#This Row],[alappatjoe]:[currydestroyer27]]), "TBD")</f>
        <v>1.019803902718557</v>
      </c>
      <c r="H1566" s="227" t="s">
        <v>3076</v>
      </c>
      <c r="I1566" s="257" t="s">
        <v>3073</v>
      </c>
      <c r="J1566" s="166">
        <v>3</v>
      </c>
      <c r="K1566" s="166">
        <v>5</v>
      </c>
      <c r="L1566" s="166">
        <v>3</v>
      </c>
      <c r="M1566" s="166">
        <v>4</v>
      </c>
      <c r="N1566" s="166">
        <v>2</v>
      </c>
      <c r="O1566" s="242">
        <v>182506409</v>
      </c>
      <c r="P1566" s="167"/>
      <c r="Q1566" s="167"/>
      <c r="R156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66" s="167">
        <v>1</v>
      </c>
      <c r="T1566" s="167" t="b">
        <f>Data[[#This Row],[Day Rank]]=Data[[#This Row],[W Rank]]</f>
        <v>0</v>
      </c>
      <c r="U1566" s="324"/>
    </row>
    <row r="1567" spans="1:21" ht="15" customHeight="1">
      <c r="A1567" s="325">
        <v>46034</v>
      </c>
      <c r="B1567" s="325"/>
      <c r="C1567" s="328" t="str" cm="1">
        <f t="array" ref="C1567">_xlfn.LET(_xlpm.matches, _xlfn._xlws.FILTER(Data[Poster], (Data[Date]=A1567)*(Data[Winner]=TRUE)), IF(ROWS(_xlpm.matches)&gt;1, "TIE", _xlpm.matches))</f>
        <v>currydestroyer27</v>
      </c>
      <c r="D1567" s="147">
        <f>A1567</f>
        <v>46034</v>
      </c>
      <c r="E1567" s="181" t="str">
        <f>$J$1</f>
        <v>alappatjoe</v>
      </c>
      <c r="F1567" s="9">
        <f>IFERROR(AVERAGE(Data[[#This Row],[alappatjoe]:[currydestroyer27]]), "TBD")</f>
        <v>4.2</v>
      </c>
      <c r="G1567" s="178">
        <f>IFERROR(_xlfn.STDEV.P(Data[[#This Row],[alappatjoe]:[currydestroyer27]]), "TBD")</f>
        <v>1.6</v>
      </c>
      <c r="H1567" s="160" t="s">
        <v>3077</v>
      </c>
      <c r="I1567" s="186" t="s">
        <v>3078</v>
      </c>
      <c r="J1567" s="3">
        <v>1</v>
      </c>
      <c r="K1567" s="3">
        <v>5</v>
      </c>
      <c r="L1567" s="3">
        <v>5</v>
      </c>
      <c r="M1567" s="3">
        <v>5</v>
      </c>
      <c r="N1567" s="3">
        <v>5</v>
      </c>
      <c r="O1567" s="238">
        <v>4219006</v>
      </c>
      <c r="P1567" s="93"/>
      <c r="Q1567" s="93"/>
      <c r="R15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67" s="93">
        <v>1</v>
      </c>
      <c r="T1567" s="93" t="b">
        <f>Data[[#This Row],[Day Rank]]=Data[[#This Row],[W Rank]]</f>
        <v>0</v>
      </c>
      <c r="U1567" s="331"/>
    </row>
    <row r="1568" spans="1:21" ht="15" customHeight="1">
      <c r="A1568" s="326"/>
      <c r="B1568" s="326"/>
      <c r="C1568" s="329"/>
      <c r="D1568" s="81">
        <f>D1567</f>
        <v>46034</v>
      </c>
      <c r="E1568" s="140" t="str">
        <f>$K$1</f>
        <v>danram</v>
      </c>
      <c r="F1568" s="8">
        <f>IFERROR(AVERAGE(Data[[#This Row],[alappatjoe]:[currydestroyer27]]), "TBD")</f>
        <v>2.6</v>
      </c>
      <c r="G1568" s="177">
        <f>IFERROR(_xlfn.STDEV.P(Data[[#This Row],[alappatjoe]:[currydestroyer27]]), "TBD")</f>
        <v>1.3564659966250536</v>
      </c>
      <c r="H1568" s="135" t="s">
        <v>3079</v>
      </c>
      <c r="I1568" s="229" t="s">
        <v>3080</v>
      </c>
      <c r="J1568" s="3">
        <v>4</v>
      </c>
      <c r="K1568" s="3">
        <v>1</v>
      </c>
      <c r="L1568" s="3">
        <v>1</v>
      </c>
      <c r="M1568" s="3">
        <v>3</v>
      </c>
      <c r="N1568" s="3">
        <v>4</v>
      </c>
      <c r="O1568" s="238"/>
      <c r="P1568" s="93"/>
      <c r="Q1568" s="93"/>
      <c r="R15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68" s="93">
        <v>1</v>
      </c>
      <c r="T1568" s="93" t="b">
        <f>Data[[#This Row],[Day Rank]]=Data[[#This Row],[W Rank]]</f>
        <v>0</v>
      </c>
      <c r="U1568" s="323"/>
    </row>
    <row r="1569" spans="1:21" ht="15" customHeight="1">
      <c r="A1569" s="326"/>
      <c r="B1569" s="326"/>
      <c r="C1569" s="329"/>
      <c r="D1569" s="81">
        <f>D1567</f>
        <v>46034</v>
      </c>
      <c r="E1569" s="140" t="str">
        <f>$L$1</f>
        <v>loganworsdell</v>
      </c>
      <c r="F1569" s="8">
        <f>IFERROR(AVERAGE(Data[[#This Row],[alappatjoe]:[currydestroyer27]]), "TBD")</f>
        <v>3.2</v>
      </c>
      <c r="G1569" s="177">
        <f>IFERROR(_xlfn.STDEV.P(Data[[#This Row],[alappatjoe]:[currydestroyer27]]), "TBD")</f>
        <v>0.74833147735478833</v>
      </c>
      <c r="H1569" s="135" t="s">
        <v>3081</v>
      </c>
      <c r="I1569" s="229" t="s">
        <v>3082</v>
      </c>
      <c r="J1569" s="3">
        <v>3</v>
      </c>
      <c r="K1569" s="3">
        <v>4</v>
      </c>
      <c r="L1569" s="3">
        <v>2</v>
      </c>
      <c r="M1569" s="3">
        <v>4</v>
      </c>
      <c r="N1569" s="3">
        <v>3</v>
      </c>
      <c r="O1569" s="238">
        <v>176536</v>
      </c>
      <c r="P1569" s="93"/>
      <c r="Q1569" s="93"/>
      <c r="R15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69" s="93">
        <v>1</v>
      </c>
      <c r="T1569" s="93" t="b">
        <f>Data[[#This Row],[Day Rank]]=Data[[#This Row],[W Rank]]</f>
        <v>0</v>
      </c>
      <c r="U1569" s="323"/>
    </row>
    <row r="1570" spans="1:21" ht="15" customHeight="1">
      <c r="A1570" s="326"/>
      <c r="B1570" s="326"/>
      <c r="C1570" s="329"/>
      <c r="D1570" s="81">
        <f>D1567</f>
        <v>46034</v>
      </c>
      <c r="E1570" s="140" t="str">
        <f>$M$1</f>
        <v>samuelbattista</v>
      </c>
      <c r="F1570" s="8">
        <f>IFERROR(AVERAGE(Data[[#This Row],[alappatjoe]:[currydestroyer27]]), "TBD")</f>
        <v>2.6</v>
      </c>
      <c r="G1570" s="177">
        <f>IFERROR(_xlfn.STDEV.P(Data[[#This Row],[alappatjoe]:[currydestroyer27]]), "TBD")</f>
        <v>1.3564659966250536</v>
      </c>
      <c r="H1570" s="135" t="s">
        <v>3083</v>
      </c>
      <c r="I1570" s="229" t="s">
        <v>3084</v>
      </c>
      <c r="J1570" s="3">
        <v>5</v>
      </c>
      <c r="K1570" s="3">
        <v>2</v>
      </c>
      <c r="L1570" s="3">
        <v>3</v>
      </c>
      <c r="M1570" s="3">
        <v>1</v>
      </c>
      <c r="N1570" s="3">
        <v>2</v>
      </c>
      <c r="O1570" s="238"/>
      <c r="P1570" s="93"/>
      <c r="Q1570" s="93"/>
      <c r="R15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70" s="93">
        <v>1</v>
      </c>
      <c r="T1570" s="93" t="b">
        <f>Data[[#This Row],[Day Rank]]=Data[[#This Row],[W Rank]]</f>
        <v>0</v>
      </c>
      <c r="U1570" s="323"/>
    </row>
    <row r="1571" spans="1:21" ht="15" customHeight="1" thickBot="1">
      <c r="A1571" s="327"/>
      <c r="B1571" s="327"/>
      <c r="C1571" s="330"/>
      <c r="D1571" s="164">
        <f>D1567</f>
        <v>46034</v>
      </c>
      <c r="E1571" s="215" t="str">
        <f>$N$1</f>
        <v>currydestroyer27</v>
      </c>
      <c r="F1571" s="165">
        <f>IFERROR(AVERAGE(Data[[#This Row],[alappatjoe]:[currydestroyer27]]), "TBD")</f>
        <v>2.4</v>
      </c>
      <c r="G1571" s="256">
        <f>IFERROR(_xlfn.STDEV.P(Data[[#This Row],[alappatjoe]:[currydestroyer27]]), "TBD")</f>
        <v>1.019803902718557</v>
      </c>
      <c r="H1571" s="227" t="s">
        <v>3085</v>
      </c>
      <c r="I1571" s="257" t="s">
        <v>3086</v>
      </c>
      <c r="J1571" s="166">
        <v>2</v>
      </c>
      <c r="K1571" s="166">
        <v>3</v>
      </c>
      <c r="L1571" s="166">
        <v>4</v>
      </c>
      <c r="M1571" s="166">
        <v>2</v>
      </c>
      <c r="N1571" s="166">
        <v>1</v>
      </c>
      <c r="O1571" s="242">
        <v>14711563</v>
      </c>
      <c r="P1571" s="167"/>
      <c r="Q1571" s="167"/>
      <c r="R157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71" s="167">
        <v>1</v>
      </c>
      <c r="T1571" s="167" t="b">
        <f>Data[[#This Row],[Day Rank]]=Data[[#This Row],[W Rank]]</f>
        <v>1</v>
      </c>
      <c r="U1571" s="324"/>
    </row>
    <row r="1572" spans="1:21" ht="15" customHeight="1">
      <c r="A1572" s="325">
        <v>46035</v>
      </c>
      <c r="B1572" s="325"/>
      <c r="C1572" s="338" t="str" cm="1">
        <f t="array" ref="C1572">_xlfn.LET(_xlpm.matches, _xlfn._xlws.FILTER(Data[Poster], (Data[Date]=A1572)*(Data[Winner]=TRUE)), IF(ROWS(_xlpm.matches)&gt;1, "TIE", _xlpm.matches))</f>
        <v>currydestroyer27</v>
      </c>
      <c r="D1572" s="147">
        <f>A1572</f>
        <v>46035</v>
      </c>
      <c r="E1572" s="181" t="str">
        <f>$J$1</f>
        <v>alappatjoe</v>
      </c>
      <c r="F1572" s="9">
        <f>IFERROR(AVERAGE(Data[[#This Row],[alappatjoe]:[currydestroyer27]]), "TBD")</f>
        <v>3</v>
      </c>
      <c r="G1572" s="178">
        <f>IFERROR(_xlfn.STDEV.P(Data[[#This Row],[alappatjoe]:[currydestroyer27]]), "TBD")</f>
        <v>1.2649110640673518</v>
      </c>
      <c r="H1572" s="160" t="s">
        <v>3087</v>
      </c>
      <c r="I1572" s="186" t="s">
        <v>3088</v>
      </c>
      <c r="J1572" s="3">
        <v>1</v>
      </c>
      <c r="K1572" s="3">
        <v>4</v>
      </c>
      <c r="L1572" s="3">
        <v>4</v>
      </c>
      <c r="M1572" s="3">
        <v>4</v>
      </c>
      <c r="N1572" s="3">
        <v>2</v>
      </c>
      <c r="O1572" s="238">
        <v>49380</v>
      </c>
      <c r="P1572" s="93"/>
      <c r="Q1572" s="93"/>
      <c r="R15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72" s="93">
        <v>1</v>
      </c>
      <c r="T1572" s="93" t="b">
        <f>Data[[#This Row],[Day Rank]]=Data[[#This Row],[W Rank]]</f>
        <v>0</v>
      </c>
      <c r="U1572" s="331"/>
    </row>
    <row r="1573" spans="1:21" ht="15" customHeight="1">
      <c r="A1573" s="326"/>
      <c r="B1573" s="326"/>
      <c r="C1573" s="339"/>
      <c r="D1573" s="81">
        <f>D1572</f>
        <v>46035</v>
      </c>
      <c r="E1573" s="140" t="str">
        <f>$K$1</f>
        <v>danram</v>
      </c>
      <c r="F1573" s="8">
        <f>IFERROR(AVERAGE(Data[[#This Row],[alappatjoe]:[currydestroyer27]]), "TBD")</f>
        <v>3.6</v>
      </c>
      <c r="G1573" s="177">
        <f>IFERROR(_xlfn.STDEV.P(Data[[#This Row],[alappatjoe]:[currydestroyer27]]), "TBD")</f>
        <v>0.8</v>
      </c>
      <c r="H1573" s="135" t="s">
        <v>3089</v>
      </c>
      <c r="I1573" s="229" t="s">
        <v>3090</v>
      </c>
      <c r="J1573" s="3">
        <v>4</v>
      </c>
      <c r="K1573" s="3">
        <v>3</v>
      </c>
      <c r="L1573" s="3">
        <v>5</v>
      </c>
      <c r="M1573" s="3">
        <v>3</v>
      </c>
      <c r="N1573" s="3">
        <v>3</v>
      </c>
      <c r="O1573" s="238"/>
      <c r="P1573" s="93"/>
      <c r="Q1573" s="93"/>
      <c r="R15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73" s="93">
        <v>1</v>
      </c>
      <c r="T1573" s="93" t="b">
        <f>Data[[#This Row],[Day Rank]]=Data[[#This Row],[W Rank]]</f>
        <v>0</v>
      </c>
      <c r="U1573" s="323"/>
    </row>
    <row r="1574" spans="1:21" ht="15" customHeight="1">
      <c r="A1574" s="326"/>
      <c r="B1574" s="326"/>
      <c r="C1574" s="339"/>
      <c r="D1574" s="81">
        <f>D1572</f>
        <v>46035</v>
      </c>
      <c r="E1574" s="140" t="str">
        <f>$L$1</f>
        <v>loganworsdell</v>
      </c>
      <c r="F1574" s="8">
        <f>IFERROR(AVERAGE(Data[[#This Row],[alappatjoe]:[currydestroyer27]]), "TBD")</f>
        <v>3.4</v>
      </c>
      <c r="G1574" s="177">
        <f>IFERROR(_xlfn.STDEV.P(Data[[#This Row],[alappatjoe]:[currydestroyer27]]), "TBD")</f>
        <v>1.3564659966250536</v>
      </c>
      <c r="H1574" s="135" t="s">
        <v>3091</v>
      </c>
      <c r="I1574" s="229" t="s">
        <v>3092</v>
      </c>
      <c r="J1574" s="3">
        <v>5</v>
      </c>
      <c r="K1574" s="3">
        <v>2</v>
      </c>
      <c r="L1574" s="3">
        <v>3</v>
      </c>
      <c r="M1574" s="3">
        <v>2</v>
      </c>
      <c r="N1574" s="3">
        <v>5</v>
      </c>
      <c r="O1574" s="238">
        <v>923690</v>
      </c>
      <c r="P1574" s="93"/>
      <c r="Q1574" s="93"/>
      <c r="R15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74" s="93">
        <v>1</v>
      </c>
      <c r="T1574" s="93" t="b">
        <f>Data[[#This Row],[Day Rank]]=Data[[#This Row],[W Rank]]</f>
        <v>0</v>
      </c>
      <c r="U1574" s="323"/>
    </row>
    <row r="1575" spans="1:21" ht="15" customHeight="1">
      <c r="A1575" s="326"/>
      <c r="B1575" s="326"/>
      <c r="C1575" s="339"/>
      <c r="D1575" s="81">
        <f>D1572</f>
        <v>46035</v>
      </c>
      <c r="E1575" s="140" t="str">
        <f>$M$1</f>
        <v>samuelbattista</v>
      </c>
      <c r="F1575" s="8">
        <f>IFERROR(AVERAGE(Data[[#This Row],[alappatjoe]:[currydestroyer27]]), "TBD")</f>
        <v>2.8</v>
      </c>
      <c r="G1575" s="177">
        <f>IFERROR(_xlfn.STDEV.P(Data[[#This Row],[alappatjoe]:[currydestroyer27]]), "TBD")</f>
        <v>1.6</v>
      </c>
      <c r="H1575" s="135" t="s">
        <v>3093</v>
      </c>
      <c r="I1575" s="229" t="s">
        <v>3094</v>
      </c>
      <c r="J1575" s="3">
        <v>3</v>
      </c>
      <c r="K1575" s="3">
        <v>5</v>
      </c>
      <c r="L1575" s="3">
        <v>1</v>
      </c>
      <c r="M1575" s="3">
        <v>1</v>
      </c>
      <c r="N1575" s="3">
        <v>4</v>
      </c>
      <c r="O1575" s="238"/>
      <c r="P1575" s="93"/>
      <c r="Q1575" s="93"/>
      <c r="R15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75" s="93">
        <v>1</v>
      </c>
      <c r="T1575" s="93" t="b">
        <f>Data[[#This Row],[Day Rank]]=Data[[#This Row],[W Rank]]</f>
        <v>0</v>
      </c>
      <c r="U1575" s="323"/>
    </row>
    <row r="1576" spans="1:21" ht="15" customHeight="1" thickBot="1">
      <c r="A1576" s="327"/>
      <c r="B1576" s="327"/>
      <c r="C1576" s="340"/>
      <c r="D1576" s="164">
        <f>D1572</f>
        <v>46035</v>
      </c>
      <c r="E1576" s="215" t="str">
        <f>$N$1</f>
        <v>currydestroyer27</v>
      </c>
      <c r="F1576" s="165">
        <f>IFERROR(AVERAGE(Data[[#This Row],[alappatjoe]:[currydestroyer27]]), "TBD")</f>
        <v>2.2000000000000002</v>
      </c>
      <c r="G1576" s="256">
        <f>IFERROR(_xlfn.STDEV.P(Data[[#This Row],[alappatjoe]:[currydestroyer27]]), "TBD")</f>
        <v>1.4696938456699069</v>
      </c>
      <c r="H1576" s="227" t="s">
        <v>3095</v>
      </c>
      <c r="I1576" s="257" t="s">
        <v>3096</v>
      </c>
      <c r="J1576" s="166">
        <v>2</v>
      </c>
      <c r="K1576" s="166">
        <v>1</v>
      </c>
      <c r="L1576" s="166">
        <v>2</v>
      </c>
      <c r="M1576" s="166">
        <v>5</v>
      </c>
      <c r="N1576" s="166">
        <v>1</v>
      </c>
      <c r="O1576" s="242">
        <v>78894106</v>
      </c>
      <c r="P1576" s="167" t="s">
        <v>76</v>
      </c>
      <c r="Q1576" s="167" t="s">
        <v>96</v>
      </c>
      <c r="R157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76" s="167">
        <v>1</v>
      </c>
      <c r="T1576" s="167" t="b">
        <f>Data[[#This Row],[Day Rank]]=Data[[#This Row],[W Rank]]</f>
        <v>1</v>
      </c>
      <c r="U1576" s="324"/>
    </row>
    <row r="1577" spans="1:21" ht="15" customHeight="1">
      <c r="A1577" s="325">
        <v>46036</v>
      </c>
      <c r="B1577" s="325"/>
      <c r="C1577" s="328" t="str" cm="1">
        <f t="array" ref="C1577">_xlfn.LET(_xlpm.matches, _xlfn._xlws.FILTER(Data[Poster], (Data[Date]=A1577)*(Data[Winner]=TRUE)), IF(ROWS(_xlpm.matches)&gt;1, "TIE", _xlpm.matches))</f>
        <v>alappatjoe</v>
      </c>
      <c r="D1577" s="147">
        <f>A1577</f>
        <v>46036</v>
      </c>
      <c r="E1577" s="181" t="str">
        <f>$J$1</f>
        <v>alappatjoe</v>
      </c>
      <c r="F1577" s="9">
        <f>IFERROR(AVERAGE(Data[[#This Row],[alappatjoe]:[currydestroyer27]]), "TBD")</f>
        <v>2.2000000000000002</v>
      </c>
      <c r="G1577" s="178">
        <f>IFERROR(_xlfn.STDEV.P(Data[[#This Row],[alappatjoe]:[currydestroyer27]]), "TBD")</f>
        <v>0.9797958971132712</v>
      </c>
      <c r="H1577" s="160" t="s">
        <v>3097</v>
      </c>
      <c r="I1577" s="186" t="s">
        <v>1055</v>
      </c>
      <c r="J1577" s="3">
        <v>1</v>
      </c>
      <c r="K1577" s="3">
        <v>3</v>
      </c>
      <c r="L1577" s="3">
        <v>3</v>
      </c>
      <c r="M1577" s="3">
        <v>3</v>
      </c>
      <c r="N1577" s="3">
        <v>1</v>
      </c>
      <c r="O1577" s="238">
        <v>24560592</v>
      </c>
      <c r="P1577" s="93"/>
      <c r="Q1577" s="93"/>
      <c r="R15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77" s="93">
        <v>1</v>
      </c>
      <c r="T1577" s="93" t="b">
        <f>Data[[#This Row],[Day Rank]]=Data[[#This Row],[W Rank]]</f>
        <v>1</v>
      </c>
      <c r="U1577" s="331"/>
    </row>
    <row r="1578" spans="1:21" ht="15" customHeight="1">
      <c r="A1578" s="326"/>
      <c r="B1578" s="326"/>
      <c r="C1578" s="329"/>
      <c r="D1578" s="81">
        <f>D1577</f>
        <v>46036</v>
      </c>
      <c r="E1578" s="140" t="str">
        <f>$K$1</f>
        <v>danram</v>
      </c>
      <c r="F1578" s="8">
        <f>IFERROR(AVERAGE(Data[[#This Row],[alappatjoe]:[currydestroyer27]]), "TBD")</f>
        <v>4.5999999999999996</v>
      </c>
      <c r="G1578" s="177">
        <f>IFERROR(_xlfn.STDEV.P(Data[[#This Row],[alappatjoe]:[currydestroyer27]]), "TBD")</f>
        <v>0.4898979485566356</v>
      </c>
      <c r="H1578" s="135" t="s">
        <v>3098</v>
      </c>
      <c r="I1578" s="229" t="s">
        <v>3099</v>
      </c>
      <c r="J1578" s="3">
        <v>5</v>
      </c>
      <c r="K1578" s="3">
        <v>4</v>
      </c>
      <c r="L1578" s="3">
        <v>5</v>
      </c>
      <c r="M1578" s="3">
        <v>4</v>
      </c>
      <c r="N1578" s="3">
        <v>5</v>
      </c>
      <c r="O1578" s="238"/>
      <c r="P1578" s="93"/>
      <c r="Q1578" s="93"/>
      <c r="R15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78" s="93">
        <v>1</v>
      </c>
      <c r="T1578" s="93" t="b">
        <f>Data[[#This Row],[Day Rank]]=Data[[#This Row],[W Rank]]</f>
        <v>0</v>
      </c>
      <c r="U1578" s="323"/>
    </row>
    <row r="1579" spans="1:21" ht="15" customHeight="1">
      <c r="A1579" s="326"/>
      <c r="B1579" s="326"/>
      <c r="C1579" s="329"/>
      <c r="D1579" s="81">
        <f>D1577</f>
        <v>46036</v>
      </c>
      <c r="E1579" s="140" t="str">
        <f>$L$1</f>
        <v>loganworsdell</v>
      </c>
      <c r="F1579" s="8">
        <f>IFERROR(AVERAGE(Data[[#This Row],[alappatjoe]:[currydestroyer27]]), "TBD")</f>
        <v>2.4</v>
      </c>
      <c r="G1579" s="177">
        <f>IFERROR(_xlfn.STDEV.P(Data[[#This Row],[alappatjoe]:[currydestroyer27]]), "TBD")</f>
        <v>1.019803902718557</v>
      </c>
      <c r="H1579" s="135" t="s">
        <v>3100</v>
      </c>
      <c r="I1579" s="229" t="s">
        <v>3101</v>
      </c>
      <c r="J1579" s="3">
        <v>4</v>
      </c>
      <c r="K1579" s="3">
        <v>2</v>
      </c>
      <c r="L1579" s="3">
        <v>1</v>
      </c>
      <c r="M1579" s="3">
        <v>2</v>
      </c>
      <c r="N1579" s="3">
        <v>3</v>
      </c>
      <c r="O1579" s="238">
        <v>5245288</v>
      </c>
      <c r="P1579" s="93"/>
      <c r="Q1579" s="93"/>
      <c r="R15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79" s="93">
        <v>1</v>
      </c>
      <c r="T1579" s="93" t="b">
        <f>Data[[#This Row],[Day Rank]]=Data[[#This Row],[W Rank]]</f>
        <v>0</v>
      </c>
      <c r="U1579" s="323"/>
    </row>
    <row r="1580" spans="1:21" ht="15" customHeight="1">
      <c r="A1580" s="326"/>
      <c r="B1580" s="326"/>
      <c r="C1580" s="329"/>
      <c r="D1580" s="81">
        <f>D1577</f>
        <v>46036</v>
      </c>
      <c r="E1580" s="140" t="str">
        <f>$M$1</f>
        <v>samuelbattista</v>
      </c>
      <c r="F1580" s="8">
        <f>IFERROR(AVERAGE(Data[[#This Row],[alappatjoe]:[currydestroyer27]]), "TBD")</f>
        <v>2.2000000000000002</v>
      </c>
      <c r="G1580" s="177">
        <f>IFERROR(_xlfn.STDEV.P(Data[[#This Row],[alappatjoe]:[currydestroyer27]]), "TBD")</f>
        <v>1.1661903789690602</v>
      </c>
      <c r="H1580" s="135" t="s">
        <v>3102</v>
      </c>
      <c r="I1580" s="229" t="s">
        <v>692</v>
      </c>
      <c r="J1580" s="3">
        <v>3</v>
      </c>
      <c r="K1580" s="3">
        <v>1</v>
      </c>
      <c r="L1580" s="3">
        <v>2</v>
      </c>
      <c r="M1580" s="3">
        <v>1</v>
      </c>
      <c r="N1580" s="3">
        <v>4</v>
      </c>
      <c r="O1580" s="238"/>
      <c r="P1580" s="93"/>
      <c r="Q1580" s="93"/>
      <c r="R15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80" s="93">
        <v>1</v>
      </c>
      <c r="T1580" s="93" t="b">
        <f>Data[[#This Row],[Day Rank]]=Data[[#This Row],[W Rank]]</f>
        <v>0</v>
      </c>
      <c r="U1580" s="323"/>
    </row>
    <row r="1581" spans="1:21" ht="15" customHeight="1" thickBot="1">
      <c r="A1581" s="327"/>
      <c r="B1581" s="327"/>
      <c r="C1581" s="330"/>
      <c r="D1581" s="164">
        <f>D1577</f>
        <v>46036</v>
      </c>
      <c r="E1581" s="215" t="str">
        <f>$N$1</f>
        <v>currydestroyer27</v>
      </c>
      <c r="F1581" s="165">
        <f>IFERROR(AVERAGE(Data[[#This Row],[alappatjoe]:[currydestroyer27]]), "TBD")</f>
        <v>3.6</v>
      </c>
      <c r="G1581" s="256">
        <f>IFERROR(_xlfn.STDEV.P(Data[[#This Row],[alappatjoe]:[currydestroyer27]]), "TBD")</f>
        <v>1.3564659966250536</v>
      </c>
      <c r="H1581" s="227" t="s">
        <v>3103</v>
      </c>
      <c r="I1581" s="257" t="s">
        <v>3104</v>
      </c>
      <c r="J1581" s="166">
        <v>2</v>
      </c>
      <c r="K1581" s="166">
        <v>5</v>
      </c>
      <c r="L1581" s="166">
        <v>4</v>
      </c>
      <c r="M1581" s="166">
        <v>5</v>
      </c>
      <c r="N1581" s="166">
        <v>2</v>
      </c>
      <c r="O1581" s="242">
        <v>309313</v>
      </c>
      <c r="P1581" s="167"/>
      <c r="Q1581" s="167"/>
      <c r="R158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81" s="167">
        <v>1</v>
      </c>
      <c r="T1581" s="167" t="b">
        <f>Data[[#This Row],[Day Rank]]=Data[[#This Row],[W Rank]]</f>
        <v>0</v>
      </c>
      <c r="U1581" s="324"/>
    </row>
    <row r="1582" spans="1:21" ht="15" customHeight="1">
      <c r="A1582" s="325">
        <v>46037</v>
      </c>
      <c r="B1582" s="325"/>
      <c r="C1582" s="338" t="str" cm="1">
        <f t="array" ref="C1582">_xlfn.LET(_xlpm.matches, _xlfn._xlws.FILTER(Data[Poster], (Data[Date]=A1582)*(Data[Winner]=TRUE)), IF(ROWS(_xlpm.matches)&gt;1, "TIE", _xlpm.matches))</f>
        <v>samuelbattista</v>
      </c>
      <c r="D1582" s="147">
        <f>A1582</f>
        <v>46037</v>
      </c>
      <c r="E1582" s="181" t="str">
        <f>$J$1</f>
        <v>alappatjoe</v>
      </c>
      <c r="F1582" s="9">
        <f>IFERROR(AVERAGE(Data[[#This Row],[alappatjoe]:[currydestroyer27]]), "TBD")</f>
        <v>2.8</v>
      </c>
      <c r="G1582" s="178">
        <f>IFERROR(_xlfn.STDEV.P(Data[[#This Row],[alappatjoe]:[currydestroyer27]]), "TBD")</f>
        <v>1.1661903789690602</v>
      </c>
      <c r="H1582" s="160" t="s">
        <v>3105</v>
      </c>
      <c r="I1582" s="186" t="s">
        <v>3106</v>
      </c>
      <c r="J1582" s="3">
        <v>1</v>
      </c>
      <c r="K1582" s="3">
        <v>3</v>
      </c>
      <c r="L1582" s="3">
        <v>2</v>
      </c>
      <c r="M1582" s="3">
        <v>4</v>
      </c>
      <c r="N1582" s="3">
        <v>4</v>
      </c>
      <c r="O1582" s="238">
        <v>591893</v>
      </c>
      <c r="P1582" s="93"/>
      <c r="Q1582" s="93"/>
      <c r="R15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82" s="93">
        <v>1</v>
      </c>
      <c r="T1582" s="93" t="b">
        <f>Data[[#This Row],[Day Rank]]=Data[[#This Row],[W Rank]]</f>
        <v>0</v>
      </c>
      <c r="U1582" s="331" t="s">
        <v>3107</v>
      </c>
    </row>
    <row r="1583" spans="1:21" ht="15" customHeight="1">
      <c r="A1583" s="326"/>
      <c r="B1583" s="326"/>
      <c r="C1583" s="339"/>
      <c r="D1583" s="81">
        <f>D1582</f>
        <v>46037</v>
      </c>
      <c r="E1583" s="140" t="str">
        <f>$K$1</f>
        <v>danram</v>
      </c>
      <c r="F1583" s="8">
        <f>IFERROR(AVERAGE(Data[[#This Row],[alappatjoe]:[currydestroyer27]]), "TBD")</f>
        <v>3</v>
      </c>
      <c r="G1583" s="177">
        <f>IFERROR(_xlfn.STDEV.P(Data[[#This Row],[alappatjoe]:[currydestroyer27]]), "TBD")</f>
        <v>0.63245553203367588</v>
      </c>
      <c r="H1583" s="135" t="s">
        <v>3108</v>
      </c>
      <c r="I1583" s="229" t="s">
        <v>3109</v>
      </c>
      <c r="J1583" s="3">
        <v>3</v>
      </c>
      <c r="K1583" s="3">
        <v>2</v>
      </c>
      <c r="L1583" s="3">
        <v>4</v>
      </c>
      <c r="M1583" s="3">
        <v>3</v>
      </c>
      <c r="N1583" s="3">
        <v>3</v>
      </c>
      <c r="O1583" s="238"/>
      <c r="P1583" s="93"/>
      <c r="Q1583" s="93"/>
      <c r="R15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83" s="93">
        <v>1</v>
      </c>
      <c r="T1583" s="93" t="b">
        <f>Data[[#This Row],[Day Rank]]=Data[[#This Row],[W Rank]]</f>
        <v>0</v>
      </c>
      <c r="U1583" s="323"/>
    </row>
    <row r="1584" spans="1:21" ht="15" customHeight="1">
      <c r="A1584" s="326"/>
      <c r="B1584" s="326"/>
      <c r="C1584" s="339"/>
      <c r="D1584" s="81">
        <f>D1582</f>
        <v>46037</v>
      </c>
      <c r="E1584" s="140" t="str">
        <f>$L$1</f>
        <v>loganworsdell</v>
      </c>
      <c r="F1584" s="8">
        <f>IFERROR(AVERAGE(Data[[#This Row],[alappatjoe]:[currydestroyer27]]), "TBD")</f>
        <v>2.8</v>
      </c>
      <c r="G1584" s="177">
        <f>IFERROR(_xlfn.STDEV.P(Data[[#This Row],[alappatjoe]:[currydestroyer27]]), "TBD")</f>
        <v>1.4696938456699069</v>
      </c>
      <c r="H1584" s="135" t="s">
        <v>3110</v>
      </c>
      <c r="I1584" s="229" t="s">
        <v>1475</v>
      </c>
      <c r="J1584" s="3">
        <v>2</v>
      </c>
      <c r="K1584" s="3">
        <v>4</v>
      </c>
      <c r="L1584" s="3">
        <v>1</v>
      </c>
      <c r="M1584" s="3">
        <v>2</v>
      </c>
      <c r="N1584" s="3">
        <v>5</v>
      </c>
      <c r="O1584" s="238">
        <v>21538206</v>
      </c>
      <c r="P1584" s="93"/>
      <c r="Q1584" s="93"/>
      <c r="R15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84" s="93">
        <v>1</v>
      </c>
      <c r="T1584" s="93" t="b">
        <f>Data[[#This Row],[Day Rank]]=Data[[#This Row],[W Rank]]</f>
        <v>0</v>
      </c>
      <c r="U1584" s="323"/>
    </row>
    <row r="1585" spans="1:21" ht="15" customHeight="1">
      <c r="A1585" s="326"/>
      <c r="B1585" s="326"/>
      <c r="C1585" s="339"/>
      <c r="D1585" s="81">
        <f>D1582</f>
        <v>46037</v>
      </c>
      <c r="E1585" s="140" t="str">
        <f>$M$1</f>
        <v>samuelbattista</v>
      </c>
      <c r="F1585" s="8">
        <f>IFERROR(AVERAGE(Data[[#This Row],[alappatjoe]:[currydestroyer27]]), "TBD")</f>
        <v>2.2000000000000002</v>
      </c>
      <c r="G1585" s="177">
        <f>IFERROR(_xlfn.STDEV.P(Data[[#This Row],[alappatjoe]:[currydestroyer27]]), "TBD")</f>
        <v>1.6</v>
      </c>
      <c r="H1585" s="135" t="s">
        <v>3111</v>
      </c>
      <c r="I1585" s="229" t="s">
        <v>3112</v>
      </c>
      <c r="J1585" s="3">
        <v>5</v>
      </c>
      <c r="K1585" s="3">
        <v>1</v>
      </c>
      <c r="L1585" s="3">
        <v>3</v>
      </c>
      <c r="M1585" s="3">
        <v>1</v>
      </c>
      <c r="N1585" s="3">
        <v>1</v>
      </c>
      <c r="O1585" s="238"/>
      <c r="P1585" s="93"/>
      <c r="Q1585" s="93"/>
      <c r="R15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85" s="93">
        <v>1</v>
      </c>
      <c r="T1585" s="93" t="b">
        <f>Data[[#This Row],[Day Rank]]=Data[[#This Row],[W Rank]]</f>
        <v>1</v>
      </c>
      <c r="U1585" s="323"/>
    </row>
    <row r="1586" spans="1:21" ht="15" customHeight="1" thickBot="1">
      <c r="A1586" s="327"/>
      <c r="B1586" s="327"/>
      <c r="C1586" s="340"/>
      <c r="D1586" s="164">
        <f>D1582</f>
        <v>46037</v>
      </c>
      <c r="E1586" s="215" t="str">
        <f>$N$1</f>
        <v>currydestroyer27</v>
      </c>
      <c r="F1586" s="165">
        <f>IFERROR(AVERAGE(Data[[#This Row],[alappatjoe]:[currydestroyer27]]), "TBD")</f>
        <v>4.2</v>
      </c>
      <c r="G1586" s="256">
        <f>IFERROR(_xlfn.STDEV.P(Data[[#This Row],[alappatjoe]:[currydestroyer27]]), "TBD")</f>
        <v>1.1661903789690602</v>
      </c>
      <c r="H1586" s="227" t="s">
        <v>3113</v>
      </c>
      <c r="I1586" s="257" t="s">
        <v>3114</v>
      </c>
      <c r="J1586" s="166">
        <v>4</v>
      </c>
      <c r="K1586" s="166">
        <v>5</v>
      </c>
      <c r="L1586" s="166">
        <v>5</v>
      </c>
      <c r="M1586" s="166">
        <v>5</v>
      </c>
      <c r="N1586" s="166">
        <v>2</v>
      </c>
      <c r="O1586" s="242">
        <v>148327</v>
      </c>
      <c r="P1586" s="167"/>
      <c r="Q1586" s="167"/>
      <c r="R158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86" s="167">
        <v>1</v>
      </c>
      <c r="T1586" s="167" t="b">
        <f>Data[[#This Row],[Day Rank]]=Data[[#This Row],[W Rank]]</f>
        <v>0</v>
      </c>
      <c r="U1586" s="324"/>
    </row>
    <row r="1587" spans="1:21" ht="15" customHeight="1">
      <c r="A1587" s="325">
        <v>46041</v>
      </c>
      <c r="B1587" s="325"/>
      <c r="C1587" s="328" t="str" cm="1">
        <f t="array" ref="C1587">_xlfn.LET(_xlpm.matches, _xlfn._xlws.FILTER(Data[Poster], (Data[Date]=A1587)*(Data[Winner]=TRUE)), IF(ROWS(_xlpm.matches)&gt;1, "TIE", _xlpm.matches))</f>
        <v>loganworsdell</v>
      </c>
      <c r="D1587" s="147">
        <f>A1587</f>
        <v>46041</v>
      </c>
      <c r="E1587" s="181" t="str">
        <f>$J$1</f>
        <v>alappatjoe</v>
      </c>
      <c r="F1587" s="9">
        <f>IFERROR(AVERAGE(Data[[#This Row],[alappatjoe]:[currydestroyer27]]), "TBD")</f>
        <v>2.6</v>
      </c>
      <c r="G1587" s="178">
        <f>IFERROR(_xlfn.STDEV.P(Data[[#This Row],[alappatjoe]:[currydestroyer27]]), "TBD")</f>
        <v>1.019803902718557</v>
      </c>
      <c r="H1587" s="160" t="s">
        <v>3115</v>
      </c>
      <c r="I1587" s="186" t="s">
        <v>3116</v>
      </c>
      <c r="J1587" s="3">
        <v>1</v>
      </c>
      <c r="K1587" s="3">
        <v>3</v>
      </c>
      <c r="L1587" s="3">
        <v>3</v>
      </c>
      <c r="M1587" s="3">
        <v>4</v>
      </c>
      <c r="N1587" s="3">
        <v>2</v>
      </c>
      <c r="O1587" s="238">
        <v>111574</v>
      </c>
      <c r="P1587" s="93"/>
      <c r="Q1587" s="93"/>
      <c r="R15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87" s="93">
        <v>1</v>
      </c>
      <c r="T1587" s="93" t="b">
        <f>Data[[#This Row],[Day Rank]]=Data[[#This Row],[W Rank]]</f>
        <v>0</v>
      </c>
      <c r="U1587" s="331"/>
    </row>
    <row r="1588" spans="1:21" ht="15" customHeight="1">
      <c r="A1588" s="326"/>
      <c r="B1588" s="326"/>
      <c r="C1588" s="329"/>
      <c r="D1588" s="81">
        <f>D1587</f>
        <v>46041</v>
      </c>
      <c r="E1588" s="140" t="str">
        <f>$K$1</f>
        <v>danram</v>
      </c>
      <c r="F1588" s="8">
        <f>IFERROR(AVERAGE(Data[[#This Row],[alappatjoe]:[currydestroyer27]]), "TBD")</f>
        <v>4.8</v>
      </c>
      <c r="G1588" s="177">
        <f>IFERROR(_xlfn.STDEV.P(Data[[#This Row],[alappatjoe]:[currydestroyer27]]), "TBD")</f>
        <v>0.39999999999999997</v>
      </c>
      <c r="H1588" s="135" t="s">
        <v>3117</v>
      </c>
      <c r="I1588" s="229" t="s">
        <v>3118</v>
      </c>
      <c r="J1588" s="3">
        <v>5</v>
      </c>
      <c r="K1588" s="3">
        <v>4</v>
      </c>
      <c r="L1588" s="3">
        <v>5</v>
      </c>
      <c r="M1588" s="3">
        <v>5</v>
      </c>
      <c r="N1588" s="3">
        <v>5</v>
      </c>
      <c r="O1588" s="238"/>
      <c r="P1588" s="93"/>
      <c r="Q1588" s="93"/>
      <c r="R15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88" s="93">
        <v>1</v>
      </c>
      <c r="T1588" s="93" t="b">
        <f>Data[[#This Row],[Day Rank]]=Data[[#This Row],[W Rank]]</f>
        <v>0</v>
      </c>
      <c r="U1588" s="323"/>
    </row>
    <row r="1589" spans="1:21" ht="15" customHeight="1">
      <c r="A1589" s="326"/>
      <c r="B1589" s="326"/>
      <c r="C1589" s="329"/>
      <c r="D1589" s="81">
        <f>D1587</f>
        <v>46041</v>
      </c>
      <c r="E1589" s="140" t="str">
        <f>$L$1</f>
        <v>loganworsdell</v>
      </c>
      <c r="F1589" s="8">
        <f>IFERROR(AVERAGE(Data[[#This Row],[alappatjoe]:[currydestroyer27]]), "TBD")</f>
        <v>1.8</v>
      </c>
      <c r="G1589" s="177">
        <f>IFERROR(_xlfn.STDEV.P(Data[[#This Row],[alappatjoe]:[currydestroyer27]]), "TBD")</f>
        <v>0.74833147735478833</v>
      </c>
      <c r="H1589" s="135" t="s">
        <v>3119</v>
      </c>
      <c r="I1589" s="229" t="s">
        <v>2910</v>
      </c>
      <c r="J1589" s="3">
        <v>2</v>
      </c>
      <c r="K1589" s="3">
        <v>1</v>
      </c>
      <c r="L1589" s="3">
        <v>1</v>
      </c>
      <c r="M1589" s="3">
        <v>2</v>
      </c>
      <c r="N1589" s="3">
        <v>3</v>
      </c>
      <c r="O1589" s="238">
        <v>465407</v>
      </c>
      <c r="P1589" s="93"/>
      <c r="Q1589" s="93"/>
      <c r="R15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89" s="93">
        <v>1</v>
      </c>
      <c r="T1589" s="93" t="b">
        <f>Data[[#This Row],[Day Rank]]=Data[[#This Row],[W Rank]]</f>
        <v>1</v>
      </c>
      <c r="U1589" s="323"/>
    </row>
    <row r="1590" spans="1:21" ht="15" customHeight="1">
      <c r="A1590" s="326"/>
      <c r="B1590" s="326"/>
      <c r="C1590" s="329"/>
      <c r="D1590" s="81">
        <f>D1587</f>
        <v>46041</v>
      </c>
      <c r="E1590" s="140" t="str">
        <f>$M$1</f>
        <v>samuelbattista</v>
      </c>
      <c r="F1590" s="8">
        <f>IFERROR(AVERAGE(Data[[#This Row],[alappatjoe]:[currydestroyer27]]), "TBD")</f>
        <v>2.6</v>
      </c>
      <c r="G1590" s="177">
        <f>IFERROR(_xlfn.STDEV.P(Data[[#This Row],[alappatjoe]:[currydestroyer27]]), "TBD")</f>
        <v>1.2</v>
      </c>
      <c r="H1590" s="135" t="s">
        <v>3120</v>
      </c>
      <c r="I1590" s="229" t="s">
        <v>3121</v>
      </c>
      <c r="J1590" s="3">
        <v>4</v>
      </c>
      <c r="K1590" s="3">
        <v>2</v>
      </c>
      <c r="L1590" s="3">
        <v>2</v>
      </c>
      <c r="M1590" s="3">
        <v>1</v>
      </c>
      <c r="N1590" s="3">
        <v>4</v>
      </c>
      <c r="O1590" s="238"/>
      <c r="P1590" s="93"/>
      <c r="Q1590" s="93"/>
      <c r="R15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90" s="93">
        <v>1</v>
      </c>
      <c r="T1590" s="93" t="b">
        <f>Data[[#This Row],[Day Rank]]=Data[[#This Row],[W Rank]]</f>
        <v>0</v>
      </c>
      <c r="U1590" s="323"/>
    </row>
    <row r="1591" spans="1:21" ht="15" customHeight="1" thickBot="1">
      <c r="A1591" s="327"/>
      <c r="B1591" s="327"/>
      <c r="C1591" s="330"/>
      <c r="D1591" s="164">
        <f>D1587</f>
        <v>46041</v>
      </c>
      <c r="E1591" s="215" t="str">
        <f>$N$1</f>
        <v>currydestroyer27</v>
      </c>
      <c r="F1591" s="165">
        <f>IFERROR(AVERAGE(Data[[#This Row],[alappatjoe]:[currydestroyer27]]), "TBD")</f>
        <v>3.2</v>
      </c>
      <c r="G1591" s="256">
        <f>IFERROR(_xlfn.STDEV.P(Data[[#This Row],[alappatjoe]:[currydestroyer27]]), "TBD")</f>
        <v>1.3266499161421599</v>
      </c>
      <c r="H1591" s="227" t="s">
        <v>3122</v>
      </c>
      <c r="I1591" s="257" t="s">
        <v>3123</v>
      </c>
      <c r="J1591" s="166">
        <v>3</v>
      </c>
      <c r="K1591" s="166">
        <v>5</v>
      </c>
      <c r="L1591" s="166">
        <v>4</v>
      </c>
      <c r="M1591" s="166">
        <v>3</v>
      </c>
      <c r="N1591" s="166">
        <v>1</v>
      </c>
      <c r="O1591" s="242">
        <v>221995</v>
      </c>
      <c r="P1591" s="167"/>
      <c r="Q1591" s="167"/>
      <c r="R159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91" s="167">
        <v>1</v>
      </c>
      <c r="T1591" s="167" t="b">
        <f>Data[[#This Row],[Day Rank]]=Data[[#This Row],[W Rank]]</f>
        <v>0</v>
      </c>
      <c r="U1591" s="324"/>
    </row>
    <row r="1592" spans="1:21" ht="15" customHeight="1">
      <c r="A1592" s="325">
        <v>46042</v>
      </c>
      <c r="B1592" s="325"/>
      <c r="C1592" s="338" t="str" cm="1">
        <f t="array" ref="C1592">_xlfn.LET(_xlpm.matches, _xlfn._xlws.FILTER(Data[Poster], (Data[Date]=A1592)*(Data[Winner]=TRUE)), IF(ROWS(_xlpm.matches)&gt;1, "TIE", _xlpm.matches))</f>
        <v>samuelbattista</v>
      </c>
      <c r="D1592" s="147">
        <f>A1592</f>
        <v>46042</v>
      </c>
      <c r="E1592" s="181" t="str">
        <f>$J$1</f>
        <v>alappatjoe</v>
      </c>
      <c r="F1592" s="9">
        <f>IFERROR(AVERAGE(Data[[#This Row],[alappatjoe]:[currydestroyer27]]), "TBD")</f>
        <v>4</v>
      </c>
      <c r="G1592" s="178">
        <f>IFERROR(_xlfn.STDEV.P(Data[[#This Row],[alappatjoe]:[currydestroyer27]]), "TBD")</f>
        <v>1.5491933384829668</v>
      </c>
      <c r="H1592" s="160" t="s">
        <v>3124</v>
      </c>
      <c r="I1592" s="186" t="s">
        <v>3088</v>
      </c>
      <c r="J1592" s="3">
        <v>1</v>
      </c>
      <c r="K1592" s="3">
        <v>5</v>
      </c>
      <c r="L1592" s="3">
        <v>4</v>
      </c>
      <c r="M1592" s="3">
        <v>5</v>
      </c>
      <c r="N1592" s="3">
        <v>5</v>
      </c>
      <c r="O1592" s="238">
        <v>4915</v>
      </c>
      <c r="P1592" s="93"/>
      <c r="Q1592" s="93"/>
      <c r="R15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92" s="93">
        <v>1</v>
      </c>
      <c r="T1592" s="93" t="b">
        <f>Data[[#This Row],[Day Rank]]=Data[[#This Row],[W Rank]]</f>
        <v>0</v>
      </c>
      <c r="U1592" s="331"/>
    </row>
    <row r="1593" spans="1:21" ht="15" customHeight="1">
      <c r="A1593" s="326"/>
      <c r="B1593" s="326"/>
      <c r="C1593" s="339"/>
      <c r="D1593" s="81">
        <f>D1592</f>
        <v>46042</v>
      </c>
      <c r="E1593" s="140" t="str">
        <f>$K$1</f>
        <v>danram</v>
      </c>
      <c r="F1593" s="8">
        <f>IFERROR(AVERAGE(Data[[#This Row],[alappatjoe]:[currydestroyer27]]), "TBD")</f>
        <v>2.4</v>
      </c>
      <c r="G1593" s="177">
        <f>IFERROR(_xlfn.STDEV.P(Data[[#This Row],[alappatjoe]:[currydestroyer27]]), "TBD")</f>
        <v>0.4898979485566356</v>
      </c>
      <c r="H1593" s="135" t="s">
        <v>3125</v>
      </c>
      <c r="I1593" s="229" t="s">
        <v>3126</v>
      </c>
      <c r="J1593" s="3">
        <v>2</v>
      </c>
      <c r="K1593" s="3">
        <v>2</v>
      </c>
      <c r="L1593" s="3">
        <v>2</v>
      </c>
      <c r="M1593" s="3">
        <v>3</v>
      </c>
      <c r="N1593" s="3">
        <v>3</v>
      </c>
      <c r="O1593" s="238"/>
      <c r="P1593" s="93"/>
      <c r="Q1593" s="93"/>
      <c r="R15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93" s="93">
        <v>1</v>
      </c>
      <c r="T1593" s="93" t="b">
        <f>Data[[#This Row],[Day Rank]]=Data[[#This Row],[W Rank]]</f>
        <v>0</v>
      </c>
      <c r="U1593" s="323"/>
    </row>
    <row r="1594" spans="1:21" ht="15" customHeight="1">
      <c r="A1594" s="326"/>
      <c r="B1594" s="326"/>
      <c r="C1594" s="339"/>
      <c r="D1594" s="81">
        <f>D1592</f>
        <v>46042</v>
      </c>
      <c r="E1594" s="140" t="str">
        <f>$L$1</f>
        <v>loganworsdell</v>
      </c>
      <c r="F1594" s="8">
        <f>IFERROR(AVERAGE(Data[[#This Row],[alappatjoe]:[currydestroyer27]]), "TBD")</f>
        <v>3.6</v>
      </c>
      <c r="G1594" s="177">
        <f>IFERROR(_xlfn.STDEV.P(Data[[#This Row],[alappatjoe]:[currydestroyer27]]), "TBD")</f>
        <v>1.3564659966250536</v>
      </c>
      <c r="H1594" s="135" t="s">
        <v>3127</v>
      </c>
      <c r="I1594" s="229" t="s">
        <v>3128</v>
      </c>
      <c r="J1594" s="3">
        <v>5</v>
      </c>
      <c r="K1594" s="3">
        <v>4</v>
      </c>
      <c r="L1594" s="3">
        <v>1</v>
      </c>
      <c r="M1594" s="3">
        <v>4</v>
      </c>
      <c r="N1594" s="3">
        <v>4</v>
      </c>
      <c r="O1594" s="238">
        <v>101552</v>
      </c>
      <c r="P1594" s="93"/>
      <c r="Q1594" s="93"/>
      <c r="R15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94" s="93">
        <v>1</v>
      </c>
      <c r="T1594" s="93" t="b">
        <f>Data[[#This Row],[Day Rank]]=Data[[#This Row],[W Rank]]</f>
        <v>0</v>
      </c>
      <c r="U1594" s="323"/>
    </row>
    <row r="1595" spans="1:21" ht="15" customHeight="1">
      <c r="A1595" s="326"/>
      <c r="B1595" s="326"/>
      <c r="C1595" s="339"/>
      <c r="D1595" s="81">
        <f>D1592</f>
        <v>46042</v>
      </c>
      <c r="E1595" s="140" t="str">
        <f>$M$1</f>
        <v>samuelbattista</v>
      </c>
      <c r="F1595" s="8">
        <f>IFERROR(AVERAGE(Data[[#This Row],[alappatjoe]:[currydestroyer27]]), "TBD")</f>
        <v>2</v>
      </c>
      <c r="G1595" s="177">
        <f>IFERROR(_xlfn.STDEV.P(Data[[#This Row],[alappatjoe]:[currydestroyer27]]), "TBD")</f>
        <v>0.89442719099991586</v>
      </c>
      <c r="H1595" s="135" t="s">
        <v>3129</v>
      </c>
      <c r="I1595" s="229" t="s">
        <v>3130</v>
      </c>
      <c r="J1595" s="3">
        <v>3</v>
      </c>
      <c r="K1595" s="3">
        <v>1</v>
      </c>
      <c r="L1595" s="3">
        <v>3</v>
      </c>
      <c r="M1595" s="3">
        <v>1</v>
      </c>
      <c r="N1595" s="3">
        <v>2</v>
      </c>
      <c r="O1595" s="238"/>
      <c r="P1595" s="93"/>
      <c r="Q1595" s="93"/>
      <c r="R15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595" s="93">
        <v>1</v>
      </c>
      <c r="T1595" s="93" t="b">
        <f>Data[[#This Row],[Day Rank]]=Data[[#This Row],[W Rank]]</f>
        <v>1</v>
      </c>
      <c r="U1595" s="323"/>
    </row>
    <row r="1596" spans="1:21" ht="15" customHeight="1" thickBot="1">
      <c r="A1596" s="327"/>
      <c r="B1596" s="327"/>
      <c r="C1596" s="340"/>
      <c r="D1596" s="164">
        <f>D1592</f>
        <v>46042</v>
      </c>
      <c r="E1596" s="215" t="str">
        <f>$N$1</f>
        <v>currydestroyer27</v>
      </c>
      <c r="F1596" s="165">
        <f>IFERROR(AVERAGE(Data[[#This Row],[alappatjoe]:[currydestroyer27]]), "TBD")</f>
        <v>3</v>
      </c>
      <c r="G1596" s="256">
        <f>IFERROR(_xlfn.STDEV.P(Data[[#This Row],[alappatjoe]:[currydestroyer27]]), "TBD")</f>
        <v>1.4142135623730951</v>
      </c>
      <c r="H1596" s="227" t="s">
        <v>3131</v>
      </c>
      <c r="I1596" s="257" t="s">
        <v>3132</v>
      </c>
      <c r="J1596" s="166">
        <v>4</v>
      </c>
      <c r="K1596" s="166">
        <v>3</v>
      </c>
      <c r="L1596" s="166">
        <v>5</v>
      </c>
      <c r="M1596" s="166">
        <v>2</v>
      </c>
      <c r="N1596" s="166">
        <v>1</v>
      </c>
      <c r="O1596" s="242">
        <v>13475904</v>
      </c>
      <c r="P1596" s="167"/>
      <c r="Q1596" s="167"/>
      <c r="R159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596" s="167">
        <v>1</v>
      </c>
      <c r="T1596" s="167" t="b">
        <f>Data[[#This Row],[Day Rank]]=Data[[#This Row],[W Rank]]</f>
        <v>0</v>
      </c>
      <c r="U1596" s="324"/>
    </row>
    <row r="1597" spans="1:21" ht="15" customHeight="1">
      <c r="A1597" s="325">
        <v>46043</v>
      </c>
      <c r="B1597" s="325"/>
      <c r="C1597" s="328" t="str" cm="1">
        <f t="array" ref="C1597">_xlfn.LET(_xlpm.matches, _xlfn._xlws.FILTER(Data[Poster], (Data[Date]=A1597)*(Data[Winner]=TRUE)), IF(ROWS(_xlpm.matches)&gt;1, "TIE", _xlpm.matches))</f>
        <v>samuelbattista</v>
      </c>
      <c r="D1597" s="147">
        <f>A1597</f>
        <v>46043</v>
      </c>
      <c r="E1597" s="181" t="str">
        <f>$J$1</f>
        <v>alappatjoe</v>
      </c>
      <c r="F1597" s="9">
        <f>IFERROR(AVERAGE(Data[[#This Row],[alappatjoe]:[currydestroyer27]]), "TBD")</f>
        <v>3.2</v>
      </c>
      <c r="G1597" s="178">
        <f>IFERROR(_xlfn.STDEV.P(Data[[#This Row],[alappatjoe]:[currydestroyer27]]), "TBD")</f>
        <v>1.4696938456699069</v>
      </c>
      <c r="H1597" s="160" t="s">
        <v>3133</v>
      </c>
      <c r="I1597" s="186" t="s">
        <v>3134</v>
      </c>
      <c r="J1597" s="3">
        <v>1</v>
      </c>
      <c r="K1597" s="3">
        <v>5</v>
      </c>
      <c r="L1597" s="3">
        <v>4</v>
      </c>
      <c r="M1597" s="3">
        <v>4</v>
      </c>
      <c r="N1597" s="3">
        <v>2</v>
      </c>
      <c r="O1597" s="238">
        <v>75696</v>
      </c>
      <c r="P1597" s="93"/>
      <c r="Q1597" s="93"/>
      <c r="R15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597" s="93">
        <v>1</v>
      </c>
      <c r="T1597" s="93" t="b">
        <f>Data[[#This Row],[Day Rank]]=Data[[#This Row],[W Rank]]</f>
        <v>0</v>
      </c>
      <c r="U1597" s="331"/>
    </row>
    <row r="1598" spans="1:21" ht="15" customHeight="1">
      <c r="A1598" s="326"/>
      <c r="B1598" s="326"/>
      <c r="C1598" s="329"/>
      <c r="D1598" s="81">
        <f>D1597</f>
        <v>46043</v>
      </c>
      <c r="E1598" s="140" t="str">
        <f>$K$1</f>
        <v>danram</v>
      </c>
      <c r="F1598" s="8">
        <f>IFERROR(AVERAGE(Data[[#This Row],[alappatjoe]:[currydestroyer27]]), "TBD")</f>
        <v>4.5999999999999996</v>
      </c>
      <c r="G1598" s="177">
        <f>IFERROR(_xlfn.STDEV.P(Data[[#This Row],[alappatjoe]:[currydestroyer27]]), "TBD")</f>
        <v>0.8</v>
      </c>
      <c r="H1598" s="135" t="s">
        <v>3135</v>
      </c>
      <c r="I1598" s="229" t="s">
        <v>3136</v>
      </c>
      <c r="J1598" s="3">
        <v>5</v>
      </c>
      <c r="K1598" s="3">
        <v>3</v>
      </c>
      <c r="L1598" s="3">
        <v>5</v>
      </c>
      <c r="M1598" s="3">
        <v>5</v>
      </c>
      <c r="N1598" s="3">
        <v>5</v>
      </c>
      <c r="O1598" s="238"/>
      <c r="P1598" s="93"/>
      <c r="Q1598" s="93"/>
      <c r="R15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598" s="93">
        <v>1</v>
      </c>
      <c r="T1598" s="93" t="b">
        <f>Data[[#This Row],[Day Rank]]=Data[[#This Row],[W Rank]]</f>
        <v>0</v>
      </c>
      <c r="U1598" s="323"/>
    </row>
    <row r="1599" spans="1:21" ht="15" customHeight="1">
      <c r="A1599" s="326"/>
      <c r="B1599" s="326"/>
      <c r="C1599" s="329"/>
      <c r="D1599" s="81">
        <f>D1597</f>
        <v>46043</v>
      </c>
      <c r="E1599" s="140" t="str">
        <f>$L$1</f>
        <v>loganworsdell</v>
      </c>
      <c r="F1599" s="8">
        <f>IFERROR(AVERAGE(Data[[#This Row],[alappatjoe]:[currydestroyer27]]), "TBD")</f>
        <v>2.4</v>
      </c>
      <c r="G1599" s="177">
        <f>IFERROR(_xlfn.STDEV.P(Data[[#This Row],[alappatjoe]:[currydestroyer27]]), "TBD")</f>
        <v>1.019803902718557</v>
      </c>
      <c r="H1599" s="135" t="s">
        <v>3137</v>
      </c>
      <c r="I1599" s="229" t="s">
        <v>2536</v>
      </c>
      <c r="J1599" s="3">
        <v>2</v>
      </c>
      <c r="K1599" s="3">
        <v>1</v>
      </c>
      <c r="L1599" s="3">
        <v>2</v>
      </c>
      <c r="M1599" s="3">
        <v>3</v>
      </c>
      <c r="N1599" s="3">
        <v>4</v>
      </c>
      <c r="O1599" s="238">
        <v>8087825</v>
      </c>
      <c r="P1599" s="93"/>
      <c r="Q1599" s="93"/>
      <c r="R15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599" s="93">
        <v>1</v>
      </c>
      <c r="T1599" s="93" t="b">
        <f>Data[[#This Row],[Day Rank]]=Data[[#This Row],[W Rank]]</f>
        <v>0</v>
      </c>
      <c r="U1599" s="323"/>
    </row>
    <row r="1600" spans="1:21" ht="15" customHeight="1">
      <c r="A1600" s="326"/>
      <c r="B1600" s="326"/>
      <c r="C1600" s="329"/>
      <c r="D1600" s="81">
        <f>D1597</f>
        <v>46043</v>
      </c>
      <c r="E1600" s="140" t="str">
        <f>$M$1</f>
        <v>samuelbattista</v>
      </c>
      <c r="F1600" s="8">
        <f>IFERROR(AVERAGE(Data[[#This Row],[alappatjoe]:[currydestroyer27]]), "TBD")</f>
        <v>2</v>
      </c>
      <c r="G1600" s="177">
        <f>IFERROR(_xlfn.STDEV.P(Data[[#This Row],[alappatjoe]:[currydestroyer27]]), "TBD")</f>
        <v>0.89442719099991586</v>
      </c>
      <c r="H1600" s="135" t="s">
        <v>3138</v>
      </c>
      <c r="I1600" s="229" t="s">
        <v>3139</v>
      </c>
      <c r="J1600" s="3">
        <v>3</v>
      </c>
      <c r="K1600" s="3">
        <v>2</v>
      </c>
      <c r="L1600" s="3">
        <v>1</v>
      </c>
      <c r="M1600" s="3">
        <v>1</v>
      </c>
      <c r="N1600" s="3">
        <v>3</v>
      </c>
      <c r="O1600" s="238"/>
      <c r="P1600" s="93"/>
      <c r="Q1600" s="93"/>
      <c r="R16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00" s="93">
        <v>1</v>
      </c>
      <c r="T1600" s="93" t="b">
        <f>Data[[#This Row],[Day Rank]]=Data[[#This Row],[W Rank]]</f>
        <v>1</v>
      </c>
      <c r="U1600" s="323"/>
    </row>
    <row r="1601" spans="1:21" ht="15" customHeight="1" thickBot="1">
      <c r="A1601" s="327"/>
      <c r="B1601" s="327"/>
      <c r="C1601" s="330"/>
      <c r="D1601" s="164">
        <f>D1597</f>
        <v>46043</v>
      </c>
      <c r="E1601" s="215" t="str">
        <f>$N$1</f>
        <v>currydestroyer27</v>
      </c>
      <c r="F1601" s="165">
        <f>IFERROR(AVERAGE(Data[[#This Row],[alappatjoe]:[currydestroyer27]]), "TBD")</f>
        <v>2.8</v>
      </c>
      <c r="G1601" s="256">
        <f>IFERROR(_xlfn.STDEV.P(Data[[#This Row],[alappatjoe]:[currydestroyer27]]), "TBD")</f>
        <v>1.1661903789690602</v>
      </c>
      <c r="H1601" s="227" t="s">
        <v>3140</v>
      </c>
      <c r="I1601" s="257" t="s">
        <v>3141</v>
      </c>
      <c r="J1601" s="166">
        <v>4</v>
      </c>
      <c r="K1601" s="166">
        <v>4</v>
      </c>
      <c r="L1601" s="166">
        <v>3</v>
      </c>
      <c r="M1601" s="166">
        <v>2</v>
      </c>
      <c r="N1601" s="166">
        <v>1</v>
      </c>
      <c r="O1601" s="242">
        <v>13121440</v>
      </c>
      <c r="P1601" s="167"/>
      <c r="Q1601" s="167"/>
      <c r="R160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01" s="167">
        <v>1</v>
      </c>
      <c r="T1601" s="167" t="b">
        <f>Data[[#This Row],[Day Rank]]=Data[[#This Row],[W Rank]]</f>
        <v>0</v>
      </c>
      <c r="U1601" s="324"/>
    </row>
    <row r="1602" spans="1:21" ht="15" customHeight="1">
      <c r="A1602" s="325">
        <v>46044</v>
      </c>
      <c r="B1602" s="325"/>
      <c r="C1602" s="338" t="str" cm="1">
        <f t="array" ref="C1602">_xlfn.LET(_xlpm.matches, _xlfn._xlws.FILTER(Data[Poster], (Data[Date]=A1602)*(Data[Winner]=TRUE)), IF(ROWS(_xlpm.matches)&gt;1, "TIE", _xlpm.matches))</f>
        <v>currydestroyer27</v>
      </c>
      <c r="D1602" s="147">
        <f>A1602</f>
        <v>46044</v>
      </c>
      <c r="E1602" s="181" t="str">
        <f>$J$1</f>
        <v>alappatjoe</v>
      </c>
      <c r="F1602" s="9">
        <f>IFERROR(AVERAGE(Data[[#This Row],[alappatjoe]:[currydestroyer27]]), "TBD")</f>
        <v>3.6</v>
      </c>
      <c r="G1602" s="178">
        <f>IFERROR(_xlfn.STDEV.P(Data[[#This Row],[alappatjoe]:[currydestroyer27]]), "TBD")</f>
        <v>1.4966629547095767</v>
      </c>
      <c r="H1602" s="160" t="s">
        <v>3142</v>
      </c>
      <c r="I1602" s="186" t="s">
        <v>3143</v>
      </c>
      <c r="J1602" s="3">
        <v>1</v>
      </c>
      <c r="K1602" s="3">
        <v>5</v>
      </c>
      <c r="L1602" s="3">
        <v>4</v>
      </c>
      <c r="M1602" s="3">
        <v>3</v>
      </c>
      <c r="N1602" s="3">
        <v>5</v>
      </c>
      <c r="O1602" s="238">
        <v>123136607</v>
      </c>
      <c r="P1602" s="93"/>
      <c r="Q1602" s="93"/>
      <c r="R16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02" s="93">
        <v>1</v>
      </c>
      <c r="T1602" s="93" t="b">
        <f>Data[[#This Row],[Day Rank]]=Data[[#This Row],[W Rank]]</f>
        <v>0</v>
      </c>
      <c r="U1602" s="322" t="s">
        <v>3144</v>
      </c>
    </row>
    <row r="1603" spans="1:21" ht="15" customHeight="1">
      <c r="A1603" s="326"/>
      <c r="B1603" s="326"/>
      <c r="C1603" s="339"/>
      <c r="D1603" s="81">
        <f>D1602</f>
        <v>46044</v>
      </c>
      <c r="E1603" s="140" t="str">
        <f>$K$1</f>
        <v>danram</v>
      </c>
      <c r="F1603" s="8">
        <f>IFERROR(AVERAGE(Data[[#This Row],[alappatjoe]:[currydestroyer27]]), "TBD")</f>
        <v>2.4</v>
      </c>
      <c r="G1603" s="177">
        <f>IFERROR(_xlfn.STDEV.P(Data[[#This Row],[alappatjoe]:[currydestroyer27]]), "TBD")</f>
        <v>1.019803902718557</v>
      </c>
      <c r="H1603" s="135" t="s">
        <v>3145</v>
      </c>
      <c r="I1603" s="229" t="s">
        <v>2618</v>
      </c>
      <c r="J1603" s="3">
        <v>3</v>
      </c>
      <c r="K1603" s="3">
        <v>1</v>
      </c>
      <c r="L1603" s="3">
        <v>2</v>
      </c>
      <c r="M1603" s="3">
        <v>4</v>
      </c>
      <c r="N1603" s="3">
        <v>2</v>
      </c>
      <c r="O1603" s="238"/>
      <c r="P1603" s="93"/>
      <c r="Q1603" s="93"/>
      <c r="R16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03" s="93">
        <v>1</v>
      </c>
      <c r="T1603" s="93" t="b">
        <f>Data[[#This Row],[Day Rank]]=Data[[#This Row],[W Rank]]</f>
        <v>0</v>
      </c>
      <c r="U1603" s="323"/>
    </row>
    <row r="1604" spans="1:21" ht="15" customHeight="1">
      <c r="A1604" s="326"/>
      <c r="B1604" s="326"/>
      <c r="C1604" s="339"/>
      <c r="D1604" s="81">
        <f>D1602</f>
        <v>46044</v>
      </c>
      <c r="E1604" s="140" t="str">
        <f>$L$1</f>
        <v>loganworsdell</v>
      </c>
      <c r="F1604" s="8">
        <f>IFERROR(AVERAGE(Data[[#This Row],[alappatjoe]:[currydestroyer27]]), "TBD")</f>
        <v>3.6</v>
      </c>
      <c r="G1604" s="177">
        <f>IFERROR(_xlfn.STDEV.P(Data[[#This Row],[alappatjoe]:[currydestroyer27]]), "TBD")</f>
        <v>1.4966629547095767</v>
      </c>
      <c r="H1604" s="135" t="s">
        <v>3146</v>
      </c>
      <c r="I1604" s="229" t="s">
        <v>1025</v>
      </c>
      <c r="J1604" s="3">
        <v>5</v>
      </c>
      <c r="K1604" s="3">
        <v>4</v>
      </c>
      <c r="L1604" s="3">
        <v>1</v>
      </c>
      <c r="M1604" s="3">
        <v>5</v>
      </c>
      <c r="N1604" s="3">
        <v>3</v>
      </c>
      <c r="O1604" s="238">
        <v>23075194</v>
      </c>
      <c r="P1604" s="93"/>
      <c r="Q1604" s="93"/>
      <c r="R16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04" s="93">
        <v>1</v>
      </c>
      <c r="T1604" s="93" t="b">
        <f>Data[[#This Row],[Day Rank]]=Data[[#This Row],[W Rank]]</f>
        <v>0</v>
      </c>
      <c r="U1604" s="323"/>
    </row>
    <row r="1605" spans="1:21" ht="15" customHeight="1">
      <c r="A1605" s="326"/>
      <c r="B1605" s="326"/>
      <c r="C1605" s="339"/>
      <c r="D1605" s="81">
        <f>D1602</f>
        <v>46044</v>
      </c>
      <c r="E1605" s="140" t="str">
        <f>$M$1</f>
        <v>samuelbattista</v>
      </c>
      <c r="F1605" s="8">
        <f>IFERROR(AVERAGE(Data[[#This Row],[alappatjoe]:[currydestroyer27]]), "TBD")</f>
        <v>3.2</v>
      </c>
      <c r="G1605" s="177">
        <f>IFERROR(_xlfn.STDEV.P(Data[[#This Row],[alappatjoe]:[currydestroyer27]]), "TBD")</f>
        <v>1.4696938456699069</v>
      </c>
      <c r="H1605" s="135" t="s">
        <v>3147</v>
      </c>
      <c r="I1605" s="229" t="s">
        <v>1934</v>
      </c>
      <c r="J1605" s="3">
        <v>4</v>
      </c>
      <c r="K1605" s="3">
        <v>2</v>
      </c>
      <c r="L1605" s="3">
        <v>5</v>
      </c>
      <c r="M1605" s="3">
        <v>1</v>
      </c>
      <c r="N1605" s="3">
        <v>4</v>
      </c>
      <c r="O1605" s="238"/>
      <c r="P1605" s="93"/>
      <c r="Q1605" s="93"/>
      <c r="R16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05" s="93">
        <v>1</v>
      </c>
      <c r="T1605" s="93" t="b">
        <f>Data[[#This Row],[Day Rank]]=Data[[#This Row],[W Rank]]</f>
        <v>0</v>
      </c>
      <c r="U1605" s="323"/>
    </row>
    <row r="1606" spans="1:21" ht="15" customHeight="1" thickBot="1">
      <c r="A1606" s="327"/>
      <c r="B1606" s="327"/>
      <c r="C1606" s="340"/>
      <c r="D1606" s="164">
        <f>D1602</f>
        <v>46044</v>
      </c>
      <c r="E1606" s="215" t="str">
        <f>$N$1</f>
        <v>currydestroyer27</v>
      </c>
      <c r="F1606" s="165">
        <f>IFERROR(AVERAGE(Data[[#This Row],[alappatjoe]:[currydestroyer27]]), "TBD")</f>
        <v>2.2000000000000002</v>
      </c>
      <c r="G1606" s="256">
        <f>IFERROR(_xlfn.STDEV.P(Data[[#This Row],[alappatjoe]:[currydestroyer27]]), "TBD")</f>
        <v>0.74833147735478833</v>
      </c>
      <c r="H1606" s="227" t="s">
        <v>3148</v>
      </c>
      <c r="I1606" s="257" t="s">
        <v>235</v>
      </c>
      <c r="J1606" s="166">
        <v>2</v>
      </c>
      <c r="K1606" s="166">
        <v>3</v>
      </c>
      <c r="L1606" s="166">
        <v>3</v>
      </c>
      <c r="M1606" s="166">
        <v>2</v>
      </c>
      <c r="N1606" s="166">
        <v>1</v>
      </c>
      <c r="O1606" s="242">
        <v>267761467</v>
      </c>
      <c r="P1606" s="167"/>
      <c r="Q1606" s="167"/>
      <c r="R160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06" s="167">
        <v>1</v>
      </c>
      <c r="T1606" s="167" t="b">
        <f>Data[[#This Row],[Day Rank]]=Data[[#This Row],[W Rank]]</f>
        <v>1</v>
      </c>
      <c r="U1606" s="324"/>
    </row>
    <row r="1607" spans="1:21" ht="15" customHeight="1">
      <c r="A1607" s="325">
        <v>46048</v>
      </c>
      <c r="B1607" s="325"/>
      <c r="C1607" s="328" t="str" cm="1">
        <f t="array" ref="C1607">_xlfn.LET(_xlpm.matches, _xlfn._xlws.FILTER(Data[Poster], (Data[Date]=A1607)*(Data[Winner]=TRUE)), IF(ROWS(_xlpm.matches)&gt;1, "TIE", _xlpm.matches))</f>
        <v>alappatjoe</v>
      </c>
      <c r="D1607" s="147">
        <f t="shared" ref="D1607" si="154">A1607</f>
        <v>46048</v>
      </c>
      <c r="E1607" s="181" t="str">
        <f t="shared" ref="E1607" si="155">$J$1</f>
        <v>alappatjoe</v>
      </c>
      <c r="F1607" s="9">
        <f>IFERROR(AVERAGE(Data[[#This Row],[alappatjoe]:[currydestroyer27]]), "TBD")</f>
        <v>1.8</v>
      </c>
      <c r="G1607" s="178">
        <f>IFERROR(_xlfn.STDEV.P(Data[[#This Row],[alappatjoe]:[currydestroyer27]]), "TBD")</f>
        <v>0.4</v>
      </c>
      <c r="H1607" s="160" t="s">
        <v>3149</v>
      </c>
      <c r="I1607" s="186" t="s">
        <v>3150</v>
      </c>
      <c r="J1607" s="3">
        <v>1</v>
      </c>
      <c r="K1607" s="3">
        <v>2</v>
      </c>
      <c r="L1607" s="3">
        <v>2</v>
      </c>
      <c r="M1607" s="3">
        <v>2</v>
      </c>
      <c r="N1607" s="3">
        <v>2</v>
      </c>
      <c r="O1607" s="238">
        <v>854578875</v>
      </c>
      <c r="P1607" s="93"/>
      <c r="Q1607" s="93"/>
      <c r="R16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07" s="93">
        <v>1</v>
      </c>
      <c r="T1607" s="93" t="b">
        <f>Data[[#This Row],[Day Rank]]=Data[[#This Row],[W Rank]]</f>
        <v>1</v>
      </c>
      <c r="U1607" s="322"/>
    </row>
    <row r="1608" spans="1:21" ht="15" customHeight="1">
      <c r="A1608" s="326"/>
      <c r="B1608" s="326"/>
      <c r="C1608" s="329"/>
      <c r="D1608" s="81">
        <f t="shared" ref="D1608" si="156">D1607</f>
        <v>46048</v>
      </c>
      <c r="E1608" s="140" t="str">
        <f t="shared" ref="E1608" si="157">$K$1</f>
        <v>danram</v>
      </c>
      <c r="F1608" s="8">
        <f>IFERROR(AVERAGE(Data[[#This Row],[alappatjoe]:[currydestroyer27]]), "TBD")</f>
        <v>4.5999999999999996</v>
      </c>
      <c r="G1608" s="177">
        <f>IFERROR(_xlfn.STDEV.P(Data[[#This Row],[alappatjoe]:[currydestroyer27]]), "TBD")</f>
        <v>0.8</v>
      </c>
      <c r="H1608" s="135" t="s">
        <v>3151</v>
      </c>
      <c r="I1608" s="229" t="s">
        <v>3136</v>
      </c>
      <c r="J1608" s="3">
        <v>5</v>
      </c>
      <c r="K1608" s="3">
        <v>3</v>
      </c>
      <c r="L1608" s="3">
        <v>5</v>
      </c>
      <c r="M1608" s="3">
        <v>5</v>
      </c>
      <c r="N1608" s="3">
        <v>5</v>
      </c>
      <c r="O1608" s="238"/>
      <c r="P1608" s="93"/>
      <c r="Q1608" s="93"/>
      <c r="R16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08" s="93">
        <v>1</v>
      </c>
      <c r="T1608" s="93" t="b">
        <f>Data[[#This Row],[Day Rank]]=Data[[#This Row],[W Rank]]</f>
        <v>0</v>
      </c>
      <c r="U1608" s="323"/>
    </row>
    <row r="1609" spans="1:21" ht="15" customHeight="1">
      <c r="A1609" s="326"/>
      <c r="B1609" s="326"/>
      <c r="C1609" s="329"/>
      <c r="D1609" s="81">
        <f t="shared" ref="D1609" si="158">D1607</f>
        <v>46048</v>
      </c>
      <c r="E1609" s="140" t="str">
        <f t="shared" ref="E1609" si="159">$L$1</f>
        <v>loganworsdell</v>
      </c>
      <c r="F1609" s="8">
        <f>IFERROR(AVERAGE(Data[[#This Row],[alappatjoe]:[currydestroyer27]]), "TBD")</f>
        <v>3.2</v>
      </c>
      <c r="G1609" s="177">
        <f>IFERROR(_xlfn.STDEV.P(Data[[#This Row],[alappatjoe]:[currydestroyer27]]), "TBD")</f>
        <v>1.1661903789690602</v>
      </c>
      <c r="H1609" s="135" t="s">
        <v>3152</v>
      </c>
      <c r="I1609" s="229" t="s">
        <v>3153</v>
      </c>
      <c r="J1609" s="3">
        <v>4</v>
      </c>
      <c r="K1609" s="3">
        <v>4</v>
      </c>
      <c r="L1609" s="3">
        <v>1</v>
      </c>
      <c r="M1609" s="3">
        <v>4</v>
      </c>
      <c r="N1609" s="3">
        <v>3</v>
      </c>
      <c r="O1609" s="238">
        <v>500476</v>
      </c>
      <c r="P1609" s="93"/>
      <c r="Q1609" s="93"/>
      <c r="R16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09" s="93">
        <v>1</v>
      </c>
      <c r="T1609" s="93" t="b">
        <f>Data[[#This Row],[Day Rank]]=Data[[#This Row],[W Rank]]</f>
        <v>0</v>
      </c>
      <c r="U1609" s="323"/>
    </row>
    <row r="1610" spans="1:21" ht="15" customHeight="1">
      <c r="A1610" s="326"/>
      <c r="B1610" s="326"/>
      <c r="C1610" s="329"/>
      <c r="D1610" s="81">
        <f t="shared" ref="D1610" si="160">D1607</f>
        <v>46048</v>
      </c>
      <c r="E1610" s="140" t="str">
        <f t="shared" ref="E1610" si="161">$M$1</f>
        <v>samuelbattista</v>
      </c>
      <c r="F1610" s="8">
        <f>IFERROR(AVERAGE(Data[[#This Row],[alappatjoe]:[currydestroyer27]]), "TBD")</f>
        <v>2.4</v>
      </c>
      <c r="G1610" s="177">
        <f>IFERROR(_xlfn.STDEV.P(Data[[#This Row],[alappatjoe]:[currydestroyer27]]), "TBD")</f>
        <v>1.3564659966250536</v>
      </c>
      <c r="H1610" s="135" t="s">
        <v>3154</v>
      </c>
      <c r="I1610" s="229" t="s">
        <v>692</v>
      </c>
      <c r="J1610" s="3">
        <v>2</v>
      </c>
      <c r="K1610" s="3">
        <v>1</v>
      </c>
      <c r="L1610" s="3">
        <v>4</v>
      </c>
      <c r="M1610" s="3">
        <v>1</v>
      </c>
      <c r="N1610" s="3">
        <v>4</v>
      </c>
      <c r="O1610" s="238"/>
      <c r="P1610" s="93"/>
      <c r="Q1610" s="93"/>
      <c r="R16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10" s="93">
        <v>1</v>
      </c>
      <c r="T1610" s="93" t="b">
        <f>Data[[#This Row],[Day Rank]]=Data[[#This Row],[W Rank]]</f>
        <v>0</v>
      </c>
      <c r="U1610" s="323"/>
    </row>
    <row r="1611" spans="1:21" ht="15" customHeight="1" thickBot="1">
      <c r="A1611" s="327"/>
      <c r="B1611" s="327"/>
      <c r="C1611" s="330"/>
      <c r="D1611" s="164">
        <f t="shared" ref="D1611" si="162">D1607</f>
        <v>46048</v>
      </c>
      <c r="E1611" s="215" t="str">
        <f t="shared" ref="E1611" si="163">$N$1</f>
        <v>currydestroyer27</v>
      </c>
      <c r="F1611" s="165">
        <f>IFERROR(AVERAGE(Data[[#This Row],[alappatjoe]:[currydestroyer27]]), "TBD")</f>
        <v>3</v>
      </c>
      <c r="G1611" s="256">
        <f>IFERROR(_xlfn.STDEV.P(Data[[#This Row],[alappatjoe]:[currydestroyer27]]), "TBD")</f>
        <v>1.2649110640673518</v>
      </c>
      <c r="H1611" s="227" t="s">
        <v>3155</v>
      </c>
      <c r="I1611" s="257" t="s">
        <v>504</v>
      </c>
      <c r="J1611" s="166">
        <v>3</v>
      </c>
      <c r="K1611" s="166">
        <v>5</v>
      </c>
      <c r="L1611" s="166">
        <v>3</v>
      </c>
      <c r="M1611" s="166">
        <v>3</v>
      </c>
      <c r="N1611" s="166">
        <v>1</v>
      </c>
      <c r="O1611" s="242">
        <v>594579602</v>
      </c>
      <c r="P1611" s="167"/>
      <c r="Q1611" s="167"/>
      <c r="R16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11" s="167">
        <v>1</v>
      </c>
      <c r="T1611" s="167" t="b">
        <f>Data[[#This Row],[Day Rank]]=Data[[#This Row],[W Rank]]</f>
        <v>0</v>
      </c>
      <c r="U1611" s="324"/>
    </row>
    <row r="1612" spans="1:21" ht="15" customHeight="1">
      <c r="A1612" s="325">
        <v>46049</v>
      </c>
      <c r="B1612" s="325"/>
      <c r="C1612" s="338" t="str" cm="1">
        <f t="array" ref="C1612">_xlfn.LET(_xlpm.matches, _xlfn._xlws.FILTER(Data[Poster], (Data[Date]=A1612)*(Data[Winner]=TRUE)), IF(ROWS(_xlpm.matches)&gt;1, "TIE", _xlpm.matches))</f>
        <v>loganworsdell</v>
      </c>
      <c r="D1612" s="147">
        <f t="shared" ref="D1612" si="164">A1612</f>
        <v>46049</v>
      </c>
      <c r="E1612" s="181" t="str">
        <f t="shared" ref="E1612" si="165">$J$1</f>
        <v>alappatjoe</v>
      </c>
      <c r="F1612" s="9">
        <f>IFERROR(AVERAGE(Data[[#This Row],[alappatjoe]:[currydestroyer27]]), "TBD")</f>
        <v>2.6</v>
      </c>
      <c r="G1612" s="178">
        <f>IFERROR(_xlfn.STDEV.P(Data[[#This Row],[alappatjoe]:[currydestroyer27]]), "TBD")</f>
        <v>1.2</v>
      </c>
      <c r="H1612" s="160" t="s">
        <v>3156</v>
      </c>
      <c r="I1612" s="186" t="s">
        <v>3132</v>
      </c>
      <c r="J1612" s="3">
        <v>1</v>
      </c>
      <c r="K1612" s="3">
        <v>4</v>
      </c>
      <c r="L1612" s="3">
        <v>4</v>
      </c>
      <c r="M1612" s="3">
        <v>2</v>
      </c>
      <c r="N1612" s="3">
        <v>2</v>
      </c>
      <c r="O1612" s="238">
        <v>165995906</v>
      </c>
      <c r="P1612" s="93"/>
      <c r="Q1612" s="93"/>
      <c r="R16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12" s="93">
        <v>1</v>
      </c>
      <c r="T1612" s="93" t="b">
        <f>Data[[#This Row],[Day Rank]]=Data[[#This Row],[W Rank]]</f>
        <v>0</v>
      </c>
      <c r="U1612" s="322"/>
    </row>
    <row r="1613" spans="1:21" ht="15" customHeight="1">
      <c r="A1613" s="326"/>
      <c r="B1613" s="326"/>
      <c r="C1613" s="339"/>
      <c r="D1613" s="81">
        <f t="shared" ref="D1613" si="166">D1612</f>
        <v>46049</v>
      </c>
      <c r="E1613" s="140" t="str">
        <f t="shared" ref="E1613" si="167">$K$1</f>
        <v>danram</v>
      </c>
      <c r="F1613" s="8">
        <f>IFERROR(AVERAGE(Data[[#This Row],[alappatjoe]:[currydestroyer27]]), "TBD")</f>
        <v>3.8</v>
      </c>
      <c r="G1613" s="177">
        <f>IFERROR(_xlfn.STDEV.P(Data[[#This Row],[alappatjoe]:[currydestroyer27]]), "TBD")</f>
        <v>0.74833147735478833</v>
      </c>
      <c r="H1613" s="135" t="s">
        <v>3157</v>
      </c>
      <c r="I1613" s="229" t="s">
        <v>373</v>
      </c>
      <c r="J1613" s="3">
        <v>4</v>
      </c>
      <c r="K1613" s="3">
        <v>3</v>
      </c>
      <c r="L1613" s="3">
        <v>3</v>
      </c>
      <c r="M1613" s="3">
        <v>5</v>
      </c>
      <c r="N1613" s="3">
        <v>4</v>
      </c>
      <c r="O1613" s="238"/>
      <c r="P1613" s="93"/>
      <c r="Q1613" s="93"/>
      <c r="R16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13" s="93">
        <v>1</v>
      </c>
      <c r="T1613" s="93" t="b">
        <f>Data[[#This Row],[Day Rank]]=Data[[#This Row],[W Rank]]</f>
        <v>0</v>
      </c>
      <c r="U1613" s="323"/>
    </row>
    <row r="1614" spans="1:21" ht="15" customHeight="1">
      <c r="A1614" s="326"/>
      <c r="B1614" s="326"/>
      <c r="C1614" s="339"/>
      <c r="D1614" s="81">
        <f t="shared" ref="D1614" si="168">D1612</f>
        <v>46049</v>
      </c>
      <c r="E1614" s="140" t="str">
        <f t="shared" ref="E1614" si="169">$L$1</f>
        <v>loganworsdell</v>
      </c>
      <c r="F1614" s="8">
        <f>IFERROR(AVERAGE(Data[[#This Row],[alappatjoe]:[currydestroyer27]]), "TBD")</f>
        <v>2.4</v>
      </c>
      <c r="G1614" s="177">
        <f>IFERROR(_xlfn.STDEV.P(Data[[#This Row],[alappatjoe]:[currydestroyer27]]), "TBD")</f>
        <v>0.8</v>
      </c>
      <c r="H1614" s="135" t="s">
        <v>3158</v>
      </c>
      <c r="I1614" s="229" t="s">
        <v>3159</v>
      </c>
      <c r="J1614" s="3">
        <v>3</v>
      </c>
      <c r="K1614" s="3">
        <v>2</v>
      </c>
      <c r="L1614" s="3">
        <v>1</v>
      </c>
      <c r="M1614" s="3">
        <v>3</v>
      </c>
      <c r="N1614" s="3">
        <v>3</v>
      </c>
      <c r="O1614" s="238">
        <v>3347104</v>
      </c>
      <c r="P1614" s="93"/>
      <c r="Q1614" s="93"/>
      <c r="R16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14" s="93">
        <v>1</v>
      </c>
      <c r="T1614" s="93" t="b">
        <f>Data[[#This Row],[Day Rank]]=Data[[#This Row],[W Rank]]</f>
        <v>1</v>
      </c>
      <c r="U1614" s="323"/>
    </row>
    <row r="1615" spans="1:21" ht="15" customHeight="1">
      <c r="A1615" s="326"/>
      <c r="B1615" s="326"/>
      <c r="C1615" s="339"/>
      <c r="D1615" s="81">
        <f t="shared" ref="D1615" si="170">D1612</f>
        <v>46049</v>
      </c>
      <c r="E1615" s="140" t="str">
        <f t="shared" ref="E1615" si="171">$M$1</f>
        <v>samuelbattista</v>
      </c>
      <c r="F1615" s="8">
        <f>IFERROR(AVERAGE(Data[[#This Row],[alappatjoe]:[currydestroyer27]]), "TBD")</f>
        <v>3.6</v>
      </c>
      <c r="G1615" s="177">
        <f>IFERROR(_xlfn.STDEV.P(Data[[#This Row],[alappatjoe]:[currydestroyer27]]), "TBD")</f>
        <v>1.7435595774162693</v>
      </c>
      <c r="H1615" s="135" t="s">
        <v>3160</v>
      </c>
      <c r="I1615" s="229" t="s">
        <v>3161</v>
      </c>
      <c r="J1615" s="3">
        <v>2</v>
      </c>
      <c r="K1615" s="3">
        <v>5</v>
      </c>
      <c r="L1615" s="3">
        <v>5</v>
      </c>
      <c r="M1615" s="3">
        <v>1</v>
      </c>
      <c r="N1615" s="3">
        <v>5</v>
      </c>
      <c r="O1615" s="238"/>
      <c r="P1615" s="93"/>
      <c r="Q1615" s="93"/>
      <c r="R16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15" s="93">
        <v>1</v>
      </c>
      <c r="T1615" s="93" t="b">
        <f>Data[[#This Row],[Day Rank]]=Data[[#This Row],[W Rank]]</f>
        <v>0</v>
      </c>
      <c r="U1615" s="323"/>
    </row>
    <row r="1616" spans="1:21" ht="15" customHeight="1" thickBot="1">
      <c r="A1616" s="327"/>
      <c r="B1616" s="327"/>
      <c r="C1616" s="340"/>
      <c r="D1616" s="164">
        <f t="shared" ref="D1616" si="172">D1612</f>
        <v>46049</v>
      </c>
      <c r="E1616" s="215" t="str">
        <f t="shared" ref="E1616" si="173">$N$1</f>
        <v>currydestroyer27</v>
      </c>
      <c r="F1616" s="165">
        <f>IFERROR(AVERAGE(Data[[#This Row],[alappatjoe]:[currydestroyer27]]), "TBD")</f>
        <v>2.6</v>
      </c>
      <c r="G1616" s="256">
        <f>IFERROR(_xlfn.STDEV.P(Data[[#This Row],[alappatjoe]:[currydestroyer27]]), "TBD")</f>
        <v>1.6248076809271921</v>
      </c>
      <c r="H1616" s="227" t="s">
        <v>3162</v>
      </c>
      <c r="I1616" s="257" t="s">
        <v>3039</v>
      </c>
      <c r="J1616" s="166">
        <v>5</v>
      </c>
      <c r="K1616" s="166">
        <v>1</v>
      </c>
      <c r="L1616" s="166">
        <v>2</v>
      </c>
      <c r="M1616" s="166">
        <v>4</v>
      </c>
      <c r="N1616" s="166">
        <v>1</v>
      </c>
      <c r="O1616" s="242"/>
      <c r="P1616" s="167"/>
      <c r="Q1616" s="167"/>
      <c r="R16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16" s="167">
        <v>1</v>
      </c>
      <c r="T1616" s="167" t="b">
        <f>Data[[#This Row],[Day Rank]]=Data[[#This Row],[W Rank]]</f>
        <v>0</v>
      </c>
      <c r="U1616" s="324"/>
    </row>
    <row r="1617" spans="1:21" ht="15" customHeight="1">
      <c r="A1617" s="325">
        <v>46050</v>
      </c>
      <c r="B1617" s="325"/>
      <c r="C1617" s="328" t="str" cm="1">
        <f t="array" ref="C1617">_xlfn.LET(_xlpm.matches, _xlfn._xlws.FILTER(Data[Poster], (Data[Date]=A1617)*(Data[Winner]=TRUE)), IF(ROWS(_xlpm.matches)&gt;1, "TIE", _xlpm.matches))</f>
        <v>currydestroyer27</v>
      </c>
      <c r="D1617" s="147">
        <f t="shared" ref="D1617" si="174">A1617</f>
        <v>46050</v>
      </c>
      <c r="E1617" s="181" t="str">
        <f t="shared" ref="E1617" si="175">$J$1</f>
        <v>alappatjoe</v>
      </c>
      <c r="F1617" s="9">
        <f>IFERROR(AVERAGE(Data[[#This Row],[alappatjoe]:[currydestroyer27]]), "TBD")</f>
        <v>3.2</v>
      </c>
      <c r="G1617" s="178">
        <f>IFERROR(_xlfn.STDEV.P(Data[[#This Row],[alappatjoe]:[currydestroyer27]]), "TBD")</f>
        <v>1.1661903789690602</v>
      </c>
      <c r="H1617" s="160" t="s">
        <v>3163</v>
      </c>
      <c r="I1617" s="186" t="s">
        <v>778</v>
      </c>
      <c r="J1617" s="3">
        <v>1</v>
      </c>
      <c r="K1617" s="3">
        <v>4</v>
      </c>
      <c r="L1617" s="3">
        <v>4</v>
      </c>
      <c r="M1617" s="3">
        <v>4</v>
      </c>
      <c r="N1617" s="3">
        <v>3</v>
      </c>
      <c r="O1617" s="238">
        <v>123461567</v>
      </c>
      <c r="P1617" s="93"/>
      <c r="Q1617" s="93"/>
      <c r="R16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17" s="93">
        <v>1</v>
      </c>
      <c r="T1617" s="93" t="b">
        <f>Data[[#This Row],[Day Rank]]=Data[[#This Row],[W Rank]]</f>
        <v>0</v>
      </c>
      <c r="U1617" s="322"/>
    </row>
    <row r="1618" spans="1:21" ht="15" customHeight="1">
      <c r="A1618" s="326"/>
      <c r="B1618" s="326"/>
      <c r="C1618" s="329"/>
      <c r="D1618" s="81">
        <f t="shared" ref="D1618" si="176">D1617</f>
        <v>46050</v>
      </c>
      <c r="E1618" s="140" t="str">
        <f t="shared" ref="E1618" si="177">$K$1</f>
        <v>danram</v>
      </c>
      <c r="F1618" s="8">
        <f>IFERROR(AVERAGE(Data[[#This Row],[alappatjoe]:[currydestroyer27]]), "TBD")</f>
        <v>2.4</v>
      </c>
      <c r="G1618" s="177">
        <f>IFERROR(_xlfn.STDEV.P(Data[[#This Row],[alappatjoe]:[currydestroyer27]]), "TBD")</f>
        <v>0.4898979485566356</v>
      </c>
      <c r="H1618" s="135" t="s">
        <v>3164</v>
      </c>
      <c r="I1618" s="229" t="s">
        <v>3165</v>
      </c>
      <c r="J1618" s="3">
        <v>3</v>
      </c>
      <c r="K1618" s="3">
        <v>2</v>
      </c>
      <c r="L1618" s="3">
        <v>3</v>
      </c>
      <c r="M1618" s="3">
        <v>2</v>
      </c>
      <c r="N1618" s="3">
        <v>2</v>
      </c>
      <c r="O1618" s="238"/>
      <c r="P1618" s="93"/>
      <c r="Q1618" s="93"/>
      <c r="R16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18" s="93">
        <v>1</v>
      </c>
      <c r="T1618" s="93" t="b">
        <f>Data[[#This Row],[Day Rank]]=Data[[#This Row],[W Rank]]</f>
        <v>0</v>
      </c>
      <c r="U1618" s="323"/>
    </row>
    <row r="1619" spans="1:21" ht="15" customHeight="1">
      <c r="A1619" s="326"/>
      <c r="B1619" s="326"/>
      <c r="C1619" s="329"/>
      <c r="D1619" s="81">
        <f t="shared" ref="D1619" si="178">D1617</f>
        <v>46050</v>
      </c>
      <c r="E1619" s="140" t="str">
        <f t="shared" ref="E1619" si="179">$L$1</f>
        <v>loganworsdell</v>
      </c>
      <c r="F1619" s="8">
        <f>IFERROR(AVERAGE(Data[[#This Row],[alappatjoe]:[currydestroyer27]]), "TBD")</f>
        <v>5</v>
      </c>
      <c r="G1619" s="177">
        <f>IFERROR(_xlfn.STDEV.P(Data[[#This Row],[alappatjoe]:[currydestroyer27]]), "TBD")</f>
        <v>0</v>
      </c>
      <c r="H1619" s="135" t="s">
        <v>3166</v>
      </c>
      <c r="I1619" s="229" t="s">
        <v>3167</v>
      </c>
      <c r="J1619" s="3">
        <v>5</v>
      </c>
      <c r="K1619" s="3">
        <v>5</v>
      </c>
      <c r="L1619" s="3">
        <v>5</v>
      </c>
      <c r="M1619" s="3">
        <v>5</v>
      </c>
      <c r="N1619" s="3">
        <v>5</v>
      </c>
      <c r="O1619" s="238">
        <v>506058763</v>
      </c>
      <c r="P1619" s="93"/>
      <c r="Q1619" s="93"/>
      <c r="R16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19" s="93">
        <v>1</v>
      </c>
      <c r="T1619" s="93" t="b">
        <f>Data[[#This Row],[Day Rank]]=Data[[#This Row],[W Rank]]</f>
        <v>0</v>
      </c>
      <c r="U1619" s="323"/>
    </row>
    <row r="1620" spans="1:21" ht="15" customHeight="1">
      <c r="A1620" s="326"/>
      <c r="B1620" s="326"/>
      <c r="C1620" s="329"/>
      <c r="D1620" s="81">
        <f t="shared" ref="D1620" si="180">D1617</f>
        <v>46050</v>
      </c>
      <c r="E1620" s="140" t="str">
        <f t="shared" ref="E1620" si="181">$M$1</f>
        <v>samuelbattista</v>
      </c>
      <c r="F1620" s="8">
        <f>IFERROR(AVERAGE(Data[[#This Row],[alappatjoe]:[currydestroyer27]]), "TBD")</f>
        <v>2.4</v>
      </c>
      <c r="G1620" s="177">
        <f>IFERROR(_xlfn.STDEV.P(Data[[#This Row],[alappatjoe]:[currydestroyer27]]), "TBD")</f>
        <v>1.019803902718557</v>
      </c>
      <c r="H1620" s="135" t="s">
        <v>3168</v>
      </c>
      <c r="I1620" s="229" t="s">
        <v>3169</v>
      </c>
      <c r="J1620" s="3">
        <v>2</v>
      </c>
      <c r="K1620" s="3">
        <v>3</v>
      </c>
      <c r="L1620" s="3">
        <v>2</v>
      </c>
      <c r="M1620" s="3">
        <v>1</v>
      </c>
      <c r="N1620" s="3">
        <v>4</v>
      </c>
      <c r="O1620" s="238"/>
      <c r="P1620" s="93"/>
      <c r="Q1620" s="93"/>
      <c r="R16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20" s="93">
        <v>1</v>
      </c>
      <c r="T1620" s="93" t="b">
        <f>Data[[#This Row],[Day Rank]]=Data[[#This Row],[W Rank]]</f>
        <v>0</v>
      </c>
      <c r="U1620" s="323"/>
    </row>
    <row r="1621" spans="1:21" ht="15" customHeight="1" thickBot="1">
      <c r="A1621" s="327"/>
      <c r="B1621" s="327"/>
      <c r="C1621" s="330"/>
      <c r="D1621" s="164">
        <f t="shared" ref="D1621" si="182">D1617</f>
        <v>46050</v>
      </c>
      <c r="E1621" s="215" t="str">
        <f t="shared" ref="E1621" si="183">$N$1</f>
        <v>currydestroyer27</v>
      </c>
      <c r="F1621" s="165">
        <f>IFERROR(AVERAGE(Data[[#This Row],[alappatjoe]:[currydestroyer27]]), "TBD")</f>
        <v>2</v>
      </c>
      <c r="G1621" s="256">
        <f>IFERROR(_xlfn.STDEV.P(Data[[#This Row],[alappatjoe]:[currydestroyer27]]), "TBD")</f>
        <v>1.2649110640673518</v>
      </c>
      <c r="H1621" s="227" t="s">
        <v>3170</v>
      </c>
      <c r="I1621" s="257" t="s">
        <v>855</v>
      </c>
      <c r="J1621" s="166">
        <v>4</v>
      </c>
      <c r="K1621" s="166">
        <v>1</v>
      </c>
      <c r="L1621" s="166">
        <v>1</v>
      </c>
      <c r="M1621" s="166">
        <v>3</v>
      </c>
      <c r="N1621" s="166">
        <v>1</v>
      </c>
      <c r="O1621" s="242">
        <v>1384143778</v>
      </c>
      <c r="P1621" s="167"/>
      <c r="Q1621" s="167"/>
      <c r="R16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21" s="167">
        <v>1</v>
      </c>
      <c r="T1621" s="167" t="b">
        <f>Data[[#This Row],[Day Rank]]=Data[[#This Row],[W Rank]]</f>
        <v>1</v>
      </c>
      <c r="U1621" s="324"/>
    </row>
    <row r="1622" spans="1:21" ht="15" customHeight="1">
      <c r="A1622" s="325">
        <v>46051</v>
      </c>
      <c r="B1622" s="325"/>
      <c r="C1622" s="338" t="str" cm="1">
        <f t="array" ref="C1622">_xlfn.LET(_xlpm.matches, _xlfn._xlws.FILTER(Data[Poster], (Data[Date]=A1622)*(Data[Winner]=TRUE)), IF(ROWS(_xlpm.matches)&gt;1, "TIE", _xlpm.matches))</f>
        <v>currydestroyer27</v>
      </c>
      <c r="D1622" s="147">
        <f t="shared" ref="D1622" si="184">A1622</f>
        <v>46051</v>
      </c>
      <c r="E1622" s="181" t="str">
        <f t="shared" ref="E1622" si="185">$J$1</f>
        <v>alappatjoe</v>
      </c>
      <c r="F1622" s="9">
        <f>IFERROR(AVERAGE(Data[[#This Row],[alappatjoe]:[currydestroyer27]]), "TBD")</f>
        <v>4.4000000000000004</v>
      </c>
      <c r="G1622" s="178">
        <f>IFERROR(_xlfn.STDEV.P(Data[[#This Row],[alappatjoe]:[currydestroyer27]]), "TBD")</f>
        <v>0.8</v>
      </c>
      <c r="H1622" s="160" t="s">
        <v>3171</v>
      </c>
      <c r="I1622" s="186" t="s">
        <v>3172</v>
      </c>
      <c r="J1622" s="3">
        <v>3</v>
      </c>
      <c r="K1622" s="3">
        <v>5</v>
      </c>
      <c r="L1622" s="3">
        <v>5</v>
      </c>
      <c r="M1622" s="3">
        <v>5</v>
      </c>
      <c r="N1622" s="3">
        <v>4</v>
      </c>
      <c r="O1622" s="238">
        <v>1574909</v>
      </c>
      <c r="P1622" s="93"/>
      <c r="Q1622" s="93"/>
      <c r="R16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22" s="93">
        <v>1</v>
      </c>
      <c r="T1622" s="93" t="b">
        <f>Data[[#This Row],[Day Rank]]=Data[[#This Row],[W Rank]]</f>
        <v>0</v>
      </c>
      <c r="U1622" s="322" t="s">
        <v>3173</v>
      </c>
    </row>
    <row r="1623" spans="1:21" ht="15" customHeight="1">
      <c r="A1623" s="326"/>
      <c r="B1623" s="326"/>
      <c r="C1623" s="339"/>
      <c r="D1623" s="81">
        <f t="shared" ref="D1623" si="186">D1622</f>
        <v>46051</v>
      </c>
      <c r="E1623" s="140" t="str">
        <f t="shared" ref="E1623" si="187">$K$1</f>
        <v>danram</v>
      </c>
      <c r="F1623" s="8">
        <f>IFERROR(AVERAGE(Data[[#This Row],[alappatjoe]:[currydestroyer27]]), "TBD")</f>
        <v>2.2000000000000002</v>
      </c>
      <c r="G1623" s="177">
        <f>IFERROR(_xlfn.STDEV.P(Data[[#This Row],[alappatjoe]:[currydestroyer27]]), "TBD")</f>
        <v>1.4696938456699069</v>
      </c>
      <c r="H1623" s="135" t="s">
        <v>3174</v>
      </c>
      <c r="I1623" s="229" t="s">
        <v>3175</v>
      </c>
      <c r="J1623" s="3">
        <v>5</v>
      </c>
      <c r="K1623" s="3">
        <v>1</v>
      </c>
      <c r="L1623" s="3">
        <v>1</v>
      </c>
      <c r="M1623" s="3">
        <v>2</v>
      </c>
      <c r="N1623" s="3">
        <v>2</v>
      </c>
      <c r="O1623" s="238"/>
      <c r="P1623" s="93"/>
      <c r="Q1623" s="93"/>
      <c r="R16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23" s="93">
        <v>1</v>
      </c>
      <c r="T1623" s="93" t="b">
        <f>Data[[#This Row],[Day Rank]]=Data[[#This Row],[W Rank]]</f>
        <v>0</v>
      </c>
      <c r="U1623" s="323"/>
    </row>
    <row r="1624" spans="1:21" ht="15" customHeight="1">
      <c r="A1624" s="326"/>
      <c r="B1624" s="326"/>
      <c r="C1624" s="339"/>
      <c r="D1624" s="81">
        <f t="shared" ref="D1624" si="188">D1622</f>
        <v>46051</v>
      </c>
      <c r="E1624" s="140" t="str">
        <f t="shared" ref="E1624" si="189">$L$1</f>
        <v>loganworsdell</v>
      </c>
      <c r="F1624" s="8">
        <f>IFERROR(AVERAGE(Data[[#This Row],[alappatjoe]:[currydestroyer27]]), "TBD")</f>
        <v>3.6</v>
      </c>
      <c r="G1624" s="177">
        <f>IFERROR(_xlfn.STDEV.P(Data[[#This Row],[alappatjoe]:[currydestroyer27]]), "TBD")</f>
        <v>0.4898979485566356</v>
      </c>
      <c r="H1624" s="135" t="s">
        <v>3176</v>
      </c>
      <c r="I1624" s="229" t="s">
        <v>3177</v>
      </c>
      <c r="J1624" s="3">
        <v>4</v>
      </c>
      <c r="K1624" s="3">
        <v>4</v>
      </c>
      <c r="L1624" s="3">
        <v>3</v>
      </c>
      <c r="M1624" s="3">
        <v>4</v>
      </c>
      <c r="N1624" s="3">
        <v>3</v>
      </c>
      <c r="O1624" s="238">
        <v>2527382</v>
      </c>
      <c r="P1624" s="93"/>
      <c r="Q1624" s="93"/>
      <c r="R16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24" s="93">
        <v>1</v>
      </c>
      <c r="T1624" s="93" t="b">
        <f>Data[[#This Row],[Day Rank]]=Data[[#This Row],[W Rank]]</f>
        <v>0</v>
      </c>
      <c r="U1624" s="323"/>
    </row>
    <row r="1625" spans="1:21" ht="15" customHeight="1">
      <c r="A1625" s="326"/>
      <c r="B1625" s="326"/>
      <c r="C1625" s="339"/>
      <c r="D1625" s="81">
        <f t="shared" ref="D1625" si="190">D1622</f>
        <v>46051</v>
      </c>
      <c r="E1625" s="140" t="str">
        <f t="shared" ref="E1625" si="191">$M$1</f>
        <v>samuelbattista</v>
      </c>
      <c r="F1625" s="8">
        <f>IFERROR(AVERAGE(Data[[#This Row],[alappatjoe]:[currydestroyer27]]), "TBD")</f>
        <v>3.4</v>
      </c>
      <c r="G1625" s="177">
        <f>IFERROR(_xlfn.STDEV.P(Data[[#This Row],[alappatjoe]:[currydestroyer27]]), "TBD")</f>
        <v>1.019803902718557</v>
      </c>
      <c r="H1625" s="135" t="s">
        <v>3178</v>
      </c>
      <c r="I1625" s="229" t="s">
        <v>3179</v>
      </c>
      <c r="J1625" s="3">
        <v>2</v>
      </c>
      <c r="K1625" s="3">
        <v>3</v>
      </c>
      <c r="L1625" s="3">
        <v>4</v>
      </c>
      <c r="M1625" s="3">
        <v>3</v>
      </c>
      <c r="N1625" s="3">
        <v>5</v>
      </c>
      <c r="O1625" s="238"/>
      <c r="P1625" s="93"/>
      <c r="Q1625" s="93"/>
      <c r="R16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25" s="93">
        <v>1</v>
      </c>
      <c r="T1625" s="93" t="b">
        <f>Data[[#This Row],[Day Rank]]=Data[[#This Row],[W Rank]]</f>
        <v>0</v>
      </c>
      <c r="U1625" s="323"/>
    </row>
    <row r="1626" spans="1:21" ht="15" customHeight="1" thickBot="1">
      <c r="A1626" s="327"/>
      <c r="B1626" s="327"/>
      <c r="C1626" s="340"/>
      <c r="D1626" s="164">
        <f t="shared" ref="D1626" si="192">D1622</f>
        <v>46051</v>
      </c>
      <c r="E1626" s="215" t="str">
        <f t="shared" ref="E1626" si="193">$N$1</f>
        <v>currydestroyer27</v>
      </c>
      <c r="F1626" s="165">
        <f>IFERROR(AVERAGE(Data[[#This Row],[alappatjoe]:[currydestroyer27]]), "TBD")</f>
        <v>1.4</v>
      </c>
      <c r="G1626" s="256">
        <f>IFERROR(_xlfn.STDEV.P(Data[[#This Row],[alappatjoe]:[currydestroyer27]]), "TBD")</f>
        <v>0.4898979485566356</v>
      </c>
      <c r="H1626" s="227" t="s">
        <v>3180</v>
      </c>
      <c r="I1626" s="257" t="s">
        <v>3181</v>
      </c>
      <c r="J1626" s="166">
        <v>1</v>
      </c>
      <c r="K1626" s="166">
        <v>2</v>
      </c>
      <c r="L1626" s="166">
        <v>2</v>
      </c>
      <c r="M1626" s="166">
        <v>1</v>
      </c>
      <c r="N1626" s="166">
        <v>1</v>
      </c>
      <c r="O1626" s="242">
        <v>2026602521</v>
      </c>
      <c r="P1626" s="167"/>
      <c r="Q1626" s="167"/>
      <c r="R16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26" s="167">
        <v>1</v>
      </c>
      <c r="T1626" s="167" t="b">
        <f>Data[[#This Row],[Day Rank]]=Data[[#This Row],[W Rank]]</f>
        <v>1</v>
      </c>
      <c r="U1626" s="324"/>
    </row>
    <row r="1627" spans="1:21" ht="15" customHeight="1">
      <c r="A1627" s="325">
        <v>46055</v>
      </c>
      <c r="B1627" s="325"/>
      <c r="C1627" s="328" t="str" cm="1">
        <f t="array" ref="C1627">_xlfn.LET(_xlpm.matches, _xlfn._xlws.FILTER(Data[Poster], (Data[Date]=A1627)*(Data[Winner]=TRUE)), IF(ROWS(_xlpm.matches)&gt;1, "TIE", _xlpm.matches))</f>
        <v>loganworsdell</v>
      </c>
      <c r="D1627" s="147">
        <f t="shared" ref="D1627" si="194">A1627</f>
        <v>46055</v>
      </c>
      <c r="E1627" s="181" t="str">
        <f t="shared" ref="E1627" si="195">$J$1</f>
        <v>alappatjoe</v>
      </c>
      <c r="F1627" s="9">
        <f>IFERROR(AVERAGE(Data[[#This Row],[alappatjoe]:[currydestroyer27]]), "TBD")</f>
        <v>2.8</v>
      </c>
      <c r="G1627" s="178">
        <f>IFERROR(_xlfn.STDEV.P(Data[[#This Row],[alappatjoe]:[currydestroyer27]]), "TBD")</f>
        <v>1.1661903789690602</v>
      </c>
      <c r="H1627" s="160" t="s">
        <v>3182</v>
      </c>
      <c r="I1627" s="186" t="s">
        <v>3183</v>
      </c>
      <c r="J1627" s="3">
        <v>1</v>
      </c>
      <c r="K1627" s="3">
        <v>2</v>
      </c>
      <c r="L1627" s="3">
        <v>4</v>
      </c>
      <c r="M1627" s="3">
        <v>3</v>
      </c>
      <c r="N1627" s="3">
        <v>4</v>
      </c>
      <c r="O1627" s="238">
        <v>147160</v>
      </c>
      <c r="P1627" s="93"/>
      <c r="Q1627" s="93"/>
      <c r="R16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27" s="93">
        <v>1</v>
      </c>
      <c r="T1627" s="93" t="b">
        <f>Data[[#This Row],[Day Rank]]=Data[[#This Row],[W Rank]]</f>
        <v>0</v>
      </c>
      <c r="U1627" s="322"/>
    </row>
    <row r="1628" spans="1:21" ht="15" customHeight="1">
      <c r="A1628" s="326"/>
      <c r="B1628" s="326"/>
      <c r="C1628" s="329"/>
      <c r="D1628" s="81">
        <f t="shared" ref="D1628" si="196">D1627</f>
        <v>46055</v>
      </c>
      <c r="E1628" s="140" t="str">
        <f t="shared" ref="E1628" si="197">$K$1</f>
        <v>danram</v>
      </c>
      <c r="F1628" s="8">
        <f>IFERROR(AVERAGE(Data[[#This Row],[alappatjoe]:[currydestroyer27]]), "TBD")</f>
        <v>3.4</v>
      </c>
      <c r="G1628" s="177">
        <f>IFERROR(_xlfn.STDEV.P(Data[[#This Row],[alappatjoe]:[currydestroyer27]]), "TBD")</f>
        <v>1.3564659966250536</v>
      </c>
      <c r="H1628" s="135" t="s">
        <v>3184</v>
      </c>
      <c r="I1628" s="229" t="s">
        <v>361</v>
      </c>
      <c r="J1628" s="3">
        <v>4</v>
      </c>
      <c r="K1628" s="3">
        <v>1</v>
      </c>
      <c r="L1628" s="3">
        <v>3</v>
      </c>
      <c r="M1628" s="3">
        <v>4</v>
      </c>
      <c r="N1628" s="3">
        <v>5</v>
      </c>
      <c r="O1628" s="238"/>
      <c r="P1628" s="93"/>
      <c r="Q1628" s="93"/>
      <c r="R16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28" s="93">
        <v>1</v>
      </c>
      <c r="T1628" s="93" t="b">
        <f>Data[[#This Row],[Day Rank]]=Data[[#This Row],[W Rank]]</f>
        <v>0</v>
      </c>
      <c r="U1628" s="323"/>
    </row>
    <row r="1629" spans="1:21" ht="15" customHeight="1">
      <c r="A1629" s="326"/>
      <c r="B1629" s="326"/>
      <c r="C1629" s="329"/>
      <c r="D1629" s="81">
        <f t="shared" ref="D1629" si="198">D1627</f>
        <v>46055</v>
      </c>
      <c r="E1629" s="140" t="str">
        <f t="shared" ref="E1629" si="199">$L$1</f>
        <v>loganworsdell</v>
      </c>
      <c r="F1629" s="8">
        <f>IFERROR(AVERAGE(Data[[#This Row],[alappatjoe]:[currydestroyer27]]), "TBD")</f>
        <v>2.4</v>
      </c>
      <c r="G1629" s="177">
        <f>IFERROR(_xlfn.STDEV.P(Data[[#This Row],[alappatjoe]:[currydestroyer27]]), "TBD")</f>
        <v>1.019803902718557</v>
      </c>
      <c r="H1629" s="135" t="s">
        <v>3185</v>
      </c>
      <c r="I1629" s="229" t="s">
        <v>1486</v>
      </c>
      <c r="J1629" s="3">
        <v>3</v>
      </c>
      <c r="K1629" s="3">
        <v>4</v>
      </c>
      <c r="L1629" s="3">
        <v>1</v>
      </c>
      <c r="M1629" s="3">
        <v>2</v>
      </c>
      <c r="N1629" s="3">
        <v>2</v>
      </c>
      <c r="O1629" s="238">
        <v>4435661</v>
      </c>
      <c r="P1629" s="93"/>
      <c r="Q1629" s="93"/>
      <c r="R16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29" s="93">
        <v>1</v>
      </c>
      <c r="T1629" s="93" t="b">
        <f>Data[[#This Row],[Day Rank]]=Data[[#This Row],[W Rank]]</f>
        <v>1</v>
      </c>
      <c r="U1629" s="323"/>
    </row>
    <row r="1630" spans="1:21" ht="15" customHeight="1">
      <c r="A1630" s="326"/>
      <c r="B1630" s="326"/>
      <c r="C1630" s="329"/>
      <c r="D1630" s="81">
        <f t="shared" ref="D1630" si="200">D1627</f>
        <v>46055</v>
      </c>
      <c r="E1630" s="140" t="str">
        <f t="shared" ref="E1630" si="201">$M$1</f>
        <v>samuelbattista</v>
      </c>
      <c r="F1630" s="8">
        <f>IFERROR(AVERAGE(Data[[#This Row],[alappatjoe]:[currydestroyer27]]), "TBD")</f>
        <v>2.6</v>
      </c>
      <c r="G1630" s="177">
        <f>IFERROR(_xlfn.STDEV.P(Data[[#This Row],[alappatjoe]:[currydestroyer27]]), "TBD")</f>
        <v>1.3564659966250536</v>
      </c>
      <c r="H1630" s="135" t="s">
        <v>3186</v>
      </c>
      <c r="I1630" s="229" t="s">
        <v>247</v>
      </c>
      <c r="J1630" s="3">
        <v>2</v>
      </c>
      <c r="K1630" s="3">
        <v>5</v>
      </c>
      <c r="L1630" s="3">
        <v>2</v>
      </c>
      <c r="M1630" s="3">
        <v>1</v>
      </c>
      <c r="N1630" s="3">
        <v>3</v>
      </c>
      <c r="O1630" s="238"/>
      <c r="P1630" s="93"/>
      <c r="Q1630" s="93"/>
      <c r="R16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30" s="93">
        <v>1</v>
      </c>
      <c r="T1630" s="93" t="b">
        <f>Data[[#This Row],[Day Rank]]=Data[[#This Row],[W Rank]]</f>
        <v>0</v>
      </c>
      <c r="U1630" s="323"/>
    </row>
    <row r="1631" spans="1:21" ht="15" customHeight="1" thickBot="1">
      <c r="A1631" s="327"/>
      <c r="B1631" s="327"/>
      <c r="C1631" s="330"/>
      <c r="D1631" s="164">
        <f t="shared" ref="D1631" si="202">D1627</f>
        <v>46055</v>
      </c>
      <c r="E1631" s="215" t="str">
        <f t="shared" ref="E1631" si="203">$N$1</f>
        <v>currydestroyer27</v>
      </c>
      <c r="F1631" s="165">
        <f>IFERROR(AVERAGE(Data[[#This Row],[alappatjoe]:[currydestroyer27]]), "TBD")</f>
        <v>3.8</v>
      </c>
      <c r="G1631" s="256">
        <f>IFERROR(_xlfn.STDEV.P(Data[[#This Row],[alappatjoe]:[currydestroyer27]]), "TBD")</f>
        <v>1.6</v>
      </c>
      <c r="H1631" s="227" t="s">
        <v>3187</v>
      </c>
      <c r="I1631" s="257" t="s">
        <v>3188</v>
      </c>
      <c r="J1631" s="166">
        <v>5</v>
      </c>
      <c r="K1631" s="166">
        <v>3</v>
      </c>
      <c r="L1631" s="166">
        <v>5</v>
      </c>
      <c r="M1631" s="166">
        <v>5</v>
      </c>
      <c r="N1631" s="166">
        <v>1</v>
      </c>
      <c r="O1631" s="242">
        <v>87955</v>
      </c>
      <c r="P1631" s="167"/>
      <c r="Q1631" s="167"/>
      <c r="R163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31" s="167">
        <v>1</v>
      </c>
      <c r="T1631" s="167" t="b">
        <f>Data[[#This Row],[Day Rank]]=Data[[#This Row],[W Rank]]</f>
        <v>0</v>
      </c>
      <c r="U1631" s="324"/>
    </row>
    <row r="1632" spans="1:21" ht="15" customHeight="1">
      <c r="A1632" s="325">
        <v>46056</v>
      </c>
      <c r="B1632" s="325"/>
      <c r="C1632" s="338" t="str" cm="1">
        <f t="array" ref="C1632">_xlfn.LET(_xlpm.matches, _xlfn._xlws.FILTER(Data[Poster], (Data[Date]=A1632)*(Data[Winner]=TRUE)), IF(ROWS(_xlpm.matches)&gt;1, "TIE", _xlpm.matches))</f>
        <v>loganworsdell</v>
      </c>
      <c r="D1632" s="147">
        <f t="shared" ref="D1632" si="204">A1632</f>
        <v>46056</v>
      </c>
      <c r="E1632" s="181" t="str">
        <f t="shared" ref="E1632" si="205">$J$1</f>
        <v>alappatjoe</v>
      </c>
      <c r="F1632" s="9">
        <f>IFERROR(AVERAGE(Data[[#This Row],[alappatjoe]:[currydestroyer27]]), "TBD")</f>
        <v>2.8</v>
      </c>
      <c r="G1632" s="178">
        <f>IFERROR(_xlfn.STDEV.P(Data[[#This Row],[alappatjoe]:[currydestroyer27]]), "TBD")</f>
        <v>1.1661903789690602</v>
      </c>
      <c r="H1632" s="160" t="s">
        <v>3189</v>
      </c>
      <c r="I1632" s="186" t="s">
        <v>3190</v>
      </c>
      <c r="J1632" s="3">
        <v>1</v>
      </c>
      <c r="K1632" s="3">
        <v>2</v>
      </c>
      <c r="L1632" s="3">
        <v>3</v>
      </c>
      <c r="M1632" s="3">
        <v>4</v>
      </c>
      <c r="N1632" s="3">
        <v>4</v>
      </c>
      <c r="O1632" s="238">
        <v>1588366</v>
      </c>
      <c r="P1632" s="93"/>
      <c r="Q1632" s="93"/>
      <c r="R16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32" s="93">
        <v>1</v>
      </c>
      <c r="T1632" s="93" t="b">
        <f>Data[[#This Row],[Day Rank]]=Data[[#This Row],[W Rank]]</f>
        <v>0</v>
      </c>
      <c r="U1632" s="322"/>
    </row>
    <row r="1633" spans="1:21" ht="15" customHeight="1">
      <c r="A1633" s="326"/>
      <c r="B1633" s="326"/>
      <c r="C1633" s="339"/>
      <c r="D1633" s="81">
        <f t="shared" ref="D1633" si="206">D1632</f>
        <v>46056</v>
      </c>
      <c r="E1633" s="140" t="str">
        <f t="shared" ref="E1633" si="207">$K$1</f>
        <v>danram</v>
      </c>
      <c r="F1633" s="8">
        <f>IFERROR(AVERAGE(Data[[#This Row],[alappatjoe]:[currydestroyer27]]), "TBD")</f>
        <v>3.6</v>
      </c>
      <c r="G1633" s="177">
        <f>IFERROR(_xlfn.STDEV.P(Data[[#This Row],[alappatjoe]:[currydestroyer27]]), "TBD")</f>
        <v>1.7435595774162693</v>
      </c>
      <c r="H1633" s="135" t="s">
        <v>3191</v>
      </c>
      <c r="I1633" s="229" t="s">
        <v>3192</v>
      </c>
      <c r="J1633" s="3">
        <v>5</v>
      </c>
      <c r="K1633" s="3">
        <v>1</v>
      </c>
      <c r="L1633" s="3">
        <v>5</v>
      </c>
      <c r="M1633" s="3">
        <v>5</v>
      </c>
      <c r="N1633" s="3">
        <v>2</v>
      </c>
      <c r="O1633" s="238"/>
      <c r="P1633" s="93"/>
      <c r="Q1633" s="93"/>
      <c r="R16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33" s="93">
        <v>1</v>
      </c>
      <c r="T1633" s="93" t="b">
        <f>Data[[#This Row],[Day Rank]]=Data[[#This Row],[W Rank]]</f>
        <v>0</v>
      </c>
      <c r="U1633" s="323"/>
    </row>
    <row r="1634" spans="1:21" ht="15" customHeight="1">
      <c r="A1634" s="326"/>
      <c r="B1634" s="326"/>
      <c r="C1634" s="339"/>
      <c r="D1634" s="81">
        <f t="shared" ref="D1634" si="208">D1632</f>
        <v>46056</v>
      </c>
      <c r="E1634" s="140" t="str">
        <f t="shared" ref="E1634" si="209">$L$1</f>
        <v>loganworsdell</v>
      </c>
      <c r="F1634" s="8">
        <f>IFERROR(AVERAGE(Data[[#This Row],[alappatjoe]:[currydestroyer27]]), "TBD")</f>
        <v>2.4</v>
      </c>
      <c r="G1634" s="177">
        <f>IFERROR(_xlfn.STDEV.P(Data[[#This Row],[alappatjoe]:[currydestroyer27]]), "TBD")</f>
        <v>0.4898979485566356</v>
      </c>
      <c r="H1634" s="135" t="s">
        <v>3193</v>
      </c>
      <c r="I1634" s="229" t="s">
        <v>1936</v>
      </c>
      <c r="J1634" s="3">
        <v>2</v>
      </c>
      <c r="K1634" s="3">
        <v>3</v>
      </c>
      <c r="L1634" s="3">
        <v>2</v>
      </c>
      <c r="M1634" s="3">
        <v>2</v>
      </c>
      <c r="N1634" s="3">
        <v>3</v>
      </c>
      <c r="O1634" s="238">
        <v>16738020</v>
      </c>
      <c r="P1634" s="93"/>
      <c r="Q1634" s="93"/>
      <c r="R16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34" s="93">
        <v>1</v>
      </c>
      <c r="T1634" s="93" t="b">
        <f>Data[[#This Row],[Day Rank]]=Data[[#This Row],[W Rank]]</f>
        <v>1</v>
      </c>
      <c r="U1634" s="323"/>
    </row>
    <row r="1635" spans="1:21" ht="15" customHeight="1">
      <c r="A1635" s="326"/>
      <c r="B1635" s="326"/>
      <c r="C1635" s="339"/>
      <c r="D1635" s="81">
        <f t="shared" ref="D1635" si="210">D1632</f>
        <v>46056</v>
      </c>
      <c r="E1635" s="140" t="str">
        <f t="shared" ref="E1635" si="211">$M$1</f>
        <v>samuelbattista</v>
      </c>
      <c r="F1635" s="8">
        <f>IFERROR(AVERAGE(Data[[#This Row],[alappatjoe]:[currydestroyer27]]), "TBD")</f>
        <v>3.4</v>
      </c>
      <c r="G1635" s="177">
        <f>IFERROR(_xlfn.STDEV.P(Data[[#This Row],[alappatjoe]:[currydestroyer27]]), "TBD")</f>
        <v>1.3564659966250536</v>
      </c>
      <c r="H1635" s="135" t="s">
        <v>3194</v>
      </c>
      <c r="I1635" s="229" t="s">
        <v>195</v>
      </c>
      <c r="J1635" s="3">
        <v>3</v>
      </c>
      <c r="K1635" s="3">
        <v>4</v>
      </c>
      <c r="L1635" s="3">
        <v>4</v>
      </c>
      <c r="M1635" s="3">
        <v>1</v>
      </c>
      <c r="N1635" s="3">
        <v>5</v>
      </c>
      <c r="O1635" s="238"/>
      <c r="P1635" s="93"/>
      <c r="Q1635" s="93"/>
      <c r="R16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35" s="93">
        <v>1</v>
      </c>
      <c r="T1635" s="93" t="b">
        <f>Data[[#This Row],[Day Rank]]=Data[[#This Row],[W Rank]]</f>
        <v>0</v>
      </c>
      <c r="U1635" s="323"/>
    </row>
    <row r="1636" spans="1:21" ht="15" customHeight="1" thickBot="1">
      <c r="A1636" s="327"/>
      <c r="B1636" s="327"/>
      <c r="C1636" s="340"/>
      <c r="D1636" s="164">
        <f t="shared" ref="D1636" si="212">D1632</f>
        <v>46056</v>
      </c>
      <c r="E1636" s="215" t="str">
        <f t="shared" ref="E1636" si="213">$N$1</f>
        <v>currydestroyer27</v>
      </c>
      <c r="F1636" s="165">
        <f>IFERROR(AVERAGE(Data[[#This Row],[alappatjoe]:[currydestroyer27]]), "TBD")</f>
        <v>2.8</v>
      </c>
      <c r="G1636" s="256">
        <f>IFERROR(_xlfn.STDEV.P(Data[[#This Row],[alappatjoe]:[currydestroyer27]]), "TBD")</f>
        <v>1.6</v>
      </c>
      <c r="H1636" s="227" t="s">
        <v>3195</v>
      </c>
      <c r="I1636" s="257" t="s">
        <v>3196</v>
      </c>
      <c r="J1636" s="166">
        <v>4</v>
      </c>
      <c r="K1636" s="166">
        <v>5</v>
      </c>
      <c r="L1636" s="166">
        <v>1</v>
      </c>
      <c r="M1636" s="166">
        <v>3</v>
      </c>
      <c r="N1636" s="166">
        <v>1</v>
      </c>
      <c r="O1636" s="242">
        <v>607854</v>
      </c>
      <c r="P1636" s="167"/>
      <c r="Q1636" s="167"/>
      <c r="R163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36" s="167">
        <v>1</v>
      </c>
      <c r="T1636" s="167" t="b">
        <f>Data[[#This Row],[Day Rank]]=Data[[#This Row],[W Rank]]</f>
        <v>0</v>
      </c>
      <c r="U1636" s="324"/>
    </row>
    <row r="1637" spans="1:21" ht="15" customHeight="1">
      <c r="A1637" s="325">
        <v>46057</v>
      </c>
      <c r="B1637" s="325"/>
      <c r="C1637" s="328" t="str" cm="1">
        <f t="array" ref="C1637">_xlfn.LET(_xlpm.matches, _xlfn._xlws.FILTER(Data[Poster], (Data[Date]=A1637)*(Data[Winner]=TRUE)), IF(ROWS(_xlpm.matches)&gt;1, "TIE", _xlpm.matches))</f>
        <v>currydestroyer27</v>
      </c>
      <c r="D1637" s="147">
        <f t="shared" ref="D1637" si="214">A1637</f>
        <v>46057</v>
      </c>
      <c r="E1637" s="181" t="str">
        <f t="shared" ref="E1637" si="215">$J$1</f>
        <v>alappatjoe</v>
      </c>
      <c r="F1637" s="9">
        <f>IFERROR(AVERAGE(Data[[#This Row],[alappatjoe]:[currydestroyer27]]), "TBD")</f>
        <v>4.2</v>
      </c>
      <c r="G1637" s="178">
        <f>IFERROR(_xlfn.STDEV.P(Data[[#This Row],[alappatjoe]:[currydestroyer27]]), "TBD")</f>
        <v>1.6</v>
      </c>
      <c r="H1637" s="284">
        <v>100</v>
      </c>
      <c r="I1637" s="186" t="s">
        <v>3197</v>
      </c>
      <c r="J1637" s="3">
        <v>1</v>
      </c>
      <c r="K1637" s="3">
        <v>5</v>
      </c>
      <c r="L1637" s="3">
        <v>5</v>
      </c>
      <c r="M1637" s="3">
        <v>5</v>
      </c>
      <c r="N1637" s="3">
        <v>5</v>
      </c>
      <c r="O1637" s="238">
        <v>2990864</v>
      </c>
      <c r="P1637" s="93"/>
      <c r="Q1637" s="93"/>
      <c r="R16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37" s="93">
        <v>1</v>
      </c>
      <c r="T1637" s="93" t="b">
        <f>Data[[#This Row],[Day Rank]]=Data[[#This Row],[W Rank]]</f>
        <v>0</v>
      </c>
      <c r="U1637" s="322"/>
    </row>
    <row r="1638" spans="1:21" ht="15" customHeight="1">
      <c r="A1638" s="326"/>
      <c r="B1638" s="326"/>
      <c r="C1638" s="329"/>
      <c r="D1638" s="81">
        <f t="shared" ref="D1638" si="216">D1637</f>
        <v>46057</v>
      </c>
      <c r="E1638" s="140" t="str">
        <f t="shared" ref="E1638" si="217">$K$1</f>
        <v>danram</v>
      </c>
      <c r="F1638" s="8">
        <f>IFERROR(AVERAGE(Data[[#This Row],[alappatjoe]:[currydestroyer27]]), "TBD")</f>
        <v>2.8</v>
      </c>
      <c r="G1638" s="177">
        <f>IFERROR(_xlfn.STDEV.P(Data[[#This Row],[alappatjoe]:[currydestroyer27]]), "TBD")</f>
        <v>0.74833147735478833</v>
      </c>
      <c r="H1638" s="135" t="s">
        <v>3198</v>
      </c>
      <c r="I1638" s="229" t="s">
        <v>3199</v>
      </c>
      <c r="J1638" s="3">
        <v>3</v>
      </c>
      <c r="K1638" s="3">
        <v>2</v>
      </c>
      <c r="L1638" s="3">
        <v>4</v>
      </c>
      <c r="M1638" s="3">
        <v>3</v>
      </c>
      <c r="N1638" s="3">
        <v>2</v>
      </c>
      <c r="O1638" s="238"/>
      <c r="P1638" s="93"/>
      <c r="Q1638" s="93"/>
      <c r="R16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38" s="93">
        <v>1</v>
      </c>
      <c r="T1638" s="93" t="b">
        <f>Data[[#This Row],[Day Rank]]=Data[[#This Row],[W Rank]]</f>
        <v>0</v>
      </c>
      <c r="U1638" s="323"/>
    </row>
    <row r="1639" spans="1:21" ht="15" customHeight="1">
      <c r="A1639" s="326"/>
      <c r="B1639" s="326"/>
      <c r="C1639" s="329"/>
      <c r="D1639" s="81">
        <f t="shared" ref="D1639" si="218">D1637</f>
        <v>46057</v>
      </c>
      <c r="E1639" s="140" t="str">
        <f t="shared" ref="E1639" si="219">$L$1</f>
        <v>loganworsdell</v>
      </c>
      <c r="F1639" s="8">
        <f>IFERROR(AVERAGE(Data[[#This Row],[alappatjoe]:[currydestroyer27]]), "TBD")</f>
        <v>3.6</v>
      </c>
      <c r="G1639" s="177">
        <f>IFERROR(_xlfn.STDEV.P(Data[[#This Row],[alappatjoe]:[currydestroyer27]]), "TBD")</f>
        <v>0.4898979485566356</v>
      </c>
      <c r="H1639" s="135" t="s">
        <v>607</v>
      </c>
      <c r="I1639" s="229" t="s">
        <v>3200</v>
      </c>
      <c r="J1639" s="3">
        <v>4</v>
      </c>
      <c r="K1639" s="3">
        <v>3</v>
      </c>
      <c r="L1639" s="3">
        <v>3</v>
      </c>
      <c r="M1639" s="3">
        <v>4</v>
      </c>
      <c r="N1639" s="3">
        <v>4</v>
      </c>
      <c r="O1639" s="238">
        <v>9849223</v>
      </c>
      <c r="P1639" s="93"/>
      <c r="Q1639" s="93"/>
      <c r="R16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39" s="93">
        <v>1</v>
      </c>
      <c r="T1639" s="93" t="b">
        <f>Data[[#This Row],[Day Rank]]=Data[[#This Row],[W Rank]]</f>
        <v>0</v>
      </c>
      <c r="U1639" s="323"/>
    </row>
    <row r="1640" spans="1:21" ht="15" customHeight="1">
      <c r="A1640" s="326"/>
      <c r="B1640" s="326"/>
      <c r="C1640" s="329"/>
      <c r="D1640" s="81">
        <f t="shared" ref="D1640" si="220">D1637</f>
        <v>46057</v>
      </c>
      <c r="E1640" s="140" t="str">
        <f t="shared" ref="E1640" si="221">$M$1</f>
        <v>samuelbattista</v>
      </c>
      <c r="F1640" s="8">
        <f>IFERROR(AVERAGE(Data[[#This Row],[alappatjoe]:[currydestroyer27]]), "TBD")</f>
        <v>3</v>
      </c>
      <c r="G1640" s="177">
        <f>IFERROR(_xlfn.STDEV.P(Data[[#This Row],[alappatjoe]:[currydestroyer27]]), "TBD")</f>
        <v>1.4142135623730951</v>
      </c>
      <c r="H1640" s="135" t="s">
        <v>3201</v>
      </c>
      <c r="I1640" s="229" t="s">
        <v>3202</v>
      </c>
      <c r="J1640" s="3">
        <v>5</v>
      </c>
      <c r="K1640" s="3">
        <v>4</v>
      </c>
      <c r="L1640" s="3">
        <v>2</v>
      </c>
      <c r="M1640" s="3">
        <v>1</v>
      </c>
      <c r="N1640" s="3">
        <v>3</v>
      </c>
      <c r="O1640" s="238"/>
      <c r="P1640" s="93"/>
      <c r="Q1640" s="93"/>
      <c r="R16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40" s="93">
        <v>1</v>
      </c>
      <c r="T1640" s="93" t="b">
        <f>Data[[#This Row],[Day Rank]]=Data[[#This Row],[W Rank]]</f>
        <v>0</v>
      </c>
      <c r="U1640" s="323"/>
    </row>
    <row r="1641" spans="1:21" ht="15" customHeight="1" thickBot="1">
      <c r="A1641" s="327"/>
      <c r="B1641" s="327"/>
      <c r="C1641" s="330"/>
      <c r="D1641" s="164">
        <f t="shared" ref="D1641" si="222">D1637</f>
        <v>46057</v>
      </c>
      <c r="E1641" s="215" t="str">
        <f t="shared" ref="E1641" si="223">$N$1</f>
        <v>currydestroyer27</v>
      </c>
      <c r="F1641" s="165">
        <f>IFERROR(AVERAGE(Data[[#This Row],[alappatjoe]:[currydestroyer27]]), "TBD")</f>
        <v>1.4</v>
      </c>
      <c r="G1641" s="256">
        <f>IFERROR(_xlfn.STDEV.P(Data[[#This Row],[alappatjoe]:[currydestroyer27]]), "TBD")</f>
        <v>0.4898979485566356</v>
      </c>
      <c r="H1641" s="227" t="s">
        <v>3203</v>
      </c>
      <c r="I1641" s="257" t="s">
        <v>3204</v>
      </c>
      <c r="J1641" s="166">
        <v>2</v>
      </c>
      <c r="K1641" s="166">
        <v>1</v>
      </c>
      <c r="L1641" s="166">
        <v>1</v>
      </c>
      <c r="M1641" s="166">
        <v>2</v>
      </c>
      <c r="N1641" s="166">
        <v>1</v>
      </c>
      <c r="O1641" s="242">
        <v>225025</v>
      </c>
      <c r="P1641" s="167"/>
      <c r="Q1641" s="167"/>
      <c r="R164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41" s="167">
        <v>1</v>
      </c>
      <c r="T1641" s="167" t="b">
        <f>Data[[#This Row],[Day Rank]]=Data[[#This Row],[W Rank]]</f>
        <v>1</v>
      </c>
      <c r="U1641" s="324"/>
    </row>
    <row r="1642" spans="1:21" ht="15" customHeight="1">
      <c r="A1642" s="325">
        <v>46058</v>
      </c>
      <c r="B1642" s="325"/>
      <c r="C1642" s="338" t="str" cm="1">
        <f t="array" ref="C1642">_xlfn.LET(_xlpm.matches, _xlfn._xlws.FILTER(Data[Poster], (Data[Date]=A1642)*(Data[Winner]=TRUE)), IF(ROWS(_xlpm.matches)&gt;1, "TIE", _xlpm.matches))</f>
        <v>alappatjoe</v>
      </c>
      <c r="D1642" s="147">
        <f t="shared" ref="D1642" si="224">A1642</f>
        <v>46058</v>
      </c>
      <c r="E1642" s="181" t="str">
        <f t="shared" ref="E1642" si="225">$J$1</f>
        <v>alappatjoe</v>
      </c>
      <c r="F1642" s="9">
        <f>IFERROR(AVERAGE(Data[[#This Row],[alappatjoe]:[currydestroyer27]]), "TBD")</f>
        <v>2.4</v>
      </c>
      <c r="G1642" s="178">
        <f>IFERROR(_xlfn.STDEV.P(Data[[#This Row],[alappatjoe]:[currydestroyer27]]), "TBD")</f>
        <v>1.2</v>
      </c>
      <c r="H1642" s="160" t="s">
        <v>3205</v>
      </c>
      <c r="I1642" s="186" t="s">
        <v>3206</v>
      </c>
      <c r="J1642" s="3">
        <v>1</v>
      </c>
      <c r="K1642" s="3">
        <v>3</v>
      </c>
      <c r="L1642" s="3">
        <v>4</v>
      </c>
      <c r="M1642" s="3">
        <v>3</v>
      </c>
      <c r="N1642" s="3">
        <v>1</v>
      </c>
      <c r="O1642" s="238">
        <v>11759049</v>
      </c>
      <c r="P1642" s="93"/>
      <c r="Q1642" s="93"/>
      <c r="R16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42" s="93">
        <v>1</v>
      </c>
      <c r="T1642" s="93" t="b">
        <f>Data[[#This Row],[Day Rank]]=Data[[#This Row],[W Rank]]</f>
        <v>1</v>
      </c>
      <c r="U1642" s="322" t="s">
        <v>3207</v>
      </c>
    </row>
    <row r="1643" spans="1:21" ht="15" customHeight="1">
      <c r="A1643" s="326"/>
      <c r="B1643" s="326"/>
      <c r="C1643" s="339"/>
      <c r="D1643" s="81">
        <f t="shared" ref="D1643" si="226">D1642</f>
        <v>46058</v>
      </c>
      <c r="E1643" s="140" t="str">
        <f t="shared" ref="E1643" si="227">$K$1</f>
        <v>danram</v>
      </c>
      <c r="F1643" s="8">
        <f>IFERROR(AVERAGE(Data[[#This Row],[alappatjoe]:[currydestroyer27]]), "TBD")</f>
        <v>3.8</v>
      </c>
      <c r="G1643" s="177">
        <f>IFERROR(_xlfn.STDEV.P(Data[[#This Row],[alappatjoe]:[currydestroyer27]]), "TBD")</f>
        <v>0.9797958971132712</v>
      </c>
      <c r="H1643" s="135" t="s">
        <v>3208</v>
      </c>
      <c r="I1643" s="229" t="s">
        <v>3209</v>
      </c>
      <c r="J1643" s="3">
        <v>2</v>
      </c>
      <c r="K1643" s="3">
        <v>4</v>
      </c>
      <c r="L1643" s="3">
        <v>5</v>
      </c>
      <c r="M1643" s="3">
        <v>4</v>
      </c>
      <c r="N1643" s="3">
        <v>4</v>
      </c>
      <c r="O1643" s="238"/>
      <c r="P1643" s="93"/>
      <c r="Q1643" s="93"/>
      <c r="R16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43" s="93">
        <v>1</v>
      </c>
      <c r="T1643" s="93" t="b">
        <f>Data[[#This Row],[Day Rank]]=Data[[#This Row],[W Rank]]</f>
        <v>0</v>
      </c>
      <c r="U1643" s="323"/>
    </row>
    <row r="1644" spans="1:21" ht="15" customHeight="1">
      <c r="A1644" s="326"/>
      <c r="B1644" s="326"/>
      <c r="C1644" s="339"/>
      <c r="D1644" s="81">
        <f t="shared" ref="D1644" si="228">D1642</f>
        <v>46058</v>
      </c>
      <c r="E1644" s="140" t="str">
        <f t="shared" ref="E1644" si="229">$L$1</f>
        <v>loganworsdell</v>
      </c>
      <c r="F1644" s="8">
        <f>IFERROR(AVERAGE(Data[[#This Row],[alappatjoe]:[currydestroyer27]]), "TBD")</f>
        <v>3.6</v>
      </c>
      <c r="G1644" s="177">
        <f>IFERROR(_xlfn.STDEV.P(Data[[#This Row],[alappatjoe]:[currydestroyer27]]), "TBD")</f>
        <v>1.2</v>
      </c>
      <c r="H1644" s="135" t="s">
        <v>3210</v>
      </c>
      <c r="I1644" s="229" t="s">
        <v>3211</v>
      </c>
      <c r="J1644" s="3">
        <v>3</v>
      </c>
      <c r="K1644" s="3">
        <v>2</v>
      </c>
      <c r="L1644" s="3">
        <v>3</v>
      </c>
      <c r="M1644" s="3">
        <v>5</v>
      </c>
      <c r="N1644" s="3">
        <v>5</v>
      </c>
      <c r="O1644" s="238">
        <v>144442321</v>
      </c>
      <c r="P1644" s="93"/>
      <c r="Q1644" s="93"/>
      <c r="R16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44" s="93">
        <v>1</v>
      </c>
      <c r="T1644" s="93" t="b">
        <f>Data[[#This Row],[Day Rank]]=Data[[#This Row],[W Rank]]</f>
        <v>0</v>
      </c>
      <c r="U1644" s="323"/>
    </row>
    <row r="1645" spans="1:21" ht="15" customHeight="1">
      <c r="A1645" s="326"/>
      <c r="B1645" s="326"/>
      <c r="C1645" s="339"/>
      <c r="D1645" s="81">
        <f t="shared" ref="D1645" si="230">D1642</f>
        <v>46058</v>
      </c>
      <c r="E1645" s="140" t="str">
        <f t="shared" ref="E1645" si="231">$M$1</f>
        <v>samuelbattista</v>
      </c>
      <c r="F1645" s="8">
        <f>IFERROR(AVERAGE(Data[[#This Row],[alappatjoe]:[currydestroyer27]]), "TBD")</f>
        <v>2.8</v>
      </c>
      <c r="G1645" s="177">
        <f>IFERROR(_xlfn.STDEV.P(Data[[#This Row],[alappatjoe]:[currydestroyer27]]), "TBD")</f>
        <v>1.6</v>
      </c>
      <c r="H1645" s="135" t="s">
        <v>3212</v>
      </c>
      <c r="I1645" s="229" t="s">
        <v>889</v>
      </c>
      <c r="J1645" s="3">
        <v>4</v>
      </c>
      <c r="K1645" s="3">
        <v>5</v>
      </c>
      <c r="L1645" s="3">
        <v>1</v>
      </c>
      <c r="M1645" s="3">
        <v>1</v>
      </c>
      <c r="N1645" s="3">
        <v>3</v>
      </c>
      <c r="O1645" s="238"/>
      <c r="P1645" s="93"/>
      <c r="Q1645" s="93"/>
      <c r="R16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45" s="93">
        <v>1</v>
      </c>
      <c r="T1645" s="93" t="b">
        <f>Data[[#This Row],[Day Rank]]=Data[[#This Row],[W Rank]]</f>
        <v>0</v>
      </c>
      <c r="U1645" s="323"/>
    </row>
    <row r="1646" spans="1:21" ht="15" customHeight="1" thickBot="1">
      <c r="A1646" s="327"/>
      <c r="B1646" s="327"/>
      <c r="C1646" s="340"/>
      <c r="D1646" s="164">
        <f t="shared" ref="D1646" si="232">D1642</f>
        <v>46058</v>
      </c>
      <c r="E1646" s="215" t="str">
        <f t="shared" ref="E1646" si="233">$N$1</f>
        <v>currydestroyer27</v>
      </c>
      <c r="F1646" s="165">
        <f>IFERROR(AVERAGE(Data[[#This Row],[alappatjoe]:[currydestroyer27]]), "TBD")</f>
        <v>2.4</v>
      </c>
      <c r="G1646" s="256">
        <f>IFERROR(_xlfn.STDEV.P(Data[[#This Row],[alappatjoe]:[currydestroyer27]]), "TBD")</f>
        <v>1.3564659966250536</v>
      </c>
      <c r="H1646" s="227" t="s">
        <v>3213</v>
      </c>
      <c r="I1646" s="257" t="s">
        <v>2705</v>
      </c>
      <c r="J1646" s="166">
        <v>5</v>
      </c>
      <c r="K1646" s="166">
        <v>1</v>
      </c>
      <c r="L1646" s="166">
        <v>2</v>
      </c>
      <c r="M1646" s="166">
        <v>2</v>
      </c>
      <c r="N1646" s="166">
        <v>2</v>
      </c>
      <c r="O1646" s="242">
        <v>2659571487</v>
      </c>
      <c r="P1646" s="167"/>
      <c r="Q1646" s="167"/>
      <c r="R164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46" s="167">
        <v>1</v>
      </c>
      <c r="T1646" s="167" t="b">
        <f>Data[[#This Row],[Day Rank]]=Data[[#This Row],[W Rank]]</f>
        <v>0</v>
      </c>
      <c r="U1646" s="324"/>
    </row>
    <row r="1647" spans="1:21" ht="15" customHeight="1">
      <c r="A1647" s="325">
        <v>46062</v>
      </c>
      <c r="B1647" s="325"/>
      <c r="C1647" s="328" t="str" cm="1">
        <f t="array" ref="C1647">_xlfn.LET(_xlpm.matches, _xlfn._xlws.FILTER(Data[Poster], (Data[Date]=A1647)*(Data[Winner]=TRUE)), IF(ROWS(_xlpm.matches)&gt;1, "TIE", _xlpm.matches))</f>
        <v>samuelbattista</v>
      </c>
      <c r="D1647" s="147">
        <f t="shared" ref="D1647" si="234">A1647</f>
        <v>46062</v>
      </c>
      <c r="E1647" s="181" t="str">
        <f t="shared" ref="E1647:E1682" si="235">$J$1</f>
        <v>alappatjoe</v>
      </c>
      <c r="F1647" s="9">
        <f>IFERROR(AVERAGE(Data[[#This Row],[alappatjoe]:[currydestroyer27]]), "TBD")</f>
        <v>3.8</v>
      </c>
      <c r="G1647" s="178">
        <f>IFERROR(_xlfn.STDEV.P(Data[[#This Row],[alappatjoe]:[currydestroyer27]]), "TBD")</f>
        <v>1.4696938456699069</v>
      </c>
      <c r="H1647" s="160" t="s">
        <v>3214</v>
      </c>
      <c r="I1647" s="186" t="s">
        <v>373</v>
      </c>
      <c r="J1647" s="3">
        <v>1</v>
      </c>
      <c r="K1647" s="3">
        <v>4</v>
      </c>
      <c r="L1647" s="3">
        <v>5</v>
      </c>
      <c r="M1647" s="3">
        <v>4</v>
      </c>
      <c r="N1647" s="3">
        <v>5</v>
      </c>
      <c r="O1647" s="238">
        <v>231368636</v>
      </c>
      <c r="P1647" s="93"/>
      <c r="Q1647" s="93"/>
      <c r="R16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47" s="93">
        <v>1</v>
      </c>
      <c r="T1647" s="93" t="b">
        <f>Data[[#This Row],[Day Rank]]=Data[[#This Row],[W Rank]]</f>
        <v>0</v>
      </c>
      <c r="U1647" s="322"/>
    </row>
    <row r="1648" spans="1:21" ht="15" customHeight="1">
      <c r="A1648" s="326"/>
      <c r="B1648" s="326"/>
      <c r="C1648" s="329"/>
      <c r="D1648" s="81">
        <f t="shared" ref="D1648:D1683" si="236">D1647</f>
        <v>46062</v>
      </c>
      <c r="E1648" s="140" t="str">
        <f t="shared" ref="E1648:E1683" si="237">$K$1</f>
        <v>danram</v>
      </c>
      <c r="F1648" s="8">
        <f>IFERROR(AVERAGE(Data[[#This Row],[alappatjoe]:[currydestroyer27]]), "TBD")</f>
        <v>2.8</v>
      </c>
      <c r="G1648" s="177">
        <f>IFERROR(_xlfn.STDEV.P(Data[[#This Row],[alappatjoe]:[currydestroyer27]]), "TBD")</f>
        <v>0.9797958971132712</v>
      </c>
      <c r="H1648" s="135" t="s">
        <v>3215</v>
      </c>
      <c r="I1648" s="229" t="s">
        <v>373</v>
      </c>
      <c r="J1648" s="3">
        <v>3</v>
      </c>
      <c r="K1648" s="3">
        <v>1</v>
      </c>
      <c r="L1648" s="3">
        <v>3</v>
      </c>
      <c r="M1648" s="3">
        <v>3</v>
      </c>
      <c r="N1648" s="3">
        <v>4</v>
      </c>
      <c r="O1648" s="238"/>
      <c r="P1648" s="93"/>
      <c r="Q1648" s="93"/>
      <c r="R16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48" s="93">
        <v>1</v>
      </c>
      <c r="T1648" s="93" t="b">
        <f>Data[[#This Row],[Day Rank]]=Data[[#This Row],[W Rank]]</f>
        <v>0</v>
      </c>
      <c r="U1648" s="323"/>
    </row>
    <row r="1649" spans="1:21" ht="15" customHeight="1">
      <c r="A1649" s="326"/>
      <c r="B1649" s="326"/>
      <c r="C1649" s="329"/>
      <c r="D1649" s="81">
        <f t="shared" ref="D1649:D1684" si="238">D1647</f>
        <v>46062</v>
      </c>
      <c r="E1649" s="140" t="str">
        <f t="shared" ref="E1649:E1684" si="239">$L$1</f>
        <v>loganworsdell</v>
      </c>
      <c r="F1649" s="8">
        <f>IFERROR(AVERAGE(Data[[#This Row],[alappatjoe]:[currydestroyer27]]), "TBD")</f>
        <v>4.4000000000000004</v>
      </c>
      <c r="G1649" s="177">
        <f>IFERROR(_xlfn.STDEV.P(Data[[#This Row],[alappatjoe]:[currydestroyer27]]), "TBD")</f>
        <v>0.8</v>
      </c>
      <c r="H1649" s="135" t="s">
        <v>3216</v>
      </c>
      <c r="I1649" s="229" t="s">
        <v>3217</v>
      </c>
      <c r="J1649" s="3">
        <v>5</v>
      </c>
      <c r="K1649" s="3">
        <v>5</v>
      </c>
      <c r="L1649" s="3">
        <v>4</v>
      </c>
      <c r="M1649" s="3">
        <v>5</v>
      </c>
      <c r="N1649" s="3">
        <v>3</v>
      </c>
      <c r="O1649" s="238">
        <v>113944118</v>
      </c>
      <c r="P1649" s="93"/>
      <c r="Q1649" s="93"/>
      <c r="R16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49" s="93">
        <v>1</v>
      </c>
      <c r="T1649" s="93" t="b">
        <f>Data[[#This Row],[Day Rank]]=Data[[#This Row],[W Rank]]</f>
        <v>0</v>
      </c>
      <c r="U1649" s="323"/>
    </row>
    <row r="1650" spans="1:21" ht="15" customHeight="1">
      <c r="A1650" s="326"/>
      <c r="B1650" s="326"/>
      <c r="C1650" s="329"/>
      <c r="D1650" s="81">
        <f t="shared" ref="D1650:D1685" si="240">D1647</f>
        <v>46062</v>
      </c>
      <c r="E1650" s="140" t="str">
        <f t="shared" ref="E1650:E1685" si="241">$M$1</f>
        <v>samuelbattista</v>
      </c>
      <c r="F1650" s="8">
        <f>IFERROR(AVERAGE(Data[[#This Row],[alappatjoe]:[currydestroyer27]]), "TBD")</f>
        <v>2</v>
      </c>
      <c r="G1650" s="177">
        <f>IFERROR(_xlfn.STDEV.P(Data[[#This Row],[alappatjoe]:[currydestroyer27]]), "TBD")</f>
        <v>0.63245553203367588</v>
      </c>
      <c r="H1650" s="135" t="s">
        <v>3218</v>
      </c>
      <c r="I1650" s="229" t="s">
        <v>3219</v>
      </c>
      <c r="J1650" s="3">
        <v>2</v>
      </c>
      <c r="K1650" s="3">
        <v>3</v>
      </c>
      <c r="L1650" s="3">
        <v>2</v>
      </c>
      <c r="M1650" s="3">
        <v>1</v>
      </c>
      <c r="N1650" s="3">
        <v>2</v>
      </c>
      <c r="O1650" s="238"/>
      <c r="P1650" s="93"/>
      <c r="Q1650" s="93"/>
      <c r="R16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50" s="93">
        <v>1</v>
      </c>
      <c r="T1650" s="93" t="b">
        <f>Data[[#This Row],[Day Rank]]=Data[[#This Row],[W Rank]]</f>
        <v>1</v>
      </c>
      <c r="U1650" s="323"/>
    </row>
    <row r="1651" spans="1:21" ht="15" customHeight="1" thickBot="1">
      <c r="A1651" s="327"/>
      <c r="B1651" s="327"/>
      <c r="C1651" s="330"/>
      <c r="D1651" s="164">
        <f t="shared" ref="D1651:D1686" si="242">D1647</f>
        <v>46062</v>
      </c>
      <c r="E1651" s="215" t="str">
        <f t="shared" ref="E1651:E1686" si="243">$N$1</f>
        <v>currydestroyer27</v>
      </c>
      <c r="F1651" s="165">
        <f>IFERROR(AVERAGE(Data[[#This Row],[alappatjoe]:[currydestroyer27]]), "TBD")</f>
        <v>2</v>
      </c>
      <c r="G1651" s="256">
        <f>IFERROR(_xlfn.STDEV.P(Data[[#This Row],[alappatjoe]:[currydestroyer27]]), "TBD")</f>
        <v>1.0954451150103321</v>
      </c>
      <c r="H1651" s="227" t="s">
        <v>3220</v>
      </c>
      <c r="I1651" s="257" t="s">
        <v>3221</v>
      </c>
      <c r="J1651" s="166">
        <v>4</v>
      </c>
      <c r="K1651" s="166">
        <v>2</v>
      </c>
      <c r="L1651" s="166">
        <v>1</v>
      </c>
      <c r="M1651" s="166">
        <v>2</v>
      </c>
      <c r="N1651" s="166">
        <v>1</v>
      </c>
      <c r="O1651" s="242">
        <v>44372242</v>
      </c>
      <c r="P1651" s="167" t="s">
        <v>76</v>
      </c>
      <c r="Q1651" s="167" t="s">
        <v>1855</v>
      </c>
      <c r="R165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51" s="167">
        <v>1</v>
      </c>
      <c r="T1651" s="167" t="b">
        <f>Data[[#This Row],[Day Rank]]=Data[[#This Row],[W Rank]]</f>
        <v>0</v>
      </c>
      <c r="U1651" s="324"/>
    </row>
    <row r="1652" spans="1:21" ht="15" customHeight="1">
      <c r="A1652" s="325">
        <v>46063</v>
      </c>
      <c r="B1652" s="325"/>
      <c r="C1652" s="338" t="str" cm="1">
        <f t="array" ref="C1652">_xlfn.LET(_xlpm.matches, _xlfn._xlws.FILTER(Data[Poster], (Data[Date]=A1652)*(Data[Winner]=TRUE)), IF(ROWS(_xlpm.matches)&gt;1, "TIE", _xlpm.matches))</f>
        <v>currydestroyer27</v>
      </c>
      <c r="D1652" s="147">
        <f t="shared" ref="D1652" si="244">A1652</f>
        <v>46063</v>
      </c>
      <c r="E1652" s="181" t="str">
        <f t="shared" si="235"/>
        <v>alappatjoe</v>
      </c>
      <c r="F1652" s="9">
        <f>IFERROR(AVERAGE(Data[[#This Row],[alappatjoe]:[currydestroyer27]]), "TBD")</f>
        <v>3.6</v>
      </c>
      <c r="G1652" s="178">
        <f>IFERROR(_xlfn.STDEV.P(Data[[#This Row],[alappatjoe]:[currydestroyer27]]), "TBD")</f>
        <v>1.7435595774162693</v>
      </c>
      <c r="H1652" s="160" t="s">
        <v>3222</v>
      </c>
      <c r="I1652" s="186" t="s">
        <v>3223</v>
      </c>
      <c r="J1652" s="3">
        <v>1</v>
      </c>
      <c r="K1652" s="3">
        <v>5</v>
      </c>
      <c r="L1652" s="3">
        <v>5</v>
      </c>
      <c r="M1652" s="3">
        <v>5</v>
      </c>
      <c r="N1652" s="3">
        <v>2</v>
      </c>
      <c r="O1652" s="238">
        <v>566821068</v>
      </c>
      <c r="P1652" s="93"/>
      <c r="Q1652" s="93"/>
      <c r="R16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52" s="93">
        <v>1</v>
      </c>
      <c r="T1652" s="93" t="b">
        <f>Data[[#This Row],[Day Rank]]=Data[[#This Row],[W Rank]]</f>
        <v>0</v>
      </c>
      <c r="U1652" s="322"/>
    </row>
    <row r="1653" spans="1:21" ht="15" customHeight="1">
      <c r="A1653" s="326"/>
      <c r="B1653" s="326"/>
      <c r="C1653" s="339"/>
      <c r="D1653" s="81">
        <f t="shared" si="236"/>
        <v>46063</v>
      </c>
      <c r="E1653" s="140" t="str">
        <f t="shared" si="237"/>
        <v>danram</v>
      </c>
      <c r="F1653" s="8">
        <f>IFERROR(AVERAGE(Data[[#This Row],[alappatjoe]:[currydestroyer27]]), "TBD")</f>
        <v>4.2</v>
      </c>
      <c r="G1653" s="177">
        <f>IFERROR(_xlfn.STDEV.P(Data[[#This Row],[alappatjoe]:[currydestroyer27]]), "TBD")</f>
        <v>0.74833147735478833</v>
      </c>
      <c r="H1653" s="135" t="s">
        <v>3224</v>
      </c>
      <c r="I1653" s="229" t="s">
        <v>2719</v>
      </c>
      <c r="J1653" s="3">
        <v>5</v>
      </c>
      <c r="K1653" s="3">
        <v>3</v>
      </c>
      <c r="L1653" s="3">
        <v>4</v>
      </c>
      <c r="M1653" s="3">
        <v>4</v>
      </c>
      <c r="N1653" s="3">
        <v>5</v>
      </c>
      <c r="O1653" s="238"/>
      <c r="P1653" s="93"/>
      <c r="Q1653" s="93"/>
      <c r="R16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53" s="93">
        <v>1</v>
      </c>
      <c r="T1653" s="93" t="b">
        <f>Data[[#This Row],[Day Rank]]=Data[[#This Row],[W Rank]]</f>
        <v>0</v>
      </c>
      <c r="U1653" s="323"/>
    </row>
    <row r="1654" spans="1:21" ht="15" customHeight="1">
      <c r="A1654" s="326"/>
      <c r="B1654" s="326"/>
      <c r="C1654" s="339"/>
      <c r="D1654" s="81">
        <f t="shared" si="238"/>
        <v>46063</v>
      </c>
      <c r="E1654" s="140" t="str">
        <f t="shared" si="239"/>
        <v>loganworsdell</v>
      </c>
      <c r="F1654" s="8">
        <f>IFERROR(AVERAGE(Data[[#This Row],[alappatjoe]:[currydestroyer27]]), "TBD")</f>
        <v>2.8</v>
      </c>
      <c r="G1654" s="177">
        <f>IFERROR(_xlfn.STDEV.P(Data[[#This Row],[alappatjoe]:[currydestroyer27]]), "TBD")</f>
        <v>1.1661903789690602</v>
      </c>
      <c r="H1654" s="135" t="s">
        <v>3225</v>
      </c>
      <c r="I1654" s="229" t="s">
        <v>93</v>
      </c>
      <c r="J1654" s="3">
        <v>2</v>
      </c>
      <c r="K1654" s="3">
        <v>4</v>
      </c>
      <c r="L1654" s="3">
        <v>1</v>
      </c>
      <c r="M1654" s="3">
        <v>3</v>
      </c>
      <c r="N1654" s="3">
        <v>4</v>
      </c>
      <c r="O1654" s="238"/>
      <c r="P1654" s="93"/>
      <c r="Q1654" s="93"/>
      <c r="R16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54" s="93">
        <v>1</v>
      </c>
      <c r="T1654" s="93" t="b">
        <f>Data[[#This Row],[Day Rank]]=Data[[#This Row],[W Rank]]</f>
        <v>0</v>
      </c>
      <c r="U1654" s="323"/>
    </row>
    <row r="1655" spans="1:21" ht="15" customHeight="1">
      <c r="A1655" s="326"/>
      <c r="B1655" s="326"/>
      <c r="C1655" s="339"/>
      <c r="D1655" s="81">
        <f t="shared" si="240"/>
        <v>46063</v>
      </c>
      <c r="E1655" s="140" t="str">
        <f t="shared" si="241"/>
        <v>samuelbattista</v>
      </c>
      <c r="F1655" s="8">
        <f>IFERROR(AVERAGE(Data[[#This Row],[alappatjoe]:[currydestroyer27]]), "TBD")</f>
        <v>2.6</v>
      </c>
      <c r="G1655" s="177">
        <f>IFERROR(_xlfn.STDEV.P(Data[[#This Row],[alappatjoe]:[currydestroyer27]]), "TBD")</f>
        <v>1.019803902718557</v>
      </c>
      <c r="H1655" s="135" t="s">
        <v>3226</v>
      </c>
      <c r="I1655" s="229" t="s">
        <v>3227</v>
      </c>
      <c r="J1655" s="3">
        <v>4</v>
      </c>
      <c r="K1655" s="3">
        <v>2</v>
      </c>
      <c r="L1655" s="3">
        <v>3</v>
      </c>
      <c r="M1655" s="3">
        <v>1</v>
      </c>
      <c r="N1655" s="3">
        <v>3</v>
      </c>
      <c r="O1655" s="238"/>
      <c r="P1655" s="93"/>
      <c r="Q1655" s="93"/>
      <c r="R16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55" s="93">
        <v>1</v>
      </c>
      <c r="T1655" s="93" t="b">
        <f>Data[[#This Row],[Day Rank]]=Data[[#This Row],[W Rank]]</f>
        <v>0</v>
      </c>
      <c r="U1655" s="323"/>
    </row>
    <row r="1656" spans="1:21" ht="15" customHeight="1" thickBot="1">
      <c r="A1656" s="327"/>
      <c r="B1656" s="327"/>
      <c r="C1656" s="340"/>
      <c r="D1656" s="164">
        <f t="shared" si="242"/>
        <v>46063</v>
      </c>
      <c r="E1656" s="215" t="str">
        <f t="shared" si="243"/>
        <v>currydestroyer27</v>
      </c>
      <c r="F1656" s="165">
        <f>IFERROR(AVERAGE(Data[[#This Row],[alappatjoe]:[currydestroyer27]]), "TBD")</f>
        <v>1.8</v>
      </c>
      <c r="G1656" s="256">
        <f>IFERROR(_xlfn.STDEV.P(Data[[#This Row],[alappatjoe]:[currydestroyer27]]), "TBD")</f>
        <v>0.74833147735478833</v>
      </c>
      <c r="H1656" s="227" t="s">
        <v>3228</v>
      </c>
      <c r="I1656" s="257" t="s">
        <v>93</v>
      </c>
      <c r="J1656" s="166">
        <v>3</v>
      </c>
      <c r="K1656" s="166">
        <v>1</v>
      </c>
      <c r="L1656" s="166">
        <v>2</v>
      </c>
      <c r="M1656" s="166">
        <v>2</v>
      </c>
      <c r="N1656" s="166">
        <v>1</v>
      </c>
      <c r="O1656" s="242">
        <v>22825650</v>
      </c>
      <c r="P1656" s="167"/>
      <c r="Q1656" s="167"/>
      <c r="R165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56" s="167">
        <v>1</v>
      </c>
      <c r="T1656" s="167" t="b">
        <f>Data[[#This Row],[Day Rank]]=Data[[#This Row],[W Rank]]</f>
        <v>1</v>
      </c>
      <c r="U1656" s="324"/>
    </row>
    <row r="1657" spans="1:21" ht="15" customHeight="1">
      <c r="A1657" s="325">
        <v>46064</v>
      </c>
      <c r="B1657" s="325"/>
      <c r="C1657" s="328" t="str" cm="1">
        <f t="array" ref="C1657">_xlfn.LET(_xlpm.matches, _xlfn._xlws.FILTER(Data[Poster], (Data[Date]=A1657)*(Data[Winner]=TRUE)), IF(ROWS(_xlpm.matches)&gt;1, "TIE", _xlpm.matches))</f>
        <v>samuelbattista</v>
      </c>
      <c r="D1657" s="147">
        <f t="shared" ref="D1657" si="245">A1657</f>
        <v>46064</v>
      </c>
      <c r="E1657" s="181" t="str">
        <f t="shared" si="235"/>
        <v>alappatjoe</v>
      </c>
      <c r="F1657" s="9">
        <f>IFERROR(AVERAGE(Data[[#This Row],[alappatjoe]:[currydestroyer27]]), "TBD")</f>
        <v>3.2</v>
      </c>
      <c r="G1657" s="178">
        <f>IFERROR(_xlfn.STDEV.P(Data[[#This Row],[alappatjoe]:[currydestroyer27]]), "TBD")</f>
        <v>1.3266499161421599</v>
      </c>
      <c r="H1657" s="284" t="s">
        <v>3166</v>
      </c>
      <c r="I1657" s="186" t="s">
        <v>3229</v>
      </c>
      <c r="J1657" s="3">
        <v>1</v>
      </c>
      <c r="K1657" s="3">
        <v>5</v>
      </c>
      <c r="L1657" s="3">
        <v>3</v>
      </c>
      <c r="M1657" s="3">
        <v>4</v>
      </c>
      <c r="N1657" s="3">
        <v>3</v>
      </c>
      <c r="O1657" s="238">
        <v>109699</v>
      </c>
      <c r="P1657" s="93"/>
      <c r="Q1657" s="93"/>
      <c r="R16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57" s="93">
        <v>1</v>
      </c>
      <c r="T1657" s="93" t="b">
        <f>Data[[#This Row],[Day Rank]]=Data[[#This Row],[W Rank]]</f>
        <v>0</v>
      </c>
      <c r="U1657" s="322"/>
    </row>
    <row r="1658" spans="1:21" ht="15" customHeight="1">
      <c r="A1658" s="326"/>
      <c r="B1658" s="326"/>
      <c r="C1658" s="329"/>
      <c r="D1658" s="81">
        <f t="shared" si="236"/>
        <v>46064</v>
      </c>
      <c r="E1658" s="140" t="str">
        <f t="shared" si="237"/>
        <v>danram</v>
      </c>
      <c r="F1658" s="8">
        <f>IFERROR(AVERAGE(Data[[#This Row],[alappatjoe]:[currydestroyer27]]), "TBD")</f>
        <v>2.4</v>
      </c>
      <c r="G1658" s="177">
        <f>IFERROR(_xlfn.STDEV.P(Data[[#This Row],[alappatjoe]:[currydestroyer27]]), "TBD")</f>
        <v>1.4966629547095767</v>
      </c>
      <c r="H1658" s="135" t="s">
        <v>3230</v>
      </c>
      <c r="I1658" s="229" t="s">
        <v>93</v>
      </c>
      <c r="J1658" s="3">
        <v>3</v>
      </c>
      <c r="K1658" s="3">
        <v>1</v>
      </c>
      <c r="L1658" s="3">
        <v>5</v>
      </c>
      <c r="M1658" s="3">
        <v>2</v>
      </c>
      <c r="N1658" s="3">
        <v>1</v>
      </c>
      <c r="O1658" s="238"/>
      <c r="P1658" s="93"/>
      <c r="Q1658" s="93"/>
      <c r="R16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58" s="93">
        <v>1</v>
      </c>
      <c r="T1658" s="93" t="b">
        <f>Data[[#This Row],[Day Rank]]=Data[[#This Row],[W Rank]]</f>
        <v>0</v>
      </c>
      <c r="U1658" s="323"/>
    </row>
    <row r="1659" spans="1:21" ht="15" customHeight="1">
      <c r="A1659" s="326"/>
      <c r="B1659" s="326"/>
      <c r="C1659" s="329"/>
      <c r="D1659" s="81">
        <f t="shared" si="238"/>
        <v>46064</v>
      </c>
      <c r="E1659" s="140" t="str">
        <f t="shared" si="239"/>
        <v>loganworsdell</v>
      </c>
      <c r="F1659" s="8">
        <f>IFERROR(AVERAGE(Data[[#This Row],[alappatjoe]:[currydestroyer27]]), "TBD")</f>
        <v>2.6</v>
      </c>
      <c r="G1659" s="177">
        <f>IFERROR(_xlfn.STDEV.P(Data[[#This Row],[alappatjoe]:[currydestroyer27]]), "TBD")</f>
        <v>0.8</v>
      </c>
      <c r="H1659" s="135" t="s">
        <v>3231</v>
      </c>
      <c r="I1659" s="229" t="s">
        <v>3232</v>
      </c>
      <c r="J1659" s="3">
        <v>2</v>
      </c>
      <c r="K1659" s="3">
        <v>4</v>
      </c>
      <c r="L1659" s="3">
        <v>2</v>
      </c>
      <c r="M1659" s="3">
        <v>3</v>
      </c>
      <c r="N1659" s="3">
        <v>2</v>
      </c>
      <c r="O1659" s="238">
        <v>4916207</v>
      </c>
      <c r="P1659" s="93"/>
      <c r="Q1659" s="93"/>
      <c r="R16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59" s="93">
        <v>1</v>
      </c>
      <c r="T1659" s="93" t="b">
        <f>Data[[#This Row],[Day Rank]]=Data[[#This Row],[W Rank]]</f>
        <v>0</v>
      </c>
      <c r="U1659" s="323"/>
    </row>
    <row r="1660" spans="1:21" ht="15" customHeight="1">
      <c r="A1660" s="326"/>
      <c r="B1660" s="326"/>
      <c r="C1660" s="329"/>
      <c r="D1660" s="81">
        <f t="shared" si="240"/>
        <v>46064</v>
      </c>
      <c r="E1660" s="140" t="str">
        <f t="shared" si="241"/>
        <v>samuelbattista</v>
      </c>
      <c r="F1660" s="8">
        <f>IFERROR(AVERAGE(Data[[#This Row],[alappatjoe]:[currydestroyer27]]), "TBD")</f>
        <v>2.4</v>
      </c>
      <c r="G1660" s="177">
        <f>IFERROR(_xlfn.STDEV.P(Data[[#This Row],[alappatjoe]:[currydestroyer27]]), "TBD")</f>
        <v>1.3564659966250536</v>
      </c>
      <c r="H1660" s="135" t="s">
        <v>3233</v>
      </c>
      <c r="I1660" s="229" t="s">
        <v>2383</v>
      </c>
      <c r="J1660" s="3">
        <v>4</v>
      </c>
      <c r="K1660" s="3">
        <v>2</v>
      </c>
      <c r="L1660" s="3">
        <v>1</v>
      </c>
      <c r="M1660" s="3">
        <v>1</v>
      </c>
      <c r="N1660" s="3">
        <v>4</v>
      </c>
      <c r="O1660" s="238"/>
      <c r="P1660" s="93"/>
      <c r="Q1660" s="93"/>
      <c r="R16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60" s="93">
        <v>1</v>
      </c>
      <c r="T1660" s="93" t="b">
        <f>Data[[#This Row],[Day Rank]]=Data[[#This Row],[W Rank]]</f>
        <v>1</v>
      </c>
      <c r="U1660" s="323"/>
    </row>
    <row r="1661" spans="1:21" ht="15" customHeight="1" thickBot="1">
      <c r="A1661" s="327"/>
      <c r="B1661" s="327"/>
      <c r="C1661" s="330"/>
      <c r="D1661" s="164">
        <f t="shared" si="242"/>
        <v>46064</v>
      </c>
      <c r="E1661" s="215" t="str">
        <f t="shared" si="243"/>
        <v>currydestroyer27</v>
      </c>
      <c r="F1661" s="165">
        <f>IFERROR(AVERAGE(Data[[#This Row],[alappatjoe]:[currydestroyer27]]), "TBD")</f>
        <v>4.4000000000000004</v>
      </c>
      <c r="G1661" s="256">
        <f>IFERROR(_xlfn.STDEV.P(Data[[#This Row],[alappatjoe]:[currydestroyer27]]), "TBD")</f>
        <v>0.8</v>
      </c>
      <c r="H1661" s="227" t="s">
        <v>3234</v>
      </c>
      <c r="I1661" s="257" t="s">
        <v>3039</v>
      </c>
      <c r="J1661" s="166">
        <v>5</v>
      </c>
      <c r="K1661" s="166">
        <v>3</v>
      </c>
      <c r="L1661" s="166">
        <v>4</v>
      </c>
      <c r="M1661" s="166">
        <v>5</v>
      </c>
      <c r="N1661" s="166">
        <v>5</v>
      </c>
      <c r="O1661" s="242">
        <v>24036771</v>
      </c>
      <c r="P1661" s="167"/>
      <c r="Q1661" s="167"/>
      <c r="R166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61" s="167">
        <v>1</v>
      </c>
      <c r="T1661" s="167" t="b">
        <f>Data[[#This Row],[Day Rank]]=Data[[#This Row],[W Rank]]</f>
        <v>0</v>
      </c>
      <c r="U1661" s="324"/>
    </row>
    <row r="1662" spans="1:21" ht="15" customHeight="1">
      <c r="A1662" s="325">
        <v>46065</v>
      </c>
      <c r="B1662" s="325"/>
      <c r="C1662" s="338" t="str" cm="1">
        <f t="array" ref="C1662">_xlfn.LET(_xlpm.matches, _xlfn._xlws.FILTER(Data[Poster], (Data[Date]=A1662)*(Data[Winner]=TRUE)), IF(ROWS(_xlpm.matches)&gt;1, "TIE", _xlpm.matches))</f>
        <v>samuelbattista</v>
      </c>
      <c r="D1662" s="147">
        <f t="shared" ref="D1662" si="246">A1662</f>
        <v>46065</v>
      </c>
      <c r="E1662" s="181" t="str">
        <f t="shared" si="235"/>
        <v>alappatjoe</v>
      </c>
      <c r="F1662" s="9">
        <f>IFERROR(AVERAGE(Data[[#This Row],[alappatjoe]:[currydestroyer27]]), "TBD")</f>
        <v>3.6</v>
      </c>
      <c r="G1662" s="178">
        <f>IFERROR(_xlfn.STDEV.P(Data[[#This Row],[alappatjoe]:[currydestroyer27]]), "TBD")</f>
        <v>1.019803902718557</v>
      </c>
      <c r="H1662" s="160" t="s">
        <v>155</v>
      </c>
      <c r="I1662" s="186" t="s">
        <v>156</v>
      </c>
      <c r="J1662" s="3">
        <v>2</v>
      </c>
      <c r="K1662" s="3">
        <v>5</v>
      </c>
      <c r="L1662" s="3">
        <v>4</v>
      </c>
      <c r="M1662" s="3">
        <v>3</v>
      </c>
      <c r="N1662" s="3">
        <v>4</v>
      </c>
      <c r="O1662" s="238">
        <v>49575012</v>
      </c>
      <c r="P1662" s="93"/>
      <c r="Q1662" s="93"/>
      <c r="R16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62" s="93">
        <v>1</v>
      </c>
      <c r="T1662" s="93" t="b">
        <f>Data[[#This Row],[Day Rank]]=Data[[#This Row],[W Rank]]</f>
        <v>0</v>
      </c>
      <c r="U1662" s="322" t="s">
        <v>3235</v>
      </c>
    </row>
    <row r="1663" spans="1:21" ht="15" customHeight="1">
      <c r="A1663" s="326"/>
      <c r="B1663" s="326"/>
      <c r="C1663" s="339"/>
      <c r="D1663" s="81">
        <f t="shared" si="236"/>
        <v>46065</v>
      </c>
      <c r="E1663" s="140" t="str">
        <f t="shared" si="237"/>
        <v>danram</v>
      </c>
      <c r="F1663" s="8">
        <f>IFERROR(AVERAGE(Data[[#This Row],[alappatjoe]:[currydestroyer27]]), "TBD")</f>
        <v>2.4</v>
      </c>
      <c r="G1663" s="177">
        <f>IFERROR(_xlfn.STDEV.P(Data[[#This Row],[alappatjoe]:[currydestroyer27]]), "TBD")</f>
        <v>1.4966629547095767</v>
      </c>
      <c r="H1663" s="135" t="s">
        <v>3236</v>
      </c>
      <c r="I1663" s="229" t="s">
        <v>2885</v>
      </c>
      <c r="J1663" s="3">
        <v>3</v>
      </c>
      <c r="K1663" s="3">
        <v>1</v>
      </c>
      <c r="L1663" s="3">
        <v>2</v>
      </c>
      <c r="M1663" s="3">
        <v>5</v>
      </c>
      <c r="N1663" s="3">
        <v>1</v>
      </c>
      <c r="O1663" s="238"/>
      <c r="P1663" s="93"/>
      <c r="Q1663" s="93"/>
      <c r="R16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63" s="93">
        <v>1</v>
      </c>
      <c r="T1663" s="93" t="b">
        <f>Data[[#This Row],[Day Rank]]=Data[[#This Row],[W Rank]]</f>
        <v>0</v>
      </c>
      <c r="U1663" s="323"/>
    </row>
    <row r="1664" spans="1:21" ht="15" customHeight="1">
      <c r="A1664" s="326"/>
      <c r="B1664" s="326"/>
      <c r="C1664" s="339"/>
      <c r="D1664" s="81">
        <f t="shared" si="238"/>
        <v>46065</v>
      </c>
      <c r="E1664" s="140" t="str">
        <f t="shared" si="239"/>
        <v>loganworsdell</v>
      </c>
      <c r="F1664" s="8">
        <f>IFERROR(AVERAGE(Data[[#This Row],[alappatjoe]:[currydestroyer27]]), "TBD")</f>
        <v>3</v>
      </c>
      <c r="G1664" s="177">
        <f>IFERROR(_xlfn.STDEV.P(Data[[#This Row],[alappatjoe]:[currydestroyer27]]), "TBD")</f>
        <v>1.6733200530681511</v>
      </c>
      <c r="H1664" s="135" t="s">
        <v>60</v>
      </c>
      <c r="I1664" s="229" t="s">
        <v>61</v>
      </c>
      <c r="J1664" s="3">
        <v>4</v>
      </c>
      <c r="K1664" s="3">
        <v>4</v>
      </c>
      <c r="L1664" s="3">
        <v>1</v>
      </c>
      <c r="M1664" s="3">
        <v>1</v>
      </c>
      <c r="N1664" s="3">
        <v>5</v>
      </c>
      <c r="O1664" s="238"/>
      <c r="P1664" s="93"/>
      <c r="Q1664" s="93"/>
      <c r="R16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64" s="93">
        <v>1</v>
      </c>
      <c r="T1664" s="93" t="b">
        <f>Data[[#This Row],[Day Rank]]=Data[[#This Row],[W Rank]]</f>
        <v>0</v>
      </c>
      <c r="U1664" s="323"/>
    </row>
    <row r="1665" spans="1:21" ht="15" customHeight="1">
      <c r="A1665" s="326"/>
      <c r="B1665" s="326"/>
      <c r="C1665" s="339"/>
      <c r="D1665" s="81">
        <f t="shared" si="240"/>
        <v>46065</v>
      </c>
      <c r="E1665" s="140" t="str">
        <f t="shared" si="241"/>
        <v>samuelbattista</v>
      </c>
      <c r="F1665" s="8">
        <f>IFERROR(AVERAGE(Data[[#This Row],[alappatjoe]:[currydestroyer27]]), "TBD")</f>
        <v>2.4</v>
      </c>
      <c r="G1665" s="177">
        <f>IFERROR(_xlfn.STDEV.P(Data[[#This Row],[alappatjoe]:[currydestroyer27]]), "TBD")</f>
        <v>1.3564659966250536</v>
      </c>
      <c r="H1665" s="135" t="s">
        <v>264</v>
      </c>
      <c r="I1665" s="229" t="s">
        <v>265</v>
      </c>
      <c r="J1665" s="3">
        <v>1</v>
      </c>
      <c r="K1665" s="3">
        <v>2</v>
      </c>
      <c r="L1665" s="3">
        <v>5</v>
      </c>
      <c r="M1665" s="3">
        <v>2</v>
      </c>
      <c r="N1665" s="3">
        <v>2</v>
      </c>
      <c r="O1665" s="238"/>
      <c r="P1665" s="93"/>
      <c r="Q1665" s="93"/>
      <c r="R16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65" s="93">
        <v>1</v>
      </c>
      <c r="T1665" s="93" t="b">
        <f>Data[[#This Row],[Day Rank]]=Data[[#This Row],[W Rank]]</f>
        <v>1</v>
      </c>
      <c r="U1665" s="323"/>
    </row>
    <row r="1666" spans="1:21" ht="15" customHeight="1" thickBot="1">
      <c r="A1666" s="327"/>
      <c r="B1666" s="327"/>
      <c r="C1666" s="340"/>
      <c r="D1666" s="164">
        <f t="shared" si="242"/>
        <v>46065</v>
      </c>
      <c r="E1666" s="215" t="str">
        <f t="shared" si="243"/>
        <v>currydestroyer27</v>
      </c>
      <c r="F1666" s="165">
        <f>IFERROR(AVERAGE(Data[[#This Row],[alappatjoe]:[currydestroyer27]]), "TBD")</f>
        <v>3.6</v>
      </c>
      <c r="G1666" s="256">
        <f>IFERROR(_xlfn.STDEV.P(Data[[#This Row],[alappatjoe]:[currydestroyer27]]), "TBD")</f>
        <v>0.8</v>
      </c>
      <c r="H1666" s="227" t="s">
        <v>2572</v>
      </c>
      <c r="I1666" s="257" t="s">
        <v>2573</v>
      </c>
      <c r="J1666" s="166">
        <v>5</v>
      </c>
      <c r="K1666" s="166">
        <v>3</v>
      </c>
      <c r="L1666" s="166">
        <v>3</v>
      </c>
      <c r="M1666" s="166">
        <v>4</v>
      </c>
      <c r="N1666" s="166">
        <v>3</v>
      </c>
      <c r="O1666" s="242">
        <v>4623836</v>
      </c>
      <c r="P1666" s="167"/>
      <c r="Q1666" s="167"/>
      <c r="R166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66" s="167">
        <v>1</v>
      </c>
      <c r="T1666" s="167" t="b">
        <f>Data[[#This Row],[Day Rank]]=Data[[#This Row],[W Rank]]</f>
        <v>0</v>
      </c>
      <c r="U1666" s="324"/>
    </row>
    <row r="1667" spans="1:21" ht="15" customHeight="1">
      <c r="A1667" s="325">
        <v>46069</v>
      </c>
      <c r="B1667" s="325"/>
      <c r="C1667" s="328" t="str" cm="1">
        <f t="array" ref="C1667">_xlfn.LET(_xlpm.matches, _xlfn._xlws.FILTER(Data[Poster], (Data[Date]=A1667)*(Data[Winner]=TRUE)), IF(ROWS(_xlpm.matches)&gt;1, "TIE", _xlpm.matches))</f>
        <v>samuelbattista</v>
      </c>
      <c r="D1667" s="147">
        <f t="shared" ref="D1667" si="247">A1667</f>
        <v>46069</v>
      </c>
      <c r="E1667" s="181" t="str">
        <f t="shared" si="235"/>
        <v>alappatjoe</v>
      </c>
      <c r="F1667" s="9">
        <f>IFERROR(AVERAGE(Data[[#This Row],[alappatjoe]:[currydestroyer27]]), "TBD")</f>
        <v>3.4</v>
      </c>
      <c r="G1667" s="178">
        <f>IFERROR(_xlfn.STDEV.P(Data[[#This Row],[alappatjoe]:[currydestroyer27]]), "TBD")</f>
        <v>1.3564659966250536</v>
      </c>
      <c r="H1667" s="160" t="s">
        <v>3237</v>
      </c>
      <c r="I1667" s="186" t="s">
        <v>2372</v>
      </c>
      <c r="J1667" s="3">
        <v>1</v>
      </c>
      <c r="K1667" s="3">
        <v>3</v>
      </c>
      <c r="L1667" s="3">
        <v>4</v>
      </c>
      <c r="M1667" s="3">
        <v>5</v>
      </c>
      <c r="N1667" s="3">
        <v>4</v>
      </c>
      <c r="O1667" s="238">
        <v>7492615</v>
      </c>
      <c r="P1667" s="93"/>
      <c r="Q1667" s="93"/>
      <c r="R16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67" s="93">
        <v>1</v>
      </c>
      <c r="T1667" s="93" t="b">
        <f>Data[[#This Row],[Day Rank]]=Data[[#This Row],[W Rank]]</f>
        <v>0</v>
      </c>
      <c r="U1667" s="322"/>
    </row>
    <row r="1668" spans="1:21" ht="15" customHeight="1">
      <c r="A1668" s="326"/>
      <c r="B1668" s="326"/>
      <c r="C1668" s="329"/>
      <c r="D1668" s="81">
        <f t="shared" si="236"/>
        <v>46069</v>
      </c>
      <c r="E1668" s="140" t="str">
        <f t="shared" si="237"/>
        <v>danram</v>
      </c>
      <c r="F1668" s="8">
        <f>IFERROR(AVERAGE(Data[[#This Row],[alappatjoe]:[currydestroyer27]]), "TBD")</f>
        <v>4</v>
      </c>
      <c r="G1668" s="177">
        <f>IFERROR(_xlfn.STDEV.P(Data[[#This Row],[alappatjoe]:[currydestroyer27]]), "TBD")</f>
        <v>1.2649110640673518</v>
      </c>
      <c r="H1668" s="135" t="s">
        <v>3238</v>
      </c>
      <c r="I1668" s="229" t="s">
        <v>3239</v>
      </c>
      <c r="J1668" s="3">
        <v>5</v>
      </c>
      <c r="K1668" s="3">
        <v>2</v>
      </c>
      <c r="L1668" s="3">
        <v>5</v>
      </c>
      <c r="M1668" s="3">
        <v>3</v>
      </c>
      <c r="N1668" s="3">
        <v>5</v>
      </c>
      <c r="O1668" s="238"/>
      <c r="P1668" s="93"/>
      <c r="Q1668" s="93"/>
      <c r="R16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68" s="93">
        <v>1</v>
      </c>
      <c r="T1668" s="93" t="b">
        <f>Data[[#This Row],[Day Rank]]=Data[[#This Row],[W Rank]]</f>
        <v>0</v>
      </c>
      <c r="U1668" s="323"/>
    </row>
    <row r="1669" spans="1:21" ht="15" customHeight="1">
      <c r="A1669" s="326"/>
      <c r="B1669" s="326"/>
      <c r="C1669" s="329"/>
      <c r="D1669" s="81">
        <f t="shared" si="238"/>
        <v>46069</v>
      </c>
      <c r="E1669" s="140" t="str">
        <f t="shared" si="239"/>
        <v>loganworsdell</v>
      </c>
      <c r="F1669" s="8">
        <f>IFERROR(AVERAGE(Data[[#This Row],[alappatjoe]:[currydestroyer27]]), "TBD")</f>
        <v>2.4</v>
      </c>
      <c r="G1669" s="177">
        <f>IFERROR(_xlfn.STDEV.P(Data[[#This Row],[alappatjoe]:[currydestroyer27]]), "TBD")</f>
        <v>1.019803902718557</v>
      </c>
      <c r="H1669" s="135" t="s">
        <v>3240</v>
      </c>
      <c r="I1669" s="229" t="s">
        <v>3241</v>
      </c>
      <c r="J1669" s="3">
        <v>2</v>
      </c>
      <c r="K1669" s="3">
        <v>4</v>
      </c>
      <c r="L1669" s="3">
        <v>1</v>
      </c>
      <c r="M1669" s="3">
        <v>2</v>
      </c>
      <c r="N1669" s="3">
        <v>3</v>
      </c>
      <c r="O1669" s="238">
        <v>2082913</v>
      </c>
      <c r="P1669" s="93"/>
      <c r="Q1669" s="93"/>
      <c r="R16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69" s="93">
        <v>1</v>
      </c>
      <c r="T1669" s="93" t="b">
        <f>Data[[#This Row],[Day Rank]]=Data[[#This Row],[W Rank]]</f>
        <v>0</v>
      </c>
      <c r="U1669" s="323"/>
    </row>
    <row r="1670" spans="1:21" ht="15" customHeight="1">
      <c r="A1670" s="326"/>
      <c r="B1670" s="326"/>
      <c r="C1670" s="329"/>
      <c r="D1670" s="81">
        <f t="shared" si="240"/>
        <v>46069</v>
      </c>
      <c r="E1670" s="140" t="str">
        <f t="shared" si="241"/>
        <v>samuelbattista</v>
      </c>
      <c r="F1670" s="8">
        <f>IFERROR(AVERAGE(Data[[#This Row],[alappatjoe]:[currydestroyer27]]), "TBD")</f>
        <v>2.2000000000000002</v>
      </c>
      <c r="G1670" s="177">
        <f>IFERROR(_xlfn.STDEV.P(Data[[#This Row],[alappatjoe]:[currydestroyer27]]), "TBD")</f>
        <v>1.1661903789690602</v>
      </c>
      <c r="H1670" s="135" t="s">
        <v>3242</v>
      </c>
      <c r="I1670" s="229" t="s">
        <v>404</v>
      </c>
      <c r="J1670" s="3">
        <v>4</v>
      </c>
      <c r="K1670" s="3">
        <v>1</v>
      </c>
      <c r="L1670" s="3">
        <v>3</v>
      </c>
      <c r="M1670" s="3">
        <v>1</v>
      </c>
      <c r="N1670" s="3">
        <v>2</v>
      </c>
      <c r="O1670" s="238"/>
      <c r="P1670" s="93"/>
      <c r="Q1670" s="93"/>
      <c r="R16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70" s="93">
        <v>1</v>
      </c>
      <c r="T1670" s="93" t="b">
        <f>Data[[#This Row],[Day Rank]]=Data[[#This Row],[W Rank]]</f>
        <v>1</v>
      </c>
      <c r="U1670" s="323"/>
    </row>
    <row r="1671" spans="1:21" ht="15" customHeight="1" thickBot="1">
      <c r="A1671" s="327"/>
      <c r="B1671" s="327"/>
      <c r="C1671" s="330"/>
      <c r="D1671" s="164">
        <f t="shared" si="242"/>
        <v>46069</v>
      </c>
      <c r="E1671" s="215" t="str">
        <f t="shared" si="243"/>
        <v>currydestroyer27</v>
      </c>
      <c r="F1671" s="165">
        <f>IFERROR(AVERAGE(Data[[#This Row],[alappatjoe]:[currydestroyer27]]), "TBD")</f>
        <v>3</v>
      </c>
      <c r="G1671" s="256">
        <f>IFERROR(_xlfn.STDEV.P(Data[[#This Row],[alappatjoe]:[currydestroyer27]]), "TBD")</f>
        <v>1.4142135623730951</v>
      </c>
      <c r="H1671" s="227" t="s">
        <v>3243</v>
      </c>
      <c r="I1671" s="257" t="s">
        <v>305</v>
      </c>
      <c r="J1671" s="166">
        <v>3</v>
      </c>
      <c r="K1671" s="166">
        <v>5</v>
      </c>
      <c r="L1671" s="166">
        <v>2</v>
      </c>
      <c r="M1671" s="166">
        <v>4</v>
      </c>
      <c r="N1671" s="166">
        <v>1</v>
      </c>
      <c r="O1671" s="242">
        <v>885351902</v>
      </c>
      <c r="P1671" s="167"/>
      <c r="Q1671" s="167"/>
      <c r="R167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71" s="167">
        <v>1</v>
      </c>
      <c r="T1671" s="167" t="b">
        <f>Data[[#This Row],[Day Rank]]=Data[[#This Row],[W Rank]]</f>
        <v>0</v>
      </c>
      <c r="U1671" s="324"/>
    </row>
    <row r="1672" spans="1:21" ht="15" customHeight="1">
      <c r="A1672" s="325">
        <v>46070</v>
      </c>
      <c r="B1672" s="325"/>
      <c r="C1672" s="338" t="str" cm="1">
        <f t="array" ref="C1672">_xlfn.LET(_xlpm.matches, _xlfn._xlws.FILTER(Data[Poster], (Data[Date]=A1672)*(Data[Winner]=TRUE)), IF(ROWS(_xlpm.matches)&gt;1, "TIE", _xlpm.matches))</f>
        <v>samuelbattista</v>
      </c>
      <c r="D1672" s="147">
        <f t="shared" ref="D1672" si="248">A1672</f>
        <v>46070</v>
      </c>
      <c r="E1672" s="181" t="str">
        <f t="shared" si="235"/>
        <v>alappatjoe</v>
      </c>
      <c r="F1672" s="9">
        <f>IFERROR(AVERAGE(Data[[#This Row],[alappatjoe]:[currydestroyer27]]), "TBD")</f>
        <v>3.2</v>
      </c>
      <c r="G1672" s="178">
        <f>IFERROR(_xlfn.STDEV.P(Data[[#This Row],[alappatjoe]:[currydestroyer27]]), "TBD")</f>
        <v>1.3266499161421599</v>
      </c>
      <c r="H1672" s="160" t="s">
        <v>3244</v>
      </c>
      <c r="I1672" s="186" t="s">
        <v>3245</v>
      </c>
      <c r="J1672" s="3">
        <v>1</v>
      </c>
      <c r="K1672" s="3">
        <v>5</v>
      </c>
      <c r="L1672" s="3">
        <v>4</v>
      </c>
      <c r="M1672" s="3">
        <v>3</v>
      </c>
      <c r="N1672" s="3">
        <v>3</v>
      </c>
      <c r="O1672" s="238">
        <v>2554825</v>
      </c>
      <c r="P1672" s="93"/>
      <c r="Q1672" s="93"/>
      <c r="R16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72" s="93">
        <v>1</v>
      </c>
      <c r="T1672" s="93" t="b">
        <f>Data[[#This Row],[Day Rank]]=Data[[#This Row],[W Rank]]</f>
        <v>0</v>
      </c>
      <c r="U1672" s="322"/>
    </row>
    <row r="1673" spans="1:21" ht="15" customHeight="1">
      <c r="A1673" s="326"/>
      <c r="B1673" s="326"/>
      <c r="C1673" s="339"/>
      <c r="D1673" s="81">
        <f t="shared" si="236"/>
        <v>46070</v>
      </c>
      <c r="E1673" s="140" t="str">
        <f t="shared" si="237"/>
        <v>danram</v>
      </c>
      <c r="F1673" s="8">
        <f>IFERROR(AVERAGE(Data[[#This Row],[alappatjoe]:[currydestroyer27]]), "TBD")</f>
        <v>2.6</v>
      </c>
      <c r="G1673" s="177">
        <f>IFERROR(_xlfn.STDEV.P(Data[[#This Row],[alappatjoe]:[currydestroyer27]]), "TBD")</f>
        <v>1.3564659966250536</v>
      </c>
      <c r="H1673" s="135" t="s">
        <v>3246</v>
      </c>
      <c r="I1673" s="229" t="s">
        <v>1057</v>
      </c>
      <c r="J1673" s="3">
        <v>5</v>
      </c>
      <c r="K1673" s="3">
        <v>1</v>
      </c>
      <c r="L1673" s="3">
        <v>3</v>
      </c>
      <c r="M1673" s="3">
        <v>2</v>
      </c>
      <c r="N1673" s="3">
        <v>2</v>
      </c>
      <c r="O1673" s="238"/>
      <c r="P1673" s="93"/>
      <c r="Q1673" s="93"/>
      <c r="R16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73" s="93">
        <v>1</v>
      </c>
      <c r="T1673" s="93" t="b">
        <f>Data[[#This Row],[Day Rank]]=Data[[#This Row],[W Rank]]</f>
        <v>0</v>
      </c>
      <c r="U1673" s="323"/>
    </row>
    <row r="1674" spans="1:21" ht="15" customHeight="1">
      <c r="A1674" s="326"/>
      <c r="B1674" s="326"/>
      <c r="C1674" s="339"/>
      <c r="D1674" s="81">
        <f t="shared" si="238"/>
        <v>46070</v>
      </c>
      <c r="E1674" s="140" t="str">
        <f t="shared" si="239"/>
        <v>loganworsdell</v>
      </c>
      <c r="F1674" s="8">
        <f>IFERROR(AVERAGE(Data[[#This Row],[alappatjoe]:[currydestroyer27]]), "TBD")</f>
        <v>3.4</v>
      </c>
      <c r="G1674" s="177">
        <f>IFERROR(_xlfn.STDEV.P(Data[[#This Row],[alappatjoe]:[currydestroyer27]]), "TBD")</f>
        <v>1.2</v>
      </c>
      <c r="H1674" s="135" t="s">
        <v>3247</v>
      </c>
      <c r="I1674" s="229" t="s">
        <v>3248</v>
      </c>
      <c r="J1674" s="3">
        <v>2</v>
      </c>
      <c r="K1674" s="3">
        <v>4</v>
      </c>
      <c r="L1674" s="3">
        <v>2</v>
      </c>
      <c r="M1674" s="3">
        <v>4</v>
      </c>
      <c r="N1674" s="3">
        <v>5</v>
      </c>
      <c r="O1674" s="238">
        <v>162689</v>
      </c>
      <c r="P1674" s="93"/>
      <c r="Q1674" s="93"/>
      <c r="R16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74" s="93">
        <v>1</v>
      </c>
      <c r="T1674" s="93" t="b">
        <f>Data[[#This Row],[Day Rank]]=Data[[#This Row],[W Rank]]</f>
        <v>0</v>
      </c>
      <c r="U1674" s="323"/>
    </row>
    <row r="1675" spans="1:21" ht="15" customHeight="1">
      <c r="A1675" s="326"/>
      <c r="B1675" s="326"/>
      <c r="C1675" s="339"/>
      <c r="D1675" s="81">
        <f t="shared" si="240"/>
        <v>46070</v>
      </c>
      <c r="E1675" s="140" t="str">
        <f t="shared" si="241"/>
        <v>samuelbattista</v>
      </c>
      <c r="F1675" s="8">
        <f>IFERROR(AVERAGE(Data[[#This Row],[alappatjoe]:[currydestroyer27]]), "TBD")</f>
        <v>2.4</v>
      </c>
      <c r="G1675" s="177">
        <f>IFERROR(_xlfn.STDEV.P(Data[[#This Row],[alappatjoe]:[currydestroyer27]]), "TBD")</f>
        <v>1.2</v>
      </c>
      <c r="H1675" s="135" t="s">
        <v>3249</v>
      </c>
      <c r="I1675" s="229" t="s">
        <v>3250</v>
      </c>
      <c r="J1675" s="3">
        <v>3</v>
      </c>
      <c r="K1675" s="3">
        <v>3</v>
      </c>
      <c r="L1675" s="3">
        <v>1</v>
      </c>
      <c r="M1675" s="3">
        <v>1</v>
      </c>
      <c r="N1675" s="3">
        <v>4</v>
      </c>
      <c r="O1675" s="238"/>
      <c r="P1675" s="93"/>
      <c r="Q1675" s="93"/>
      <c r="R16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75" s="93">
        <v>1</v>
      </c>
      <c r="T1675" s="93" t="b">
        <f>Data[[#This Row],[Day Rank]]=Data[[#This Row],[W Rank]]</f>
        <v>1</v>
      </c>
      <c r="U1675" s="323"/>
    </row>
    <row r="1676" spans="1:21" ht="15" customHeight="1" thickBot="1">
      <c r="A1676" s="327"/>
      <c r="B1676" s="327"/>
      <c r="C1676" s="340"/>
      <c r="D1676" s="164">
        <f t="shared" si="242"/>
        <v>46070</v>
      </c>
      <c r="E1676" s="215" t="str">
        <f t="shared" si="243"/>
        <v>currydestroyer27</v>
      </c>
      <c r="F1676" s="165">
        <f>IFERROR(AVERAGE(Data[[#This Row],[alappatjoe]:[currydestroyer27]]), "TBD")</f>
        <v>3.4</v>
      </c>
      <c r="G1676" s="256">
        <f>IFERROR(_xlfn.STDEV.P(Data[[#This Row],[alappatjoe]:[currydestroyer27]]), "TBD")</f>
        <v>1.6248076809271921</v>
      </c>
      <c r="H1676" s="285" t="s">
        <v>3251</v>
      </c>
      <c r="I1676" s="257" t="s">
        <v>3252</v>
      </c>
      <c r="J1676" s="166">
        <v>4</v>
      </c>
      <c r="K1676" s="166">
        <v>2</v>
      </c>
      <c r="L1676" s="166">
        <v>5</v>
      </c>
      <c r="M1676" s="166">
        <v>5</v>
      </c>
      <c r="N1676" s="166">
        <v>1</v>
      </c>
      <c r="O1676" s="242">
        <v>14069292</v>
      </c>
      <c r="P1676" s="167" t="s">
        <v>76</v>
      </c>
      <c r="Q1676" s="167" t="s">
        <v>99</v>
      </c>
      <c r="R167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76" s="167">
        <v>1</v>
      </c>
      <c r="T1676" s="167" t="b">
        <f>Data[[#This Row],[Day Rank]]=Data[[#This Row],[W Rank]]</f>
        <v>0</v>
      </c>
      <c r="U1676" s="324"/>
    </row>
    <row r="1677" spans="1:21" ht="15" customHeight="1">
      <c r="A1677" s="325">
        <v>46071</v>
      </c>
      <c r="B1677" s="325"/>
      <c r="C1677" s="328" t="str" cm="1">
        <f t="array" ref="C1677">_xlfn.LET(_xlpm.matches, _xlfn._xlws.FILTER(Data[Poster], (Data[Date]=A1677)*(Data[Winner]=TRUE)), IF(ROWS(_xlpm.matches)&gt;1, "TIE", _xlpm.matches))</f>
        <v>alappatjoe</v>
      </c>
      <c r="D1677" s="147">
        <f t="shared" ref="D1677" si="249">A1677</f>
        <v>46071</v>
      </c>
      <c r="E1677" s="181" t="str">
        <f t="shared" si="235"/>
        <v>alappatjoe</v>
      </c>
      <c r="F1677" s="9">
        <f>IFERROR(AVERAGE(Data[[#This Row],[alappatjoe]:[currydestroyer27]]), "TBD")</f>
        <v>2</v>
      </c>
      <c r="G1677" s="178">
        <f>IFERROR(_xlfn.STDEV.P(Data[[#This Row],[alappatjoe]:[currydestroyer27]]), "TBD")</f>
        <v>0.63245553203367588</v>
      </c>
      <c r="H1677" s="284" t="s">
        <v>3253</v>
      </c>
      <c r="I1677" s="186" t="s">
        <v>3254</v>
      </c>
      <c r="J1677" s="3">
        <v>1</v>
      </c>
      <c r="K1677" s="3">
        <v>3</v>
      </c>
      <c r="L1677" s="3">
        <v>2</v>
      </c>
      <c r="M1677" s="3">
        <v>2</v>
      </c>
      <c r="N1677" s="3">
        <v>2</v>
      </c>
      <c r="O1677" s="238">
        <v>43022</v>
      </c>
      <c r="P1677" s="93"/>
      <c r="Q1677" s="93"/>
      <c r="R16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77" s="93">
        <v>1</v>
      </c>
      <c r="T1677" s="93" t="b">
        <f>Data[[#This Row],[Day Rank]]=Data[[#This Row],[W Rank]]</f>
        <v>1</v>
      </c>
      <c r="U1677" s="322"/>
    </row>
    <row r="1678" spans="1:21" ht="15" customHeight="1">
      <c r="A1678" s="326"/>
      <c r="B1678" s="326"/>
      <c r="C1678" s="329"/>
      <c r="D1678" s="81">
        <f t="shared" si="236"/>
        <v>46071</v>
      </c>
      <c r="E1678" s="140" t="str">
        <f t="shared" si="237"/>
        <v>danram</v>
      </c>
      <c r="F1678" s="8">
        <f>IFERROR(AVERAGE(Data[[#This Row],[alappatjoe]:[currydestroyer27]]), "TBD")</f>
        <v>2.4</v>
      </c>
      <c r="G1678" s="177">
        <f>IFERROR(_xlfn.STDEV.P(Data[[#This Row],[alappatjoe]:[currydestroyer27]]), "TBD")</f>
        <v>1.3564659966250536</v>
      </c>
      <c r="H1678" s="135" t="s">
        <v>3255</v>
      </c>
      <c r="I1678" s="229" t="s">
        <v>659</v>
      </c>
      <c r="J1678" s="3">
        <v>2</v>
      </c>
      <c r="K1678" s="3">
        <v>1</v>
      </c>
      <c r="L1678" s="3">
        <v>1</v>
      </c>
      <c r="M1678" s="3">
        <v>4</v>
      </c>
      <c r="N1678" s="3">
        <v>4</v>
      </c>
      <c r="O1678" s="238"/>
      <c r="P1678" s="93"/>
      <c r="Q1678" s="93"/>
      <c r="R16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78" s="93">
        <v>1</v>
      </c>
      <c r="T1678" s="93" t="b">
        <f>Data[[#This Row],[Day Rank]]=Data[[#This Row],[W Rank]]</f>
        <v>0</v>
      </c>
      <c r="U1678" s="323"/>
    </row>
    <row r="1679" spans="1:21" ht="15" customHeight="1">
      <c r="A1679" s="326"/>
      <c r="B1679" s="326"/>
      <c r="C1679" s="329"/>
      <c r="D1679" s="81">
        <f t="shared" si="238"/>
        <v>46071</v>
      </c>
      <c r="E1679" s="140" t="str">
        <f t="shared" si="239"/>
        <v>loganworsdell</v>
      </c>
      <c r="F1679" s="8">
        <f>IFERROR(AVERAGE(Data[[#This Row],[alappatjoe]:[currydestroyer27]]), "TBD")</f>
        <v>4.2</v>
      </c>
      <c r="G1679" s="177">
        <f>IFERROR(_xlfn.STDEV.P(Data[[#This Row],[alappatjoe]:[currydestroyer27]]), "TBD")</f>
        <v>0.74833147735478833</v>
      </c>
      <c r="H1679" s="135" t="s">
        <v>3256</v>
      </c>
      <c r="I1679" s="229" t="s">
        <v>2713</v>
      </c>
      <c r="J1679" s="3">
        <v>3</v>
      </c>
      <c r="K1679" s="3">
        <v>4</v>
      </c>
      <c r="L1679" s="3">
        <v>4</v>
      </c>
      <c r="M1679" s="3">
        <v>5</v>
      </c>
      <c r="N1679" s="3">
        <v>5</v>
      </c>
      <c r="O1679" s="238">
        <v>74168</v>
      </c>
      <c r="P1679" s="93"/>
      <c r="Q1679" s="93"/>
      <c r="R16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79" s="93">
        <v>1</v>
      </c>
      <c r="T1679" s="93" t="b">
        <f>Data[[#This Row],[Day Rank]]=Data[[#This Row],[W Rank]]</f>
        <v>0</v>
      </c>
      <c r="U1679" s="323"/>
    </row>
    <row r="1680" spans="1:21" ht="15" customHeight="1">
      <c r="A1680" s="326"/>
      <c r="B1680" s="326"/>
      <c r="C1680" s="329"/>
      <c r="D1680" s="81">
        <f t="shared" si="240"/>
        <v>46071</v>
      </c>
      <c r="E1680" s="140" t="str">
        <f t="shared" si="241"/>
        <v>samuelbattista</v>
      </c>
      <c r="F1680" s="8">
        <f>IFERROR(AVERAGE(Data[[#This Row],[alappatjoe]:[currydestroyer27]]), "TBD")</f>
        <v>3.8</v>
      </c>
      <c r="G1680" s="177">
        <f>IFERROR(_xlfn.STDEV.P(Data[[#This Row],[alappatjoe]:[currydestroyer27]]), "TBD")</f>
        <v>1.6</v>
      </c>
      <c r="H1680" s="135" t="s">
        <v>3257</v>
      </c>
      <c r="I1680" s="229" t="s">
        <v>3258</v>
      </c>
      <c r="J1680" s="3">
        <v>5</v>
      </c>
      <c r="K1680" s="3">
        <v>5</v>
      </c>
      <c r="L1680" s="3">
        <v>5</v>
      </c>
      <c r="M1680" s="3">
        <v>1</v>
      </c>
      <c r="N1680" s="3">
        <v>3</v>
      </c>
      <c r="O1680" s="238"/>
      <c r="P1680" s="93"/>
      <c r="Q1680" s="93"/>
      <c r="R16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80" s="93">
        <v>1</v>
      </c>
      <c r="T1680" s="93" t="b">
        <f>Data[[#This Row],[Day Rank]]=Data[[#This Row],[W Rank]]</f>
        <v>0</v>
      </c>
      <c r="U1680" s="323"/>
    </row>
    <row r="1681" spans="1:21" ht="15" customHeight="1" thickBot="1">
      <c r="A1681" s="327"/>
      <c r="B1681" s="327"/>
      <c r="C1681" s="330"/>
      <c r="D1681" s="164">
        <f t="shared" si="242"/>
        <v>46071</v>
      </c>
      <c r="E1681" s="215" t="str">
        <f t="shared" si="243"/>
        <v>currydestroyer27</v>
      </c>
      <c r="F1681" s="165">
        <f>IFERROR(AVERAGE(Data[[#This Row],[alappatjoe]:[currydestroyer27]]), "TBD")</f>
        <v>2.6</v>
      </c>
      <c r="G1681" s="256">
        <f>IFERROR(_xlfn.STDEV.P(Data[[#This Row],[alappatjoe]:[currydestroyer27]]), "TBD")</f>
        <v>1.019803902718557</v>
      </c>
      <c r="H1681" s="227" t="s">
        <v>3259</v>
      </c>
      <c r="I1681" s="257" t="s">
        <v>870</v>
      </c>
      <c r="J1681" s="166">
        <v>4</v>
      </c>
      <c r="K1681" s="166">
        <v>2</v>
      </c>
      <c r="L1681" s="166">
        <v>3</v>
      </c>
      <c r="M1681" s="166">
        <v>3</v>
      </c>
      <c r="N1681" s="166">
        <v>1</v>
      </c>
      <c r="O1681" s="242">
        <v>26454975</v>
      </c>
      <c r="P1681" s="167" t="s">
        <v>76</v>
      </c>
      <c r="Q1681" s="167" t="s">
        <v>99</v>
      </c>
      <c r="R168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81" s="167">
        <v>1</v>
      </c>
      <c r="T1681" s="167" t="b">
        <f>Data[[#This Row],[Day Rank]]=Data[[#This Row],[W Rank]]</f>
        <v>0</v>
      </c>
      <c r="U1681" s="324"/>
    </row>
    <row r="1682" spans="1:21" ht="15" customHeight="1">
      <c r="A1682" s="325">
        <v>46072</v>
      </c>
      <c r="B1682" s="325"/>
      <c r="C1682" s="338" t="str" cm="1">
        <f t="array" ref="C1682">_xlfn.LET(_xlpm.matches, _xlfn._xlws.FILTER(Data[Poster], (Data[Date]=A1682)*(Data[Winner]=TRUE)), IF(ROWS(_xlpm.matches)&gt;1, "TIE", _xlpm.matches))</f>
        <v>danram</v>
      </c>
      <c r="D1682" s="147">
        <f t="shared" ref="D1682" si="250">A1682</f>
        <v>46072</v>
      </c>
      <c r="E1682" s="181" t="str">
        <f t="shared" si="235"/>
        <v>alappatjoe</v>
      </c>
      <c r="F1682" s="9">
        <f>IFERROR(AVERAGE(Data[[#This Row],[alappatjoe]:[currydestroyer27]]), "TBD")</f>
        <v>5</v>
      </c>
      <c r="G1682" s="178">
        <f>IFERROR(_xlfn.STDEV.P(Data[[#This Row],[alappatjoe]:[currydestroyer27]]), "TBD")</f>
        <v>0</v>
      </c>
      <c r="H1682" s="160" t="s">
        <v>3260</v>
      </c>
      <c r="I1682" s="186" t="s">
        <v>3082</v>
      </c>
      <c r="J1682" s="3">
        <v>5</v>
      </c>
      <c r="K1682" s="3">
        <v>5</v>
      </c>
      <c r="L1682" s="3">
        <v>5</v>
      </c>
      <c r="M1682" s="3">
        <v>5</v>
      </c>
      <c r="N1682" s="3">
        <v>5</v>
      </c>
      <c r="O1682" s="238">
        <v>221276394</v>
      </c>
      <c r="P1682" s="93"/>
      <c r="Q1682" s="93"/>
      <c r="R16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82" s="93">
        <v>1</v>
      </c>
      <c r="T1682" s="93" t="b">
        <f>Data[[#This Row],[Day Rank]]=Data[[#This Row],[W Rank]]</f>
        <v>0</v>
      </c>
      <c r="U1682" s="322" t="s">
        <v>3261</v>
      </c>
    </row>
    <row r="1683" spans="1:21" ht="15" customHeight="1">
      <c r="A1683" s="326"/>
      <c r="B1683" s="326"/>
      <c r="C1683" s="339"/>
      <c r="D1683" s="81">
        <f t="shared" si="236"/>
        <v>46072</v>
      </c>
      <c r="E1683" s="140" t="str">
        <f t="shared" si="237"/>
        <v>danram</v>
      </c>
      <c r="F1683" s="8">
        <f>IFERROR(AVERAGE(Data[[#This Row],[alappatjoe]:[currydestroyer27]]), "TBD")</f>
        <v>1.8</v>
      </c>
      <c r="G1683" s="177">
        <f>IFERROR(_xlfn.STDEV.P(Data[[#This Row],[alappatjoe]:[currydestroyer27]]), "TBD")</f>
        <v>0.74833147735478833</v>
      </c>
      <c r="H1683" s="135" t="s">
        <v>3262</v>
      </c>
      <c r="I1683" s="229" t="s">
        <v>3263</v>
      </c>
      <c r="J1683" s="3">
        <v>1</v>
      </c>
      <c r="K1683" s="3">
        <v>3</v>
      </c>
      <c r="L1683" s="3">
        <v>1</v>
      </c>
      <c r="M1683" s="3">
        <v>2</v>
      </c>
      <c r="N1683" s="3">
        <v>2</v>
      </c>
      <c r="O1683" s="238"/>
      <c r="P1683" s="93"/>
      <c r="Q1683" s="93"/>
      <c r="R16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83" s="93">
        <v>1</v>
      </c>
      <c r="T1683" s="93" t="b">
        <f>Data[[#This Row],[Day Rank]]=Data[[#This Row],[W Rank]]</f>
        <v>1</v>
      </c>
      <c r="U1683" s="323"/>
    </row>
    <row r="1684" spans="1:21" ht="15" customHeight="1">
      <c r="A1684" s="326"/>
      <c r="B1684" s="326"/>
      <c r="C1684" s="339"/>
      <c r="D1684" s="81">
        <f t="shared" si="238"/>
        <v>46072</v>
      </c>
      <c r="E1684" s="140" t="str">
        <f t="shared" si="239"/>
        <v>loganworsdell</v>
      </c>
      <c r="F1684" s="8">
        <f>IFERROR(AVERAGE(Data[[#This Row],[alappatjoe]:[currydestroyer27]]), "TBD")</f>
        <v>2.8</v>
      </c>
      <c r="G1684" s="177">
        <f>IFERROR(_xlfn.STDEV.P(Data[[#This Row],[alappatjoe]:[currydestroyer27]]), "TBD")</f>
        <v>1.1661903789690602</v>
      </c>
      <c r="H1684" s="135" t="s">
        <v>3264</v>
      </c>
      <c r="I1684" s="229" t="s">
        <v>3265</v>
      </c>
      <c r="J1684" s="3">
        <v>3</v>
      </c>
      <c r="K1684" s="3">
        <v>1</v>
      </c>
      <c r="L1684" s="3">
        <v>2</v>
      </c>
      <c r="M1684" s="3">
        <v>4</v>
      </c>
      <c r="N1684" s="3">
        <v>4</v>
      </c>
      <c r="O1684" s="238">
        <v>32121</v>
      </c>
      <c r="P1684" s="93"/>
      <c r="Q1684" s="93"/>
      <c r="R16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84" s="93">
        <v>1</v>
      </c>
      <c r="T1684" s="93" t="b">
        <f>Data[[#This Row],[Day Rank]]=Data[[#This Row],[W Rank]]</f>
        <v>0</v>
      </c>
      <c r="U1684" s="323"/>
    </row>
    <row r="1685" spans="1:21" ht="15" customHeight="1">
      <c r="A1685" s="326"/>
      <c r="B1685" s="326"/>
      <c r="C1685" s="339"/>
      <c r="D1685" s="81">
        <f t="shared" si="240"/>
        <v>46072</v>
      </c>
      <c r="E1685" s="140" t="str">
        <f t="shared" si="241"/>
        <v>samuelbattista</v>
      </c>
      <c r="F1685" s="8">
        <f>IFERROR(AVERAGE(Data[[#This Row],[alappatjoe]:[currydestroyer27]]), "TBD")</f>
        <v>2.6</v>
      </c>
      <c r="G1685" s="177">
        <f>IFERROR(_xlfn.STDEV.P(Data[[#This Row],[alappatjoe]:[currydestroyer27]]), "TBD")</f>
        <v>1.019803902718557</v>
      </c>
      <c r="H1685" s="135" t="s">
        <v>3266</v>
      </c>
      <c r="I1685" s="229" t="s">
        <v>3267</v>
      </c>
      <c r="J1685" s="3">
        <v>2</v>
      </c>
      <c r="K1685" s="3">
        <v>4</v>
      </c>
      <c r="L1685" s="3">
        <v>3</v>
      </c>
      <c r="M1685" s="3">
        <v>1</v>
      </c>
      <c r="N1685" s="3">
        <v>3</v>
      </c>
      <c r="O1685" s="238"/>
      <c r="P1685" s="93"/>
      <c r="Q1685" s="93"/>
      <c r="R16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85" s="93">
        <v>1</v>
      </c>
      <c r="T1685" s="93" t="b">
        <f>Data[[#This Row],[Day Rank]]=Data[[#This Row],[W Rank]]</f>
        <v>0</v>
      </c>
      <c r="U1685" s="323"/>
    </row>
    <row r="1686" spans="1:21" ht="15" customHeight="1" thickBot="1">
      <c r="A1686" s="327"/>
      <c r="B1686" s="327"/>
      <c r="C1686" s="340"/>
      <c r="D1686" s="164">
        <f t="shared" si="242"/>
        <v>46072</v>
      </c>
      <c r="E1686" s="215" t="str">
        <f t="shared" si="243"/>
        <v>currydestroyer27</v>
      </c>
      <c r="F1686" s="165">
        <f>IFERROR(AVERAGE(Data[[#This Row],[alappatjoe]:[currydestroyer27]]), "TBD")</f>
        <v>2.8</v>
      </c>
      <c r="G1686" s="256">
        <f>IFERROR(_xlfn.STDEV.P(Data[[#This Row],[alappatjoe]:[currydestroyer27]]), "TBD")</f>
        <v>1.1661903789690602</v>
      </c>
      <c r="H1686" s="227" t="s">
        <v>3268</v>
      </c>
      <c r="I1686" s="257" t="s">
        <v>3269</v>
      </c>
      <c r="J1686" s="166">
        <v>4</v>
      </c>
      <c r="K1686" s="166">
        <v>2</v>
      </c>
      <c r="L1686" s="166">
        <v>4</v>
      </c>
      <c r="M1686" s="166">
        <v>3</v>
      </c>
      <c r="N1686" s="166">
        <v>1</v>
      </c>
      <c r="O1686" s="242">
        <v>447687501</v>
      </c>
      <c r="P1686" s="167" t="s">
        <v>76</v>
      </c>
      <c r="Q1686" s="167" t="s">
        <v>96</v>
      </c>
      <c r="R168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86" s="167">
        <v>1</v>
      </c>
      <c r="T1686" s="167" t="b">
        <f>Data[[#This Row],[Day Rank]]=Data[[#This Row],[W Rank]]</f>
        <v>0</v>
      </c>
      <c r="U1686" s="324"/>
    </row>
    <row r="1687" spans="1:21" ht="15" customHeight="1">
      <c r="A1687" s="325">
        <v>46076</v>
      </c>
      <c r="B1687" s="325"/>
      <c r="C1687" s="328" t="str" cm="1">
        <f t="array" ref="C1687">_xlfn.LET(_xlpm.matches, _xlfn._xlws.FILTER(Data[Poster], (Data[Date]=A1687)*(Data[Winner]=TRUE)), IF(ROWS(_xlpm.matches)&gt;1, "TIE", _xlpm.matches))</f>
        <v>alappatjoe</v>
      </c>
      <c r="D1687" s="147">
        <f t="shared" ref="D1687" si="251">A1687</f>
        <v>46076</v>
      </c>
      <c r="E1687" s="181" t="str">
        <f t="shared" ref="E1687:E1722" si="252">$J$1</f>
        <v>alappatjoe</v>
      </c>
      <c r="F1687" s="9">
        <f>IFERROR(AVERAGE(Data[[#This Row],[alappatjoe]:[currydestroyer27]]), "TBD")</f>
        <v>2.2000000000000002</v>
      </c>
      <c r="G1687" s="178">
        <f>IFERROR(_xlfn.STDEV.P(Data[[#This Row],[alappatjoe]:[currydestroyer27]]), "TBD")</f>
        <v>1.1661903789690602</v>
      </c>
      <c r="H1687" s="160" t="s">
        <v>3270</v>
      </c>
      <c r="I1687" s="186" t="s">
        <v>3271</v>
      </c>
      <c r="J1687" s="3">
        <v>1</v>
      </c>
      <c r="K1687" s="3">
        <v>4</v>
      </c>
      <c r="L1687" s="3">
        <v>1</v>
      </c>
      <c r="M1687" s="3">
        <v>2</v>
      </c>
      <c r="N1687" s="3">
        <v>3</v>
      </c>
      <c r="O1687" s="238">
        <v>293341</v>
      </c>
      <c r="P1687" s="93"/>
      <c r="Q1687" s="93"/>
      <c r="R16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87" s="93">
        <v>1</v>
      </c>
      <c r="T1687" s="93" t="b">
        <f>Data[[#This Row],[Day Rank]]=Data[[#This Row],[W Rank]]</f>
        <v>1</v>
      </c>
      <c r="U1687" s="322"/>
    </row>
    <row r="1688" spans="1:21" ht="15" customHeight="1">
      <c r="A1688" s="326"/>
      <c r="B1688" s="326"/>
      <c r="C1688" s="329"/>
      <c r="D1688" s="81">
        <f t="shared" ref="D1688:D1723" si="253">D1687</f>
        <v>46076</v>
      </c>
      <c r="E1688" s="140" t="str">
        <f t="shared" ref="E1688:E1723" si="254">$K$1</f>
        <v>danram</v>
      </c>
      <c r="F1688" s="8">
        <f>IFERROR(AVERAGE(Data[[#This Row],[alappatjoe]:[currydestroyer27]]), "TBD")</f>
        <v>3.2</v>
      </c>
      <c r="G1688" s="177">
        <f>IFERROR(_xlfn.STDEV.P(Data[[#This Row],[alappatjoe]:[currydestroyer27]]), "TBD")</f>
        <v>1.3266499161421599</v>
      </c>
      <c r="H1688" s="135" t="s">
        <v>3272</v>
      </c>
      <c r="I1688" s="229" t="s">
        <v>3273</v>
      </c>
      <c r="J1688" s="3">
        <v>3</v>
      </c>
      <c r="K1688" s="3">
        <v>3</v>
      </c>
      <c r="L1688" s="3">
        <v>5</v>
      </c>
      <c r="M1688" s="3">
        <v>4</v>
      </c>
      <c r="N1688" s="3">
        <v>1</v>
      </c>
      <c r="O1688" s="238"/>
      <c r="P1688" s="93"/>
      <c r="Q1688" s="93"/>
      <c r="R16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88" s="93">
        <v>1</v>
      </c>
      <c r="T1688" s="93" t="b">
        <f>Data[[#This Row],[Day Rank]]=Data[[#This Row],[W Rank]]</f>
        <v>0</v>
      </c>
      <c r="U1688" s="323"/>
    </row>
    <row r="1689" spans="1:21" ht="15" customHeight="1">
      <c r="A1689" s="326"/>
      <c r="B1689" s="326"/>
      <c r="C1689" s="329"/>
      <c r="D1689" s="81">
        <f t="shared" ref="D1689:D1724" si="255">D1687</f>
        <v>46076</v>
      </c>
      <c r="E1689" s="140" t="str">
        <f t="shared" ref="E1689:E1724" si="256">$L$1</f>
        <v>loganworsdell</v>
      </c>
      <c r="F1689" s="8">
        <f>IFERROR(AVERAGE(Data[[#This Row],[alappatjoe]:[currydestroyer27]]), "TBD")</f>
        <v>4.8</v>
      </c>
      <c r="G1689" s="177">
        <f>IFERROR(_xlfn.STDEV.P(Data[[#This Row],[alappatjoe]:[currydestroyer27]]), "TBD")</f>
        <v>0.39999999999999997</v>
      </c>
      <c r="H1689" s="135" t="s">
        <v>3274</v>
      </c>
      <c r="I1689" s="229" t="s">
        <v>3275</v>
      </c>
      <c r="J1689" s="3">
        <v>5</v>
      </c>
      <c r="K1689" s="3">
        <v>5</v>
      </c>
      <c r="L1689" s="3">
        <v>4</v>
      </c>
      <c r="M1689" s="3">
        <v>5</v>
      </c>
      <c r="N1689" s="3">
        <v>5</v>
      </c>
      <c r="O1689" s="238">
        <v>248069</v>
      </c>
      <c r="P1689" s="93"/>
      <c r="Q1689" s="93"/>
      <c r="R16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89" s="93">
        <v>1</v>
      </c>
      <c r="T1689" s="93" t="b">
        <f>Data[[#This Row],[Day Rank]]=Data[[#This Row],[W Rank]]</f>
        <v>0</v>
      </c>
      <c r="U1689" s="323"/>
    </row>
    <row r="1690" spans="1:21" ht="15" customHeight="1">
      <c r="A1690" s="326"/>
      <c r="B1690" s="326"/>
      <c r="C1690" s="329"/>
      <c r="D1690" s="81">
        <f t="shared" ref="D1690:D1725" si="257">D1687</f>
        <v>46076</v>
      </c>
      <c r="E1690" s="140" t="str">
        <f t="shared" ref="E1690:E1725" si="258">$M$1</f>
        <v>samuelbattista</v>
      </c>
      <c r="F1690" s="8">
        <f>IFERROR(AVERAGE(Data[[#This Row],[alappatjoe]:[currydestroyer27]]), "TBD")</f>
        <v>2.4</v>
      </c>
      <c r="G1690" s="177">
        <f>IFERROR(_xlfn.STDEV.P(Data[[#This Row],[alappatjoe]:[currydestroyer27]]), "TBD")</f>
        <v>1.019803902718557</v>
      </c>
      <c r="H1690" s="135" t="s">
        <v>3276</v>
      </c>
      <c r="I1690" s="229" t="s">
        <v>3277</v>
      </c>
      <c r="J1690" s="3">
        <v>2</v>
      </c>
      <c r="K1690" s="3">
        <v>2</v>
      </c>
      <c r="L1690" s="3">
        <v>3</v>
      </c>
      <c r="M1690" s="3">
        <v>1</v>
      </c>
      <c r="N1690" s="3">
        <v>4</v>
      </c>
      <c r="O1690" s="238"/>
      <c r="P1690" s="93"/>
      <c r="Q1690" s="93"/>
      <c r="R16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90" s="93">
        <v>1</v>
      </c>
      <c r="T1690" s="93" t="b">
        <f>Data[[#This Row],[Day Rank]]=Data[[#This Row],[W Rank]]</f>
        <v>0</v>
      </c>
      <c r="U1690" s="323"/>
    </row>
    <row r="1691" spans="1:21" ht="15" customHeight="1" thickBot="1">
      <c r="A1691" s="327"/>
      <c r="B1691" s="327"/>
      <c r="C1691" s="330"/>
      <c r="D1691" s="164">
        <f t="shared" ref="D1691:D1726" si="259">D1687</f>
        <v>46076</v>
      </c>
      <c r="E1691" s="215" t="str">
        <f t="shared" ref="E1691:E1726" si="260">$N$1</f>
        <v>currydestroyer27</v>
      </c>
      <c r="F1691" s="165">
        <f>IFERROR(AVERAGE(Data[[#This Row],[alappatjoe]:[currydestroyer27]]), "TBD")</f>
        <v>2.4</v>
      </c>
      <c r="G1691" s="256">
        <f>IFERROR(_xlfn.STDEV.P(Data[[#This Row],[alappatjoe]:[currydestroyer27]]), "TBD")</f>
        <v>1.019803902718557</v>
      </c>
      <c r="H1691" s="227" t="s">
        <v>3278</v>
      </c>
      <c r="I1691" s="257" t="s">
        <v>3279</v>
      </c>
      <c r="J1691" s="166">
        <v>4</v>
      </c>
      <c r="K1691" s="166">
        <v>1</v>
      </c>
      <c r="L1691" s="166">
        <v>2</v>
      </c>
      <c r="M1691" s="166">
        <v>3</v>
      </c>
      <c r="N1691" s="166">
        <v>2</v>
      </c>
      <c r="O1691" s="242">
        <v>28106984</v>
      </c>
      <c r="P1691" s="167" t="s">
        <v>76</v>
      </c>
      <c r="Q1691" s="167" t="s">
        <v>1855</v>
      </c>
      <c r="R169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91" s="167">
        <v>1</v>
      </c>
      <c r="T1691" s="167" t="b">
        <f>Data[[#This Row],[Day Rank]]=Data[[#This Row],[W Rank]]</f>
        <v>0</v>
      </c>
      <c r="U1691" s="324"/>
    </row>
    <row r="1692" spans="1:21" ht="15" customHeight="1">
      <c r="A1692" s="325">
        <v>46077</v>
      </c>
      <c r="B1692" s="325"/>
      <c r="C1692" s="338" t="str" cm="1">
        <f t="array" ref="C1692">_xlfn.LET(_xlpm.matches, _xlfn._xlws.FILTER(Data[Poster], (Data[Date]=A1692)*(Data[Winner]=TRUE)), IF(ROWS(_xlpm.matches)&gt;1, "TIE", _xlpm.matches))</f>
        <v>loganworsdell</v>
      </c>
      <c r="D1692" s="147">
        <f t="shared" ref="D1692" si="261">A1692</f>
        <v>46077</v>
      </c>
      <c r="E1692" s="181" t="str">
        <f t="shared" si="252"/>
        <v>alappatjoe</v>
      </c>
      <c r="F1692" s="9">
        <f>IFERROR(AVERAGE(Data[[#This Row],[alappatjoe]:[currydestroyer27]]), "TBD")</f>
        <v>3</v>
      </c>
      <c r="G1692" s="178">
        <f>IFERROR(_xlfn.STDEV.P(Data[[#This Row],[alappatjoe]:[currydestroyer27]]), "TBD")</f>
        <v>1.2649110640673518</v>
      </c>
      <c r="H1692" s="160" t="s">
        <v>3280</v>
      </c>
      <c r="I1692" s="186" t="s">
        <v>1188</v>
      </c>
      <c r="J1692" s="3">
        <v>2</v>
      </c>
      <c r="K1692" s="3">
        <v>4</v>
      </c>
      <c r="L1692" s="3">
        <v>2</v>
      </c>
      <c r="M1692" s="3">
        <v>5</v>
      </c>
      <c r="N1692" s="3">
        <v>2</v>
      </c>
      <c r="O1692" s="238">
        <v>4938767</v>
      </c>
      <c r="P1692" s="93"/>
      <c r="Q1692" s="93"/>
      <c r="R16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692" s="93">
        <v>1</v>
      </c>
      <c r="T1692" s="93" t="b">
        <f>Data[[#This Row],[Day Rank]]=Data[[#This Row],[W Rank]]</f>
        <v>0</v>
      </c>
      <c r="U1692" s="322"/>
    </row>
    <row r="1693" spans="1:21" ht="15" customHeight="1">
      <c r="A1693" s="326"/>
      <c r="B1693" s="326"/>
      <c r="C1693" s="339"/>
      <c r="D1693" s="81">
        <f t="shared" si="253"/>
        <v>46077</v>
      </c>
      <c r="E1693" s="140" t="str">
        <f t="shared" si="254"/>
        <v>danram</v>
      </c>
      <c r="F1693" s="8">
        <f>IFERROR(AVERAGE(Data[[#This Row],[alappatjoe]:[currydestroyer27]]), "TBD")</f>
        <v>2.6</v>
      </c>
      <c r="G1693" s="177">
        <f>IFERROR(_xlfn.STDEV.P(Data[[#This Row],[alappatjoe]:[currydestroyer27]]), "TBD")</f>
        <v>1.3564659966250536</v>
      </c>
      <c r="H1693" s="135" t="s">
        <v>3281</v>
      </c>
      <c r="I1693" s="229" t="s">
        <v>1736</v>
      </c>
      <c r="J1693" s="3">
        <v>1</v>
      </c>
      <c r="K1693" s="3">
        <v>1</v>
      </c>
      <c r="L1693" s="3">
        <v>3</v>
      </c>
      <c r="M1693" s="3">
        <v>4</v>
      </c>
      <c r="N1693" s="3">
        <v>4</v>
      </c>
      <c r="O1693" s="238"/>
      <c r="P1693" s="93"/>
      <c r="Q1693" s="93"/>
      <c r="R16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93" s="93">
        <v>1</v>
      </c>
      <c r="T1693" s="93" t="b">
        <f>Data[[#This Row],[Day Rank]]=Data[[#This Row],[W Rank]]</f>
        <v>0</v>
      </c>
      <c r="U1693" s="323"/>
    </row>
    <row r="1694" spans="1:21" ht="15" customHeight="1">
      <c r="A1694" s="326"/>
      <c r="B1694" s="326"/>
      <c r="C1694" s="339"/>
      <c r="D1694" s="81">
        <f t="shared" si="255"/>
        <v>46077</v>
      </c>
      <c r="E1694" s="140" t="str">
        <f t="shared" si="256"/>
        <v>loganworsdell</v>
      </c>
      <c r="F1694" s="8">
        <f>IFERROR(AVERAGE(Data[[#This Row],[alappatjoe]:[currydestroyer27]]), "TBD")</f>
        <v>2.6</v>
      </c>
      <c r="G1694" s="177">
        <f>IFERROR(_xlfn.STDEV.P(Data[[#This Row],[alappatjoe]:[currydestroyer27]]), "TBD")</f>
        <v>0.8</v>
      </c>
      <c r="H1694" s="135" t="s">
        <v>3282</v>
      </c>
      <c r="I1694" s="229" t="s">
        <v>3283</v>
      </c>
      <c r="J1694" s="3">
        <v>3</v>
      </c>
      <c r="K1694" s="3">
        <v>3</v>
      </c>
      <c r="L1694" s="3">
        <v>1</v>
      </c>
      <c r="M1694" s="3">
        <v>3</v>
      </c>
      <c r="N1694" s="3">
        <v>3</v>
      </c>
      <c r="O1694" s="238">
        <v>431150</v>
      </c>
      <c r="P1694" s="93"/>
      <c r="Q1694" s="93"/>
      <c r="R16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94" s="93">
        <v>1</v>
      </c>
      <c r="T1694" s="93" t="b">
        <f>Data[[#This Row],[Day Rank]]=Data[[#This Row],[W Rank]]</f>
        <v>1</v>
      </c>
      <c r="U1694" s="323"/>
    </row>
    <row r="1695" spans="1:21" ht="15" customHeight="1">
      <c r="A1695" s="326"/>
      <c r="B1695" s="326"/>
      <c r="C1695" s="339"/>
      <c r="D1695" s="81">
        <f t="shared" si="257"/>
        <v>46077</v>
      </c>
      <c r="E1695" s="140" t="str">
        <f t="shared" si="258"/>
        <v>samuelbattista</v>
      </c>
      <c r="F1695" s="8">
        <f>IFERROR(AVERAGE(Data[[#This Row],[alappatjoe]:[currydestroyer27]]), "TBD")</f>
        <v>4</v>
      </c>
      <c r="G1695" s="177">
        <f>IFERROR(_xlfn.STDEV.P(Data[[#This Row],[alappatjoe]:[currydestroyer27]]), "TBD")</f>
        <v>1.5491933384829668</v>
      </c>
      <c r="H1695" s="135" t="s">
        <v>3284</v>
      </c>
      <c r="I1695" s="229" t="s">
        <v>938</v>
      </c>
      <c r="J1695" s="3">
        <v>5</v>
      </c>
      <c r="K1695" s="3">
        <v>5</v>
      </c>
      <c r="L1695" s="3">
        <v>4</v>
      </c>
      <c r="M1695" s="3">
        <v>1</v>
      </c>
      <c r="N1695" s="3">
        <v>5</v>
      </c>
      <c r="O1695" s="238"/>
      <c r="P1695" s="93"/>
      <c r="Q1695" s="93"/>
      <c r="R16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695" s="93">
        <v>1</v>
      </c>
      <c r="T1695" s="93" t="b">
        <f>Data[[#This Row],[Day Rank]]=Data[[#This Row],[W Rank]]</f>
        <v>0</v>
      </c>
      <c r="U1695" s="323"/>
    </row>
    <row r="1696" spans="1:21" ht="15" customHeight="1" thickBot="1">
      <c r="A1696" s="327"/>
      <c r="B1696" s="327"/>
      <c r="C1696" s="340"/>
      <c r="D1696" s="164">
        <f t="shared" si="259"/>
        <v>46077</v>
      </c>
      <c r="E1696" s="215" t="str">
        <f t="shared" si="260"/>
        <v>currydestroyer27</v>
      </c>
      <c r="F1696" s="165">
        <f>IFERROR(AVERAGE(Data[[#This Row],[alappatjoe]:[currydestroyer27]]), "TBD")</f>
        <v>2.8</v>
      </c>
      <c r="G1696" s="256">
        <f>IFERROR(_xlfn.STDEV.P(Data[[#This Row],[alappatjoe]:[currydestroyer27]]), "TBD")</f>
        <v>1.4696938456699069</v>
      </c>
      <c r="H1696" s="227" t="s">
        <v>3285</v>
      </c>
      <c r="I1696" s="257" t="s">
        <v>3286</v>
      </c>
      <c r="J1696" s="166">
        <v>4</v>
      </c>
      <c r="K1696" s="166">
        <v>2</v>
      </c>
      <c r="L1696" s="166">
        <v>5</v>
      </c>
      <c r="M1696" s="166">
        <v>2</v>
      </c>
      <c r="N1696" s="166">
        <v>1</v>
      </c>
      <c r="O1696" s="242">
        <v>18676</v>
      </c>
      <c r="P1696" s="167" t="s">
        <v>76</v>
      </c>
      <c r="Q1696" s="167" t="s">
        <v>99</v>
      </c>
      <c r="R169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96" s="167">
        <v>1</v>
      </c>
      <c r="T1696" s="167" t="b">
        <f>Data[[#This Row],[Day Rank]]=Data[[#This Row],[W Rank]]</f>
        <v>0</v>
      </c>
      <c r="U1696" s="324"/>
    </row>
    <row r="1697" spans="1:21" ht="15" customHeight="1">
      <c r="A1697" s="325">
        <v>46078</v>
      </c>
      <c r="B1697" s="325"/>
      <c r="C1697" s="328" t="str" cm="1">
        <f t="array" ref="C1697">_xlfn.LET(_xlpm.matches, _xlfn._xlws.FILTER(Data[Poster], (Data[Date]=A1697)*(Data[Winner]=TRUE)), IF(ROWS(_xlpm.matches)&gt;1, "TIE", _xlpm.matches))</f>
        <v>danram</v>
      </c>
      <c r="D1697" s="147">
        <f t="shared" ref="D1697" si="262">A1697</f>
        <v>46078</v>
      </c>
      <c r="E1697" s="181" t="str">
        <f t="shared" si="252"/>
        <v>alappatjoe</v>
      </c>
      <c r="F1697" s="9">
        <f>IFERROR(AVERAGE(Data[[#This Row],[alappatjoe]:[currydestroyer27]]), "TBD")</f>
        <v>3</v>
      </c>
      <c r="G1697" s="178">
        <f>IFERROR(_xlfn.STDEV.P(Data[[#This Row],[alappatjoe]:[currydestroyer27]]), "TBD")</f>
        <v>1.0954451150103321</v>
      </c>
      <c r="H1697" s="160" t="s">
        <v>3287</v>
      </c>
      <c r="I1697" s="186" t="s">
        <v>3288</v>
      </c>
      <c r="J1697" s="3">
        <v>1</v>
      </c>
      <c r="K1697" s="3">
        <v>3</v>
      </c>
      <c r="L1697" s="3">
        <v>4</v>
      </c>
      <c r="M1697" s="3">
        <v>4</v>
      </c>
      <c r="N1697" s="3">
        <v>3</v>
      </c>
      <c r="O1697" s="238">
        <v>899366</v>
      </c>
      <c r="P1697" s="93"/>
      <c r="Q1697" s="93"/>
      <c r="R16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697" s="93">
        <v>1</v>
      </c>
      <c r="T1697" s="93" t="b">
        <f>Data[[#This Row],[Day Rank]]=Data[[#This Row],[W Rank]]</f>
        <v>0</v>
      </c>
      <c r="U1697" s="322"/>
    </row>
    <row r="1698" spans="1:21" ht="15" customHeight="1">
      <c r="A1698" s="326"/>
      <c r="B1698" s="326"/>
      <c r="C1698" s="329"/>
      <c r="D1698" s="81">
        <f t="shared" si="253"/>
        <v>46078</v>
      </c>
      <c r="E1698" s="140" t="str">
        <f t="shared" si="254"/>
        <v>danram</v>
      </c>
      <c r="F1698" s="8">
        <f>IFERROR(AVERAGE(Data[[#This Row],[alappatjoe]:[currydestroyer27]]), "TBD")</f>
        <v>2.4</v>
      </c>
      <c r="G1698" s="177">
        <f>IFERROR(_xlfn.STDEV.P(Data[[#This Row],[alappatjoe]:[currydestroyer27]]), "TBD")</f>
        <v>1.7435595774162693</v>
      </c>
      <c r="H1698" s="135" t="s">
        <v>3289</v>
      </c>
      <c r="I1698" s="229" t="s">
        <v>3290</v>
      </c>
      <c r="J1698" s="3">
        <v>5</v>
      </c>
      <c r="K1698" s="3">
        <v>1</v>
      </c>
      <c r="L1698" s="3">
        <v>1</v>
      </c>
      <c r="M1698" s="3">
        <v>1</v>
      </c>
      <c r="N1698" s="3">
        <v>4</v>
      </c>
      <c r="O1698" s="238"/>
      <c r="P1698" s="93"/>
      <c r="Q1698" s="93"/>
      <c r="R16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698" s="93">
        <v>1</v>
      </c>
      <c r="T1698" s="93" t="b">
        <f>Data[[#This Row],[Day Rank]]=Data[[#This Row],[W Rank]]</f>
        <v>1</v>
      </c>
      <c r="U1698" s="323"/>
    </row>
    <row r="1699" spans="1:21" ht="15" customHeight="1">
      <c r="A1699" s="326"/>
      <c r="B1699" s="326"/>
      <c r="C1699" s="329"/>
      <c r="D1699" s="81">
        <f t="shared" si="255"/>
        <v>46078</v>
      </c>
      <c r="E1699" s="140" t="str">
        <f t="shared" si="256"/>
        <v>loganworsdell</v>
      </c>
      <c r="F1699" s="8">
        <f>IFERROR(AVERAGE(Data[[#This Row],[alappatjoe]:[currydestroyer27]]), "TBD")</f>
        <v>2.8</v>
      </c>
      <c r="G1699" s="177">
        <f>IFERROR(_xlfn.STDEV.P(Data[[#This Row],[alappatjoe]:[currydestroyer27]]), "TBD")</f>
        <v>1.1661903789690602</v>
      </c>
      <c r="H1699" s="135" t="s">
        <v>3291</v>
      </c>
      <c r="I1699" s="229" t="s">
        <v>3292</v>
      </c>
      <c r="J1699" s="3">
        <v>4</v>
      </c>
      <c r="K1699" s="3">
        <v>4</v>
      </c>
      <c r="L1699" s="3">
        <v>2</v>
      </c>
      <c r="M1699" s="3">
        <v>3</v>
      </c>
      <c r="N1699" s="3">
        <v>1</v>
      </c>
      <c r="O1699" s="238">
        <v>3977554</v>
      </c>
      <c r="P1699" s="93"/>
      <c r="Q1699" s="93"/>
      <c r="R16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699" s="93">
        <v>1</v>
      </c>
      <c r="T1699" s="93" t="b">
        <f>Data[[#This Row],[Day Rank]]=Data[[#This Row],[W Rank]]</f>
        <v>0</v>
      </c>
      <c r="U1699" s="323"/>
    </row>
    <row r="1700" spans="1:21" ht="15" customHeight="1">
      <c r="A1700" s="326"/>
      <c r="B1700" s="326"/>
      <c r="C1700" s="329"/>
      <c r="D1700" s="81">
        <f t="shared" si="257"/>
        <v>46078</v>
      </c>
      <c r="E1700" s="140" t="str">
        <f t="shared" si="258"/>
        <v>samuelbattista</v>
      </c>
      <c r="F1700" s="8">
        <f>IFERROR(AVERAGE(Data[[#This Row],[alappatjoe]:[currydestroyer27]]), "TBD")</f>
        <v>3</v>
      </c>
      <c r="G1700" s="177">
        <f>IFERROR(_xlfn.STDEV.P(Data[[#This Row],[alappatjoe]:[currydestroyer27]]), "TBD")</f>
        <v>1.0954451150103321</v>
      </c>
      <c r="H1700" s="135" t="s">
        <v>3293</v>
      </c>
      <c r="I1700" s="229" t="s">
        <v>3294</v>
      </c>
      <c r="J1700" s="3">
        <v>3</v>
      </c>
      <c r="K1700" s="3">
        <v>2</v>
      </c>
      <c r="L1700" s="3">
        <v>3</v>
      </c>
      <c r="M1700" s="3">
        <v>2</v>
      </c>
      <c r="N1700" s="3">
        <v>5</v>
      </c>
      <c r="O1700" s="238"/>
      <c r="P1700" s="93"/>
      <c r="Q1700" s="93"/>
      <c r="R17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00" s="93">
        <v>1</v>
      </c>
      <c r="T1700" s="93" t="b">
        <f>Data[[#This Row],[Day Rank]]=Data[[#This Row],[W Rank]]</f>
        <v>0</v>
      </c>
      <c r="U1700" s="323"/>
    </row>
    <row r="1701" spans="1:21" ht="15" customHeight="1" thickBot="1">
      <c r="A1701" s="327"/>
      <c r="B1701" s="327"/>
      <c r="C1701" s="330"/>
      <c r="D1701" s="164">
        <f t="shared" si="259"/>
        <v>46078</v>
      </c>
      <c r="E1701" s="215" t="str">
        <f t="shared" si="260"/>
        <v>currydestroyer27</v>
      </c>
      <c r="F1701" s="165">
        <f>IFERROR(AVERAGE(Data[[#This Row],[alappatjoe]:[currydestroyer27]]), "TBD")</f>
        <v>3.8</v>
      </c>
      <c r="G1701" s="256">
        <f>IFERROR(_xlfn.STDEV.P(Data[[#This Row],[alappatjoe]:[currydestroyer27]]), "TBD")</f>
        <v>1.4696938456699069</v>
      </c>
      <c r="H1701" s="227" t="s">
        <v>3295</v>
      </c>
      <c r="I1701" s="257" t="s">
        <v>3296</v>
      </c>
      <c r="J1701" s="166">
        <v>2</v>
      </c>
      <c r="K1701" s="166">
        <v>5</v>
      </c>
      <c r="L1701" s="166">
        <v>5</v>
      </c>
      <c r="M1701" s="166">
        <v>5</v>
      </c>
      <c r="N1701" s="166">
        <v>2</v>
      </c>
      <c r="O1701" s="242">
        <v>6523283</v>
      </c>
      <c r="P1701" s="167"/>
      <c r="Q1701" s="167"/>
      <c r="R170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01" s="167">
        <v>1</v>
      </c>
      <c r="T1701" s="167" t="b">
        <f>Data[[#This Row],[Day Rank]]=Data[[#This Row],[W Rank]]</f>
        <v>0</v>
      </c>
      <c r="U1701" s="324"/>
    </row>
    <row r="1702" spans="1:21" ht="15" customHeight="1">
      <c r="A1702" s="325">
        <v>46079</v>
      </c>
      <c r="B1702" s="325"/>
      <c r="C1702" s="338" t="str" cm="1">
        <f t="array" ref="C1702">_xlfn.LET(_xlpm.matches, _xlfn._xlws.FILTER(Data[Poster], (Data[Date]=A1702)*(Data[Winner]=TRUE)), IF(ROWS(_xlpm.matches)&gt;1, "TIE", _xlpm.matches))</f>
        <v>alappatjoe</v>
      </c>
      <c r="D1702" s="147">
        <f t="shared" ref="D1702" si="263">A1702</f>
        <v>46079</v>
      </c>
      <c r="E1702" s="181" t="str">
        <f t="shared" si="252"/>
        <v>alappatjoe</v>
      </c>
      <c r="F1702" s="9">
        <f>IFERROR(AVERAGE(Data[[#This Row],[alappatjoe]:[currydestroyer27]]), "TBD")</f>
        <v>2.2000000000000002</v>
      </c>
      <c r="G1702" s="178">
        <f>IFERROR(_xlfn.STDEV.P(Data[[#This Row],[alappatjoe]:[currydestroyer27]]), "TBD")</f>
        <v>1.4696938456699069</v>
      </c>
      <c r="H1702" s="160" t="s">
        <v>3297</v>
      </c>
      <c r="I1702" s="186" t="s">
        <v>3298</v>
      </c>
      <c r="J1702" s="3">
        <v>1</v>
      </c>
      <c r="K1702" s="3">
        <v>1</v>
      </c>
      <c r="L1702" s="3">
        <v>2</v>
      </c>
      <c r="M1702" s="3">
        <v>2</v>
      </c>
      <c r="N1702" s="3">
        <v>5</v>
      </c>
      <c r="O1702" s="238"/>
      <c r="P1702" s="93"/>
      <c r="Q1702" s="93"/>
      <c r="R17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02" s="93">
        <v>1</v>
      </c>
      <c r="T1702" s="93" t="b">
        <f>Data[[#This Row],[Day Rank]]=Data[[#This Row],[W Rank]]</f>
        <v>1</v>
      </c>
      <c r="U1702" s="322" t="s">
        <v>3299</v>
      </c>
    </row>
    <row r="1703" spans="1:21" ht="15" customHeight="1">
      <c r="A1703" s="326"/>
      <c r="B1703" s="326"/>
      <c r="C1703" s="339"/>
      <c r="D1703" s="81">
        <f t="shared" si="253"/>
        <v>46079</v>
      </c>
      <c r="E1703" s="140" t="str">
        <f t="shared" si="254"/>
        <v>danram</v>
      </c>
      <c r="F1703" s="8">
        <f>IFERROR(AVERAGE(Data[[#This Row],[alappatjoe]:[currydestroyer27]]), "TBD")</f>
        <v>3.4</v>
      </c>
      <c r="G1703" s="177">
        <f>IFERROR(_xlfn.STDEV.P(Data[[#This Row],[alappatjoe]:[currydestroyer27]]), "TBD")</f>
        <v>0.8</v>
      </c>
      <c r="H1703" s="135" t="s">
        <v>3174</v>
      </c>
      <c r="I1703" s="229" t="s">
        <v>616</v>
      </c>
      <c r="J1703" s="3">
        <v>4</v>
      </c>
      <c r="K1703" s="3">
        <v>2</v>
      </c>
      <c r="L1703" s="3">
        <v>4</v>
      </c>
      <c r="M1703" s="3">
        <v>4</v>
      </c>
      <c r="N1703" s="3">
        <v>3</v>
      </c>
      <c r="O1703" s="238"/>
      <c r="P1703" s="93"/>
      <c r="Q1703" s="93"/>
      <c r="R17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03" s="93">
        <v>1</v>
      </c>
      <c r="T1703" s="93" t="b">
        <f>Data[[#This Row],[Day Rank]]=Data[[#This Row],[W Rank]]</f>
        <v>0</v>
      </c>
      <c r="U1703" s="323"/>
    </row>
    <row r="1704" spans="1:21" ht="15" customHeight="1">
      <c r="A1704" s="326"/>
      <c r="B1704" s="326"/>
      <c r="C1704" s="339"/>
      <c r="D1704" s="81">
        <f t="shared" si="255"/>
        <v>46079</v>
      </c>
      <c r="E1704" s="140" t="str">
        <f t="shared" si="256"/>
        <v>loganworsdell</v>
      </c>
      <c r="F1704" s="8">
        <f>IFERROR(AVERAGE(Data[[#This Row],[alappatjoe]:[currydestroyer27]]), "TBD")</f>
        <v>2.8</v>
      </c>
      <c r="G1704" s="177">
        <f>IFERROR(_xlfn.STDEV.P(Data[[#This Row],[alappatjoe]:[currydestroyer27]]), "TBD")</f>
        <v>1.3266499161421599</v>
      </c>
      <c r="H1704" s="135" t="s">
        <v>3300</v>
      </c>
      <c r="I1704" s="229" t="s">
        <v>3301</v>
      </c>
      <c r="J1704" s="3">
        <v>5</v>
      </c>
      <c r="K1704" s="3">
        <v>3</v>
      </c>
      <c r="L1704" s="3">
        <v>1</v>
      </c>
      <c r="M1704" s="3">
        <v>3</v>
      </c>
      <c r="N1704" s="3">
        <v>2</v>
      </c>
      <c r="O1704" s="238">
        <v>3084581</v>
      </c>
      <c r="P1704" s="93"/>
      <c r="Q1704" s="93"/>
      <c r="R17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04" s="93">
        <v>1</v>
      </c>
      <c r="T1704" s="93" t="b">
        <f>Data[[#This Row],[Day Rank]]=Data[[#This Row],[W Rank]]</f>
        <v>0</v>
      </c>
      <c r="U1704" s="323"/>
    </row>
    <row r="1705" spans="1:21" ht="15" customHeight="1">
      <c r="A1705" s="326"/>
      <c r="B1705" s="326"/>
      <c r="C1705" s="339"/>
      <c r="D1705" s="81">
        <f t="shared" si="257"/>
        <v>46079</v>
      </c>
      <c r="E1705" s="140" t="str">
        <f t="shared" si="258"/>
        <v>samuelbattista</v>
      </c>
      <c r="F1705" s="8">
        <f>IFERROR(AVERAGE(Data[[#This Row],[alappatjoe]:[currydestroyer27]]), "TBD")</f>
        <v>3.2</v>
      </c>
      <c r="G1705" s="177">
        <f>IFERROR(_xlfn.STDEV.P(Data[[#This Row],[alappatjoe]:[currydestroyer27]]), "TBD")</f>
        <v>1.3266499161421599</v>
      </c>
      <c r="H1705" s="135" t="s">
        <v>3302</v>
      </c>
      <c r="I1705" s="229" t="s">
        <v>1543</v>
      </c>
      <c r="J1705" s="3">
        <v>3</v>
      </c>
      <c r="K1705" s="3">
        <v>5</v>
      </c>
      <c r="L1705" s="3">
        <v>3</v>
      </c>
      <c r="M1705" s="3">
        <v>1</v>
      </c>
      <c r="N1705" s="3">
        <v>4</v>
      </c>
      <c r="O1705" s="238"/>
      <c r="P1705" s="93"/>
      <c r="Q1705" s="93"/>
      <c r="R17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05" s="93">
        <v>1</v>
      </c>
      <c r="T1705" s="93" t="b">
        <f>Data[[#This Row],[Day Rank]]=Data[[#This Row],[W Rank]]</f>
        <v>0</v>
      </c>
      <c r="U1705" s="323"/>
    </row>
    <row r="1706" spans="1:21" ht="15" customHeight="1" thickBot="1">
      <c r="A1706" s="327"/>
      <c r="B1706" s="327"/>
      <c r="C1706" s="340"/>
      <c r="D1706" s="164">
        <f t="shared" si="259"/>
        <v>46079</v>
      </c>
      <c r="E1706" s="215" t="str">
        <f t="shared" si="260"/>
        <v>currydestroyer27</v>
      </c>
      <c r="F1706" s="165">
        <f>IFERROR(AVERAGE(Data[[#This Row],[alappatjoe]:[currydestroyer27]]), "TBD")</f>
        <v>3.4</v>
      </c>
      <c r="G1706" s="256">
        <f>IFERROR(_xlfn.STDEV.P(Data[[#This Row],[alappatjoe]:[currydestroyer27]]), "TBD")</f>
        <v>1.6248076809271921</v>
      </c>
      <c r="H1706" s="227" t="s">
        <v>3303</v>
      </c>
      <c r="I1706" s="257" t="s">
        <v>3304</v>
      </c>
      <c r="J1706" s="166">
        <v>2</v>
      </c>
      <c r="K1706" s="166">
        <v>4</v>
      </c>
      <c r="L1706" s="166">
        <v>5</v>
      </c>
      <c r="M1706" s="166">
        <v>5</v>
      </c>
      <c r="N1706" s="166">
        <v>1</v>
      </c>
      <c r="O1706" s="242">
        <v>51437088</v>
      </c>
      <c r="P1706" s="167" t="s">
        <v>76</v>
      </c>
      <c r="Q1706" s="167" t="s">
        <v>96</v>
      </c>
      <c r="R170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06" s="167">
        <v>1</v>
      </c>
      <c r="T1706" s="167" t="b">
        <f>Data[[#This Row],[Day Rank]]=Data[[#This Row],[W Rank]]</f>
        <v>0</v>
      </c>
      <c r="U1706" s="324"/>
    </row>
    <row r="1707" spans="1:21" ht="15" customHeight="1">
      <c r="A1707" s="325">
        <v>46083</v>
      </c>
      <c r="B1707" s="325"/>
      <c r="C1707" s="328" t="str" cm="1">
        <f t="array" ref="C1707">_xlfn.LET(_xlpm.matches, _xlfn._xlws.FILTER(Data[Poster], (Data[Date]=A1707)*(Data[Winner]=TRUE)), IF(ROWS(_xlpm.matches)&gt;1, "TIE", _xlpm.matches))</f>
        <v>loganworsdell</v>
      </c>
      <c r="D1707" s="147">
        <f t="shared" ref="D1707" si="264">A1707</f>
        <v>46083</v>
      </c>
      <c r="E1707" s="181" t="str">
        <f t="shared" si="252"/>
        <v>alappatjoe</v>
      </c>
      <c r="F1707" s="9">
        <f>IFERROR(AVERAGE(Data[[#This Row],[alappatjoe]:[currydestroyer27]]), "TBD")</f>
        <v>4.4000000000000004</v>
      </c>
      <c r="G1707" s="178">
        <f>IFERROR(_xlfn.STDEV.P(Data[[#This Row],[alappatjoe]:[currydestroyer27]]), "TBD")</f>
        <v>0.8</v>
      </c>
      <c r="H1707" s="160" t="s">
        <v>1511</v>
      </c>
      <c r="I1707" s="186" t="s">
        <v>936</v>
      </c>
      <c r="J1707" s="3">
        <v>3</v>
      </c>
      <c r="K1707" s="3">
        <v>5</v>
      </c>
      <c r="L1707" s="3">
        <v>5</v>
      </c>
      <c r="M1707" s="3">
        <v>4</v>
      </c>
      <c r="N1707" s="3">
        <v>5</v>
      </c>
      <c r="O1707" s="238">
        <v>500399</v>
      </c>
      <c r="P1707" s="93"/>
      <c r="Q1707" s="93"/>
      <c r="R17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07" s="93">
        <v>1</v>
      </c>
      <c r="T1707" s="93" t="b">
        <f>Data[[#This Row],[Day Rank]]=Data[[#This Row],[W Rank]]</f>
        <v>0</v>
      </c>
      <c r="U1707" s="322"/>
    </row>
    <row r="1708" spans="1:21" ht="15" customHeight="1">
      <c r="A1708" s="326"/>
      <c r="B1708" s="326"/>
      <c r="C1708" s="329"/>
      <c r="D1708" s="81">
        <f t="shared" si="253"/>
        <v>46083</v>
      </c>
      <c r="E1708" s="140" t="str">
        <f t="shared" si="254"/>
        <v>danram</v>
      </c>
      <c r="F1708" s="8">
        <f>IFERROR(AVERAGE(Data[[#This Row],[alappatjoe]:[currydestroyer27]]), "TBD")</f>
        <v>3.2</v>
      </c>
      <c r="G1708" s="177">
        <f>IFERROR(_xlfn.STDEV.P(Data[[#This Row],[alappatjoe]:[currydestroyer27]]), "TBD")</f>
        <v>1.3266499161421599</v>
      </c>
      <c r="H1708" s="135" t="s">
        <v>3305</v>
      </c>
      <c r="I1708" s="229" t="s">
        <v>1509</v>
      </c>
      <c r="J1708" s="3">
        <v>5</v>
      </c>
      <c r="K1708" s="3">
        <v>4</v>
      </c>
      <c r="L1708" s="3">
        <v>3</v>
      </c>
      <c r="M1708" s="3">
        <v>1</v>
      </c>
      <c r="N1708" s="3">
        <v>3</v>
      </c>
      <c r="O1708" s="238"/>
      <c r="P1708" s="93"/>
      <c r="Q1708" s="93"/>
      <c r="R17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08" s="93">
        <v>1</v>
      </c>
      <c r="T1708" s="93" t="b">
        <f>Data[[#This Row],[Day Rank]]=Data[[#This Row],[W Rank]]</f>
        <v>0</v>
      </c>
      <c r="U1708" s="323"/>
    </row>
    <row r="1709" spans="1:21" ht="15" customHeight="1">
      <c r="A1709" s="326"/>
      <c r="B1709" s="326"/>
      <c r="C1709" s="329"/>
      <c r="D1709" s="81">
        <f t="shared" si="255"/>
        <v>46083</v>
      </c>
      <c r="E1709" s="140" t="str">
        <f t="shared" si="256"/>
        <v>loganworsdell</v>
      </c>
      <c r="F1709" s="8">
        <f>IFERROR(AVERAGE(Data[[#This Row],[alappatjoe]:[currydestroyer27]]), "TBD")</f>
        <v>1.8</v>
      </c>
      <c r="G1709" s="177">
        <f>IFERROR(_xlfn.STDEV.P(Data[[#This Row],[alappatjoe]:[currydestroyer27]]), "TBD")</f>
        <v>0.74833147735478833</v>
      </c>
      <c r="H1709" s="135" t="s">
        <v>3306</v>
      </c>
      <c r="I1709" s="229" t="s">
        <v>3307</v>
      </c>
      <c r="J1709" s="3">
        <v>2</v>
      </c>
      <c r="K1709" s="3">
        <v>1</v>
      </c>
      <c r="L1709" s="3">
        <v>1</v>
      </c>
      <c r="M1709" s="3">
        <v>3</v>
      </c>
      <c r="N1709" s="3">
        <v>2</v>
      </c>
      <c r="O1709" s="238">
        <v>615686798</v>
      </c>
      <c r="P1709" s="93"/>
      <c r="Q1709" s="93"/>
      <c r="R17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09" s="93">
        <v>1</v>
      </c>
      <c r="T1709" s="93" t="b">
        <f>Data[[#This Row],[Day Rank]]=Data[[#This Row],[W Rank]]</f>
        <v>1</v>
      </c>
      <c r="U1709" s="323"/>
    </row>
    <row r="1710" spans="1:21" ht="15" customHeight="1">
      <c r="A1710" s="326"/>
      <c r="B1710" s="326"/>
      <c r="C1710" s="329"/>
      <c r="D1710" s="81">
        <f t="shared" si="257"/>
        <v>46083</v>
      </c>
      <c r="E1710" s="140" t="str">
        <f t="shared" si="258"/>
        <v>samuelbattista</v>
      </c>
      <c r="F1710" s="8">
        <f>IFERROR(AVERAGE(Data[[#This Row],[alappatjoe]:[currydestroyer27]]), "TBD")</f>
        <v>2.8</v>
      </c>
      <c r="G1710" s="177">
        <f>IFERROR(_xlfn.STDEV.P(Data[[#This Row],[alappatjoe]:[currydestroyer27]]), "TBD")</f>
        <v>0.9797958971132712</v>
      </c>
      <c r="H1710" s="135" t="s">
        <v>3308</v>
      </c>
      <c r="I1710" s="229" t="s">
        <v>3294</v>
      </c>
      <c r="J1710" s="3">
        <v>4</v>
      </c>
      <c r="K1710" s="3">
        <v>2</v>
      </c>
      <c r="L1710" s="3">
        <v>2</v>
      </c>
      <c r="M1710" s="3">
        <v>2</v>
      </c>
      <c r="N1710" s="3">
        <v>4</v>
      </c>
      <c r="O1710" s="238"/>
      <c r="P1710" s="93"/>
      <c r="Q1710" s="93"/>
      <c r="R17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10" s="93">
        <v>1</v>
      </c>
      <c r="T1710" s="93" t="b">
        <f>Data[[#This Row],[Day Rank]]=Data[[#This Row],[W Rank]]</f>
        <v>0</v>
      </c>
      <c r="U1710" s="323"/>
    </row>
    <row r="1711" spans="1:21" ht="15" customHeight="1" thickBot="1">
      <c r="A1711" s="327"/>
      <c r="B1711" s="327"/>
      <c r="C1711" s="330"/>
      <c r="D1711" s="164">
        <f t="shared" si="259"/>
        <v>46083</v>
      </c>
      <c r="E1711" s="215" t="str">
        <f t="shared" si="260"/>
        <v>currydestroyer27</v>
      </c>
      <c r="F1711" s="165">
        <f>IFERROR(AVERAGE(Data[[#This Row],[alappatjoe]:[currydestroyer27]]), "TBD")</f>
        <v>2.8</v>
      </c>
      <c r="G1711" s="256">
        <f>IFERROR(_xlfn.STDEV.P(Data[[#This Row],[alappatjoe]:[currydestroyer27]]), "TBD")</f>
        <v>1.6</v>
      </c>
      <c r="H1711" s="227" t="s">
        <v>3309</v>
      </c>
      <c r="I1711" s="257" t="s">
        <v>1736</v>
      </c>
      <c r="J1711" s="166">
        <v>1</v>
      </c>
      <c r="K1711" s="166">
        <v>3</v>
      </c>
      <c r="L1711" s="166">
        <v>4</v>
      </c>
      <c r="M1711" s="166">
        <v>5</v>
      </c>
      <c r="N1711" s="166">
        <v>1</v>
      </c>
      <c r="O1711" s="242">
        <v>8605116</v>
      </c>
      <c r="P1711" s="167"/>
      <c r="Q1711" s="167"/>
      <c r="R17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11" s="167">
        <v>1</v>
      </c>
      <c r="T1711" s="167" t="b">
        <f>Data[[#This Row],[Day Rank]]=Data[[#This Row],[W Rank]]</f>
        <v>0</v>
      </c>
      <c r="U1711" s="324"/>
    </row>
    <row r="1712" spans="1:21" ht="15" customHeight="1">
      <c r="A1712" s="325">
        <v>46084</v>
      </c>
      <c r="B1712" s="325"/>
      <c r="C1712" s="338" t="str" cm="1">
        <f t="array" ref="C1712">_xlfn.LET(_xlpm.matches, _xlfn._xlws.FILTER(Data[Poster], (Data[Date]=A1712)*(Data[Winner]=TRUE)), IF(ROWS(_xlpm.matches)&gt;1, "TIE", _xlpm.matches))</f>
        <v>currydestroyer27</v>
      </c>
      <c r="D1712" s="147">
        <f t="shared" ref="D1712" si="265">A1712</f>
        <v>46084</v>
      </c>
      <c r="E1712" s="181" t="str">
        <f t="shared" si="252"/>
        <v>alappatjoe</v>
      </c>
      <c r="F1712" s="9">
        <f>IFERROR(AVERAGE(Data[[#This Row],[alappatjoe]:[currydestroyer27]]), "TBD")</f>
        <v>4.2</v>
      </c>
      <c r="G1712" s="178">
        <f>IFERROR(_xlfn.STDEV.P(Data[[#This Row],[alappatjoe]:[currydestroyer27]]), "TBD")</f>
        <v>1.6</v>
      </c>
      <c r="H1712" s="160" t="s">
        <v>3310</v>
      </c>
      <c r="I1712" s="186" t="s">
        <v>3311</v>
      </c>
      <c r="J1712" s="3">
        <v>1</v>
      </c>
      <c r="K1712" s="3">
        <v>5</v>
      </c>
      <c r="L1712" s="3">
        <v>5</v>
      </c>
      <c r="M1712" s="3">
        <v>5</v>
      </c>
      <c r="N1712" s="3">
        <v>5</v>
      </c>
      <c r="O1712" s="238">
        <v>200272</v>
      </c>
      <c r="P1712" s="93"/>
      <c r="Q1712" s="93"/>
      <c r="R17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12" s="93">
        <v>1</v>
      </c>
      <c r="T1712" s="93" t="b">
        <f>Data[[#This Row],[Day Rank]]=Data[[#This Row],[W Rank]]</f>
        <v>0</v>
      </c>
      <c r="U1712" s="322"/>
    </row>
    <row r="1713" spans="1:21" ht="15" customHeight="1">
      <c r="A1713" s="326"/>
      <c r="B1713" s="326"/>
      <c r="C1713" s="339"/>
      <c r="D1713" s="81">
        <f t="shared" si="253"/>
        <v>46084</v>
      </c>
      <c r="E1713" s="140" t="str">
        <f t="shared" si="254"/>
        <v>danram</v>
      </c>
      <c r="F1713" s="8">
        <f>IFERROR(AVERAGE(Data[[#This Row],[alappatjoe]:[currydestroyer27]]), "TBD")</f>
        <v>2.8</v>
      </c>
      <c r="G1713" s="177">
        <f>IFERROR(_xlfn.STDEV.P(Data[[#This Row],[alappatjoe]:[currydestroyer27]]), "TBD")</f>
        <v>1.1661903789690602</v>
      </c>
      <c r="H1713" s="135" t="s">
        <v>3312</v>
      </c>
      <c r="I1713" s="229" t="s">
        <v>3313</v>
      </c>
      <c r="J1713" s="3">
        <v>3</v>
      </c>
      <c r="K1713" s="3">
        <v>1</v>
      </c>
      <c r="L1713" s="3">
        <v>4</v>
      </c>
      <c r="M1713" s="3">
        <v>4</v>
      </c>
      <c r="N1713" s="3">
        <v>2</v>
      </c>
      <c r="O1713" s="238"/>
      <c r="P1713" s="93"/>
      <c r="Q1713" s="93"/>
      <c r="R17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13" s="93">
        <v>1</v>
      </c>
      <c r="T1713" s="93" t="b">
        <f>Data[[#This Row],[Day Rank]]=Data[[#This Row],[W Rank]]</f>
        <v>0</v>
      </c>
      <c r="U1713" s="323"/>
    </row>
    <row r="1714" spans="1:21" ht="15" customHeight="1">
      <c r="A1714" s="326"/>
      <c r="B1714" s="326"/>
      <c r="C1714" s="339"/>
      <c r="D1714" s="81">
        <f t="shared" si="255"/>
        <v>46084</v>
      </c>
      <c r="E1714" s="140" t="str">
        <f t="shared" si="256"/>
        <v>loganworsdell</v>
      </c>
      <c r="F1714" s="8">
        <f>IFERROR(AVERAGE(Data[[#This Row],[alappatjoe]:[currydestroyer27]]), "TBD")</f>
        <v>2.8</v>
      </c>
      <c r="G1714" s="177">
        <f>IFERROR(_xlfn.STDEV.P(Data[[#This Row],[alappatjoe]:[currydestroyer27]]), "TBD")</f>
        <v>0.9797958971132712</v>
      </c>
      <c r="H1714" s="135" t="s">
        <v>3314</v>
      </c>
      <c r="I1714" s="229" t="s">
        <v>1404</v>
      </c>
      <c r="J1714" s="3">
        <v>2</v>
      </c>
      <c r="K1714" s="3">
        <v>4</v>
      </c>
      <c r="L1714" s="3">
        <v>2</v>
      </c>
      <c r="M1714" s="3">
        <v>2</v>
      </c>
      <c r="N1714" s="3">
        <v>4</v>
      </c>
      <c r="O1714" s="238">
        <v>28904515</v>
      </c>
      <c r="P1714" s="93"/>
      <c r="Q1714" s="93"/>
      <c r="R17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14" s="93">
        <v>1</v>
      </c>
      <c r="T1714" s="93" t="b">
        <f>Data[[#This Row],[Day Rank]]=Data[[#This Row],[W Rank]]</f>
        <v>0</v>
      </c>
      <c r="U1714" s="323"/>
    </row>
    <row r="1715" spans="1:21" ht="15" customHeight="1">
      <c r="A1715" s="326"/>
      <c r="B1715" s="326"/>
      <c r="C1715" s="339"/>
      <c r="D1715" s="81">
        <f t="shared" si="257"/>
        <v>46084</v>
      </c>
      <c r="E1715" s="140" t="str">
        <f t="shared" si="258"/>
        <v>samuelbattista</v>
      </c>
      <c r="F1715" s="8">
        <f>IFERROR(AVERAGE(Data[[#This Row],[alappatjoe]:[currydestroyer27]]), "TBD")</f>
        <v>3</v>
      </c>
      <c r="G1715" s="177">
        <f>IFERROR(_xlfn.STDEV.P(Data[[#This Row],[alappatjoe]:[currydestroyer27]]), "TBD")</f>
        <v>1.2649110640673518</v>
      </c>
      <c r="H1715" s="135" t="s">
        <v>3315</v>
      </c>
      <c r="I1715" s="229" t="s">
        <v>1061</v>
      </c>
      <c r="J1715" s="3">
        <v>5</v>
      </c>
      <c r="K1715" s="3">
        <v>3</v>
      </c>
      <c r="L1715" s="3">
        <v>3</v>
      </c>
      <c r="M1715" s="3">
        <v>1</v>
      </c>
      <c r="N1715" s="3">
        <v>3</v>
      </c>
      <c r="O1715" s="238"/>
      <c r="P1715" s="93"/>
      <c r="Q1715" s="93"/>
      <c r="R17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15" s="93">
        <v>1</v>
      </c>
      <c r="T1715" s="93" t="b">
        <f>Data[[#This Row],[Day Rank]]=Data[[#This Row],[W Rank]]</f>
        <v>0</v>
      </c>
      <c r="U1715" s="323"/>
    </row>
    <row r="1716" spans="1:21" ht="15" customHeight="1" thickBot="1">
      <c r="A1716" s="327"/>
      <c r="B1716" s="327"/>
      <c r="C1716" s="340"/>
      <c r="D1716" s="164">
        <f t="shared" si="259"/>
        <v>46084</v>
      </c>
      <c r="E1716" s="215" t="str">
        <f t="shared" si="260"/>
        <v>currydestroyer27</v>
      </c>
      <c r="F1716" s="165">
        <f>IFERROR(AVERAGE(Data[[#This Row],[alappatjoe]:[currydestroyer27]]), "TBD")</f>
        <v>2.2000000000000002</v>
      </c>
      <c r="G1716" s="256">
        <f>IFERROR(_xlfn.STDEV.P(Data[[#This Row],[alappatjoe]:[currydestroyer27]]), "TBD")</f>
        <v>1.1661903789690602</v>
      </c>
      <c r="H1716" s="227" t="s">
        <v>3316</v>
      </c>
      <c r="I1716" s="257" t="s">
        <v>3317</v>
      </c>
      <c r="J1716" s="166">
        <v>4</v>
      </c>
      <c r="K1716" s="166">
        <v>2</v>
      </c>
      <c r="L1716" s="166">
        <v>1</v>
      </c>
      <c r="M1716" s="166">
        <v>3</v>
      </c>
      <c r="N1716" s="166">
        <v>1</v>
      </c>
      <c r="O1716" s="242">
        <v>199894899</v>
      </c>
      <c r="P1716" s="167"/>
      <c r="Q1716" s="167"/>
      <c r="R17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16" s="167">
        <v>1</v>
      </c>
      <c r="T1716" s="167" t="b">
        <f>Data[[#This Row],[Day Rank]]=Data[[#This Row],[W Rank]]</f>
        <v>1</v>
      </c>
      <c r="U1716" s="324"/>
    </row>
    <row r="1717" spans="1:21" ht="15" customHeight="1">
      <c r="A1717" s="325">
        <v>46085</v>
      </c>
      <c r="B1717" s="325"/>
      <c r="C1717" s="328" t="str" cm="1">
        <f t="array" ref="C1717">_xlfn.LET(_xlpm.matches, _xlfn._xlws.FILTER(Data[Poster], (Data[Date]=A1717)*(Data[Winner]=TRUE)), IF(ROWS(_xlpm.matches)&gt;1, "TIE", _xlpm.matches))</f>
        <v>danram</v>
      </c>
      <c r="D1717" s="147">
        <f t="shared" ref="D1717" si="266">A1717</f>
        <v>46085</v>
      </c>
      <c r="E1717" s="181" t="str">
        <f t="shared" si="252"/>
        <v>alappatjoe</v>
      </c>
      <c r="F1717" s="9">
        <f>IFERROR(AVERAGE(Data[[#This Row],[alappatjoe]:[currydestroyer27]]), "TBD")</f>
        <v>3.2</v>
      </c>
      <c r="G1717" s="178">
        <f>IFERROR(_xlfn.STDEV.P(Data[[#This Row],[alappatjoe]:[currydestroyer27]]), "TBD")</f>
        <v>1.4696938456699069</v>
      </c>
      <c r="H1717" s="160" t="s">
        <v>3318</v>
      </c>
      <c r="I1717" s="186" t="s">
        <v>3319</v>
      </c>
      <c r="J1717" s="3">
        <v>1</v>
      </c>
      <c r="K1717" s="3">
        <v>4</v>
      </c>
      <c r="L1717" s="3">
        <v>4</v>
      </c>
      <c r="M1717" s="3">
        <v>2</v>
      </c>
      <c r="N1717" s="3">
        <v>5</v>
      </c>
      <c r="O1717" s="238">
        <v>1534730</v>
      </c>
      <c r="P1717" s="93"/>
      <c r="Q1717" s="93"/>
      <c r="R17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17" s="93">
        <v>1</v>
      </c>
      <c r="T1717" s="93" t="b">
        <f>Data[[#This Row],[Day Rank]]=Data[[#This Row],[W Rank]]</f>
        <v>0</v>
      </c>
      <c r="U1717" s="322"/>
    </row>
    <row r="1718" spans="1:21" ht="15" customHeight="1">
      <c r="A1718" s="326"/>
      <c r="B1718" s="326"/>
      <c r="C1718" s="329"/>
      <c r="D1718" s="81">
        <f t="shared" si="253"/>
        <v>46085</v>
      </c>
      <c r="E1718" s="140" t="str">
        <f t="shared" si="254"/>
        <v>danram</v>
      </c>
      <c r="F1718" s="8">
        <f>IFERROR(AVERAGE(Data[[#This Row],[alappatjoe]:[currydestroyer27]]), "TBD")</f>
        <v>2.2000000000000002</v>
      </c>
      <c r="G1718" s="177">
        <f>IFERROR(_xlfn.STDEV.P(Data[[#This Row],[alappatjoe]:[currydestroyer27]]), "TBD")</f>
        <v>0.74833147735478833</v>
      </c>
      <c r="H1718" s="135" t="s">
        <v>3320</v>
      </c>
      <c r="I1718" s="229" t="s">
        <v>1736</v>
      </c>
      <c r="J1718" s="3">
        <v>3</v>
      </c>
      <c r="K1718" s="3">
        <v>1</v>
      </c>
      <c r="L1718" s="3">
        <v>2</v>
      </c>
      <c r="M1718" s="3">
        <v>3</v>
      </c>
      <c r="N1718" s="3">
        <v>2</v>
      </c>
      <c r="O1718" s="238"/>
      <c r="P1718" s="93"/>
      <c r="Q1718" s="93"/>
      <c r="R17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18" s="93">
        <v>1</v>
      </c>
      <c r="T1718" s="93" t="b">
        <f>Data[[#This Row],[Day Rank]]=Data[[#This Row],[W Rank]]</f>
        <v>1</v>
      </c>
      <c r="U1718" s="323"/>
    </row>
    <row r="1719" spans="1:21" ht="15" customHeight="1">
      <c r="A1719" s="326"/>
      <c r="B1719" s="326"/>
      <c r="C1719" s="329"/>
      <c r="D1719" s="81">
        <f t="shared" si="255"/>
        <v>46085</v>
      </c>
      <c r="E1719" s="140" t="str">
        <f t="shared" si="256"/>
        <v>loganworsdell</v>
      </c>
      <c r="F1719" s="8">
        <f>IFERROR(AVERAGE(Data[[#This Row],[alappatjoe]:[currydestroyer27]]), "TBD")</f>
        <v>3.6</v>
      </c>
      <c r="G1719" s="177">
        <f>IFERROR(_xlfn.STDEV.P(Data[[#This Row],[alappatjoe]:[currydestroyer27]]), "TBD")</f>
        <v>0.8</v>
      </c>
      <c r="H1719" s="135" t="s">
        <v>3321</v>
      </c>
      <c r="I1719" s="229" t="s">
        <v>3322</v>
      </c>
      <c r="J1719" s="3">
        <v>5</v>
      </c>
      <c r="K1719" s="3">
        <v>3</v>
      </c>
      <c r="L1719" s="3">
        <v>3</v>
      </c>
      <c r="M1719" s="3">
        <v>4</v>
      </c>
      <c r="N1719" s="3">
        <v>3</v>
      </c>
      <c r="O1719" s="238">
        <v>1842445</v>
      </c>
      <c r="P1719" s="93"/>
      <c r="Q1719" s="93"/>
      <c r="R17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19" s="93">
        <v>1</v>
      </c>
      <c r="T1719" s="93" t="b">
        <f>Data[[#This Row],[Day Rank]]=Data[[#This Row],[W Rank]]</f>
        <v>0</v>
      </c>
      <c r="U1719" s="323"/>
    </row>
    <row r="1720" spans="1:21" ht="15" customHeight="1">
      <c r="A1720" s="326"/>
      <c r="B1720" s="326"/>
      <c r="C1720" s="329"/>
      <c r="D1720" s="81">
        <f t="shared" si="257"/>
        <v>46085</v>
      </c>
      <c r="E1720" s="140" t="str">
        <f t="shared" si="258"/>
        <v>samuelbattista</v>
      </c>
      <c r="F1720" s="8">
        <f>IFERROR(AVERAGE(Data[[#This Row],[alappatjoe]:[currydestroyer27]]), "TBD")</f>
        <v>2.4</v>
      </c>
      <c r="G1720" s="177">
        <f>IFERROR(_xlfn.STDEV.P(Data[[#This Row],[alappatjoe]:[currydestroyer27]]), "TBD")</f>
        <v>1.3564659966250536</v>
      </c>
      <c r="H1720" s="135" t="s">
        <v>3323</v>
      </c>
      <c r="I1720" s="229" t="s">
        <v>3324</v>
      </c>
      <c r="J1720" s="3">
        <v>4</v>
      </c>
      <c r="K1720" s="3">
        <v>2</v>
      </c>
      <c r="L1720" s="3">
        <v>1</v>
      </c>
      <c r="M1720" s="3">
        <v>1</v>
      </c>
      <c r="N1720" s="3">
        <v>4</v>
      </c>
      <c r="O1720" s="238"/>
      <c r="P1720" s="93"/>
      <c r="Q1720" s="93"/>
      <c r="R17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20" s="93">
        <v>1</v>
      </c>
      <c r="T1720" s="93" t="b">
        <f>Data[[#This Row],[Day Rank]]=Data[[#This Row],[W Rank]]</f>
        <v>0</v>
      </c>
      <c r="U1720" s="323"/>
    </row>
    <row r="1721" spans="1:21" ht="15" customHeight="1" thickBot="1">
      <c r="A1721" s="327"/>
      <c r="B1721" s="327"/>
      <c r="C1721" s="330"/>
      <c r="D1721" s="164">
        <f t="shared" si="259"/>
        <v>46085</v>
      </c>
      <c r="E1721" s="215" t="str">
        <f t="shared" si="260"/>
        <v>currydestroyer27</v>
      </c>
      <c r="F1721" s="165">
        <f>IFERROR(AVERAGE(Data[[#This Row],[alappatjoe]:[currydestroyer27]]), "TBD")</f>
        <v>3.6</v>
      </c>
      <c r="G1721" s="256">
        <f>IFERROR(_xlfn.STDEV.P(Data[[#This Row],[alappatjoe]:[currydestroyer27]]), "TBD")</f>
        <v>1.7435595774162693</v>
      </c>
      <c r="H1721" s="227" t="s">
        <v>3325</v>
      </c>
      <c r="I1721" s="257" t="s">
        <v>3326</v>
      </c>
      <c r="J1721" s="166">
        <v>2</v>
      </c>
      <c r="K1721" s="166">
        <v>5</v>
      </c>
      <c r="L1721" s="166">
        <v>5</v>
      </c>
      <c r="M1721" s="166">
        <v>5</v>
      </c>
      <c r="N1721" s="166">
        <v>1</v>
      </c>
      <c r="O1721" s="242">
        <v>29201838</v>
      </c>
      <c r="P1721" s="167" t="s">
        <v>76</v>
      </c>
      <c r="Q1721" s="167" t="s">
        <v>99</v>
      </c>
      <c r="R17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21" s="167">
        <v>1</v>
      </c>
      <c r="T1721" s="167" t="b">
        <f>Data[[#This Row],[Day Rank]]=Data[[#This Row],[W Rank]]</f>
        <v>0</v>
      </c>
      <c r="U1721" s="324"/>
    </row>
    <row r="1722" spans="1:21" ht="15" customHeight="1">
      <c r="A1722" s="325">
        <v>46086</v>
      </c>
      <c r="B1722" s="325"/>
      <c r="C1722" s="338" t="str" cm="1">
        <f t="array" ref="C1722">_xlfn.LET(_xlpm.matches, _xlfn._xlws.FILTER(Data[Poster], (Data[Date]=A1722)*(Data[Winner]=TRUE)), IF(ROWS(_xlpm.matches)&gt;1, "TIE", _xlpm.matches))</f>
        <v>danram</v>
      </c>
      <c r="D1722" s="147">
        <f t="shared" ref="D1722" si="267">A1722</f>
        <v>46086</v>
      </c>
      <c r="E1722" s="181" t="str">
        <f t="shared" si="252"/>
        <v>alappatjoe</v>
      </c>
      <c r="F1722" s="9">
        <f>IFERROR(AVERAGE(Data[[#This Row],[alappatjoe]:[currydestroyer27]]), "TBD")</f>
        <v>3.6</v>
      </c>
      <c r="G1722" s="178">
        <f>IFERROR(_xlfn.STDEV.P(Data[[#This Row],[alappatjoe]:[currydestroyer27]]), "TBD")</f>
        <v>0.8</v>
      </c>
      <c r="H1722" s="160" t="s">
        <v>3327</v>
      </c>
      <c r="I1722" s="186" t="s">
        <v>3328</v>
      </c>
      <c r="J1722" s="3">
        <v>2</v>
      </c>
      <c r="K1722" s="3">
        <v>4</v>
      </c>
      <c r="L1722" s="3">
        <v>4</v>
      </c>
      <c r="M1722" s="3">
        <v>4</v>
      </c>
      <c r="N1722" s="3">
        <v>4</v>
      </c>
      <c r="O1722" s="238">
        <v>214363435</v>
      </c>
      <c r="P1722" s="93"/>
      <c r="Q1722" s="93"/>
      <c r="R17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22" s="93">
        <v>1</v>
      </c>
      <c r="T1722" s="93" t="b">
        <f>Data[[#This Row],[Day Rank]]=Data[[#This Row],[W Rank]]</f>
        <v>0</v>
      </c>
      <c r="U1722" s="322" t="s">
        <v>3329</v>
      </c>
    </row>
    <row r="1723" spans="1:21" ht="15" customHeight="1">
      <c r="A1723" s="326"/>
      <c r="B1723" s="326"/>
      <c r="C1723" s="339"/>
      <c r="D1723" s="81">
        <f t="shared" si="253"/>
        <v>46086</v>
      </c>
      <c r="E1723" s="140" t="str">
        <f t="shared" si="254"/>
        <v>danram</v>
      </c>
      <c r="F1723" s="8">
        <f>IFERROR(AVERAGE(Data[[#This Row],[alappatjoe]:[currydestroyer27]]), "TBD")</f>
        <v>1.6</v>
      </c>
      <c r="G1723" s="177">
        <f>IFERROR(_xlfn.STDEV.P(Data[[#This Row],[alappatjoe]:[currydestroyer27]]), "TBD")</f>
        <v>0.8</v>
      </c>
      <c r="H1723" s="135" t="s">
        <v>3330</v>
      </c>
      <c r="I1723" s="229" t="s">
        <v>952</v>
      </c>
      <c r="J1723" s="3">
        <v>1</v>
      </c>
      <c r="K1723" s="3">
        <v>1</v>
      </c>
      <c r="L1723" s="3">
        <v>1</v>
      </c>
      <c r="M1723" s="3">
        <v>2</v>
      </c>
      <c r="N1723" s="3">
        <v>3</v>
      </c>
      <c r="O1723" s="238">
        <v>1041810083</v>
      </c>
      <c r="P1723" s="93"/>
      <c r="Q1723" s="93"/>
      <c r="R17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23" s="93">
        <v>1</v>
      </c>
      <c r="T1723" s="93" t="b">
        <f>Data[[#This Row],[Day Rank]]=Data[[#This Row],[W Rank]]</f>
        <v>1</v>
      </c>
      <c r="U1723" s="323"/>
    </row>
    <row r="1724" spans="1:21" ht="15" customHeight="1">
      <c r="A1724" s="326"/>
      <c r="B1724" s="326"/>
      <c r="C1724" s="339"/>
      <c r="D1724" s="81">
        <f t="shared" si="255"/>
        <v>46086</v>
      </c>
      <c r="E1724" s="140" t="str">
        <f t="shared" si="256"/>
        <v>loganworsdell</v>
      </c>
      <c r="F1724" s="8">
        <f>IFERROR(AVERAGE(Data[[#This Row],[alappatjoe]:[currydestroyer27]]), "TBD")</f>
        <v>2.8</v>
      </c>
      <c r="G1724" s="177">
        <f>IFERROR(_xlfn.STDEV.P(Data[[#This Row],[alappatjoe]:[currydestroyer27]]), "TBD")</f>
        <v>0.9797958971132712</v>
      </c>
      <c r="H1724" s="135" t="s">
        <v>3331</v>
      </c>
      <c r="I1724" s="229" t="s">
        <v>3332</v>
      </c>
      <c r="J1724" s="3">
        <v>4</v>
      </c>
      <c r="K1724" s="3">
        <v>3</v>
      </c>
      <c r="L1724" s="3">
        <v>3</v>
      </c>
      <c r="M1724" s="3">
        <v>3</v>
      </c>
      <c r="N1724" s="3">
        <v>1</v>
      </c>
      <c r="O1724" s="238">
        <v>221913357</v>
      </c>
      <c r="P1724" s="93"/>
      <c r="Q1724" s="93"/>
      <c r="R17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24" s="93">
        <v>1</v>
      </c>
      <c r="T1724" s="93" t="b">
        <f>Data[[#This Row],[Day Rank]]=Data[[#This Row],[W Rank]]</f>
        <v>0</v>
      </c>
      <c r="U1724" s="323"/>
    </row>
    <row r="1725" spans="1:21" ht="15" customHeight="1">
      <c r="A1725" s="326"/>
      <c r="B1725" s="326"/>
      <c r="C1725" s="339"/>
      <c r="D1725" s="81">
        <f t="shared" si="257"/>
        <v>46086</v>
      </c>
      <c r="E1725" s="140" t="str">
        <f t="shared" si="258"/>
        <v>samuelbattista</v>
      </c>
      <c r="F1725" s="8">
        <f>IFERROR(AVERAGE(Data[[#This Row],[alappatjoe]:[currydestroyer27]]), "TBD")</f>
        <v>3</v>
      </c>
      <c r="G1725" s="177">
        <f>IFERROR(_xlfn.STDEV.P(Data[[#This Row],[alappatjoe]:[currydestroyer27]]), "TBD")</f>
        <v>1.6733200530681511</v>
      </c>
      <c r="H1725" s="135" t="s">
        <v>3333</v>
      </c>
      <c r="I1725" s="229" t="s">
        <v>3334</v>
      </c>
      <c r="J1725" s="3">
        <v>5</v>
      </c>
      <c r="K1725" s="3">
        <v>2</v>
      </c>
      <c r="L1725" s="3">
        <v>2</v>
      </c>
      <c r="M1725" s="3">
        <v>1</v>
      </c>
      <c r="N1725" s="3">
        <v>5</v>
      </c>
      <c r="O1725" s="238">
        <v>1478643412</v>
      </c>
      <c r="P1725" s="93"/>
      <c r="Q1725" s="93"/>
      <c r="R17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25" s="93">
        <v>1</v>
      </c>
      <c r="T1725" s="93" t="b">
        <f>Data[[#This Row],[Day Rank]]=Data[[#This Row],[W Rank]]</f>
        <v>0</v>
      </c>
      <c r="U1725" s="323"/>
    </row>
    <row r="1726" spans="1:21" ht="15" customHeight="1" thickBot="1">
      <c r="A1726" s="327"/>
      <c r="B1726" s="327"/>
      <c r="C1726" s="340"/>
      <c r="D1726" s="164">
        <f t="shared" si="259"/>
        <v>46086</v>
      </c>
      <c r="E1726" s="215" t="str">
        <f t="shared" si="260"/>
        <v>currydestroyer27</v>
      </c>
      <c r="F1726" s="165">
        <f>IFERROR(AVERAGE(Data[[#This Row],[alappatjoe]:[currydestroyer27]]), "TBD")</f>
        <v>4</v>
      </c>
      <c r="G1726" s="256">
        <f>IFERROR(_xlfn.STDEV.P(Data[[#This Row],[alappatjoe]:[currydestroyer27]]), "TBD")</f>
        <v>1.2649110640673518</v>
      </c>
      <c r="H1726" s="227" t="s">
        <v>3335</v>
      </c>
      <c r="I1726" s="257" t="s">
        <v>2717</v>
      </c>
      <c r="J1726" s="166">
        <v>3</v>
      </c>
      <c r="K1726" s="166">
        <v>5</v>
      </c>
      <c r="L1726" s="166">
        <v>5</v>
      </c>
      <c r="M1726" s="166">
        <v>5</v>
      </c>
      <c r="N1726" s="166">
        <v>2</v>
      </c>
      <c r="O1726" s="242">
        <v>53686900</v>
      </c>
      <c r="P1726" s="167" t="s">
        <v>76</v>
      </c>
      <c r="Q1726" s="167" t="s">
        <v>99</v>
      </c>
      <c r="R17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26" s="167">
        <v>1</v>
      </c>
      <c r="T1726" s="167" t="b">
        <f>Data[[#This Row],[Day Rank]]=Data[[#This Row],[W Rank]]</f>
        <v>0</v>
      </c>
      <c r="U1726" s="324"/>
    </row>
    <row r="1727" spans="1:21" ht="15" customHeight="1">
      <c r="A1727" s="325">
        <v>46090</v>
      </c>
      <c r="B1727" s="325"/>
      <c r="C1727" s="328" t="str" cm="1">
        <f t="array" ref="C1727">_xlfn.LET(_xlpm.matches, _xlfn._xlws.FILTER(Data[Poster], (Data[Date]=A1727)*(Data[Winner]=TRUE)), IF(ROWS(_xlpm.matches)&gt;1, "TIE", _xlpm.matches))</f>
        <v>loganworsdell</v>
      </c>
      <c r="D1727" s="147">
        <f t="shared" ref="D1727" si="268">A1727</f>
        <v>46090</v>
      </c>
      <c r="E1727" s="181" t="str">
        <f t="shared" ref="E1727:E1762" si="269">$J$1</f>
        <v>alappatjoe</v>
      </c>
      <c r="F1727" s="9">
        <f>IFERROR(AVERAGE(Data[[#This Row],[alappatjoe]:[currydestroyer27]]), "TBD")</f>
        <v>4.5999999999999996</v>
      </c>
      <c r="G1727" s="178">
        <f>IFERROR(_xlfn.STDEV.P(Data[[#This Row],[alappatjoe]:[currydestroyer27]]), "TBD")</f>
        <v>0.8</v>
      </c>
      <c r="H1727" s="160" t="s">
        <v>3336</v>
      </c>
      <c r="I1727" s="186" t="s">
        <v>3337</v>
      </c>
      <c r="J1727" s="3">
        <v>3</v>
      </c>
      <c r="K1727" s="3">
        <v>5</v>
      </c>
      <c r="L1727" s="3">
        <v>5</v>
      </c>
      <c r="M1727" s="3">
        <v>5</v>
      </c>
      <c r="N1727" s="3">
        <v>5</v>
      </c>
      <c r="O1727" s="238">
        <v>2674004</v>
      </c>
      <c r="P1727" s="93"/>
      <c r="Q1727" s="93"/>
      <c r="R17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27" s="93">
        <v>1</v>
      </c>
      <c r="T1727" s="93" t="b">
        <f>Data[[#This Row],[Day Rank]]=Data[[#This Row],[W Rank]]</f>
        <v>0</v>
      </c>
      <c r="U1727" s="322"/>
    </row>
    <row r="1728" spans="1:21" ht="15" customHeight="1">
      <c r="A1728" s="326"/>
      <c r="B1728" s="326"/>
      <c r="C1728" s="329"/>
      <c r="D1728" s="81">
        <f t="shared" ref="D1728:D1763" si="270">D1727</f>
        <v>46090</v>
      </c>
      <c r="E1728" s="140" t="str">
        <f t="shared" ref="E1728:E1763" si="271">$K$1</f>
        <v>danram</v>
      </c>
      <c r="F1728" s="8">
        <f>IFERROR(AVERAGE(Data[[#This Row],[alappatjoe]:[currydestroyer27]]), "TBD")</f>
        <v>2.4</v>
      </c>
      <c r="G1728" s="177">
        <f>IFERROR(_xlfn.STDEV.P(Data[[#This Row],[alappatjoe]:[currydestroyer27]]), "TBD")</f>
        <v>1.2</v>
      </c>
      <c r="H1728" s="135" t="s">
        <v>3338</v>
      </c>
      <c r="I1728" s="229" t="s">
        <v>3339</v>
      </c>
      <c r="J1728" s="3">
        <v>4</v>
      </c>
      <c r="K1728" s="3">
        <v>1</v>
      </c>
      <c r="L1728" s="3">
        <v>3</v>
      </c>
      <c r="M1728" s="3">
        <v>1</v>
      </c>
      <c r="N1728" s="3">
        <v>3</v>
      </c>
      <c r="O1728" s="238"/>
      <c r="P1728" s="93"/>
      <c r="Q1728" s="93"/>
      <c r="R17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28" s="93">
        <v>1</v>
      </c>
      <c r="T1728" s="93" t="b">
        <f>Data[[#This Row],[Day Rank]]=Data[[#This Row],[W Rank]]</f>
        <v>0</v>
      </c>
      <c r="U1728" s="323"/>
    </row>
    <row r="1729" spans="1:21" ht="15" customHeight="1">
      <c r="A1729" s="326"/>
      <c r="B1729" s="326"/>
      <c r="C1729" s="329"/>
      <c r="D1729" s="81">
        <f t="shared" ref="D1729:D1764" si="272">D1727</f>
        <v>46090</v>
      </c>
      <c r="E1729" s="140" t="str">
        <f t="shared" ref="E1729:E1764" si="273">$L$1</f>
        <v>loganworsdell</v>
      </c>
      <c r="F1729" s="8">
        <f>IFERROR(AVERAGE(Data[[#This Row],[alappatjoe]:[currydestroyer27]]), "TBD")</f>
        <v>1.6</v>
      </c>
      <c r="G1729" s="177">
        <f>IFERROR(_xlfn.STDEV.P(Data[[#This Row],[alappatjoe]:[currydestroyer27]]), "TBD")</f>
        <v>0.4898979485566356</v>
      </c>
      <c r="H1729" s="135" t="s">
        <v>3340</v>
      </c>
      <c r="I1729" s="229" t="s">
        <v>3341</v>
      </c>
      <c r="J1729" s="3">
        <v>2</v>
      </c>
      <c r="K1729" s="3">
        <v>2</v>
      </c>
      <c r="L1729" s="3">
        <v>1</v>
      </c>
      <c r="M1729" s="3">
        <v>2</v>
      </c>
      <c r="N1729" s="3">
        <v>1</v>
      </c>
      <c r="O1729" s="238">
        <v>449377562</v>
      </c>
      <c r="P1729" s="93"/>
      <c r="Q1729" s="93"/>
      <c r="R17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29" s="93">
        <v>1</v>
      </c>
      <c r="T1729" s="93" t="b">
        <f>Data[[#This Row],[Day Rank]]=Data[[#This Row],[W Rank]]</f>
        <v>1</v>
      </c>
      <c r="U1729" s="323"/>
    </row>
    <row r="1730" spans="1:21" ht="15" customHeight="1">
      <c r="A1730" s="326"/>
      <c r="B1730" s="326"/>
      <c r="C1730" s="329"/>
      <c r="D1730" s="81">
        <f t="shared" ref="D1730:D1765" si="274">D1727</f>
        <v>46090</v>
      </c>
      <c r="E1730" s="140" t="str">
        <f t="shared" ref="E1730:E1765" si="275">$M$1</f>
        <v>samuelbattista</v>
      </c>
      <c r="F1730" s="8">
        <f>IFERROR(AVERAGE(Data[[#This Row],[alappatjoe]:[currydestroyer27]]), "TBD")</f>
        <v>4</v>
      </c>
      <c r="G1730" s="177">
        <f>IFERROR(_xlfn.STDEV.P(Data[[#This Row],[alappatjoe]:[currydestroyer27]]), "TBD")</f>
        <v>0.63245553203367588</v>
      </c>
      <c r="H1730" s="135" t="s">
        <v>3342</v>
      </c>
      <c r="I1730" s="229" t="s">
        <v>3343</v>
      </c>
      <c r="J1730" s="3">
        <v>5</v>
      </c>
      <c r="K1730" s="3">
        <v>4</v>
      </c>
      <c r="L1730" s="3">
        <v>4</v>
      </c>
      <c r="M1730" s="3">
        <v>3</v>
      </c>
      <c r="N1730" s="3">
        <v>4</v>
      </c>
      <c r="O1730" s="238"/>
      <c r="P1730" s="93"/>
      <c r="Q1730" s="93"/>
      <c r="R17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30" s="93">
        <v>1</v>
      </c>
      <c r="T1730" s="93" t="b">
        <f>Data[[#This Row],[Day Rank]]=Data[[#This Row],[W Rank]]</f>
        <v>0</v>
      </c>
      <c r="U1730" s="323"/>
    </row>
    <row r="1731" spans="1:21" ht="15" customHeight="1" thickBot="1">
      <c r="A1731" s="327"/>
      <c r="B1731" s="327"/>
      <c r="C1731" s="330"/>
      <c r="D1731" s="164">
        <f t="shared" ref="D1731:D1766" si="276">D1727</f>
        <v>46090</v>
      </c>
      <c r="E1731" s="215" t="str">
        <f t="shared" ref="E1731:E1766" si="277">$N$1</f>
        <v>currydestroyer27</v>
      </c>
      <c r="F1731" s="165">
        <f>IFERROR(AVERAGE(Data[[#This Row],[alappatjoe]:[currydestroyer27]]), "TBD")</f>
        <v>2.4</v>
      </c>
      <c r="G1731" s="256">
        <f>IFERROR(_xlfn.STDEV.P(Data[[#This Row],[alappatjoe]:[currydestroyer27]]), "TBD")</f>
        <v>1.019803902718557</v>
      </c>
      <c r="H1731" s="227" t="s">
        <v>3344</v>
      </c>
      <c r="I1731" s="257" t="s">
        <v>3345</v>
      </c>
      <c r="J1731" s="166">
        <v>1</v>
      </c>
      <c r="K1731" s="166">
        <v>3</v>
      </c>
      <c r="L1731" s="166">
        <v>2</v>
      </c>
      <c r="M1731" s="166">
        <v>4</v>
      </c>
      <c r="N1731" s="166">
        <v>2</v>
      </c>
      <c r="O1731" s="242">
        <v>150438279</v>
      </c>
      <c r="P1731" s="167"/>
      <c r="Q1731" s="167"/>
      <c r="R173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31" s="167">
        <v>1</v>
      </c>
      <c r="T1731" s="167" t="b">
        <f>Data[[#This Row],[Day Rank]]=Data[[#This Row],[W Rank]]</f>
        <v>0</v>
      </c>
      <c r="U1731" s="324"/>
    </row>
    <row r="1732" spans="1:21" ht="15" customHeight="1">
      <c r="A1732" s="325">
        <v>46091</v>
      </c>
      <c r="B1732" s="325"/>
      <c r="C1732" s="338" t="str" cm="1">
        <f t="array" ref="C1732">_xlfn.LET(_xlpm.matches, _xlfn._xlws.FILTER(Data[Poster], (Data[Date]=A1732)*(Data[Winner]=TRUE)), IF(ROWS(_xlpm.matches)&gt;1, "TIE", _xlpm.matches))</f>
        <v>alappatjoe</v>
      </c>
      <c r="D1732" s="147">
        <f t="shared" ref="D1732" si="278">A1732</f>
        <v>46091</v>
      </c>
      <c r="E1732" s="181" t="str">
        <f t="shared" si="269"/>
        <v>alappatjoe</v>
      </c>
      <c r="F1732" s="9">
        <f>IFERROR(AVERAGE(Data[[#This Row],[alappatjoe]:[currydestroyer27]]), "TBD")</f>
        <v>2.6</v>
      </c>
      <c r="G1732" s="178">
        <f>IFERROR(_xlfn.STDEV.P(Data[[#This Row],[alappatjoe]:[currydestroyer27]]), "TBD")</f>
        <v>1.019803902718557</v>
      </c>
      <c r="H1732" s="160" t="s">
        <v>3346</v>
      </c>
      <c r="I1732" s="186" t="s">
        <v>3347</v>
      </c>
      <c r="J1732" s="3">
        <v>1</v>
      </c>
      <c r="K1732" s="3">
        <v>3</v>
      </c>
      <c r="L1732" s="3">
        <v>2</v>
      </c>
      <c r="M1732" s="3">
        <v>3</v>
      </c>
      <c r="N1732" s="3">
        <v>4</v>
      </c>
      <c r="O1732" s="238">
        <v>999</v>
      </c>
      <c r="P1732" s="93"/>
      <c r="Q1732" s="93"/>
      <c r="R17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32" s="93">
        <v>1</v>
      </c>
      <c r="T1732" s="93" t="b">
        <f>Data[[#This Row],[Day Rank]]=Data[[#This Row],[W Rank]]</f>
        <v>1</v>
      </c>
      <c r="U1732" s="322"/>
    </row>
    <row r="1733" spans="1:21" ht="15" customHeight="1">
      <c r="A1733" s="326"/>
      <c r="B1733" s="326"/>
      <c r="C1733" s="339"/>
      <c r="D1733" s="81">
        <f t="shared" si="270"/>
        <v>46091</v>
      </c>
      <c r="E1733" s="140" t="str">
        <f t="shared" si="271"/>
        <v>danram</v>
      </c>
      <c r="F1733" s="8">
        <f>IFERROR(AVERAGE(Data[[#This Row],[alappatjoe]:[currydestroyer27]]), "TBD")</f>
        <v>2.6</v>
      </c>
      <c r="G1733" s="177">
        <f>IFERROR(_xlfn.STDEV.P(Data[[#This Row],[alappatjoe]:[currydestroyer27]]), "TBD")</f>
        <v>1.6248076809271921</v>
      </c>
      <c r="H1733" s="135" t="s">
        <v>3348</v>
      </c>
      <c r="I1733" s="229" t="s">
        <v>3349</v>
      </c>
      <c r="J1733" s="3">
        <v>2</v>
      </c>
      <c r="K1733" s="3">
        <v>1</v>
      </c>
      <c r="L1733" s="3">
        <v>1</v>
      </c>
      <c r="M1733" s="3">
        <v>4</v>
      </c>
      <c r="N1733" s="3">
        <v>5</v>
      </c>
      <c r="O1733" s="238"/>
      <c r="P1733" s="93"/>
      <c r="Q1733" s="93"/>
      <c r="R17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33" s="93">
        <v>1</v>
      </c>
      <c r="T1733" s="93" t="b">
        <f>Data[[#This Row],[Day Rank]]=Data[[#This Row],[W Rank]]</f>
        <v>0</v>
      </c>
      <c r="U1733" s="323"/>
    </row>
    <row r="1734" spans="1:21" ht="15" customHeight="1">
      <c r="A1734" s="326"/>
      <c r="B1734" s="326"/>
      <c r="C1734" s="339"/>
      <c r="D1734" s="81">
        <f t="shared" si="272"/>
        <v>46091</v>
      </c>
      <c r="E1734" s="140" t="str">
        <f t="shared" si="273"/>
        <v>loganworsdell</v>
      </c>
      <c r="F1734" s="8">
        <f>IFERROR(AVERAGE(Data[[#This Row],[alappatjoe]:[currydestroyer27]]), "TBD")</f>
        <v>3.8</v>
      </c>
      <c r="G1734" s="177">
        <f>IFERROR(_xlfn.STDEV.P(Data[[#This Row],[alappatjoe]:[currydestroyer27]]), "TBD")</f>
        <v>0.9797958971132712</v>
      </c>
      <c r="H1734" s="135" t="s">
        <v>3350</v>
      </c>
      <c r="I1734" s="229" t="s">
        <v>2497</v>
      </c>
      <c r="J1734" s="3">
        <v>3</v>
      </c>
      <c r="K1734" s="3">
        <v>5</v>
      </c>
      <c r="L1734" s="3">
        <v>3</v>
      </c>
      <c r="M1734" s="3">
        <v>5</v>
      </c>
      <c r="N1734" s="3">
        <v>3</v>
      </c>
      <c r="O1734" s="238">
        <v>28484670</v>
      </c>
      <c r="P1734" s="93"/>
      <c r="Q1734" s="93"/>
      <c r="R17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34" s="93">
        <v>1</v>
      </c>
      <c r="T1734" s="93" t="b">
        <f>Data[[#This Row],[Day Rank]]=Data[[#This Row],[W Rank]]</f>
        <v>0</v>
      </c>
      <c r="U1734" s="323"/>
    </row>
    <row r="1735" spans="1:21" ht="15" customHeight="1">
      <c r="A1735" s="326"/>
      <c r="B1735" s="326"/>
      <c r="C1735" s="339"/>
      <c r="D1735" s="81">
        <f t="shared" si="274"/>
        <v>46091</v>
      </c>
      <c r="E1735" s="140" t="str">
        <f t="shared" si="275"/>
        <v>samuelbattista</v>
      </c>
      <c r="F1735" s="8">
        <f>IFERROR(AVERAGE(Data[[#This Row],[alappatjoe]:[currydestroyer27]]), "TBD")</f>
        <v>3.2</v>
      </c>
      <c r="G1735" s="177">
        <f>IFERROR(_xlfn.STDEV.P(Data[[#This Row],[alappatjoe]:[currydestroyer27]]), "TBD")</f>
        <v>1.4696938456699069</v>
      </c>
      <c r="H1735" s="135" t="s">
        <v>3351</v>
      </c>
      <c r="I1735" s="229" t="s">
        <v>3352</v>
      </c>
      <c r="J1735" s="3">
        <v>5</v>
      </c>
      <c r="K1735" s="3">
        <v>4</v>
      </c>
      <c r="L1735" s="3">
        <v>4</v>
      </c>
      <c r="M1735" s="3">
        <v>1</v>
      </c>
      <c r="N1735" s="3">
        <v>2</v>
      </c>
      <c r="O1735" s="238"/>
      <c r="P1735" s="93"/>
      <c r="Q1735" s="93"/>
      <c r="R17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35" s="93">
        <v>1</v>
      </c>
      <c r="T1735" s="93" t="b">
        <f>Data[[#This Row],[Day Rank]]=Data[[#This Row],[W Rank]]</f>
        <v>0</v>
      </c>
      <c r="U1735" s="323"/>
    </row>
    <row r="1736" spans="1:21" ht="15" customHeight="1" thickBot="1">
      <c r="A1736" s="327"/>
      <c r="B1736" s="327"/>
      <c r="C1736" s="340"/>
      <c r="D1736" s="164">
        <f t="shared" si="276"/>
        <v>46091</v>
      </c>
      <c r="E1736" s="215" t="str">
        <f t="shared" si="277"/>
        <v>currydestroyer27</v>
      </c>
      <c r="F1736" s="165">
        <f>IFERROR(AVERAGE(Data[[#This Row],[alappatjoe]:[currydestroyer27]]), "TBD")</f>
        <v>2.8</v>
      </c>
      <c r="G1736" s="256">
        <f>IFERROR(_xlfn.STDEV.P(Data[[#This Row],[alappatjoe]:[currydestroyer27]]), "TBD")</f>
        <v>1.4696938456699069</v>
      </c>
      <c r="H1736" s="227" t="s">
        <v>3353</v>
      </c>
      <c r="I1736" s="257" t="s">
        <v>3354</v>
      </c>
      <c r="J1736" s="166">
        <v>4</v>
      </c>
      <c r="K1736" s="166">
        <v>2</v>
      </c>
      <c r="L1736" s="166">
        <v>5</v>
      </c>
      <c r="M1736" s="166">
        <v>2</v>
      </c>
      <c r="N1736" s="166">
        <v>1</v>
      </c>
      <c r="O1736" s="242">
        <v>592653379</v>
      </c>
      <c r="P1736" s="167"/>
      <c r="Q1736" s="167"/>
      <c r="R173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36" s="167">
        <v>1</v>
      </c>
      <c r="T1736" s="167" t="b">
        <f>Data[[#This Row],[Day Rank]]=Data[[#This Row],[W Rank]]</f>
        <v>0</v>
      </c>
      <c r="U1736" s="324"/>
    </row>
    <row r="1737" spans="1:21" ht="15" customHeight="1">
      <c r="A1737" s="325">
        <v>46092</v>
      </c>
      <c r="B1737" s="325"/>
      <c r="C1737" s="328" t="str" cm="1">
        <f t="array" ref="C1737">_xlfn.LET(_xlpm.matches, _xlfn._xlws.FILTER(Data[Poster], (Data[Date]=A1737)*(Data[Winner]=TRUE)), IF(ROWS(_xlpm.matches)&gt;1, "TIE", _xlpm.matches))</f>
        <v>loganworsdell</v>
      </c>
      <c r="D1737" s="147">
        <f t="shared" ref="D1737" si="279">A1737</f>
        <v>46092</v>
      </c>
      <c r="E1737" s="181" t="str">
        <f t="shared" si="269"/>
        <v>alappatjoe</v>
      </c>
      <c r="F1737" s="9">
        <f>IFERROR(AVERAGE(Data[[#This Row],[alappatjoe]:[currydestroyer27]]), "TBD")</f>
        <v>3.4</v>
      </c>
      <c r="G1737" s="178">
        <f>IFERROR(_xlfn.STDEV.P(Data[[#This Row],[alappatjoe]:[currydestroyer27]]), "TBD")</f>
        <v>1.019803902718557</v>
      </c>
      <c r="H1737" s="160" t="s">
        <v>3355</v>
      </c>
      <c r="I1737" s="186" t="s">
        <v>3356</v>
      </c>
      <c r="J1737" s="3">
        <v>4</v>
      </c>
      <c r="K1737" s="3">
        <v>3</v>
      </c>
      <c r="L1737" s="3">
        <v>5</v>
      </c>
      <c r="M1737" s="3">
        <v>2</v>
      </c>
      <c r="N1737" s="3">
        <v>3</v>
      </c>
      <c r="O1737" s="238">
        <v>7703</v>
      </c>
      <c r="P1737" s="93"/>
      <c r="Q1737" s="93"/>
      <c r="R17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37" s="93">
        <v>1</v>
      </c>
      <c r="T1737" s="93" t="b">
        <f>Data[[#This Row],[Day Rank]]=Data[[#This Row],[W Rank]]</f>
        <v>0</v>
      </c>
      <c r="U1737" s="322"/>
    </row>
    <row r="1738" spans="1:21" ht="15" customHeight="1">
      <c r="A1738" s="326"/>
      <c r="B1738" s="326"/>
      <c r="C1738" s="329"/>
      <c r="D1738" s="81">
        <f t="shared" si="270"/>
        <v>46092</v>
      </c>
      <c r="E1738" s="140" t="str">
        <f t="shared" si="271"/>
        <v>danram</v>
      </c>
      <c r="F1738" s="8">
        <f>IFERROR(AVERAGE(Data[[#This Row],[alappatjoe]:[currydestroyer27]]), "TBD")</f>
        <v>3.8</v>
      </c>
      <c r="G1738" s="177">
        <f>IFERROR(_xlfn.STDEV.P(Data[[#This Row],[alappatjoe]:[currydestroyer27]]), "TBD")</f>
        <v>1.1661903789690602</v>
      </c>
      <c r="H1738" s="135" t="s">
        <v>3357</v>
      </c>
      <c r="I1738" s="229" t="s">
        <v>3358</v>
      </c>
      <c r="J1738" s="3">
        <v>3</v>
      </c>
      <c r="K1738" s="3">
        <v>5</v>
      </c>
      <c r="L1738" s="3">
        <v>4</v>
      </c>
      <c r="M1738" s="3">
        <v>5</v>
      </c>
      <c r="N1738" s="3">
        <v>2</v>
      </c>
      <c r="O1738" s="238"/>
      <c r="P1738" s="93"/>
      <c r="Q1738" s="93"/>
      <c r="R17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38" s="93">
        <v>1</v>
      </c>
      <c r="T1738" s="93" t="b">
        <f>Data[[#This Row],[Day Rank]]=Data[[#This Row],[W Rank]]</f>
        <v>0</v>
      </c>
      <c r="U1738" s="323"/>
    </row>
    <row r="1739" spans="1:21" ht="15" customHeight="1">
      <c r="A1739" s="326"/>
      <c r="B1739" s="326"/>
      <c r="C1739" s="329"/>
      <c r="D1739" s="81">
        <f t="shared" si="272"/>
        <v>46092</v>
      </c>
      <c r="E1739" s="140" t="str">
        <f t="shared" si="273"/>
        <v>loganworsdell</v>
      </c>
      <c r="F1739" s="8">
        <f>IFERROR(AVERAGE(Data[[#This Row],[alappatjoe]:[currydestroyer27]]), "TBD")</f>
        <v>2</v>
      </c>
      <c r="G1739" s="177">
        <f>IFERROR(_xlfn.STDEV.P(Data[[#This Row],[alappatjoe]:[currydestroyer27]]), "TBD")</f>
        <v>1.2649110640673518</v>
      </c>
      <c r="H1739" s="286" t="s">
        <v>3359</v>
      </c>
      <c r="I1739" s="229" t="s">
        <v>257</v>
      </c>
      <c r="J1739" s="3">
        <v>1</v>
      </c>
      <c r="K1739" s="3">
        <v>1</v>
      </c>
      <c r="L1739" s="3">
        <v>1</v>
      </c>
      <c r="M1739" s="3">
        <v>3</v>
      </c>
      <c r="N1739" s="3">
        <v>4</v>
      </c>
      <c r="O1739" s="238">
        <v>36396255</v>
      </c>
      <c r="P1739" s="93"/>
      <c r="Q1739" s="93"/>
      <c r="R17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39" s="93">
        <v>1</v>
      </c>
      <c r="T1739" s="93" t="b">
        <f>Data[[#This Row],[Day Rank]]=Data[[#This Row],[W Rank]]</f>
        <v>1</v>
      </c>
      <c r="U1739" s="323"/>
    </row>
    <row r="1740" spans="1:21" ht="15" customHeight="1">
      <c r="A1740" s="326"/>
      <c r="B1740" s="326"/>
      <c r="C1740" s="329"/>
      <c r="D1740" s="81">
        <f t="shared" si="274"/>
        <v>46092</v>
      </c>
      <c r="E1740" s="140" t="str">
        <f t="shared" si="275"/>
        <v>samuelbattista</v>
      </c>
      <c r="F1740" s="8">
        <f>IFERROR(AVERAGE(Data[[#This Row],[alappatjoe]:[currydestroyer27]]), "TBD")</f>
        <v>3.4</v>
      </c>
      <c r="G1740" s="177">
        <f>IFERROR(_xlfn.STDEV.P(Data[[#This Row],[alappatjoe]:[currydestroyer27]]), "TBD")</f>
        <v>1.6248076809271921</v>
      </c>
      <c r="H1740" s="135" t="s">
        <v>3360</v>
      </c>
      <c r="I1740" s="229" t="s">
        <v>984</v>
      </c>
      <c r="J1740" s="3">
        <v>5</v>
      </c>
      <c r="K1740" s="3">
        <v>4</v>
      </c>
      <c r="L1740" s="3">
        <v>2</v>
      </c>
      <c r="M1740" s="3">
        <v>1</v>
      </c>
      <c r="N1740" s="3">
        <v>5</v>
      </c>
      <c r="O1740" s="238"/>
      <c r="P1740" s="93"/>
      <c r="Q1740" s="93"/>
      <c r="R17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40" s="93">
        <v>1</v>
      </c>
      <c r="T1740" s="93" t="b">
        <f>Data[[#This Row],[Day Rank]]=Data[[#This Row],[W Rank]]</f>
        <v>0</v>
      </c>
      <c r="U1740" s="323"/>
    </row>
    <row r="1741" spans="1:21" ht="15" customHeight="1" thickBot="1">
      <c r="A1741" s="327"/>
      <c r="B1741" s="327"/>
      <c r="C1741" s="330"/>
      <c r="D1741" s="164">
        <f t="shared" si="276"/>
        <v>46092</v>
      </c>
      <c r="E1741" s="215" t="str">
        <f t="shared" si="277"/>
        <v>currydestroyer27</v>
      </c>
      <c r="F1741" s="165">
        <f>IFERROR(AVERAGE(Data[[#This Row],[alappatjoe]:[currydestroyer27]]), "TBD")</f>
        <v>2.4</v>
      </c>
      <c r="G1741" s="256">
        <f>IFERROR(_xlfn.STDEV.P(Data[[#This Row],[alappatjoe]:[currydestroyer27]]), "TBD")</f>
        <v>1.019803902718557</v>
      </c>
      <c r="H1741" s="227" t="s">
        <v>3361</v>
      </c>
      <c r="I1741" s="257" t="s">
        <v>3362</v>
      </c>
      <c r="J1741" s="166">
        <v>2</v>
      </c>
      <c r="K1741" s="166">
        <v>2</v>
      </c>
      <c r="L1741" s="166">
        <v>3</v>
      </c>
      <c r="M1741" s="166">
        <v>4</v>
      </c>
      <c r="N1741" s="166">
        <v>1</v>
      </c>
      <c r="O1741" s="242">
        <v>121942474</v>
      </c>
      <c r="P1741" s="167"/>
      <c r="Q1741" s="167"/>
      <c r="R174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41" s="167">
        <v>1</v>
      </c>
      <c r="T1741" s="167" t="b">
        <f>Data[[#This Row],[Day Rank]]=Data[[#This Row],[W Rank]]</f>
        <v>0</v>
      </c>
      <c r="U1741" s="324"/>
    </row>
    <row r="1742" spans="1:21" ht="15" customHeight="1">
      <c r="A1742" s="325">
        <v>46093</v>
      </c>
      <c r="B1742" s="325"/>
      <c r="C1742" s="338" t="str" cm="1">
        <f t="array" ref="C1742">_xlfn.LET(_xlpm.matches, _xlfn._xlws.FILTER(Data[Poster], (Data[Date]=A1742)*(Data[Winner]=TRUE)), IF(ROWS(_xlpm.matches)&gt;1, "TIE", _xlpm.matches))</f>
        <v>samuelbattista</v>
      </c>
      <c r="D1742" s="147">
        <f t="shared" ref="D1742" si="280">A1742</f>
        <v>46093</v>
      </c>
      <c r="E1742" s="181" t="str">
        <f t="shared" si="269"/>
        <v>alappatjoe</v>
      </c>
      <c r="F1742" s="9">
        <f>IFERROR(AVERAGE(Data[[#This Row],[alappatjoe]:[currydestroyer27]]), "TBD")</f>
        <v>4.4000000000000004</v>
      </c>
      <c r="G1742" s="178">
        <f>IFERROR(_xlfn.STDEV.P(Data[[#This Row],[alappatjoe]:[currydestroyer27]]), "TBD")</f>
        <v>1.2</v>
      </c>
      <c r="H1742" s="160" t="s">
        <v>3363</v>
      </c>
      <c r="I1742" s="186" t="s">
        <v>3364</v>
      </c>
      <c r="J1742" s="3">
        <v>2</v>
      </c>
      <c r="K1742" s="3">
        <v>5</v>
      </c>
      <c r="L1742" s="3">
        <v>5</v>
      </c>
      <c r="M1742" s="3">
        <v>5</v>
      </c>
      <c r="N1742" s="3">
        <v>5</v>
      </c>
      <c r="O1742" s="238">
        <v>53237219</v>
      </c>
      <c r="P1742" s="93"/>
      <c r="Q1742" s="93"/>
      <c r="R17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42" s="93">
        <v>1</v>
      </c>
      <c r="T1742" s="93" t="b">
        <f>Data[[#This Row],[Day Rank]]=Data[[#This Row],[W Rank]]</f>
        <v>0</v>
      </c>
      <c r="U1742" s="322" t="s">
        <v>3365</v>
      </c>
    </row>
    <row r="1743" spans="1:21" ht="15" customHeight="1">
      <c r="A1743" s="326"/>
      <c r="B1743" s="326"/>
      <c r="C1743" s="339"/>
      <c r="D1743" s="81">
        <f t="shared" si="270"/>
        <v>46093</v>
      </c>
      <c r="E1743" s="140" t="str">
        <f t="shared" si="271"/>
        <v>danram</v>
      </c>
      <c r="F1743" s="8">
        <f>IFERROR(AVERAGE(Data[[#This Row],[alappatjoe]:[currydestroyer27]]), "TBD")</f>
        <v>3.2</v>
      </c>
      <c r="G1743" s="177">
        <f>IFERROR(_xlfn.STDEV.P(Data[[#This Row],[alappatjoe]:[currydestroyer27]]), "TBD")</f>
        <v>1.1661903789690602</v>
      </c>
      <c r="H1743" s="135" t="s">
        <v>3366</v>
      </c>
      <c r="I1743" s="229" t="s">
        <v>1259</v>
      </c>
      <c r="J1743" s="3">
        <v>1</v>
      </c>
      <c r="K1743" s="3">
        <v>3</v>
      </c>
      <c r="L1743" s="3">
        <v>4</v>
      </c>
      <c r="M1743" s="3">
        <v>4</v>
      </c>
      <c r="N1743" s="3">
        <v>4</v>
      </c>
      <c r="O1743" s="238"/>
      <c r="P1743" s="93"/>
      <c r="Q1743" s="93"/>
      <c r="R17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43" s="93">
        <v>1</v>
      </c>
      <c r="T1743" s="93" t="b">
        <f>Data[[#This Row],[Day Rank]]=Data[[#This Row],[W Rank]]</f>
        <v>0</v>
      </c>
      <c r="U1743" s="323"/>
    </row>
    <row r="1744" spans="1:21" ht="15" customHeight="1">
      <c r="A1744" s="326"/>
      <c r="B1744" s="326"/>
      <c r="C1744" s="339"/>
      <c r="D1744" s="81">
        <f t="shared" si="272"/>
        <v>46093</v>
      </c>
      <c r="E1744" s="140" t="str">
        <f t="shared" si="273"/>
        <v>loganworsdell</v>
      </c>
      <c r="F1744" s="8">
        <f>IFERROR(AVERAGE(Data[[#This Row],[alappatjoe]:[currydestroyer27]]), "TBD")</f>
        <v>3</v>
      </c>
      <c r="G1744" s="177">
        <f>IFERROR(_xlfn.STDEV.P(Data[[#This Row],[alappatjoe]:[currydestroyer27]]), "TBD")</f>
        <v>1.4142135623730951</v>
      </c>
      <c r="H1744" s="135" t="s">
        <v>3367</v>
      </c>
      <c r="I1744" s="229" t="s">
        <v>3368</v>
      </c>
      <c r="J1744" s="3">
        <v>5</v>
      </c>
      <c r="K1744" s="3">
        <v>4</v>
      </c>
      <c r="L1744" s="3">
        <v>2</v>
      </c>
      <c r="M1744" s="3">
        <v>3</v>
      </c>
      <c r="N1744" s="3">
        <v>1</v>
      </c>
      <c r="O1744" s="238">
        <v>7039574</v>
      </c>
      <c r="P1744" s="93"/>
      <c r="Q1744" s="93"/>
      <c r="R17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44" s="93">
        <v>1</v>
      </c>
      <c r="T1744" s="93" t="b">
        <f>Data[[#This Row],[Day Rank]]=Data[[#This Row],[W Rank]]</f>
        <v>0</v>
      </c>
      <c r="U1744" s="323"/>
    </row>
    <row r="1745" spans="1:21" ht="15" customHeight="1">
      <c r="A1745" s="326"/>
      <c r="B1745" s="326"/>
      <c r="C1745" s="339"/>
      <c r="D1745" s="81">
        <f t="shared" si="274"/>
        <v>46093</v>
      </c>
      <c r="E1745" s="140" t="str">
        <f t="shared" si="275"/>
        <v>samuelbattista</v>
      </c>
      <c r="F1745" s="8">
        <f>IFERROR(AVERAGE(Data[[#This Row],[alappatjoe]:[currydestroyer27]]), "TBD")</f>
        <v>2</v>
      </c>
      <c r="G1745" s="177">
        <f>IFERROR(_xlfn.STDEV.P(Data[[#This Row],[alappatjoe]:[currydestroyer27]]), "TBD")</f>
        <v>0.89442719099991586</v>
      </c>
      <c r="H1745" s="135" t="s">
        <v>256</v>
      </c>
      <c r="I1745" s="229" t="s">
        <v>3369</v>
      </c>
      <c r="J1745" s="3">
        <v>3</v>
      </c>
      <c r="K1745" s="3">
        <v>2</v>
      </c>
      <c r="L1745" s="3">
        <v>1</v>
      </c>
      <c r="M1745" s="3">
        <v>1</v>
      </c>
      <c r="N1745" s="3">
        <v>3</v>
      </c>
      <c r="O1745" s="238"/>
      <c r="P1745" s="93"/>
      <c r="Q1745" s="93"/>
      <c r="R17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45" s="93">
        <v>1</v>
      </c>
      <c r="T1745" s="93" t="b">
        <f>Data[[#This Row],[Day Rank]]=Data[[#This Row],[W Rank]]</f>
        <v>1</v>
      </c>
      <c r="U1745" s="323"/>
    </row>
    <row r="1746" spans="1:21" ht="15" customHeight="1" thickBot="1">
      <c r="A1746" s="327"/>
      <c r="B1746" s="327"/>
      <c r="C1746" s="340"/>
      <c r="D1746" s="164">
        <f t="shared" si="276"/>
        <v>46093</v>
      </c>
      <c r="E1746" s="215" t="str">
        <f t="shared" si="277"/>
        <v>currydestroyer27</v>
      </c>
      <c r="F1746" s="165">
        <f>IFERROR(AVERAGE(Data[[#This Row],[alappatjoe]:[currydestroyer27]]), "TBD")</f>
        <v>2.4</v>
      </c>
      <c r="G1746" s="256">
        <f>IFERROR(_xlfn.STDEV.P(Data[[#This Row],[alappatjoe]:[currydestroyer27]]), "TBD")</f>
        <v>1.019803902718557</v>
      </c>
      <c r="H1746" s="227" t="s">
        <v>3370</v>
      </c>
      <c r="I1746" s="257" t="s">
        <v>2466</v>
      </c>
      <c r="J1746" s="166">
        <v>4</v>
      </c>
      <c r="K1746" s="166">
        <v>1</v>
      </c>
      <c r="L1746" s="166">
        <v>3</v>
      </c>
      <c r="M1746" s="166">
        <v>2</v>
      </c>
      <c r="N1746" s="166">
        <v>2</v>
      </c>
      <c r="O1746" s="242">
        <v>48273128</v>
      </c>
      <c r="P1746" s="167"/>
      <c r="Q1746" s="167"/>
      <c r="R174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46" s="167">
        <v>1</v>
      </c>
      <c r="T1746" s="167" t="b">
        <f>Data[[#This Row],[Day Rank]]=Data[[#This Row],[W Rank]]</f>
        <v>0</v>
      </c>
      <c r="U1746" s="324"/>
    </row>
    <row r="1747" spans="1:21" ht="15" customHeight="1">
      <c r="A1747" s="325">
        <v>46097</v>
      </c>
      <c r="B1747" s="325"/>
      <c r="C1747" s="328" t="str" cm="1">
        <f t="array" ref="C1747">_xlfn.LET(_xlpm.matches, _xlfn._xlws.FILTER(Data[Poster], (Data[Date]=A1747)*(Data[Winner]=TRUE)), IF(ROWS(_xlpm.matches)&gt;1, "TIE", _xlpm.matches))</f>
        <v>danram</v>
      </c>
      <c r="D1747" s="147">
        <f t="shared" ref="D1747" si="281">A1747</f>
        <v>46097</v>
      </c>
      <c r="E1747" s="181" t="str">
        <f t="shared" si="269"/>
        <v>alappatjoe</v>
      </c>
      <c r="F1747" s="9">
        <f>IFERROR(AVERAGE(Data[[#This Row],[alappatjoe]:[currydestroyer27]]), "TBD")</f>
        <v>3.6</v>
      </c>
      <c r="G1747" s="178">
        <f>IFERROR(_xlfn.STDEV.P(Data[[#This Row],[alappatjoe]:[currydestroyer27]]), "TBD")</f>
        <v>1.3564659966250536</v>
      </c>
      <c r="H1747" s="160" t="s">
        <v>3371</v>
      </c>
      <c r="I1747" s="186" t="s">
        <v>3372</v>
      </c>
      <c r="J1747" s="3">
        <v>1</v>
      </c>
      <c r="K1747" s="3">
        <v>4</v>
      </c>
      <c r="L1747" s="3">
        <v>4</v>
      </c>
      <c r="M1747" s="3">
        <v>5</v>
      </c>
      <c r="N1747" s="3">
        <v>4</v>
      </c>
      <c r="O1747" s="238">
        <v>393340072</v>
      </c>
      <c r="P1747" s="93"/>
      <c r="Q1747" s="93"/>
      <c r="R17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47" s="93">
        <v>1</v>
      </c>
      <c r="T1747" s="93" t="b">
        <f>Data[[#This Row],[Day Rank]]=Data[[#This Row],[W Rank]]</f>
        <v>0</v>
      </c>
      <c r="U1747" s="322"/>
    </row>
    <row r="1748" spans="1:21" ht="15" customHeight="1">
      <c r="A1748" s="326"/>
      <c r="B1748" s="326"/>
      <c r="C1748" s="329"/>
      <c r="D1748" s="81">
        <f t="shared" si="270"/>
        <v>46097</v>
      </c>
      <c r="E1748" s="140" t="str">
        <f t="shared" si="271"/>
        <v>danram</v>
      </c>
      <c r="F1748" s="8">
        <f>IFERROR(AVERAGE(Data[[#This Row],[alappatjoe]:[currydestroyer27]]), "TBD")</f>
        <v>2.2000000000000002</v>
      </c>
      <c r="G1748" s="177">
        <f>IFERROR(_xlfn.STDEV.P(Data[[#This Row],[alappatjoe]:[currydestroyer27]]), "TBD")</f>
        <v>0.74833147735478833</v>
      </c>
      <c r="H1748" s="135" t="s">
        <v>3373</v>
      </c>
      <c r="I1748" s="229" t="s">
        <v>3374</v>
      </c>
      <c r="J1748" s="3">
        <v>3</v>
      </c>
      <c r="K1748" s="3">
        <v>1</v>
      </c>
      <c r="L1748" s="3">
        <v>3</v>
      </c>
      <c r="M1748" s="3">
        <v>2</v>
      </c>
      <c r="N1748" s="3">
        <v>2</v>
      </c>
      <c r="O1748" s="238"/>
      <c r="P1748" s="93"/>
      <c r="Q1748" s="93"/>
      <c r="R17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48" s="93">
        <v>1</v>
      </c>
      <c r="T1748" s="93" t="b">
        <f>Data[[#This Row],[Day Rank]]=Data[[#This Row],[W Rank]]</f>
        <v>1</v>
      </c>
      <c r="U1748" s="323"/>
    </row>
    <row r="1749" spans="1:21" ht="15" customHeight="1">
      <c r="A1749" s="326"/>
      <c r="B1749" s="326"/>
      <c r="C1749" s="329"/>
      <c r="D1749" s="81">
        <f t="shared" si="272"/>
        <v>46097</v>
      </c>
      <c r="E1749" s="140" t="str">
        <f t="shared" si="273"/>
        <v>loganworsdell</v>
      </c>
      <c r="F1749" s="8">
        <f>IFERROR(AVERAGE(Data[[#This Row],[alappatjoe]:[currydestroyer27]]), "TBD")</f>
        <v>3.2</v>
      </c>
      <c r="G1749" s="177">
        <f>IFERROR(_xlfn.STDEV.P(Data[[#This Row],[alappatjoe]:[currydestroyer27]]), "TBD")</f>
        <v>1.6</v>
      </c>
      <c r="H1749" s="135" t="s">
        <v>3375</v>
      </c>
      <c r="I1749" s="229" t="s">
        <v>2978</v>
      </c>
      <c r="J1749" s="3">
        <v>2</v>
      </c>
      <c r="K1749" s="3">
        <v>5</v>
      </c>
      <c r="L1749" s="3">
        <v>1</v>
      </c>
      <c r="M1749" s="3">
        <v>3</v>
      </c>
      <c r="N1749" s="3">
        <v>5</v>
      </c>
      <c r="O1749" s="238">
        <v>94384963</v>
      </c>
      <c r="P1749" s="93"/>
      <c r="Q1749" s="93"/>
      <c r="R17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49" s="93">
        <v>1</v>
      </c>
      <c r="T1749" s="93" t="b">
        <f>Data[[#This Row],[Day Rank]]=Data[[#This Row],[W Rank]]</f>
        <v>0</v>
      </c>
      <c r="U1749" s="323"/>
    </row>
    <row r="1750" spans="1:21" ht="15" customHeight="1">
      <c r="A1750" s="326"/>
      <c r="B1750" s="326"/>
      <c r="C1750" s="329"/>
      <c r="D1750" s="81">
        <f t="shared" si="274"/>
        <v>46097</v>
      </c>
      <c r="E1750" s="140" t="str">
        <f t="shared" si="275"/>
        <v>samuelbattista</v>
      </c>
      <c r="F1750" s="8">
        <f>IFERROR(AVERAGE(Data[[#This Row],[alappatjoe]:[currydestroyer27]]), "TBD")</f>
        <v>2.6</v>
      </c>
      <c r="G1750" s="177">
        <f>IFERROR(_xlfn.STDEV.P(Data[[#This Row],[alappatjoe]:[currydestroyer27]]), "TBD")</f>
        <v>1.019803902718557</v>
      </c>
      <c r="H1750" s="135" t="s">
        <v>3376</v>
      </c>
      <c r="I1750" s="229" t="s">
        <v>3374</v>
      </c>
      <c r="J1750" s="3">
        <v>4</v>
      </c>
      <c r="K1750" s="3">
        <v>3</v>
      </c>
      <c r="L1750" s="3">
        <v>2</v>
      </c>
      <c r="M1750" s="3">
        <v>1</v>
      </c>
      <c r="N1750" s="3">
        <v>3</v>
      </c>
      <c r="O1750" s="238"/>
      <c r="P1750" s="93"/>
      <c r="Q1750" s="93"/>
      <c r="R17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50" s="93">
        <v>1</v>
      </c>
      <c r="T1750" s="93" t="b">
        <f>Data[[#This Row],[Day Rank]]=Data[[#This Row],[W Rank]]</f>
        <v>0</v>
      </c>
      <c r="U1750" s="323"/>
    </row>
    <row r="1751" spans="1:21" ht="15" customHeight="1" thickBot="1">
      <c r="A1751" s="327"/>
      <c r="B1751" s="327"/>
      <c r="C1751" s="330"/>
      <c r="D1751" s="164">
        <f t="shared" si="276"/>
        <v>46097</v>
      </c>
      <c r="E1751" s="215" t="str">
        <f t="shared" si="277"/>
        <v>currydestroyer27</v>
      </c>
      <c r="F1751" s="165">
        <f>IFERROR(AVERAGE(Data[[#This Row],[alappatjoe]:[currydestroyer27]]), "TBD")</f>
        <v>3.4</v>
      </c>
      <c r="G1751" s="256">
        <f>IFERROR(_xlfn.STDEV.P(Data[[#This Row],[alappatjoe]:[currydestroyer27]]), "TBD")</f>
        <v>1.6248076809271921</v>
      </c>
      <c r="H1751" s="227" t="s">
        <v>3377</v>
      </c>
      <c r="I1751" s="257" t="s">
        <v>3378</v>
      </c>
      <c r="J1751" s="166">
        <v>5</v>
      </c>
      <c r="K1751" s="166">
        <v>2</v>
      </c>
      <c r="L1751" s="166">
        <v>5</v>
      </c>
      <c r="M1751" s="166">
        <v>4</v>
      </c>
      <c r="N1751" s="166">
        <v>1</v>
      </c>
      <c r="O1751" s="242">
        <v>19964771</v>
      </c>
      <c r="P1751" s="167"/>
      <c r="Q1751" s="167"/>
      <c r="R175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51" s="167">
        <v>1</v>
      </c>
      <c r="T1751" s="167" t="b">
        <f>Data[[#This Row],[Day Rank]]=Data[[#This Row],[W Rank]]</f>
        <v>0</v>
      </c>
      <c r="U1751" s="324"/>
    </row>
    <row r="1752" spans="1:21" ht="15" customHeight="1">
      <c r="A1752" s="325">
        <v>46098</v>
      </c>
      <c r="B1752" s="325"/>
      <c r="C1752" s="338" t="str" cm="1">
        <f t="array" ref="C1752">_xlfn.LET(_xlpm.matches, _xlfn._xlws.FILTER(Data[Poster], (Data[Date]=A1752)*(Data[Winner]=TRUE)), IF(ROWS(_xlpm.matches)&gt;1, "TIE", _xlpm.matches))</f>
        <v>danram</v>
      </c>
      <c r="D1752" s="147">
        <f t="shared" ref="D1752" si="282">A1752</f>
        <v>46098</v>
      </c>
      <c r="E1752" s="181" t="str">
        <f t="shared" si="269"/>
        <v>alappatjoe</v>
      </c>
      <c r="F1752" s="9">
        <f>IFERROR(AVERAGE(Data[[#This Row],[alappatjoe]:[currydestroyer27]]), "TBD")</f>
        <v>3</v>
      </c>
      <c r="G1752" s="178">
        <f>IFERROR(_xlfn.STDEV.P(Data[[#This Row],[alappatjoe]:[currydestroyer27]]), "TBD")</f>
        <v>1.6733200530681511</v>
      </c>
      <c r="H1752" s="160" t="s">
        <v>3379</v>
      </c>
      <c r="I1752" s="186" t="s">
        <v>2604</v>
      </c>
      <c r="J1752" s="3">
        <v>1</v>
      </c>
      <c r="K1752" s="3">
        <v>2</v>
      </c>
      <c r="L1752" s="3">
        <v>2</v>
      </c>
      <c r="M1752" s="3">
        <v>5</v>
      </c>
      <c r="N1752" s="3">
        <v>5</v>
      </c>
      <c r="O1752" s="238">
        <v>552462</v>
      </c>
      <c r="P1752" s="93"/>
      <c r="Q1752" s="93"/>
      <c r="R17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52" s="93">
        <v>1</v>
      </c>
      <c r="T1752" s="93" t="b">
        <f>Data[[#This Row],[Day Rank]]=Data[[#This Row],[W Rank]]</f>
        <v>0</v>
      </c>
      <c r="U1752" s="322"/>
    </row>
    <row r="1753" spans="1:21" ht="15" customHeight="1">
      <c r="A1753" s="326"/>
      <c r="B1753" s="326"/>
      <c r="C1753" s="339"/>
      <c r="D1753" s="81">
        <f t="shared" si="270"/>
        <v>46098</v>
      </c>
      <c r="E1753" s="140" t="str">
        <f t="shared" si="271"/>
        <v>danram</v>
      </c>
      <c r="F1753" s="8">
        <f>IFERROR(AVERAGE(Data[[#This Row],[alappatjoe]:[currydestroyer27]]), "TBD")</f>
        <v>2.4</v>
      </c>
      <c r="G1753" s="177">
        <f>IFERROR(_xlfn.STDEV.P(Data[[#This Row],[alappatjoe]:[currydestroyer27]]), "TBD")</f>
        <v>1.3564659966250536</v>
      </c>
      <c r="H1753" s="135" t="s">
        <v>3380</v>
      </c>
      <c r="I1753" s="229" t="s">
        <v>137</v>
      </c>
      <c r="J1753" s="3">
        <v>2</v>
      </c>
      <c r="K1753" s="3">
        <v>1</v>
      </c>
      <c r="L1753" s="3">
        <v>5</v>
      </c>
      <c r="M1753" s="3">
        <v>2</v>
      </c>
      <c r="N1753" s="3">
        <v>2</v>
      </c>
      <c r="O1753" s="238"/>
      <c r="P1753" s="93"/>
      <c r="Q1753" s="93"/>
      <c r="R17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53" s="93">
        <v>1</v>
      </c>
      <c r="T1753" s="93" t="b">
        <f>Data[[#This Row],[Day Rank]]=Data[[#This Row],[W Rank]]</f>
        <v>1</v>
      </c>
      <c r="U1753" s="323"/>
    </row>
    <row r="1754" spans="1:21" ht="15" customHeight="1">
      <c r="A1754" s="326"/>
      <c r="B1754" s="326"/>
      <c r="C1754" s="339"/>
      <c r="D1754" s="81">
        <f t="shared" si="272"/>
        <v>46098</v>
      </c>
      <c r="E1754" s="140" t="str">
        <f t="shared" si="273"/>
        <v>loganworsdell</v>
      </c>
      <c r="F1754" s="8">
        <f>IFERROR(AVERAGE(Data[[#This Row],[alappatjoe]:[currydestroyer27]]), "TBD")</f>
        <v>3.6</v>
      </c>
      <c r="G1754" s="177">
        <f>IFERROR(_xlfn.STDEV.P(Data[[#This Row],[alappatjoe]:[currydestroyer27]]), "TBD")</f>
        <v>0.4898979485566356</v>
      </c>
      <c r="H1754" s="135" t="s">
        <v>3381</v>
      </c>
      <c r="I1754" s="229" t="s">
        <v>3382</v>
      </c>
      <c r="J1754" s="3">
        <v>4</v>
      </c>
      <c r="K1754" s="3">
        <v>3</v>
      </c>
      <c r="L1754" s="3">
        <v>3</v>
      </c>
      <c r="M1754" s="3">
        <v>4</v>
      </c>
      <c r="N1754" s="3">
        <v>4</v>
      </c>
      <c r="O1754" s="238">
        <v>62353211</v>
      </c>
      <c r="P1754" s="93"/>
      <c r="Q1754" s="93"/>
      <c r="R17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54" s="93">
        <v>1</v>
      </c>
      <c r="T1754" s="93" t="b">
        <f>Data[[#This Row],[Day Rank]]=Data[[#This Row],[W Rank]]</f>
        <v>0</v>
      </c>
      <c r="U1754" s="323"/>
    </row>
    <row r="1755" spans="1:21" ht="15" customHeight="1">
      <c r="A1755" s="326"/>
      <c r="B1755" s="326"/>
      <c r="C1755" s="339"/>
      <c r="D1755" s="81">
        <f t="shared" si="274"/>
        <v>46098</v>
      </c>
      <c r="E1755" s="140" t="str">
        <f t="shared" si="275"/>
        <v>samuelbattista</v>
      </c>
      <c r="F1755" s="8">
        <f>IFERROR(AVERAGE(Data[[#This Row],[alappatjoe]:[currydestroyer27]]), "TBD")</f>
        <v>3</v>
      </c>
      <c r="G1755" s="177">
        <f>IFERROR(_xlfn.STDEV.P(Data[[#This Row],[alappatjoe]:[currydestroyer27]]), "TBD")</f>
        <v>1.0954451150103321</v>
      </c>
      <c r="H1755" s="135" t="s">
        <v>1545</v>
      </c>
      <c r="I1755" s="229" t="s">
        <v>3383</v>
      </c>
      <c r="J1755" s="3">
        <v>3</v>
      </c>
      <c r="K1755" s="3">
        <v>4</v>
      </c>
      <c r="L1755" s="3">
        <v>4</v>
      </c>
      <c r="M1755" s="3">
        <v>1</v>
      </c>
      <c r="N1755" s="3">
        <v>3</v>
      </c>
      <c r="O1755" s="238"/>
      <c r="P1755" s="93"/>
      <c r="Q1755" s="93"/>
      <c r="R17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55" s="93">
        <v>1</v>
      </c>
      <c r="T1755" s="93" t="b">
        <f>Data[[#This Row],[Day Rank]]=Data[[#This Row],[W Rank]]</f>
        <v>0</v>
      </c>
      <c r="U1755" s="323"/>
    </row>
    <row r="1756" spans="1:21" ht="15" customHeight="1" thickBot="1">
      <c r="A1756" s="327"/>
      <c r="B1756" s="327"/>
      <c r="C1756" s="340"/>
      <c r="D1756" s="164">
        <f t="shared" si="276"/>
        <v>46098</v>
      </c>
      <c r="E1756" s="215" t="str">
        <f t="shared" si="277"/>
        <v>currydestroyer27</v>
      </c>
      <c r="F1756" s="165">
        <f>IFERROR(AVERAGE(Data[[#This Row],[alappatjoe]:[currydestroyer27]]), "TBD")</f>
        <v>3</v>
      </c>
      <c r="G1756" s="256">
        <f>IFERROR(_xlfn.STDEV.P(Data[[#This Row],[alappatjoe]:[currydestroyer27]]), "TBD")</f>
        <v>1.7888543819998317</v>
      </c>
      <c r="H1756" s="227" t="s">
        <v>3384</v>
      </c>
      <c r="I1756" s="257" t="s">
        <v>166</v>
      </c>
      <c r="J1756" s="166">
        <v>5</v>
      </c>
      <c r="K1756" s="166">
        <v>5</v>
      </c>
      <c r="L1756" s="166">
        <v>1</v>
      </c>
      <c r="M1756" s="166">
        <v>3</v>
      </c>
      <c r="N1756" s="166">
        <v>1</v>
      </c>
      <c r="O1756" s="242">
        <v>146322028</v>
      </c>
      <c r="P1756" s="167"/>
      <c r="Q1756" s="167"/>
      <c r="R175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56" s="167">
        <v>1</v>
      </c>
      <c r="T1756" s="167" t="b">
        <f>Data[[#This Row],[Day Rank]]=Data[[#This Row],[W Rank]]</f>
        <v>0</v>
      </c>
      <c r="U1756" s="324"/>
    </row>
    <row r="1757" spans="1:21" ht="15" customHeight="1">
      <c r="A1757" s="325">
        <v>46099</v>
      </c>
      <c r="B1757" s="325"/>
      <c r="C1757" s="328" t="str" cm="1">
        <f t="array" ref="C1757">_xlfn.LET(_xlpm.matches, _xlfn._xlws.FILTER(Data[Poster], (Data[Date]=A1757)*(Data[Winner]=TRUE)), IF(ROWS(_xlpm.matches)&gt;1, "TIE", _xlpm.matches))</f>
        <v>alappatjoe</v>
      </c>
      <c r="D1757" s="147">
        <f t="shared" ref="D1757" si="283">A1757</f>
        <v>46099</v>
      </c>
      <c r="E1757" s="181" t="str">
        <f t="shared" si="269"/>
        <v>alappatjoe</v>
      </c>
      <c r="F1757" s="9">
        <f>IFERROR(AVERAGE(Data[[#This Row],[alappatjoe]:[currydestroyer27]]), "TBD")</f>
        <v>2.4</v>
      </c>
      <c r="G1757" s="178">
        <f>IFERROR(_xlfn.STDEV.P(Data[[#This Row],[alappatjoe]:[currydestroyer27]]), "TBD")</f>
        <v>0.8</v>
      </c>
      <c r="H1757" s="160" t="s">
        <v>1836</v>
      </c>
      <c r="I1757" s="186" t="s">
        <v>1475</v>
      </c>
      <c r="J1757" s="3">
        <v>1</v>
      </c>
      <c r="K1757" s="3">
        <v>3</v>
      </c>
      <c r="L1757" s="3">
        <v>2</v>
      </c>
      <c r="M1757" s="3">
        <v>3</v>
      </c>
      <c r="N1757" s="3">
        <v>3</v>
      </c>
      <c r="O1757" s="238">
        <v>21699476</v>
      </c>
      <c r="P1757" s="93"/>
      <c r="Q1757" s="93"/>
      <c r="R17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57" s="93">
        <v>1</v>
      </c>
      <c r="T1757" s="93" t="b">
        <f>Data[[#This Row],[Day Rank]]=Data[[#This Row],[W Rank]]</f>
        <v>1</v>
      </c>
      <c r="U1757" s="322"/>
    </row>
    <row r="1758" spans="1:21" ht="15" customHeight="1">
      <c r="A1758" s="326"/>
      <c r="B1758" s="326"/>
      <c r="C1758" s="329"/>
      <c r="D1758" s="81">
        <f t="shared" si="270"/>
        <v>46099</v>
      </c>
      <c r="E1758" s="140" t="str">
        <f t="shared" si="271"/>
        <v>danram</v>
      </c>
      <c r="F1758" s="8">
        <f>IFERROR(AVERAGE(Data[[#This Row],[alappatjoe]:[currydestroyer27]]), "TBD")</f>
        <v>2.4</v>
      </c>
      <c r="G1758" s="177">
        <f>IFERROR(_xlfn.STDEV.P(Data[[#This Row],[alappatjoe]:[currydestroyer27]]), "TBD")</f>
        <v>1.4966629547095767</v>
      </c>
      <c r="H1758" s="135" t="s">
        <v>3385</v>
      </c>
      <c r="I1758" s="229" t="s">
        <v>3294</v>
      </c>
      <c r="J1758" s="3">
        <v>3</v>
      </c>
      <c r="K1758" s="3">
        <v>1</v>
      </c>
      <c r="L1758" s="3">
        <v>5</v>
      </c>
      <c r="M1758" s="3">
        <v>1</v>
      </c>
      <c r="N1758" s="3">
        <v>2</v>
      </c>
      <c r="O1758" s="238"/>
      <c r="P1758" s="93"/>
      <c r="Q1758" s="93"/>
      <c r="R17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58" s="93">
        <v>1</v>
      </c>
      <c r="T1758" s="93" t="b">
        <f>Data[[#This Row],[Day Rank]]=Data[[#This Row],[W Rank]]</f>
        <v>0</v>
      </c>
      <c r="U1758" s="323"/>
    </row>
    <row r="1759" spans="1:21" ht="15" customHeight="1">
      <c r="A1759" s="326"/>
      <c r="B1759" s="326"/>
      <c r="C1759" s="329"/>
      <c r="D1759" s="81">
        <f t="shared" si="272"/>
        <v>46099</v>
      </c>
      <c r="E1759" s="140" t="str">
        <f t="shared" si="273"/>
        <v>loganworsdell</v>
      </c>
      <c r="F1759" s="8">
        <f>IFERROR(AVERAGE(Data[[#This Row],[alappatjoe]:[currydestroyer27]]), "TBD")</f>
        <v>2.8</v>
      </c>
      <c r="G1759" s="177">
        <f>IFERROR(_xlfn.STDEV.P(Data[[#This Row],[alappatjoe]:[currydestroyer27]]), "TBD")</f>
        <v>1.1661903789690602</v>
      </c>
      <c r="H1759" s="135" t="s">
        <v>3386</v>
      </c>
      <c r="I1759" s="229" t="s">
        <v>3387</v>
      </c>
      <c r="J1759" s="3">
        <v>2</v>
      </c>
      <c r="K1759" s="3">
        <v>4</v>
      </c>
      <c r="L1759" s="3">
        <v>3</v>
      </c>
      <c r="M1759" s="3">
        <v>4</v>
      </c>
      <c r="N1759" s="3">
        <v>1</v>
      </c>
      <c r="O1759" s="238">
        <v>40739731</v>
      </c>
      <c r="P1759" s="93"/>
      <c r="Q1759" s="93"/>
      <c r="R17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59" s="93">
        <v>1</v>
      </c>
      <c r="T1759" s="93" t="b">
        <f>Data[[#This Row],[Day Rank]]=Data[[#This Row],[W Rank]]</f>
        <v>0</v>
      </c>
      <c r="U1759" s="323"/>
    </row>
    <row r="1760" spans="1:21" ht="15" customHeight="1">
      <c r="A1760" s="326"/>
      <c r="B1760" s="326"/>
      <c r="C1760" s="329"/>
      <c r="D1760" s="81">
        <f t="shared" si="274"/>
        <v>46099</v>
      </c>
      <c r="E1760" s="140" t="str">
        <f t="shared" si="275"/>
        <v>samuelbattista</v>
      </c>
      <c r="F1760" s="8">
        <f>IFERROR(AVERAGE(Data[[#This Row],[alappatjoe]:[currydestroyer27]]), "TBD")</f>
        <v>3</v>
      </c>
      <c r="G1760" s="177">
        <f>IFERROR(_xlfn.STDEV.P(Data[[#This Row],[alappatjoe]:[currydestroyer27]]), "TBD")</f>
        <v>1.6733200530681511</v>
      </c>
      <c r="H1760" s="135" t="s">
        <v>3388</v>
      </c>
      <c r="I1760" s="229" t="s">
        <v>3389</v>
      </c>
      <c r="J1760" s="3">
        <v>5</v>
      </c>
      <c r="K1760" s="3">
        <v>2</v>
      </c>
      <c r="L1760" s="3">
        <v>1</v>
      </c>
      <c r="M1760" s="3">
        <v>2</v>
      </c>
      <c r="N1760" s="3">
        <v>5</v>
      </c>
      <c r="O1760" s="238"/>
      <c r="P1760" s="93"/>
      <c r="Q1760" s="93"/>
      <c r="R17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60" s="93">
        <v>1</v>
      </c>
      <c r="T1760" s="93" t="b">
        <f>Data[[#This Row],[Day Rank]]=Data[[#This Row],[W Rank]]</f>
        <v>0</v>
      </c>
      <c r="U1760" s="323"/>
    </row>
    <row r="1761" spans="1:21" ht="15" customHeight="1" thickBot="1">
      <c r="A1761" s="327"/>
      <c r="B1761" s="327"/>
      <c r="C1761" s="330"/>
      <c r="D1761" s="164">
        <f t="shared" si="276"/>
        <v>46099</v>
      </c>
      <c r="E1761" s="215" t="str">
        <f t="shared" si="277"/>
        <v>currydestroyer27</v>
      </c>
      <c r="F1761" s="165">
        <f>IFERROR(AVERAGE(Data[[#This Row],[alappatjoe]:[currydestroyer27]]), "TBD")</f>
        <v>4.4000000000000004</v>
      </c>
      <c r="G1761" s="256">
        <f>IFERROR(_xlfn.STDEV.P(Data[[#This Row],[alappatjoe]:[currydestroyer27]]), "TBD")</f>
        <v>0.4898979485566356</v>
      </c>
      <c r="H1761" s="227" t="s">
        <v>3390</v>
      </c>
      <c r="I1761" s="257" t="s">
        <v>3391</v>
      </c>
      <c r="J1761" s="166">
        <v>4</v>
      </c>
      <c r="K1761" s="166">
        <v>5</v>
      </c>
      <c r="L1761" s="166">
        <v>4</v>
      </c>
      <c r="M1761" s="166">
        <v>5</v>
      </c>
      <c r="N1761" s="166">
        <v>4</v>
      </c>
      <c r="O1761" s="242">
        <v>46388248</v>
      </c>
      <c r="P1761" s="167"/>
      <c r="Q1761" s="167"/>
      <c r="R176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61" s="167">
        <v>1</v>
      </c>
      <c r="T1761" s="167" t="b">
        <f>Data[[#This Row],[Day Rank]]=Data[[#This Row],[W Rank]]</f>
        <v>0</v>
      </c>
      <c r="U1761" s="324"/>
    </row>
    <row r="1762" spans="1:21" ht="15" customHeight="1">
      <c r="A1762" s="325">
        <v>46100</v>
      </c>
      <c r="B1762" s="325"/>
      <c r="C1762" s="338" t="str" cm="1">
        <f t="array" ref="C1762">_xlfn.LET(_xlpm.matches, _xlfn._xlws.FILTER(Data[Poster], (Data[Date]=A1762)*(Data[Winner]=TRUE)), IF(ROWS(_xlpm.matches)&gt;1, "TIE", _xlpm.matches))</f>
        <v>loganworsdell</v>
      </c>
      <c r="D1762" s="147">
        <f t="shared" ref="D1762" si="284">A1762</f>
        <v>46100</v>
      </c>
      <c r="E1762" s="181" t="str">
        <f t="shared" si="269"/>
        <v>alappatjoe</v>
      </c>
      <c r="F1762" s="9">
        <f>IFERROR(AVERAGE(Data[[#This Row],[alappatjoe]:[currydestroyer27]]), "TBD")</f>
        <v>3.2</v>
      </c>
      <c r="G1762" s="178">
        <f>IFERROR(_xlfn.STDEV.P(Data[[#This Row],[alappatjoe]:[currydestroyer27]]), "TBD")</f>
        <v>1.3266499161421599</v>
      </c>
      <c r="H1762" s="160" t="s">
        <v>3392</v>
      </c>
      <c r="I1762" s="186" t="s">
        <v>3393</v>
      </c>
      <c r="J1762" s="3">
        <v>1</v>
      </c>
      <c r="K1762" s="3">
        <v>5</v>
      </c>
      <c r="L1762" s="3">
        <v>4</v>
      </c>
      <c r="M1762" s="3">
        <v>3</v>
      </c>
      <c r="N1762" s="3">
        <v>3</v>
      </c>
      <c r="O1762" s="238">
        <v>148630997</v>
      </c>
      <c r="P1762" s="93"/>
      <c r="Q1762" s="93"/>
      <c r="R17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62" s="93">
        <v>1</v>
      </c>
      <c r="T1762" s="93" t="b">
        <f>Data[[#This Row],[Day Rank]]=Data[[#This Row],[W Rank]]</f>
        <v>0</v>
      </c>
      <c r="U1762" s="322" t="s">
        <v>3394</v>
      </c>
    </row>
    <row r="1763" spans="1:21" ht="15" customHeight="1">
      <c r="A1763" s="326"/>
      <c r="B1763" s="326"/>
      <c r="C1763" s="339"/>
      <c r="D1763" s="81">
        <f t="shared" si="270"/>
        <v>46100</v>
      </c>
      <c r="E1763" s="140" t="str">
        <f t="shared" si="271"/>
        <v>danram</v>
      </c>
      <c r="F1763" s="8">
        <f>IFERROR(AVERAGE(Data[[#This Row],[alappatjoe]:[currydestroyer27]]), "TBD")</f>
        <v>4.4000000000000004</v>
      </c>
      <c r="G1763" s="177">
        <f>IFERROR(_xlfn.STDEV.P(Data[[#This Row],[alappatjoe]:[currydestroyer27]]), "TBD")</f>
        <v>0.8</v>
      </c>
      <c r="H1763" s="135" t="s">
        <v>3395</v>
      </c>
      <c r="I1763" s="229" t="s">
        <v>3396</v>
      </c>
      <c r="J1763" s="3">
        <v>5</v>
      </c>
      <c r="K1763" s="3">
        <v>4</v>
      </c>
      <c r="L1763" s="3">
        <v>3</v>
      </c>
      <c r="M1763" s="3">
        <v>5</v>
      </c>
      <c r="N1763" s="3">
        <v>5</v>
      </c>
      <c r="O1763" s="238"/>
      <c r="P1763" s="93"/>
      <c r="Q1763" s="93"/>
      <c r="R17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63" s="93">
        <v>1</v>
      </c>
      <c r="T1763" s="93" t="b">
        <f>Data[[#This Row],[Day Rank]]=Data[[#This Row],[W Rank]]</f>
        <v>0</v>
      </c>
      <c r="U1763" s="323"/>
    </row>
    <row r="1764" spans="1:21" ht="15" customHeight="1">
      <c r="A1764" s="326"/>
      <c r="B1764" s="326"/>
      <c r="C1764" s="339"/>
      <c r="D1764" s="81">
        <f t="shared" si="272"/>
        <v>46100</v>
      </c>
      <c r="E1764" s="140" t="str">
        <f t="shared" si="273"/>
        <v>loganworsdell</v>
      </c>
      <c r="F1764" s="8">
        <f>IFERROR(AVERAGE(Data[[#This Row],[alappatjoe]:[currydestroyer27]]), "TBD")</f>
        <v>2.2000000000000002</v>
      </c>
      <c r="G1764" s="177">
        <f>IFERROR(_xlfn.STDEV.P(Data[[#This Row],[alappatjoe]:[currydestroyer27]]), "TBD")</f>
        <v>0.4</v>
      </c>
      <c r="H1764" s="135" t="s">
        <v>3397</v>
      </c>
      <c r="I1764" s="229" t="s">
        <v>1621</v>
      </c>
      <c r="J1764" s="3">
        <v>3</v>
      </c>
      <c r="K1764" s="3">
        <v>2</v>
      </c>
      <c r="L1764" s="3">
        <v>2</v>
      </c>
      <c r="M1764" s="3">
        <v>2</v>
      </c>
      <c r="N1764" s="3">
        <v>2</v>
      </c>
      <c r="O1764" s="238">
        <v>126098751</v>
      </c>
      <c r="P1764" s="93"/>
      <c r="Q1764" s="93"/>
      <c r="R17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64" s="93">
        <v>1</v>
      </c>
      <c r="T1764" s="93" t="b">
        <f>Data[[#This Row],[Day Rank]]=Data[[#This Row],[W Rank]]</f>
        <v>1</v>
      </c>
      <c r="U1764" s="323"/>
    </row>
    <row r="1765" spans="1:21" ht="15" customHeight="1">
      <c r="A1765" s="326"/>
      <c r="B1765" s="326"/>
      <c r="C1765" s="339"/>
      <c r="D1765" s="81">
        <f t="shared" si="274"/>
        <v>46100</v>
      </c>
      <c r="E1765" s="140" t="str">
        <f t="shared" si="275"/>
        <v>samuelbattista</v>
      </c>
      <c r="F1765" s="8">
        <f>IFERROR(AVERAGE(Data[[#This Row],[alappatjoe]:[currydestroyer27]]), "TBD")</f>
        <v>3</v>
      </c>
      <c r="G1765" s="177">
        <f>IFERROR(_xlfn.STDEV.P(Data[[#This Row],[alappatjoe]:[currydestroyer27]]), "TBD")</f>
        <v>1.4142135623730951</v>
      </c>
      <c r="H1765" s="135" t="s">
        <v>3398</v>
      </c>
      <c r="I1765" s="229" t="s">
        <v>3399</v>
      </c>
      <c r="J1765" s="3">
        <v>2</v>
      </c>
      <c r="K1765" s="3">
        <v>3</v>
      </c>
      <c r="L1765" s="3">
        <v>5</v>
      </c>
      <c r="M1765" s="3">
        <v>1</v>
      </c>
      <c r="N1765" s="3">
        <v>4</v>
      </c>
      <c r="O1765" s="238"/>
      <c r="P1765" s="93"/>
      <c r="Q1765" s="93"/>
      <c r="R17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65" s="93">
        <v>1</v>
      </c>
      <c r="T1765" s="93" t="b">
        <f>Data[[#This Row],[Day Rank]]=Data[[#This Row],[W Rank]]</f>
        <v>0</v>
      </c>
      <c r="U1765" s="323"/>
    </row>
    <row r="1766" spans="1:21" ht="15" customHeight="1" thickBot="1">
      <c r="A1766" s="327"/>
      <c r="B1766" s="327"/>
      <c r="C1766" s="340"/>
      <c r="D1766" s="164">
        <f t="shared" si="276"/>
        <v>46100</v>
      </c>
      <c r="E1766" s="215" t="str">
        <f t="shared" si="277"/>
        <v>currydestroyer27</v>
      </c>
      <c r="F1766" s="165">
        <f>IFERROR(AVERAGE(Data[[#This Row],[alappatjoe]:[currydestroyer27]]), "TBD")</f>
        <v>2.2000000000000002</v>
      </c>
      <c r="G1766" s="256">
        <f>IFERROR(_xlfn.STDEV.P(Data[[#This Row],[alappatjoe]:[currydestroyer27]]), "TBD")</f>
        <v>1.4696938456699069</v>
      </c>
      <c r="H1766" s="227" t="s">
        <v>3400</v>
      </c>
      <c r="I1766" s="257" t="s">
        <v>3401</v>
      </c>
      <c r="J1766" s="166">
        <v>4</v>
      </c>
      <c r="K1766" s="166">
        <v>1</v>
      </c>
      <c r="L1766" s="166">
        <v>1</v>
      </c>
      <c r="M1766" s="166">
        <v>4</v>
      </c>
      <c r="N1766" s="166">
        <v>1</v>
      </c>
      <c r="O1766" s="242">
        <v>13741081</v>
      </c>
      <c r="P1766" s="167"/>
      <c r="Q1766" s="167"/>
      <c r="R176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66" s="167">
        <v>1</v>
      </c>
      <c r="T1766" s="167" t="b">
        <f>Data[[#This Row],[Day Rank]]=Data[[#This Row],[W Rank]]</f>
        <v>0</v>
      </c>
      <c r="U1766" s="324"/>
    </row>
    <row r="1767" spans="1:21" ht="15" customHeight="1">
      <c r="A1767" s="325">
        <v>46104</v>
      </c>
      <c r="B1767" s="325"/>
      <c r="C1767" s="328" t="str" cm="1">
        <f t="array" ref="C1767">_xlfn.LET(_xlpm.matches, _xlfn._xlws.FILTER(Data[Poster], (Data[Date]=A1767)*(Data[Winner]=TRUE)), IF(ROWS(_xlpm.matches)&gt;1, "TIE", _xlpm.matches))</f>
        <v>danram</v>
      </c>
      <c r="D1767" s="147">
        <f t="shared" ref="D1767" si="285">A1767</f>
        <v>46104</v>
      </c>
      <c r="E1767" s="181" t="str">
        <f t="shared" ref="E1767:E1802" si="286">$J$1</f>
        <v>alappatjoe</v>
      </c>
      <c r="F1767" s="9">
        <f>IFERROR(AVERAGE(Data[[#This Row],[alappatjoe]:[currydestroyer27]]), "TBD")</f>
        <v>2.6</v>
      </c>
      <c r="G1767" s="178">
        <f>IFERROR(_xlfn.STDEV.P(Data[[#This Row],[alappatjoe]:[currydestroyer27]]), "TBD")</f>
        <v>1.019803902718557</v>
      </c>
      <c r="H1767" s="160" t="s">
        <v>3402</v>
      </c>
      <c r="I1767" s="186" t="s">
        <v>3403</v>
      </c>
      <c r="J1767" s="3">
        <v>1</v>
      </c>
      <c r="K1767" s="3">
        <v>3</v>
      </c>
      <c r="L1767" s="3">
        <v>2</v>
      </c>
      <c r="M1767" s="3">
        <v>3</v>
      </c>
      <c r="N1767" s="3">
        <v>4</v>
      </c>
      <c r="O1767" s="238">
        <v>15691</v>
      </c>
      <c r="P1767" s="93"/>
      <c r="Q1767" s="93"/>
      <c r="R17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67" s="93">
        <v>1</v>
      </c>
      <c r="T1767" s="93" t="b">
        <f>Data[[#This Row],[Day Rank]]=Data[[#This Row],[W Rank]]</f>
        <v>0</v>
      </c>
      <c r="U1767" s="322"/>
    </row>
    <row r="1768" spans="1:21" ht="15" customHeight="1">
      <c r="A1768" s="326"/>
      <c r="B1768" s="326"/>
      <c r="C1768" s="329"/>
      <c r="D1768" s="81">
        <f t="shared" ref="D1768:D1803" si="287">D1767</f>
        <v>46104</v>
      </c>
      <c r="E1768" s="140" t="str">
        <f t="shared" ref="E1768:E1803" si="288">$K$1</f>
        <v>danram</v>
      </c>
      <c r="F1768" s="8">
        <f>IFERROR(AVERAGE(Data[[#This Row],[alappatjoe]:[currydestroyer27]]), "TBD")</f>
        <v>1.6</v>
      </c>
      <c r="G1768" s="177">
        <f>IFERROR(_xlfn.STDEV.P(Data[[#This Row],[alappatjoe]:[currydestroyer27]]), "TBD")</f>
        <v>0.4898979485566356</v>
      </c>
      <c r="H1768" s="135" t="s">
        <v>3404</v>
      </c>
      <c r="I1768" s="229" t="s">
        <v>657</v>
      </c>
      <c r="J1768" s="3">
        <v>2</v>
      </c>
      <c r="K1768" s="3">
        <v>1</v>
      </c>
      <c r="L1768" s="3">
        <v>1</v>
      </c>
      <c r="M1768" s="3">
        <v>2</v>
      </c>
      <c r="N1768" s="3">
        <v>2</v>
      </c>
      <c r="O1768" s="238"/>
      <c r="P1768" s="93"/>
      <c r="Q1768" s="93"/>
      <c r="R17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68" s="93">
        <v>1</v>
      </c>
      <c r="T1768" s="93" t="b">
        <f>Data[[#This Row],[Day Rank]]=Data[[#This Row],[W Rank]]</f>
        <v>1</v>
      </c>
      <c r="U1768" s="323"/>
    </row>
    <row r="1769" spans="1:21" ht="15" customHeight="1">
      <c r="A1769" s="326"/>
      <c r="B1769" s="326"/>
      <c r="C1769" s="329"/>
      <c r="D1769" s="81">
        <f t="shared" ref="D1769:D1804" si="289">D1767</f>
        <v>46104</v>
      </c>
      <c r="E1769" s="140" t="str">
        <f t="shared" ref="E1769:E1804" si="290">$L$1</f>
        <v>loganworsdell</v>
      </c>
      <c r="F1769" s="8">
        <f>IFERROR(AVERAGE(Data[[#This Row],[alappatjoe]:[currydestroyer27]]), "TBD")</f>
        <v>3.6</v>
      </c>
      <c r="G1769" s="177">
        <f>IFERROR(_xlfn.STDEV.P(Data[[#This Row],[alappatjoe]:[currydestroyer27]]), "TBD")</f>
        <v>0.8</v>
      </c>
      <c r="H1769" s="135" t="s">
        <v>3405</v>
      </c>
      <c r="I1769" s="229" t="s">
        <v>3406</v>
      </c>
      <c r="J1769" s="3">
        <v>3</v>
      </c>
      <c r="K1769" s="3">
        <v>4</v>
      </c>
      <c r="L1769" s="3">
        <v>3</v>
      </c>
      <c r="M1769" s="3">
        <v>5</v>
      </c>
      <c r="N1769" s="3">
        <v>3</v>
      </c>
      <c r="O1769" s="238">
        <v>37039781</v>
      </c>
      <c r="P1769" s="93"/>
      <c r="Q1769" s="93"/>
      <c r="R17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69" s="93">
        <v>1</v>
      </c>
      <c r="T1769" s="93" t="b">
        <f>Data[[#This Row],[Day Rank]]=Data[[#This Row],[W Rank]]</f>
        <v>0</v>
      </c>
      <c r="U1769" s="323"/>
    </row>
    <row r="1770" spans="1:21" ht="15" customHeight="1">
      <c r="A1770" s="326"/>
      <c r="B1770" s="326"/>
      <c r="C1770" s="329"/>
      <c r="D1770" s="81">
        <f t="shared" ref="D1770:D1805" si="291">D1767</f>
        <v>46104</v>
      </c>
      <c r="E1770" s="140" t="str">
        <f t="shared" ref="E1770:E1805" si="292">$M$1</f>
        <v>samuelbattista</v>
      </c>
      <c r="F1770" s="8">
        <f>IFERROR(AVERAGE(Data[[#This Row],[alappatjoe]:[currydestroyer27]]), "TBD")</f>
        <v>3.8</v>
      </c>
      <c r="G1770" s="177">
        <f>IFERROR(_xlfn.STDEV.P(Data[[#This Row],[alappatjoe]:[currydestroyer27]]), "TBD")</f>
        <v>1.4696938456699069</v>
      </c>
      <c r="H1770" s="135" t="s">
        <v>3407</v>
      </c>
      <c r="I1770" s="229" t="s">
        <v>3408</v>
      </c>
      <c r="J1770" s="3">
        <v>4</v>
      </c>
      <c r="K1770" s="3">
        <v>5</v>
      </c>
      <c r="L1770" s="3">
        <v>4</v>
      </c>
      <c r="M1770" s="3">
        <v>1</v>
      </c>
      <c r="N1770" s="3">
        <v>5</v>
      </c>
      <c r="O1770" s="238"/>
      <c r="P1770" s="93"/>
      <c r="Q1770" s="93"/>
      <c r="R17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70" s="93">
        <v>1</v>
      </c>
      <c r="T1770" s="93" t="b">
        <f>Data[[#This Row],[Day Rank]]=Data[[#This Row],[W Rank]]</f>
        <v>0</v>
      </c>
      <c r="U1770" s="323"/>
    </row>
    <row r="1771" spans="1:21" ht="15" customHeight="1" thickBot="1">
      <c r="A1771" s="327"/>
      <c r="B1771" s="327"/>
      <c r="C1771" s="330"/>
      <c r="D1771" s="164">
        <f t="shared" ref="D1771:D1806" si="293">D1767</f>
        <v>46104</v>
      </c>
      <c r="E1771" s="215" t="str">
        <f t="shared" ref="E1771:E1806" si="294">$N$1</f>
        <v>currydestroyer27</v>
      </c>
      <c r="F1771" s="165">
        <f>IFERROR(AVERAGE(Data[[#This Row],[alappatjoe]:[currydestroyer27]]), "TBD")</f>
        <v>3.4</v>
      </c>
      <c r="G1771" s="256">
        <f>IFERROR(_xlfn.STDEV.P(Data[[#This Row],[alappatjoe]:[currydestroyer27]]), "TBD")</f>
        <v>1.6248076809271921</v>
      </c>
      <c r="H1771" s="227" t="s">
        <v>3409</v>
      </c>
      <c r="I1771" s="257" t="s">
        <v>3410</v>
      </c>
      <c r="J1771" s="166">
        <v>5</v>
      </c>
      <c r="K1771" s="166">
        <v>2</v>
      </c>
      <c r="L1771" s="166">
        <v>5</v>
      </c>
      <c r="M1771" s="166">
        <v>4</v>
      </c>
      <c r="N1771" s="166">
        <v>1</v>
      </c>
      <c r="O1771" s="242">
        <v>124162146</v>
      </c>
      <c r="P1771" s="167"/>
      <c r="Q1771" s="167"/>
      <c r="R177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71" s="167">
        <v>1</v>
      </c>
      <c r="T1771" s="167" t="b">
        <f>Data[[#This Row],[Day Rank]]=Data[[#This Row],[W Rank]]</f>
        <v>0</v>
      </c>
      <c r="U1771" s="324"/>
    </row>
    <row r="1772" spans="1:21" ht="15" customHeight="1">
      <c r="A1772" s="325">
        <v>46105</v>
      </c>
      <c r="B1772" s="325"/>
      <c r="C1772" s="338" t="str" cm="1">
        <f t="array" ref="C1772">_xlfn.LET(_xlpm.matches, _xlfn._xlws.FILTER(Data[Poster], (Data[Date]=A1772)*(Data[Winner]=TRUE)), IF(ROWS(_xlpm.matches)&gt;1, "TIE", _xlpm.matches))</f>
        <v>alappatjoe</v>
      </c>
      <c r="D1772" s="147">
        <f t="shared" ref="D1772" si="295">A1772</f>
        <v>46105</v>
      </c>
      <c r="E1772" s="181" t="str">
        <f t="shared" si="286"/>
        <v>alappatjoe</v>
      </c>
      <c r="F1772" s="9">
        <f>IFERROR(AVERAGE(Data[[#This Row],[alappatjoe]:[currydestroyer27]]), "TBD")</f>
        <v>2.4</v>
      </c>
      <c r="G1772" s="178">
        <f>IFERROR(_xlfn.STDEV.P(Data[[#This Row],[alappatjoe]:[currydestroyer27]]), "TBD")</f>
        <v>1.3564659966250536</v>
      </c>
      <c r="H1772" s="160" t="s">
        <v>3411</v>
      </c>
      <c r="I1772" s="186" t="s">
        <v>3412</v>
      </c>
      <c r="J1772" s="3">
        <v>1</v>
      </c>
      <c r="K1772" s="3">
        <v>4</v>
      </c>
      <c r="L1772" s="3">
        <v>1</v>
      </c>
      <c r="M1772" s="3">
        <v>2</v>
      </c>
      <c r="N1772" s="3">
        <v>4</v>
      </c>
      <c r="O1772" s="238">
        <v>104044</v>
      </c>
      <c r="P1772" s="93"/>
      <c r="Q1772" s="93"/>
      <c r="R17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72" s="93">
        <v>1</v>
      </c>
      <c r="T1772" s="93" t="b">
        <f>Data[[#This Row],[Day Rank]]=Data[[#This Row],[W Rank]]</f>
        <v>1</v>
      </c>
      <c r="U1772" s="322"/>
    </row>
    <row r="1773" spans="1:21" ht="15" customHeight="1">
      <c r="A1773" s="326"/>
      <c r="B1773" s="326"/>
      <c r="C1773" s="339"/>
      <c r="D1773" s="81">
        <f t="shared" si="287"/>
        <v>46105</v>
      </c>
      <c r="E1773" s="140" t="str">
        <f t="shared" si="288"/>
        <v>danram</v>
      </c>
      <c r="F1773" s="8">
        <f>IFERROR(AVERAGE(Data[[#This Row],[alappatjoe]:[currydestroyer27]]), "TBD")</f>
        <v>2.8</v>
      </c>
      <c r="G1773" s="177">
        <f>IFERROR(_xlfn.STDEV.P(Data[[#This Row],[alappatjoe]:[currydestroyer27]]), "TBD")</f>
        <v>0.4</v>
      </c>
      <c r="H1773" s="135" t="s">
        <v>3413</v>
      </c>
      <c r="I1773" s="229" t="s">
        <v>657</v>
      </c>
      <c r="J1773" s="3">
        <v>2</v>
      </c>
      <c r="K1773" s="3">
        <v>3</v>
      </c>
      <c r="L1773" s="3">
        <v>3</v>
      </c>
      <c r="M1773" s="3">
        <v>3</v>
      </c>
      <c r="N1773" s="3">
        <v>3</v>
      </c>
      <c r="O1773" s="238"/>
      <c r="P1773" s="93"/>
      <c r="Q1773" s="93"/>
      <c r="R17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73" s="93">
        <v>1</v>
      </c>
      <c r="T1773" s="93" t="b">
        <f>Data[[#This Row],[Day Rank]]=Data[[#This Row],[W Rank]]</f>
        <v>0</v>
      </c>
      <c r="U1773" s="323"/>
    </row>
    <row r="1774" spans="1:21" ht="15" customHeight="1">
      <c r="A1774" s="326"/>
      <c r="B1774" s="326"/>
      <c r="C1774" s="339"/>
      <c r="D1774" s="81">
        <f t="shared" si="289"/>
        <v>46105</v>
      </c>
      <c r="E1774" s="140" t="str">
        <f t="shared" si="290"/>
        <v>loganworsdell</v>
      </c>
      <c r="F1774" s="8">
        <f>IFERROR(AVERAGE(Data[[#This Row],[alappatjoe]:[currydestroyer27]]), "TBD")</f>
        <v>4.4000000000000004</v>
      </c>
      <c r="G1774" s="177">
        <f>IFERROR(_xlfn.STDEV.P(Data[[#This Row],[alappatjoe]:[currydestroyer27]]), "TBD")</f>
        <v>1.2</v>
      </c>
      <c r="H1774" s="135" t="s">
        <v>3414</v>
      </c>
      <c r="I1774" s="229" t="s">
        <v>1302</v>
      </c>
      <c r="J1774" s="3">
        <v>5</v>
      </c>
      <c r="K1774" s="3">
        <v>5</v>
      </c>
      <c r="L1774" s="3">
        <v>2</v>
      </c>
      <c r="M1774" s="3">
        <v>5</v>
      </c>
      <c r="N1774" s="3">
        <v>5</v>
      </c>
      <c r="O1774" s="238">
        <v>11869636</v>
      </c>
      <c r="P1774" s="93"/>
      <c r="Q1774" s="93"/>
      <c r="R17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74" s="93">
        <v>1</v>
      </c>
      <c r="T1774" s="93" t="b">
        <f>Data[[#This Row],[Day Rank]]=Data[[#This Row],[W Rank]]</f>
        <v>0</v>
      </c>
      <c r="U1774" s="323"/>
    </row>
    <row r="1775" spans="1:21" ht="15" customHeight="1">
      <c r="A1775" s="326"/>
      <c r="B1775" s="326"/>
      <c r="C1775" s="339"/>
      <c r="D1775" s="81">
        <f t="shared" si="291"/>
        <v>46105</v>
      </c>
      <c r="E1775" s="140" t="str">
        <f t="shared" si="292"/>
        <v>samuelbattista</v>
      </c>
      <c r="F1775" s="8">
        <f>IFERROR(AVERAGE(Data[[#This Row],[alappatjoe]:[currydestroyer27]]), "TBD")</f>
        <v>2.8</v>
      </c>
      <c r="G1775" s="177">
        <f>IFERROR(_xlfn.STDEV.P(Data[[#This Row],[alappatjoe]:[currydestroyer27]]), "TBD")</f>
        <v>1.4696938456699069</v>
      </c>
      <c r="H1775" s="135" t="s">
        <v>3415</v>
      </c>
      <c r="I1775" s="229" t="s">
        <v>367</v>
      </c>
      <c r="J1775" s="3">
        <v>4</v>
      </c>
      <c r="K1775" s="3">
        <v>2</v>
      </c>
      <c r="L1775" s="3">
        <v>5</v>
      </c>
      <c r="M1775" s="3">
        <v>1</v>
      </c>
      <c r="N1775" s="3">
        <v>2</v>
      </c>
      <c r="O1775" s="238"/>
      <c r="P1775" s="93"/>
      <c r="Q1775" s="93"/>
      <c r="R17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75" s="93">
        <v>1</v>
      </c>
      <c r="T1775" s="93" t="b">
        <f>Data[[#This Row],[Day Rank]]=Data[[#This Row],[W Rank]]</f>
        <v>0</v>
      </c>
      <c r="U1775" s="323"/>
    </row>
    <row r="1776" spans="1:21" ht="15" customHeight="1" thickBot="1">
      <c r="A1776" s="327"/>
      <c r="B1776" s="327"/>
      <c r="C1776" s="340"/>
      <c r="D1776" s="164">
        <f t="shared" si="293"/>
        <v>46105</v>
      </c>
      <c r="E1776" s="215" t="str">
        <f t="shared" si="294"/>
        <v>currydestroyer27</v>
      </c>
      <c r="F1776" s="165">
        <f>IFERROR(AVERAGE(Data[[#This Row],[alappatjoe]:[currydestroyer27]]), "TBD")</f>
        <v>2.6</v>
      </c>
      <c r="G1776" s="256">
        <f>IFERROR(_xlfn.STDEV.P(Data[[#This Row],[alappatjoe]:[currydestroyer27]]), "TBD")</f>
        <v>1.3564659966250536</v>
      </c>
      <c r="H1776" s="227" t="s">
        <v>2240</v>
      </c>
      <c r="I1776" s="257" t="s">
        <v>3416</v>
      </c>
      <c r="J1776" s="166">
        <v>3</v>
      </c>
      <c r="K1776" s="166">
        <v>1</v>
      </c>
      <c r="L1776" s="166">
        <v>4</v>
      </c>
      <c r="M1776" s="166">
        <v>4</v>
      </c>
      <c r="N1776" s="166">
        <v>1</v>
      </c>
      <c r="O1776" s="242">
        <v>67833731</v>
      </c>
      <c r="P1776" s="167"/>
      <c r="Q1776" s="167"/>
      <c r="R177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76" s="167">
        <v>1</v>
      </c>
      <c r="T1776" s="167" t="b">
        <f>Data[[#This Row],[Day Rank]]=Data[[#This Row],[W Rank]]</f>
        <v>0</v>
      </c>
      <c r="U1776" s="324"/>
    </row>
    <row r="1777" spans="1:21" ht="15" customHeight="1">
      <c r="A1777" s="325">
        <v>46106</v>
      </c>
      <c r="B1777" s="325"/>
      <c r="C1777" s="328" t="str" cm="1">
        <f t="array" ref="C1777">_xlfn.LET(_xlpm.matches, _xlfn._xlws.FILTER(Data[Poster], (Data[Date]=A1777)*(Data[Winner]=TRUE)), IF(ROWS(_xlpm.matches)&gt;1, "TIE", _xlpm.matches))</f>
        <v>samuelbattista</v>
      </c>
      <c r="D1777" s="147">
        <f t="shared" ref="D1777" si="296">A1777</f>
        <v>46106</v>
      </c>
      <c r="E1777" s="181" t="str">
        <f t="shared" si="286"/>
        <v>alappatjoe</v>
      </c>
      <c r="F1777" s="9">
        <f>IFERROR(AVERAGE(Data[[#This Row],[alappatjoe]:[currydestroyer27]]), "TBD")</f>
        <v>3.6</v>
      </c>
      <c r="G1777" s="178">
        <f>IFERROR(_xlfn.STDEV.P(Data[[#This Row],[alappatjoe]:[currydestroyer27]]), "TBD")</f>
        <v>1.3564659966250536</v>
      </c>
      <c r="H1777" s="160" t="s">
        <v>3417</v>
      </c>
      <c r="I1777" s="186" t="s">
        <v>3056</v>
      </c>
      <c r="J1777" s="3">
        <v>1</v>
      </c>
      <c r="K1777" s="3">
        <v>5</v>
      </c>
      <c r="L1777" s="3">
        <v>4</v>
      </c>
      <c r="M1777" s="3">
        <v>4</v>
      </c>
      <c r="N1777" s="3">
        <v>4</v>
      </c>
      <c r="O1777" s="238">
        <v>1312985</v>
      </c>
      <c r="P1777" s="93"/>
      <c r="Q1777" s="93"/>
      <c r="R17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77" s="93">
        <v>1</v>
      </c>
      <c r="T1777" s="93" t="b">
        <f>Data[[#This Row],[Day Rank]]=Data[[#This Row],[W Rank]]</f>
        <v>0</v>
      </c>
      <c r="U1777" s="322"/>
    </row>
    <row r="1778" spans="1:21" ht="15" customHeight="1">
      <c r="A1778" s="326"/>
      <c r="B1778" s="326"/>
      <c r="C1778" s="329"/>
      <c r="D1778" s="81">
        <f t="shared" si="287"/>
        <v>46106</v>
      </c>
      <c r="E1778" s="140" t="str">
        <f t="shared" si="288"/>
        <v>danram</v>
      </c>
      <c r="F1778" s="8">
        <f>IFERROR(AVERAGE(Data[[#This Row],[alappatjoe]:[currydestroyer27]]), "TBD")</f>
        <v>2.4</v>
      </c>
      <c r="G1778" s="177">
        <f>IFERROR(_xlfn.STDEV.P(Data[[#This Row],[alappatjoe]:[currydestroyer27]]), "TBD")</f>
        <v>1.2</v>
      </c>
      <c r="H1778" s="135" t="s">
        <v>3418</v>
      </c>
      <c r="I1778" s="229" t="s">
        <v>1419</v>
      </c>
      <c r="J1778" s="3">
        <v>4</v>
      </c>
      <c r="K1778" s="3">
        <v>1</v>
      </c>
      <c r="L1778" s="3">
        <v>1</v>
      </c>
      <c r="M1778" s="3">
        <v>3</v>
      </c>
      <c r="N1778" s="3">
        <v>3</v>
      </c>
      <c r="O1778" s="238">
        <v>3096931516</v>
      </c>
      <c r="P1778" s="93"/>
      <c r="Q1778" s="93"/>
      <c r="R17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78" s="93">
        <v>1</v>
      </c>
      <c r="T1778" s="93" t="b">
        <f>Data[[#This Row],[Day Rank]]=Data[[#This Row],[W Rank]]</f>
        <v>0</v>
      </c>
      <c r="U1778" s="323"/>
    </row>
    <row r="1779" spans="1:21" ht="15" customHeight="1">
      <c r="A1779" s="326"/>
      <c r="B1779" s="326"/>
      <c r="C1779" s="329"/>
      <c r="D1779" s="81">
        <f t="shared" si="289"/>
        <v>46106</v>
      </c>
      <c r="E1779" s="140" t="str">
        <f t="shared" si="290"/>
        <v>loganworsdell</v>
      </c>
      <c r="F1779" s="8">
        <f>IFERROR(AVERAGE(Data[[#This Row],[alappatjoe]:[currydestroyer27]]), "TBD")</f>
        <v>4</v>
      </c>
      <c r="G1779" s="177">
        <f>IFERROR(_xlfn.STDEV.P(Data[[#This Row],[alappatjoe]:[currydestroyer27]]), "TBD")</f>
        <v>1.2649110640673518</v>
      </c>
      <c r="H1779" s="135" t="s">
        <v>3419</v>
      </c>
      <c r="I1779" s="229" t="s">
        <v>3420</v>
      </c>
      <c r="J1779" s="3">
        <v>5</v>
      </c>
      <c r="K1779" s="3">
        <v>3</v>
      </c>
      <c r="L1779" s="3">
        <v>2</v>
      </c>
      <c r="M1779" s="3">
        <v>5</v>
      </c>
      <c r="N1779" s="3">
        <v>5</v>
      </c>
      <c r="O1779" s="238">
        <v>1932257</v>
      </c>
      <c r="P1779" s="93"/>
      <c r="Q1779" s="93"/>
      <c r="R17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79" s="93">
        <v>1</v>
      </c>
      <c r="T1779" s="93" t="b">
        <f>Data[[#This Row],[Day Rank]]=Data[[#This Row],[W Rank]]</f>
        <v>0</v>
      </c>
      <c r="U1779" s="323"/>
    </row>
    <row r="1780" spans="1:21" ht="15" customHeight="1">
      <c r="A1780" s="326"/>
      <c r="B1780" s="326"/>
      <c r="C1780" s="329"/>
      <c r="D1780" s="81">
        <f t="shared" si="291"/>
        <v>46106</v>
      </c>
      <c r="E1780" s="140" t="str">
        <f t="shared" si="292"/>
        <v>samuelbattista</v>
      </c>
      <c r="F1780" s="8">
        <f>IFERROR(AVERAGE(Data[[#This Row],[alappatjoe]:[currydestroyer27]]), "TBD")</f>
        <v>2.2000000000000002</v>
      </c>
      <c r="G1780" s="177">
        <f>IFERROR(_xlfn.STDEV.P(Data[[#This Row],[alappatjoe]:[currydestroyer27]]), "TBD")</f>
        <v>0.4</v>
      </c>
      <c r="H1780" s="135" t="s">
        <v>3421</v>
      </c>
      <c r="I1780" s="229" t="s">
        <v>3422</v>
      </c>
      <c r="J1780" s="3">
        <v>2</v>
      </c>
      <c r="K1780" s="3">
        <v>2</v>
      </c>
      <c r="L1780" s="3">
        <v>3</v>
      </c>
      <c r="M1780" s="3">
        <v>2</v>
      </c>
      <c r="N1780" s="3">
        <v>2</v>
      </c>
      <c r="O1780" s="238"/>
      <c r="P1780" s="93"/>
      <c r="Q1780" s="93"/>
      <c r="R17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80" s="93">
        <v>1</v>
      </c>
      <c r="T1780" s="93" t="b">
        <f>Data[[#This Row],[Day Rank]]=Data[[#This Row],[W Rank]]</f>
        <v>1</v>
      </c>
      <c r="U1780" s="323"/>
    </row>
    <row r="1781" spans="1:21" ht="15" customHeight="1" thickBot="1">
      <c r="A1781" s="327"/>
      <c r="B1781" s="327"/>
      <c r="C1781" s="330"/>
      <c r="D1781" s="164">
        <f t="shared" si="293"/>
        <v>46106</v>
      </c>
      <c r="E1781" s="215" t="str">
        <f t="shared" si="294"/>
        <v>currydestroyer27</v>
      </c>
      <c r="F1781" s="165">
        <f>IFERROR(AVERAGE(Data[[#This Row],[alappatjoe]:[currydestroyer27]]), "TBD")</f>
        <v>2.8</v>
      </c>
      <c r="G1781" s="256">
        <f>IFERROR(_xlfn.STDEV.P(Data[[#This Row],[alappatjoe]:[currydestroyer27]]), "TBD")</f>
        <v>1.6</v>
      </c>
      <c r="H1781" s="227" t="s">
        <v>3423</v>
      </c>
      <c r="I1781" s="257" t="s">
        <v>2532</v>
      </c>
      <c r="J1781" s="166">
        <v>3</v>
      </c>
      <c r="K1781" s="166">
        <v>4</v>
      </c>
      <c r="L1781" s="166">
        <v>5</v>
      </c>
      <c r="M1781" s="166">
        <v>1</v>
      </c>
      <c r="N1781" s="166">
        <v>1</v>
      </c>
      <c r="O1781" s="242">
        <v>33736434</v>
      </c>
      <c r="P1781" s="167"/>
      <c r="Q1781" s="167"/>
      <c r="R178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81" s="167">
        <v>1</v>
      </c>
      <c r="T1781" s="167" t="b">
        <f>Data[[#This Row],[Day Rank]]=Data[[#This Row],[W Rank]]</f>
        <v>0</v>
      </c>
      <c r="U1781" s="324"/>
    </row>
    <row r="1782" spans="1:21" ht="15" customHeight="1">
      <c r="A1782" s="325">
        <v>46107</v>
      </c>
      <c r="B1782" s="325"/>
      <c r="C1782" s="338" t="str" cm="1">
        <f t="array" ref="C1782">_xlfn.LET(_xlpm.matches, _xlfn._xlws.FILTER(Data[Poster], (Data[Date]=A1782)*(Data[Winner]=TRUE)), IF(ROWS(_xlpm.matches)&gt;1, "TIE", _xlpm.matches))</f>
        <v>currydestroyer27</v>
      </c>
      <c r="D1782" s="147">
        <f t="shared" ref="D1782" si="297">A1782</f>
        <v>46107</v>
      </c>
      <c r="E1782" s="181" t="str">
        <f t="shared" si="286"/>
        <v>alappatjoe</v>
      </c>
      <c r="F1782" s="9">
        <f>IFERROR(AVERAGE(Data[[#This Row],[alappatjoe]:[currydestroyer27]]), "TBD")</f>
        <v>3.2</v>
      </c>
      <c r="G1782" s="178">
        <f>IFERROR(_xlfn.STDEV.P(Data[[#This Row],[alappatjoe]:[currydestroyer27]]), "TBD")</f>
        <v>1.6</v>
      </c>
      <c r="H1782" s="160" t="s">
        <v>3424</v>
      </c>
      <c r="I1782" s="186" t="s">
        <v>3425</v>
      </c>
      <c r="J1782" s="3">
        <v>1</v>
      </c>
      <c r="K1782" s="3">
        <v>5</v>
      </c>
      <c r="L1782" s="3">
        <v>2</v>
      </c>
      <c r="M1782" s="3">
        <v>5</v>
      </c>
      <c r="N1782" s="3">
        <v>3</v>
      </c>
      <c r="O1782" s="238">
        <v>24327117</v>
      </c>
      <c r="P1782" s="93" t="s">
        <v>76</v>
      </c>
      <c r="Q1782" s="93" t="s">
        <v>1855</v>
      </c>
      <c r="R17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82" s="93">
        <v>1</v>
      </c>
      <c r="T1782" s="93" t="b">
        <f>Data[[#This Row],[Day Rank]]=Data[[#This Row],[W Rank]]</f>
        <v>0</v>
      </c>
      <c r="U1782" s="322" t="s">
        <v>3426</v>
      </c>
    </row>
    <row r="1783" spans="1:21" ht="15" customHeight="1">
      <c r="A1783" s="326"/>
      <c r="B1783" s="326"/>
      <c r="C1783" s="339"/>
      <c r="D1783" s="81">
        <f t="shared" si="287"/>
        <v>46107</v>
      </c>
      <c r="E1783" s="140" t="str">
        <f t="shared" si="288"/>
        <v>danram</v>
      </c>
      <c r="F1783" s="8">
        <f>IFERROR(AVERAGE(Data[[#This Row],[alappatjoe]:[currydestroyer27]]), "TBD")</f>
        <v>2.4</v>
      </c>
      <c r="G1783" s="177">
        <f>IFERROR(_xlfn.STDEV.P(Data[[#This Row],[alappatjoe]:[currydestroyer27]]), "TBD")</f>
        <v>1.3564659966250536</v>
      </c>
      <c r="H1783" s="135" t="s">
        <v>3427</v>
      </c>
      <c r="I1783" s="229" t="s">
        <v>3428</v>
      </c>
      <c r="J1783" s="3">
        <v>4</v>
      </c>
      <c r="K1783" s="3">
        <v>2</v>
      </c>
      <c r="L1783" s="3">
        <v>4</v>
      </c>
      <c r="M1783" s="3">
        <v>1</v>
      </c>
      <c r="N1783" s="3">
        <v>1</v>
      </c>
      <c r="O1783" s="238"/>
      <c r="P1783" s="93" t="s">
        <v>76</v>
      </c>
      <c r="Q1783" s="93" t="s">
        <v>1855</v>
      </c>
      <c r="R17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83" s="93">
        <v>1</v>
      </c>
      <c r="T1783" s="93" t="b">
        <f>Data[[#This Row],[Day Rank]]=Data[[#This Row],[W Rank]]</f>
        <v>0</v>
      </c>
      <c r="U1783" s="323"/>
    </row>
    <row r="1784" spans="1:21" ht="15" customHeight="1">
      <c r="A1784" s="326"/>
      <c r="B1784" s="326"/>
      <c r="C1784" s="339"/>
      <c r="D1784" s="81">
        <f t="shared" si="289"/>
        <v>46107</v>
      </c>
      <c r="E1784" s="140" t="str">
        <f t="shared" si="290"/>
        <v>loganworsdell</v>
      </c>
      <c r="F1784" s="8">
        <f>IFERROR(AVERAGE(Data[[#This Row],[alappatjoe]:[currydestroyer27]]), "TBD")</f>
        <v>3.2</v>
      </c>
      <c r="G1784" s="177">
        <f>IFERROR(_xlfn.STDEV.P(Data[[#This Row],[alappatjoe]:[currydestroyer27]]), "TBD")</f>
        <v>0.74833147735478833</v>
      </c>
      <c r="H1784" s="135" t="s">
        <v>3429</v>
      </c>
      <c r="I1784" s="229" t="s">
        <v>3430</v>
      </c>
      <c r="J1784" s="3">
        <v>2</v>
      </c>
      <c r="K1784" s="3">
        <v>3</v>
      </c>
      <c r="L1784" s="3">
        <v>3</v>
      </c>
      <c r="M1784" s="3">
        <v>4</v>
      </c>
      <c r="N1784" s="3">
        <v>4</v>
      </c>
      <c r="O1784" s="238">
        <v>102922808</v>
      </c>
      <c r="P1784" s="93" t="s">
        <v>76</v>
      </c>
      <c r="Q1784" s="93" t="s">
        <v>1855</v>
      </c>
      <c r="R17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84" s="93">
        <v>1</v>
      </c>
      <c r="T1784" s="93" t="b">
        <f>Data[[#This Row],[Day Rank]]=Data[[#This Row],[W Rank]]</f>
        <v>0</v>
      </c>
      <c r="U1784" s="323"/>
    </row>
    <row r="1785" spans="1:21" ht="15" customHeight="1">
      <c r="A1785" s="326"/>
      <c r="B1785" s="326"/>
      <c r="C1785" s="339"/>
      <c r="D1785" s="81">
        <f t="shared" si="291"/>
        <v>46107</v>
      </c>
      <c r="E1785" s="140" t="str">
        <f t="shared" si="292"/>
        <v>samuelbattista</v>
      </c>
      <c r="F1785" s="8">
        <f>IFERROR(AVERAGE(Data[[#This Row],[alappatjoe]:[currydestroyer27]]), "TBD")</f>
        <v>4.4000000000000004</v>
      </c>
      <c r="G1785" s="177">
        <f>IFERROR(_xlfn.STDEV.P(Data[[#This Row],[alappatjoe]:[currydestroyer27]]), "TBD")</f>
        <v>0.8</v>
      </c>
      <c r="H1785" s="135" t="s">
        <v>3431</v>
      </c>
      <c r="I1785" s="229" t="s">
        <v>3432</v>
      </c>
      <c r="J1785" s="3">
        <v>5</v>
      </c>
      <c r="K1785" s="3">
        <v>4</v>
      </c>
      <c r="L1785" s="3">
        <v>5</v>
      </c>
      <c r="M1785" s="3">
        <v>3</v>
      </c>
      <c r="N1785" s="3">
        <v>5</v>
      </c>
      <c r="O1785" s="238"/>
      <c r="P1785" s="93" t="s">
        <v>76</v>
      </c>
      <c r="Q1785" s="93" t="s">
        <v>1855</v>
      </c>
      <c r="R17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85" s="93">
        <v>1</v>
      </c>
      <c r="T1785" s="93" t="b">
        <f>Data[[#This Row],[Day Rank]]=Data[[#This Row],[W Rank]]</f>
        <v>0</v>
      </c>
      <c r="U1785" s="323"/>
    </row>
    <row r="1786" spans="1:21" ht="15" customHeight="1" thickBot="1">
      <c r="A1786" s="327"/>
      <c r="B1786" s="327"/>
      <c r="C1786" s="340"/>
      <c r="D1786" s="164">
        <f t="shared" si="293"/>
        <v>46107</v>
      </c>
      <c r="E1786" s="215" t="str">
        <f t="shared" si="294"/>
        <v>currydestroyer27</v>
      </c>
      <c r="F1786" s="165">
        <f>IFERROR(AVERAGE(Data[[#This Row],[alappatjoe]:[currydestroyer27]]), "TBD")</f>
        <v>1.8</v>
      </c>
      <c r="G1786" s="256">
        <f>IFERROR(_xlfn.STDEV.P(Data[[#This Row],[alappatjoe]:[currydestroyer27]]), "TBD")</f>
        <v>0.74833147735478833</v>
      </c>
      <c r="H1786" s="227" t="s">
        <v>3433</v>
      </c>
      <c r="I1786" s="257" t="s">
        <v>3434</v>
      </c>
      <c r="J1786" s="166">
        <v>3</v>
      </c>
      <c r="K1786" s="166">
        <v>1</v>
      </c>
      <c r="L1786" s="166">
        <v>1</v>
      </c>
      <c r="M1786" s="166">
        <v>2</v>
      </c>
      <c r="N1786" s="166">
        <v>2</v>
      </c>
      <c r="O1786" s="242">
        <v>497713658</v>
      </c>
      <c r="P1786" s="167" t="s">
        <v>76</v>
      </c>
      <c r="Q1786" s="167" t="s">
        <v>1855</v>
      </c>
      <c r="R178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86" s="167">
        <v>1</v>
      </c>
      <c r="T1786" s="167" t="b">
        <f>Data[[#This Row],[Day Rank]]=Data[[#This Row],[W Rank]]</f>
        <v>1</v>
      </c>
      <c r="U1786" s="324"/>
    </row>
    <row r="1787" spans="1:21" ht="15" customHeight="1">
      <c r="A1787" s="325">
        <v>46111</v>
      </c>
      <c r="B1787" s="325"/>
      <c r="C1787" s="328" t="str" cm="1">
        <f t="array" ref="C1787">_xlfn.LET(_xlpm.matches, _xlfn._xlws.FILTER(Data[Poster], (Data[Date]=A1787)*(Data[Winner]=TRUE)), IF(ROWS(_xlpm.matches)&gt;1, "TIE", _xlpm.matches))</f>
        <v>loganworsdell</v>
      </c>
      <c r="D1787" s="147">
        <f t="shared" ref="D1787" si="298">A1787</f>
        <v>46111</v>
      </c>
      <c r="E1787" s="181" t="str">
        <f t="shared" si="286"/>
        <v>alappatjoe</v>
      </c>
      <c r="F1787" s="9">
        <f>IFERROR(AVERAGE(Data[[#This Row],[alappatjoe]:[currydestroyer27]]), "TBD")</f>
        <v>2.8</v>
      </c>
      <c r="G1787" s="178">
        <f>IFERROR(_xlfn.STDEV.P(Data[[#This Row],[alappatjoe]:[currydestroyer27]]), "TBD")</f>
        <v>1.1661903789690602</v>
      </c>
      <c r="H1787" s="160" t="s">
        <v>3435</v>
      </c>
      <c r="I1787" s="186" t="s">
        <v>3436</v>
      </c>
      <c r="J1787" s="3">
        <v>1</v>
      </c>
      <c r="K1787" s="3">
        <v>4</v>
      </c>
      <c r="L1787" s="3">
        <v>3</v>
      </c>
      <c r="M1787" s="3">
        <v>4</v>
      </c>
      <c r="N1787" s="3">
        <v>2</v>
      </c>
      <c r="O1787" s="238">
        <v>63541600</v>
      </c>
      <c r="P1787" s="93"/>
      <c r="Q1787" s="93"/>
      <c r="R17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87" s="93">
        <v>1</v>
      </c>
      <c r="T1787" s="93" t="b">
        <f>Data[[#This Row],[Day Rank]]=Data[[#This Row],[W Rank]]</f>
        <v>0</v>
      </c>
      <c r="U1787" s="322"/>
    </row>
    <row r="1788" spans="1:21" ht="15" customHeight="1">
      <c r="A1788" s="326"/>
      <c r="B1788" s="326"/>
      <c r="C1788" s="329"/>
      <c r="D1788" s="81">
        <f t="shared" si="287"/>
        <v>46111</v>
      </c>
      <c r="E1788" s="140" t="str">
        <f t="shared" si="288"/>
        <v>danram</v>
      </c>
      <c r="F1788" s="8">
        <f>IFERROR(AVERAGE(Data[[#This Row],[alappatjoe]:[currydestroyer27]]), "TBD")</f>
        <v>3.8</v>
      </c>
      <c r="G1788" s="177">
        <f>IFERROR(_xlfn.STDEV.P(Data[[#This Row],[alappatjoe]:[currydestroyer27]]), "TBD")</f>
        <v>0.9797958971132712</v>
      </c>
      <c r="H1788" s="135" t="s">
        <v>3437</v>
      </c>
      <c r="I1788" s="229" t="s">
        <v>664</v>
      </c>
      <c r="J1788" s="3">
        <v>4</v>
      </c>
      <c r="K1788" s="3">
        <v>2</v>
      </c>
      <c r="L1788" s="3">
        <v>4</v>
      </c>
      <c r="M1788" s="3">
        <v>5</v>
      </c>
      <c r="N1788" s="3">
        <v>4</v>
      </c>
      <c r="O1788" s="238"/>
      <c r="P1788" s="93"/>
      <c r="Q1788" s="93"/>
      <c r="R17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88" s="93">
        <v>1</v>
      </c>
      <c r="T1788" s="93" t="b">
        <f>Data[[#This Row],[Day Rank]]=Data[[#This Row],[W Rank]]</f>
        <v>0</v>
      </c>
      <c r="U1788" s="323"/>
    </row>
    <row r="1789" spans="1:21" ht="15" customHeight="1">
      <c r="A1789" s="326"/>
      <c r="B1789" s="326"/>
      <c r="C1789" s="329"/>
      <c r="D1789" s="81">
        <f t="shared" si="289"/>
        <v>46111</v>
      </c>
      <c r="E1789" s="140" t="str">
        <f t="shared" si="290"/>
        <v>loganworsdell</v>
      </c>
      <c r="F1789" s="8">
        <f>IFERROR(AVERAGE(Data[[#This Row],[alappatjoe]:[currydestroyer27]]), "TBD")</f>
        <v>2</v>
      </c>
      <c r="G1789" s="177">
        <f>IFERROR(_xlfn.STDEV.P(Data[[#This Row],[alappatjoe]:[currydestroyer27]]), "TBD")</f>
        <v>0.89442719099991586</v>
      </c>
      <c r="H1789" s="135" t="s">
        <v>3438</v>
      </c>
      <c r="I1789" s="229" t="s">
        <v>3439</v>
      </c>
      <c r="J1789" s="3">
        <v>2</v>
      </c>
      <c r="K1789" s="3">
        <v>1</v>
      </c>
      <c r="L1789" s="3">
        <v>1</v>
      </c>
      <c r="M1789" s="3">
        <v>3</v>
      </c>
      <c r="N1789" s="3">
        <v>3</v>
      </c>
      <c r="O1789" s="238">
        <v>2034855</v>
      </c>
      <c r="P1789" s="93"/>
      <c r="Q1789" s="93"/>
      <c r="R17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89" s="93">
        <v>1</v>
      </c>
      <c r="T1789" s="93" t="b">
        <f>Data[[#This Row],[Day Rank]]=Data[[#This Row],[W Rank]]</f>
        <v>1</v>
      </c>
      <c r="U1789" s="323"/>
    </row>
    <row r="1790" spans="1:21" ht="15" customHeight="1">
      <c r="A1790" s="326"/>
      <c r="B1790" s="326"/>
      <c r="C1790" s="329"/>
      <c r="D1790" s="81">
        <f t="shared" si="291"/>
        <v>46111</v>
      </c>
      <c r="E1790" s="140" t="str">
        <f t="shared" si="292"/>
        <v>samuelbattista</v>
      </c>
      <c r="F1790" s="8">
        <f>IFERROR(AVERAGE(Data[[#This Row],[alappatjoe]:[currydestroyer27]]), "TBD")</f>
        <v>4.2</v>
      </c>
      <c r="G1790" s="177">
        <f>IFERROR(_xlfn.STDEV.P(Data[[#This Row],[alappatjoe]:[currydestroyer27]]), "TBD")</f>
        <v>1.6</v>
      </c>
      <c r="H1790" s="135" t="s">
        <v>3440</v>
      </c>
      <c r="I1790" s="229" t="s">
        <v>3441</v>
      </c>
      <c r="J1790" s="3">
        <v>5</v>
      </c>
      <c r="K1790" s="3">
        <v>5</v>
      </c>
      <c r="L1790" s="3">
        <v>5</v>
      </c>
      <c r="M1790" s="3">
        <v>1</v>
      </c>
      <c r="N1790" s="3">
        <v>5</v>
      </c>
      <c r="O1790" s="238"/>
      <c r="P1790" s="93"/>
      <c r="Q1790" s="93"/>
      <c r="R17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90" s="93">
        <v>1</v>
      </c>
      <c r="T1790" s="93" t="b">
        <f>Data[[#This Row],[Day Rank]]=Data[[#This Row],[W Rank]]</f>
        <v>0</v>
      </c>
      <c r="U1790" s="323"/>
    </row>
    <row r="1791" spans="1:21" ht="15" customHeight="1" thickBot="1">
      <c r="A1791" s="327"/>
      <c r="B1791" s="327"/>
      <c r="C1791" s="330"/>
      <c r="D1791" s="164">
        <f t="shared" si="293"/>
        <v>46111</v>
      </c>
      <c r="E1791" s="215" t="str">
        <f t="shared" si="294"/>
        <v>currydestroyer27</v>
      </c>
      <c r="F1791" s="165">
        <f>IFERROR(AVERAGE(Data[[#This Row],[alappatjoe]:[currydestroyer27]]), "TBD")</f>
        <v>2.2000000000000002</v>
      </c>
      <c r="G1791" s="256">
        <f>IFERROR(_xlfn.STDEV.P(Data[[#This Row],[alappatjoe]:[currydestroyer27]]), "TBD")</f>
        <v>0.74833147735478833</v>
      </c>
      <c r="H1791" s="227" t="s">
        <v>3442</v>
      </c>
      <c r="I1791" s="257" t="s">
        <v>3443</v>
      </c>
      <c r="J1791" s="166">
        <v>3</v>
      </c>
      <c r="K1791" s="166">
        <v>3</v>
      </c>
      <c r="L1791" s="166">
        <v>2</v>
      </c>
      <c r="M1791" s="166">
        <v>2</v>
      </c>
      <c r="N1791" s="166">
        <v>1</v>
      </c>
      <c r="O1791" s="242">
        <v>44341200</v>
      </c>
      <c r="P1791" s="167"/>
      <c r="Q1791" s="167"/>
      <c r="R179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91" s="167">
        <v>1</v>
      </c>
      <c r="T1791" s="167" t="b">
        <f>Data[[#This Row],[Day Rank]]=Data[[#This Row],[W Rank]]</f>
        <v>0</v>
      </c>
      <c r="U1791" s="324"/>
    </row>
    <row r="1792" spans="1:21" ht="15" customHeight="1">
      <c r="A1792" s="325">
        <v>46112</v>
      </c>
      <c r="B1792" s="325"/>
      <c r="C1792" s="338" t="str" cm="1">
        <f t="array" ref="C1792">_xlfn.LET(_xlpm.matches, _xlfn._xlws.FILTER(Data[Poster], (Data[Date]=A1792)*(Data[Winner]=TRUE)), IF(ROWS(_xlpm.matches)&gt;1, "TIE", _xlpm.matches))</f>
        <v>currydestroyer27</v>
      </c>
      <c r="D1792" s="147">
        <f t="shared" ref="D1792" si="299">A1792</f>
        <v>46112</v>
      </c>
      <c r="E1792" s="181" t="str">
        <f t="shared" si="286"/>
        <v>alappatjoe</v>
      </c>
      <c r="F1792" s="9">
        <f>IFERROR(AVERAGE(Data[[#This Row],[alappatjoe]:[currydestroyer27]]), "TBD")</f>
        <v>2.6</v>
      </c>
      <c r="G1792" s="178">
        <f>IFERROR(_xlfn.STDEV.P(Data[[#This Row],[alappatjoe]:[currydestroyer27]]), "TBD")</f>
        <v>1.3564659966250536</v>
      </c>
      <c r="H1792" s="160" t="s">
        <v>3444</v>
      </c>
      <c r="I1792" s="186" t="s">
        <v>3445</v>
      </c>
      <c r="J1792" s="3">
        <v>1</v>
      </c>
      <c r="K1792" s="3">
        <v>2</v>
      </c>
      <c r="L1792" s="3">
        <v>5</v>
      </c>
      <c r="M1792" s="3">
        <v>3</v>
      </c>
      <c r="N1792" s="3">
        <v>2</v>
      </c>
      <c r="O1792" s="238">
        <v>3502951</v>
      </c>
      <c r="P1792" s="93"/>
      <c r="Q1792" s="93"/>
      <c r="R17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792" s="93">
        <v>1</v>
      </c>
      <c r="T1792" s="93" t="b">
        <f>Data[[#This Row],[Day Rank]]=Data[[#This Row],[W Rank]]</f>
        <v>0</v>
      </c>
      <c r="U1792" s="322"/>
    </row>
    <row r="1793" spans="1:21" ht="15" customHeight="1">
      <c r="A1793" s="326"/>
      <c r="B1793" s="326"/>
      <c r="C1793" s="339"/>
      <c r="D1793" s="81">
        <f t="shared" si="287"/>
        <v>46112</v>
      </c>
      <c r="E1793" s="140" t="str">
        <f t="shared" si="288"/>
        <v>danram</v>
      </c>
      <c r="F1793" s="8">
        <f>IFERROR(AVERAGE(Data[[#This Row],[alappatjoe]:[currydestroyer27]]), "TBD")</f>
        <v>3.2</v>
      </c>
      <c r="G1793" s="177">
        <f>IFERROR(_xlfn.STDEV.P(Data[[#This Row],[alappatjoe]:[currydestroyer27]]), "TBD")</f>
        <v>0.4</v>
      </c>
      <c r="H1793" s="135" t="s">
        <v>3446</v>
      </c>
      <c r="I1793" s="229" t="s">
        <v>657</v>
      </c>
      <c r="J1793" s="3">
        <v>3</v>
      </c>
      <c r="K1793" s="3">
        <v>3</v>
      </c>
      <c r="L1793" s="3">
        <v>3</v>
      </c>
      <c r="M1793" s="3">
        <v>4</v>
      </c>
      <c r="N1793" s="3">
        <v>3</v>
      </c>
      <c r="O1793" s="238"/>
      <c r="P1793" s="93"/>
      <c r="Q1793" s="93"/>
      <c r="R17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93" s="93">
        <v>1</v>
      </c>
      <c r="T1793" s="93" t="b">
        <f>Data[[#This Row],[Day Rank]]=Data[[#This Row],[W Rank]]</f>
        <v>0</v>
      </c>
      <c r="U1793" s="323"/>
    </row>
    <row r="1794" spans="1:21" ht="15" customHeight="1">
      <c r="A1794" s="326"/>
      <c r="B1794" s="326"/>
      <c r="C1794" s="339"/>
      <c r="D1794" s="81">
        <f t="shared" si="289"/>
        <v>46112</v>
      </c>
      <c r="E1794" s="140" t="str">
        <f t="shared" si="290"/>
        <v>loganworsdell</v>
      </c>
      <c r="F1794" s="8">
        <f>IFERROR(AVERAGE(Data[[#This Row],[alappatjoe]:[currydestroyer27]]), "TBD")</f>
        <v>3.2</v>
      </c>
      <c r="G1794" s="177">
        <f>IFERROR(_xlfn.STDEV.P(Data[[#This Row],[alappatjoe]:[currydestroyer27]]), "TBD")</f>
        <v>1.4696938456699069</v>
      </c>
      <c r="H1794" s="135" t="s">
        <v>3447</v>
      </c>
      <c r="I1794" s="229" t="s">
        <v>568</v>
      </c>
      <c r="J1794" s="3">
        <v>2</v>
      </c>
      <c r="K1794" s="3">
        <v>4</v>
      </c>
      <c r="L1794" s="3">
        <v>1</v>
      </c>
      <c r="M1794" s="3">
        <v>5</v>
      </c>
      <c r="N1794" s="3">
        <v>4</v>
      </c>
      <c r="O1794" s="238">
        <v>2516288</v>
      </c>
      <c r="P1794" s="93"/>
      <c r="Q1794" s="93"/>
      <c r="R17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794" s="93">
        <v>1</v>
      </c>
      <c r="T1794" s="93" t="b">
        <f>Data[[#This Row],[Day Rank]]=Data[[#This Row],[W Rank]]</f>
        <v>0</v>
      </c>
      <c r="U1794" s="323"/>
    </row>
    <row r="1795" spans="1:21" ht="15" customHeight="1">
      <c r="A1795" s="326"/>
      <c r="B1795" s="326"/>
      <c r="C1795" s="339"/>
      <c r="D1795" s="81">
        <f t="shared" si="291"/>
        <v>46112</v>
      </c>
      <c r="E1795" s="140" t="str">
        <f t="shared" si="292"/>
        <v>samuelbattista</v>
      </c>
      <c r="F1795" s="8">
        <f>IFERROR(AVERAGE(Data[[#This Row],[alappatjoe]:[currydestroyer27]]), "TBD")</f>
        <v>4</v>
      </c>
      <c r="G1795" s="177">
        <f>IFERROR(_xlfn.STDEV.P(Data[[#This Row],[alappatjoe]:[currydestroyer27]]), "TBD")</f>
        <v>1.5491933384829668</v>
      </c>
      <c r="H1795" s="135" t="s">
        <v>3448</v>
      </c>
      <c r="I1795" s="229" t="s">
        <v>3449</v>
      </c>
      <c r="J1795" s="3">
        <v>5</v>
      </c>
      <c r="K1795" s="3">
        <v>5</v>
      </c>
      <c r="L1795" s="3">
        <v>4</v>
      </c>
      <c r="M1795" s="3">
        <v>1</v>
      </c>
      <c r="N1795" s="3">
        <v>5</v>
      </c>
      <c r="O1795" s="238"/>
      <c r="P1795" s="93"/>
      <c r="Q1795" s="93"/>
      <c r="R17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95" s="93">
        <v>1</v>
      </c>
      <c r="T1795" s="93" t="b">
        <f>Data[[#This Row],[Day Rank]]=Data[[#This Row],[W Rank]]</f>
        <v>0</v>
      </c>
      <c r="U1795" s="323"/>
    </row>
    <row r="1796" spans="1:21" ht="15" customHeight="1" thickBot="1">
      <c r="A1796" s="327"/>
      <c r="B1796" s="327"/>
      <c r="C1796" s="340"/>
      <c r="D1796" s="164">
        <f t="shared" si="293"/>
        <v>46112</v>
      </c>
      <c r="E1796" s="215" t="str">
        <f t="shared" si="294"/>
        <v>currydestroyer27</v>
      </c>
      <c r="F1796" s="165">
        <f>IFERROR(AVERAGE(Data[[#This Row],[alappatjoe]:[currydestroyer27]]), "TBD")</f>
        <v>2</v>
      </c>
      <c r="G1796" s="256">
        <f>IFERROR(_xlfn.STDEV.P(Data[[#This Row],[alappatjoe]:[currydestroyer27]]), "TBD")</f>
        <v>1.0954451150103321</v>
      </c>
      <c r="H1796" s="227" t="s">
        <v>3450</v>
      </c>
      <c r="I1796" s="257" t="s">
        <v>3451</v>
      </c>
      <c r="J1796" s="166">
        <v>4</v>
      </c>
      <c r="K1796" s="166">
        <v>1</v>
      </c>
      <c r="L1796" s="166">
        <v>2</v>
      </c>
      <c r="M1796" s="166">
        <v>2</v>
      </c>
      <c r="N1796" s="166">
        <v>1</v>
      </c>
      <c r="O1796" s="242">
        <v>31070154</v>
      </c>
      <c r="P1796" s="167"/>
      <c r="Q1796" s="167"/>
      <c r="R179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96" s="167">
        <v>1</v>
      </c>
      <c r="T1796" s="167" t="b">
        <f>Data[[#This Row],[Day Rank]]=Data[[#This Row],[W Rank]]</f>
        <v>1</v>
      </c>
      <c r="U1796" s="324"/>
    </row>
    <row r="1797" spans="1:21" ht="15" customHeight="1">
      <c r="A1797" s="325">
        <v>46113</v>
      </c>
      <c r="B1797" s="325"/>
      <c r="C1797" s="328" t="str" cm="1">
        <f t="array" ref="C1797">_xlfn.LET(_xlpm.matches, _xlfn._xlws.FILTER(Data[Poster], (Data[Date]=A1797)*(Data[Winner]=TRUE)), IF(ROWS(_xlpm.matches)&gt;1, "TIE", _xlpm.matches))</f>
        <v>danram</v>
      </c>
      <c r="D1797" s="147">
        <f t="shared" ref="D1797" si="300">A1797</f>
        <v>46113</v>
      </c>
      <c r="E1797" s="181" t="str">
        <f t="shared" si="286"/>
        <v>alappatjoe</v>
      </c>
      <c r="F1797" s="9">
        <f>IFERROR(AVERAGE(Data[[#This Row],[alappatjoe]:[currydestroyer27]]), "TBD")</f>
        <v>2.8</v>
      </c>
      <c r="G1797" s="178">
        <f>IFERROR(_xlfn.STDEV.P(Data[[#This Row],[alappatjoe]:[currydestroyer27]]), "TBD")</f>
        <v>1.1661903789690602</v>
      </c>
      <c r="H1797" s="160" t="s">
        <v>3452</v>
      </c>
      <c r="I1797" s="186" t="s">
        <v>3453</v>
      </c>
      <c r="J1797" s="3">
        <v>1</v>
      </c>
      <c r="K1797" s="3">
        <v>4</v>
      </c>
      <c r="L1797" s="3">
        <v>2</v>
      </c>
      <c r="M1797" s="3">
        <v>3</v>
      </c>
      <c r="N1797" s="3">
        <v>4</v>
      </c>
      <c r="O1797" s="238">
        <v>27607</v>
      </c>
      <c r="P1797" s="93"/>
      <c r="Q1797" s="93"/>
      <c r="R17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797" s="93">
        <v>1</v>
      </c>
      <c r="T1797" s="93" t="b">
        <f>Data[[#This Row],[Day Rank]]=Data[[#This Row],[W Rank]]</f>
        <v>0</v>
      </c>
      <c r="U1797" s="322"/>
    </row>
    <row r="1798" spans="1:21" ht="15" customHeight="1">
      <c r="A1798" s="326"/>
      <c r="B1798" s="326"/>
      <c r="C1798" s="329"/>
      <c r="D1798" s="81">
        <f t="shared" si="287"/>
        <v>46113</v>
      </c>
      <c r="E1798" s="140" t="str">
        <f t="shared" si="288"/>
        <v>danram</v>
      </c>
      <c r="F1798" s="8">
        <f>IFERROR(AVERAGE(Data[[#This Row],[alappatjoe]:[currydestroyer27]]), "TBD")</f>
        <v>2</v>
      </c>
      <c r="G1798" s="177">
        <f>IFERROR(_xlfn.STDEV.P(Data[[#This Row],[alappatjoe]:[currydestroyer27]]), "TBD")</f>
        <v>0.89442719099991586</v>
      </c>
      <c r="H1798" s="135" t="s">
        <v>3454</v>
      </c>
      <c r="I1798" s="229" t="s">
        <v>373</v>
      </c>
      <c r="J1798" s="3">
        <v>3</v>
      </c>
      <c r="K1798" s="3">
        <v>1</v>
      </c>
      <c r="L1798" s="3">
        <v>1</v>
      </c>
      <c r="M1798" s="3">
        <v>2</v>
      </c>
      <c r="N1798" s="3">
        <v>3</v>
      </c>
      <c r="O1798" s="238"/>
      <c r="P1798" s="93"/>
      <c r="Q1798" s="93"/>
      <c r="R17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798" s="93">
        <v>1</v>
      </c>
      <c r="T1798" s="93" t="b">
        <f>Data[[#This Row],[Day Rank]]=Data[[#This Row],[W Rank]]</f>
        <v>1</v>
      </c>
      <c r="U1798" s="323"/>
    </row>
    <row r="1799" spans="1:21" ht="15" customHeight="1">
      <c r="A1799" s="326"/>
      <c r="B1799" s="326"/>
      <c r="C1799" s="329"/>
      <c r="D1799" s="81">
        <f t="shared" si="289"/>
        <v>46113</v>
      </c>
      <c r="E1799" s="140" t="str">
        <f t="shared" si="290"/>
        <v>loganworsdell</v>
      </c>
      <c r="F1799" s="8">
        <f>IFERROR(AVERAGE(Data[[#This Row],[alappatjoe]:[currydestroyer27]]), "TBD")</f>
        <v>5</v>
      </c>
      <c r="G1799" s="177">
        <f>IFERROR(_xlfn.STDEV.P(Data[[#This Row],[alappatjoe]:[currydestroyer27]]), "TBD")</f>
        <v>0</v>
      </c>
      <c r="H1799" s="135" t="s">
        <v>3455</v>
      </c>
      <c r="I1799" s="229" t="s">
        <v>3456</v>
      </c>
      <c r="J1799" s="3">
        <v>5</v>
      </c>
      <c r="K1799" s="3">
        <v>5</v>
      </c>
      <c r="L1799" s="3">
        <v>5</v>
      </c>
      <c r="M1799" s="3">
        <v>5</v>
      </c>
      <c r="N1799" s="3">
        <v>5</v>
      </c>
      <c r="O1799" s="238">
        <v>9584714</v>
      </c>
      <c r="P1799" s="93"/>
      <c r="Q1799" s="93"/>
      <c r="R17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799" s="93">
        <v>1</v>
      </c>
      <c r="T1799" s="93" t="b">
        <f>Data[[#This Row],[Day Rank]]=Data[[#This Row],[W Rank]]</f>
        <v>0</v>
      </c>
      <c r="U1799" s="323"/>
    </row>
    <row r="1800" spans="1:21" ht="15" customHeight="1">
      <c r="A1800" s="326"/>
      <c r="B1800" s="326"/>
      <c r="C1800" s="329"/>
      <c r="D1800" s="81">
        <f t="shared" si="291"/>
        <v>46113</v>
      </c>
      <c r="E1800" s="140" t="str">
        <f t="shared" si="292"/>
        <v>samuelbattista</v>
      </c>
      <c r="F1800" s="8">
        <f>IFERROR(AVERAGE(Data[[#This Row],[alappatjoe]:[currydestroyer27]]), "TBD")</f>
        <v>2.4</v>
      </c>
      <c r="G1800" s="177">
        <f>IFERROR(_xlfn.STDEV.P(Data[[#This Row],[alappatjoe]:[currydestroyer27]]), "TBD")</f>
        <v>1.019803902718557</v>
      </c>
      <c r="H1800" s="135" t="s">
        <v>2168</v>
      </c>
      <c r="I1800" s="229" t="s">
        <v>2912</v>
      </c>
      <c r="J1800" s="3">
        <v>2</v>
      </c>
      <c r="K1800" s="3">
        <v>3</v>
      </c>
      <c r="L1800" s="3">
        <v>4</v>
      </c>
      <c r="M1800" s="3">
        <v>1</v>
      </c>
      <c r="N1800" s="3">
        <v>2</v>
      </c>
      <c r="O1800" s="238"/>
      <c r="P1800" s="93"/>
      <c r="Q1800" s="93"/>
      <c r="R18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00" s="93">
        <v>1</v>
      </c>
      <c r="T1800" s="93" t="b">
        <f>Data[[#This Row],[Day Rank]]=Data[[#This Row],[W Rank]]</f>
        <v>0</v>
      </c>
      <c r="U1800" s="323"/>
    </row>
    <row r="1801" spans="1:21" ht="15" customHeight="1" thickBot="1">
      <c r="A1801" s="327"/>
      <c r="B1801" s="327"/>
      <c r="C1801" s="330"/>
      <c r="D1801" s="164">
        <f t="shared" si="293"/>
        <v>46113</v>
      </c>
      <c r="E1801" s="215" t="str">
        <f t="shared" si="294"/>
        <v>currydestroyer27</v>
      </c>
      <c r="F1801" s="165">
        <f>IFERROR(AVERAGE(Data[[#This Row],[alappatjoe]:[currydestroyer27]]), "TBD")</f>
        <v>2.8</v>
      </c>
      <c r="G1801" s="256">
        <f>IFERROR(_xlfn.STDEV.P(Data[[#This Row],[alappatjoe]:[currydestroyer27]]), "TBD")</f>
        <v>1.1661903789690602</v>
      </c>
      <c r="H1801" s="227" t="s">
        <v>3457</v>
      </c>
      <c r="I1801" s="257" t="s">
        <v>3458</v>
      </c>
      <c r="J1801" s="166">
        <v>4</v>
      </c>
      <c r="K1801" s="166">
        <v>2</v>
      </c>
      <c r="L1801" s="166">
        <v>3</v>
      </c>
      <c r="M1801" s="166">
        <v>4</v>
      </c>
      <c r="N1801" s="166">
        <v>1</v>
      </c>
      <c r="O1801" s="242">
        <v>782300747</v>
      </c>
      <c r="P1801" s="167" t="s">
        <v>76</v>
      </c>
      <c r="Q1801" s="167" t="s">
        <v>1855</v>
      </c>
      <c r="R180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01" s="167">
        <v>1</v>
      </c>
      <c r="T1801" s="167" t="b">
        <f>Data[[#This Row],[Day Rank]]=Data[[#This Row],[W Rank]]</f>
        <v>0</v>
      </c>
      <c r="U1801" s="324"/>
    </row>
    <row r="1802" spans="1:21" ht="15" customHeight="1">
      <c r="A1802" s="325">
        <v>46114</v>
      </c>
      <c r="B1802" s="325"/>
      <c r="C1802" s="338" t="str" cm="1">
        <f t="array" ref="C1802">_xlfn.LET(_xlpm.matches, _xlfn._xlws.FILTER(Data[Poster], (Data[Date]=A1802)*(Data[Winner]=TRUE)), IF(ROWS(_xlpm.matches)&gt;1, "TIE", _xlpm.matches))</f>
        <v>danram</v>
      </c>
      <c r="D1802" s="147">
        <f t="shared" ref="D1802" si="301">A1802</f>
        <v>46114</v>
      </c>
      <c r="E1802" s="181" t="str">
        <f t="shared" si="286"/>
        <v>alappatjoe</v>
      </c>
      <c r="F1802" s="9">
        <f>IFERROR(AVERAGE(Data[[#This Row],[alappatjoe]:[currydestroyer27]]), "TBD")</f>
        <v>3.2</v>
      </c>
      <c r="G1802" s="178">
        <f>IFERROR(_xlfn.STDEV.P(Data[[#This Row],[alappatjoe]:[currydestroyer27]]), "TBD")</f>
        <v>1.6</v>
      </c>
      <c r="H1802" s="160" t="s">
        <v>3459</v>
      </c>
      <c r="I1802" s="186" t="s">
        <v>3460</v>
      </c>
      <c r="J1802" s="3">
        <v>1</v>
      </c>
      <c r="K1802" s="3">
        <v>5</v>
      </c>
      <c r="L1802" s="3">
        <v>5</v>
      </c>
      <c r="M1802" s="3">
        <v>2</v>
      </c>
      <c r="N1802" s="3">
        <v>3</v>
      </c>
      <c r="O1802" s="238">
        <v>3355842640</v>
      </c>
      <c r="P1802" s="93"/>
      <c r="Q1802" s="93"/>
      <c r="R18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02" s="93">
        <v>1</v>
      </c>
      <c r="T1802" s="93" t="b">
        <f>Data[[#This Row],[Day Rank]]=Data[[#This Row],[W Rank]]</f>
        <v>0</v>
      </c>
      <c r="U1802" s="322" t="s">
        <v>3461</v>
      </c>
    </row>
    <row r="1803" spans="1:21" ht="15" customHeight="1">
      <c r="A1803" s="326"/>
      <c r="B1803" s="326"/>
      <c r="C1803" s="339"/>
      <c r="D1803" s="81">
        <f t="shared" si="287"/>
        <v>46114</v>
      </c>
      <c r="E1803" s="140" t="str">
        <f t="shared" si="288"/>
        <v>danram</v>
      </c>
      <c r="F1803" s="8">
        <f>IFERROR(AVERAGE(Data[[#This Row],[alappatjoe]:[currydestroyer27]]), "TBD")</f>
        <v>2.6</v>
      </c>
      <c r="G1803" s="177">
        <f>IFERROR(_xlfn.STDEV.P(Data[[#This Row],[alappatjoe]:[currydestroyer27]]), "TBD")</f>
        <v>1.3564659966250536</v>
      </c>
      <c r="H1803" s="135" t="s">
        <v>3462</v>
      </c>
      <c r="I1803" s="229" t="s">
        <v>747</v>
      </c>
      <c r="J1803" s="3">
        <v>2</v>
      </c>
      <c r="K1803" s="3">
        <v>1</v>
      </c>
      <c r="L1803" s="3">
        <v>3</v>
      </c>
      <c r="M1803" s="3">
        <v>5</v>
      </c>
      <c r="N1803" s="3">
        <v>2</v>
      </c>
      <c r="O1803" s="238">
        <v>4454441248</v>
      </c>
      <c r="P1803" s="93"/>
      <c r="Q1803" s="93"/>
      <c r="R18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03" s="93">
        <v>1</v>
      </c>
      <c r="T1803" s="93" t="b">
        <f>Data[[#This Row],[Day Rank]]=Data[[#This Row],[W Rank]]</f>
        <v>1</v>
      </c>
      <c r="U1803" s="323"/>
    </row>
    <row r="1804" spans="1:21" ht="15" customHeight="1">
      <c r="A1804" s="326"/>
      <c r="B1804" s="326"/>
      <c r="C1804" s="339"/>
      <c r="D1804" s="81">
        <f t="shared" si="289"/>
        <v>46114</v>
      </c>
      <c r="E1804" s="140" t="str">
        <f t="shared" si="290"/>
        <v>loganworsdell</v>
      </c>
      <c r="F1804" s="8">
        <f>IFERROR(AVERAGE(Data[[#This Row],[alappatjoe]:[currydestroyer27]]), "TBD")</f>
        <v>3.4</v>
      </c>
      <c r="G1804" s="177">
        <f>IFERROR(_xlfn.STDEV.P(Data[[#This Row],[alappatjoe]:[currydestroyer27]]), "TBD")</f>
        <v>1.3564659966250536</v>
      </c>
      <c r="H1804" s="135" t="s">
        <v>3463</v>
      </c>
      <c r="I1804" s="229" t="s">
        <v>3464</v>
      </c>
      <c r="J1804" s="3">
        <v>3</v>
      </c>
      <c r="K1804" s="3">
        <v>4</v>
      </c>
      <c r="L1804" s="3">
        <v>1</v>
      </c>
      <c r="M1804" s="3">
        <v>4</v>
      </c>
      <c r="N1804" s="3">
        <v>5</v>
      </c>
      <c r="O1804" s="238">
        <v>3845407785</v>
      </c>
      <c r="P1804" s="93"/>
      <c r="Q1804" s="93"/>
      <c r="R18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04" s="93">
        <v>1</v>
      </c>
      <c r="T1804" s="93" t="b">
        <f>Data[[#This Row],[Day Rank]]=Data[[#This Row],[W Rank]]</f>
        <v>0</v>
      </c>
      <c r="U1804" s="323"/>
    </row>
    <row r="1805" spans="1:21" ht="15" customHeight="1">
      <c r="A1805" s="326"/>
      <c r="B1805" s="326"/>
      <c r="C1805" s="339"/>
      <c r="D1805" s="81">
        <f t="shared" si="291"/>
        <v>46114</v>
      </c>
      <c r="E1805" s="140" t="str">
        <f t="shared" si="292"/>
        <v>samuelbattista</v>
      </c>
      <c r="F1805" s="8">
        <f>IFERROR(AVERAGE(Data[[#This Row],[alappatjoe]:[currydestroyer27]]), "TBD")</f>
        <v>3</v>
      </c>
      <c r="G1805" s="177">
        <f>IFERROR(_xlfn.STDEV.P(Data[[#This Row],[alappatjoe]:[currydestroyer27]]), "TBD")</f>
        <v>1.4142135623730951</v>
      </c>
      <c r="H1805" s="135" t="s">
        <v>3465</v>
      </c>
      <c r="I1805" s="229" t="s">
        <v>818</v>
      </c>
      <c r="J1805" s="3">
        <v>5</v>
      </c>
      <c r="K1805" s="3">
        <v>3</v>
      </c>
      <c r="L1805" s="3">
        <v>2</v>
      </c>
      <c r="M1805" s="3">
        <v>1</v>
      </c>
      <c r="N1805" s="3">
        <v>4</v>
      </c>
      <c r="O1805" s="238">
        <v>3675355740</v>
      </c>
      <c r="P1805" s="93"/>
      <c r="Q1805" s="93"/>
      <c r="R18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05" s="93">
        <v>1</v>
      </c>
      <c r="T1805" s="93" t="b">
        <f>Data[[#This Row],[Day Rank]]=Data[[#This Row],[W Rank]]</f>
        <v>0</v>
      </c>
      <c r="U1805" s="323"/>
    </row>
    <row r="1806" spans="1:21" ht="15" customHeight="1" thickBot="1">
      <c r="A1806" s="327"/>
      <c r="B1806" s="327"/>
      <c r="C1806" s="340"/>
      <c r="D1806" s="164">
        <f t="shared" si="293"/>
        <v>46114</v>
      </c>
      <c r="E1806" s="215" t="str">
        <f t="shared" si="294"/>
        <v>currydestroyer27</v>
      </c>
      <c r="F1806" s="165">
        <f>IFERROR(AVERAGE(Data[[#This Row],[alappatjoe]:[currydestroyer27]]), "TBD")</f>
        <v>2.8</v>
      </c>
      <c r="G1806" s="256">
        <f>IFERROR(_xlfn.STDEV.P(Data[[#This Row],[alappatjoe]:[currydestroyer27]]), "TBD")</f>
        <v>1.1661903789690602</v>
      </c>
      <c r="H1806" s="227" t="s">
        <v>3466</v>
      </c>
      <c r="I1806" s="257" t="s">
        <v>616</v>
      </c>
      <c r="J1806" s="166">
        <v>4</v>
      </c>
      <c r="K1806" s="166">
        <v>2</v>
      </c>
      <c r="L1806" s="166">
        <v>4</v>
      </c>
      <c r="M1806" s="166">
        <v>3</v>
      </c>
      <c r="N1806" s="166">
        <v>1</v>
      </c>
      <c r="O1806" s="242">
        <v>1122696375</v>
      </c>
      <c r="P1806" s="167"/>
      <c r="Q1806" s="167"/>
      <c r="R180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06" s="167">
        <v>1</v>
      </c>
      <c r="T1806" s="167" t="b">
        <f>Data[[#This Row],[Day Rank]]=Data[[#This Row],[W Rank]]</f>
        <v>0</v>
      </c>
      <c r="U1806" s="324"/>
    </row>
    <row r="1807" spans="1:21" ht="15" customHeight="1">
      <c r="A1807" s="325">
        <v>46118</v>
      </c>
      <c r="B1807" s="325"/>
      <c r="C1807" s="328" t="str" cm="1">
        <f t="array" ref="C1807">_xlfn.LET(_xlpm.matches, _xlfn._xlws.FILTER(Data[Poster], (Data[Date]=A1807)*(Data[Winner]=TRUE)), IF(ROWS(_xlpm.matches)&gt;1, "TIE", _xlpm.matches))</f>
        <v>samuelbattista</v>
      </c>
      <c r="D1807" s="147">
        <f t="shared" ref="D1807" si="302">A1807</f>
        <v>46118</v>
      </c>
      <c r="E1807" s="181" t="str">
        <f t="shared" ref="E1807:E1842" si="303">$J$1</f>
        <v>alappatjoe</v>
      </c>
      <c r="F1807" s="9">
        <f>IFERROR(AVERAGE(Data[[#This Row],[alappatjoe]:[currydestroyer27]]), "TBD")</f>
        <v>2.6</v>
      </c>
      <c r="G1807" s="178">
        <f>IFERROR(_xlfn.STDEV.P(Data[[#This Row],[alappatjoe]:[currydestroyer27]]), "TBD")</f>
        <v>1.6248076809271921</v>
      </c>
      <c r="H1807" s="160" t="s">
        <v>3467</v>
      </c>
      <c r="I1807" s="186" t="s">
        <v>3468</v>
      </c>
      <c r="J1807" s="3">
        <v>1</v>
      </c>
      <c r="K1807" s="3">
        <v>5</v>
      </c>
      <c r="L1807" s="3">
        <v>1</v>
      </c>
      <c r="M1807" s="3">
        <v>4</v>
      </c>
      <c r="N1807" s="3">
        <v>2</v>
      </c>
      <c r="O1807" s="238">
        <v>61595263</v>
      </c>
      <c r="P1807" s="93"/>
      <c r="Q1807" s="93"/>
      <c r="R18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07" s="93">
        <v>1</v>
      </c>
      <c r="T1807" s="93" t="b">
        <f>Data[[#This Row],[Day Rank]]=Data[[#This Row],[W Rank]]</f>
        <v>0</v>
      </c>
      <c r="U1807" s="322"/>
    </row>
    <row r="1808" spans="1:21" ht="15" customHeight="1">
      <c r="A1808" s="326"/>
      <c r="B1808" s="326"/>
      <c r="C1808" s="329"/>
      <c r="D1808" s="81">
        <f t="shared" ref="D1808:D1843" si="304">D1807</f>
        <v>46118</v>
      </c>
      <c r="E1808" s="140" t="str">
        <f t="shared" ref="E1808:E1843" si="305">$K$1</f>
        <v>danram</v>
      </c>
      <c r="F1808" s="8">
        <f>IFERROR(AVERAGE(Data[[#This Row],[alappatjoe]:[currydestroyer27]]), "TBD")</f>
        <v>3.4</v>
      </c>
      <c r="G1808" s="177">
        <f>IFERROR(_xlfn.STDEV.P(Data[[#This Row],[alappatjoe]:[currydestroyer27]]), "TBD")</f>
        <v>1.019803902718557</v>
      </c>
      <c r="H1808" s="135" t="s">
        <v>3469</v>
      </c>
      <c r="I1808" s="229" t="s">
        <v>3470</v>
      </c>
      <c r="J1808" s="3">
        <v>4</v>
      </c>
      <c r="K1808" s="3">
        <v>3</v>
      </c>
      <c r="L1808" s="3">
        <v>5</v>
      </c>
      <c r="M1808" s="3">
        <v>2</v>
      </c>
      <c r="N1808" s="3">
        <v>3</v>
      </c>
      <c r="O1808" s="238"/>
      <c r="P1808" s="93"/>
      <c r="Q1808" s="93"/>
      <c r="R18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08" s="93">
        <v>1</v>
      </c>
      <c r="T1808" s="93" t="b">
        <f>Data[[#This Row],[Day Rank]]=Data[[#This Row],[W Rank]]</f>
        <v>0</v>
      </c>
      <c r="U1808" s="323"/>
    </row>
    <row r="1809" spans="1:21" ht="15" customHeight="1">
      <c r="A1809" s="326"/>
      <c r="B1809" s="326"/>
      <c r="C1809" s="329"/>
      <c r="D1809" s="81">
        <f t="shared" ref="D1809:D1844" si="306">D1807</f>
        <v>46118</v>
      </c>
      <c r="E1809" s="140" t="str">
        <f t="shared" ref="E1809:E1844" si="307">$L$1</f>
        <v>loganworsdell</v>
      </c>
      <c r="F1809" s="8">
        <f>IFERROR(AVERAGE(Data[[#This Row],[alappatjoe]:[currydestroyer27]]), "TBD")</f>
        <v>3.6</v>
      </c>
      <c r="G1809" s="177">
        <f>IFERROR(_xlfn.STDEV.P(Data[[#This Row],[alappatjoe]:[currydestroyer27]]), "TBD")</f>
        <v>1.4966629547095767</v>
      </c>
      <c r="H1809" s="135" t="s">
        <v>3471</v>
      </c>
      <c r="I1809" s="229" t="s">
        <v>3472</v>
      </c>
      <c r="J1809" s="3">
        <v>5</v>
      </c>
      <c r="K1809" s="3">
        <v>1</v>
      </c>
      <c r="L1809" s="3">
        <v>4</v>
      </c>
      <c r="M1809" s="3">
        <v>3</v>
      </c>
      <c r="N1809" s="3">
        <v>5</v>
      </c>
      <c r="O1809" s="238">
        <v>1442105</v>
      </c>
      <c r="P1809" s="93"/>
      <c r="Q1809" s="93"/>
      <c r="R18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09" s="93">
        <v>1</v>
      </c>
      <c r="T1809" s="93" t="b">
        <f>Data[[#This Row],[Day Rank]]=Data[[#This Row],[W Rank]]</f>
        <v>0</v>
      </c>
      <c r="U1809" s="323"/>
    </row>
    <row r="1810" spans="1:21" ht="15" customHeight="1">
      <c r="A1810" s="326"/>
      <c r="B1810" s="326"/>
      <c r="C1810" s="329"/>
      <c r="D1810" s="81">
        <f t="shared" ref="D1810:D1845" si="308">D1807</f>
        <v>46118</v>
      </c>
      <c r="E1810" s="140" t="str">
        <f t="shared" ref="E1810:E1845" si="309">$M$1</f>
        <v>samuelbattista</v>
      </c>
      <c r="F1810" s="8">
        <f>IFERROR(AVERAGE(Data[[#This Row],[alappatjoe]:[currydestroyer27]]), "TBD")</f>
        <v>2.4</v>
      </c>
      <c r="G1810" s="177">
        <f>IFERROR(_xlfn.STDEV.P(Data[[#This Row],[alappatjoe]:[currydestroyer27]]), "TBD")</f>
        <v>1.019803902718557</v>
      </c>
      <c r="H1810" s="135" t="s">
        <v>3473</v>
      </c>
      <c r="I1810" s="229" t="s">
        <v>2623</v>
      </c>
      <c r="J1810" s="3">
        <v>2</v>
      </c>
      <c r="K1810" s="3">
        <v>2</v>
      </c>
      <c r="L1810" s="3">
        <v>3</v>
      </c>
      <c r="M1810" s="3">
        <v>1</v>
      </c>
      <c r="N1810" s="3">
        <v>4</v>
      </c>
      <c r="O1810" s="238"/>
      <c r="P1810" s="93"/>
      <c r="Q1810" s="93"/>
      <c r="R18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10" s="93">
        <v>1</v>
      </c>
      <c r="T1810" s="93" t="b">
        <f>Data[[#This Row],[Day Rank]]=Data[[#This Row],[W Rank]]</f>
        <v>1</v>
      </c>
      <c r="U1810" s="323"/>
    </row>
    <row r="1811" spans="1:21" ht="15" customHeight="1" thickBot="1">
      <c r="A1811" s="327"/>
      <c r="B1811" s="327"/>
      <c r="C1811" s="330"/>
      <c r="D1811" s="164">
        <f t="shared" ref="D1811:D1846" si="310">D1807</f>
        <v>46118</v>
      </c>
      <c r="E1811" s="215" t="str">
        <f t="shared" ref="E1811:E1846" si="311">$N$1</f>
        <v>currydestroyer27</v>
      </c>
      <c r="F1811" s="165">
        <f>IFERROR(AVERAGE(Data[[#This Row],[alappatjoe]:[currydestroyer27]]), "TBD")</f>
        <v>3</v>
      </c>
      <c r="G1811" s="256">
        <f>IFERROR(_xlfn.STDEV.P(Data[[#This Row],[alappatjoe]:[currydestroyer27]]), "TBD")</f>
        <v>1.4142135623730951</v>
      </c>
      <c r="H1811" s="227" t="s">
        <v>3474</v>
      </c>
      <c r="I1811" s="257" t="s">
        <v>3475</v>
      </c>
      <c r="J1811" s="166">
        <v>3</v>
      </c>
      <c r="K1811" s="166">
        <v>4</v>
      </c>
      <c r="L1811" s="166">
        <v>2</v>
      </c>
      <c r="M1811" s="166">
        <v>5</v>
      </c>
      <c r="N1811" s="166">
        <v>1</v>
      </c>
      <c r="O1811" s="242">
        <v>911629054</v>
      </c>
      <c r="P1811" s="167"/>
      <c r="Q1811" s="167"/>
      <c r="R18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11" s="167">
        <v>1</v>
      </c>
      <c r="T1811" s="167" t="b">
        <f>Data[[#This Row],[Day Rank]]=Data[[#This Row],[W Rank]]</f>
        <v>0</v>
      </c>
      <c r="U1811" s="324"/>
    </row>
    <row r="1812" spans="1:21" ht="15" customHeight="1">
      <c r="A1812" s="325">
        <v>46119</v>
      </c>
      <c r="B1812" s="325"/>
      <c r="C1812" s="338" t="str" cm="1">
        <f t="array" ref="C1812">_xlfn.LET(_xlpm.matches, _xlfn._xlws.FILTER(Data[Poster], (Data[Date]=A1812)*(Data[Winner]=TRUE)), IF(ROWS(_xlpm.matches)&gt;1, "TIE", _xlpm.matches))</f>
        <v>alappatjoe</v>
      </c>
      <c r="D1812" s="147">
        <f t="shared" ref="D1812" si="312">A1812</f>
        <v>46119</v>
      </c>
      <c r="E1812" s="181" t="str">
        <f t="shared" si="303"/>
        <v>alappatjoe</v>
      </c>
      <c r="F1812" s="9">
        <f>IFERROR(AVERAGE(Data[[#This Row],[alappatjoe]:[currydestroyer27]]), "TBD")</f>
        <v>1.4</v>
      </c>
      <c r="G1812" s="178">
        <f>IFERROR(_xlfn.STDEV.P(Data[[#This Row],[alappatjoe]:[currydestroyer27]]), "TBD")</f>
        <v>0.4898979485566356</v>
      </c>
      <c r="H1812" s="160" t="s">
        <v>3476</v>
      </c>
      <c r="I1812" s="186" t="s">
        <v>3477</v>
      </c>
      <c r="J1812" s="3">
        <v>1</v>
      </c>
      <c r="K1812" s="3">
        <v>2</v>
      </c>
      <c r="L1812" s="3">
        <v>2</v>
      </c>
      <c r="M1812" s="3">
        <v>1</v>
      </c>
      <c r="N1812" s="3">
        <v>1</v>
      </c>
      <c r="O1812" s="238">
        <v>671164017</v>
      </c>
      <c r="P1812" s="93"/>
      <c r="Q1812" s="93"/>
      <c r="R18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12" s="93">
        <v>1</v>
      </c>
      <c r="T1812" s="93" t="b">
        <f>Data[[#This Row],[Day Rank]]=Data[[#This Row],[W Rank]]</f>
        <v>1</v>
      </c>
      <c r="U1812" s="322"/>
    </row>
    <row r="1813" spans="1:21" ht="15" customHeight="1">
      <c r="A1813" s="326"/>
      <c r="B1813" s="326"/>
      <c r="C1813" s="339"/>
      <c r="D1813" s="81">
        <f t="shared" si="304"/>
        <v>46119</v>
      </c>
      <c r="E1813" s="140" t="str">
        <f t="shared" si="305"/>
        <v>danram</v>
      </c>
      <c r="F1813" s="8">
        <f>IFERROR(AVERAGE(Data[[#This Row],[alappatjoe]:[currydestroyer27]]), "TBD")</f>
        <v>4.2</v>
      </c>
      <c r="G1813" s="177">
        <f>IFERROR(_xlfn.STDEV.P(Data[[#This Row],[alappatjoe]:[currydestroyer27]]), "TBD")</f>
        <v>0.74833147735478833</v>
      </c>
      <c r="H1813" s="135" t="s">
        <v>3478</v>
      </c>
      <c r="I1813" s="229" t="s">
        <v>3479</v>
      </c>
      <c r="J1813" s="3">
        <v>3</v>
      </c>
      <c r="K1813" s="3">
        <v>4</v>
      </c>
      <c r="L1813" s="3">
        <v>5</v>
      </c>
      <c r="M1813" s="3">
        <v>4</v>
      </c>
      <c r="N1813" s="3">
        <v>5</v>
      </c>
      <c r="O1813" s="238"/>
      <c r="P1813" s="93"/>
      <c r="Q1813" s="93"/>
      <c r="R18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13" s="93">
        <v>1</v>
      </c>
      <c r="T1813" s="93" t="b">
        <f>Data[[#This Row],[Day Rank]]=Data[[#This Row],[W Rank]]</f>
        <v>0</v>
      </c>
      <c r="U1813" s="323"/>
    </row>
    <row r="1814" spans="1:21" ht="15" customHeight="1">
      <c r="A1814" s="326"/>
      <c r="B1814" s="326"/>
      <c r="C1814" s="339"/>
      <c r="D1814" s="81">
        <f t="shared" si="306"/>
        <v>46119</v>
      </c>
      <c r="E1814" s="140" t="str">
        <f t="shared" si="307"/>
        <v>loganworsdell</v>
      </c>
      <c r="F1814" s="8">
        <f>IFERROR(AVERAGE(Data[[#This Row],[alappatjoe]:[currydestroyer27]]), "TBD")</f>
        <v>2.8</v>
      </c>
      <c r="G1814" s="177">
        <f>IFERROR(_xlfn.STDEV.P(Data[[#This Row],[alappatjoe]:[currydestroyer27]]), "TBD")</f>
        <v>1.3266499161421599</v>
      </c>
      <c r="H1814" s="135" t="s">
        <v>3480</v>
      </c>
      <c r="I1814" s="229" t="s">
        <v>3481</v>
      </c>
      <c r="J1814" s="3">
        <v>2</v>
      </c>
      <c r="K1814" s="3">
        <v>3</v>
      </c>
      <c r="L1814" s="3">
        <v>1</v>
      </c>
      <c r="M1814" s="3">
        <v>5</v>
      </c>
      <c r="N1814" s="3">
        <v>3</v>
      </c>
      <c r="O1814" s="238">
        <v>999</v>
      </c>
      <c r="P1814" s="93"/>
      <c r="Q1814" s="93"/>
      <c r="R18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14" s="93">
        <v>1</v>
      </c>
      <c r="T1814" s="93" t="b">
        <f>Data[[#This Row],[Day Rank]]=Data[[#This Row],[W Rank]]</f>
        <v>0</v>
      </c>
      <c r="U1814" s="323"/>
    </row>
    <row r="1815" spans="1:21" ht="15" customHeight="1">
      <c r="A1815" s="326"/>
      <c r="B1815" s="326"/>
      <c r="C1815" s="339"/>
      <c r="D1815" s="81">
        <f t="shared" si="308"/>
        <v>46119</v>
      </c>
      <c r="E1815" s="140" t="str">
        <f t="shared" si="309"/>
        <v>samuelbattista</v>
      </c>
      <c r="F1815" s="8">
        <f>IFERROR(AVERAGE(Data[[#This Row],[alappatjoe]:[currydestroyer27]]), "TBD")</f>
        <v>4</v>
      </c>
      <c r="G1815" s="177">
        <f>IFERROR(_xlfn.STDEV.P(Data[[#This Row],[alappatjoe]:[currydestroyer27]]), "TBD")</f>
        <v>1.0954451150103321</v>
      </c>
      <c r="H1815" s="135" t="s">
        <v>3482</v>
      </c>
      <c r="I1815" s="229" t="s">
        <v>1937</v>
      </c>
      <c r="J1815" s="3">
        <v>5</v>
      </c>
      <c r="K1815" s="3">
        <v>5</v>
      </c>
      <c r="L1815" s="3">
        <v>4</v>
      </c>
      <c r="M1815" s="3">
        <v>2</v>
      </c>
      <c r="N1815" s="3">
        <v>4</v>
      </c>
      <c r="O1815" s="238"/>
      <c r="P1815" s="93"/>
      <c r="Q1815" s="93"/>
      <c r="R18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15" s="93">
        <v>1</v>
      </c>
      <c r="T1815" s="93" t="b">
        <f>Data[[#This Row],[Day Rank]]=Data[[#This Row],[W Rank]]</f>
        <v>0</v>
      </c>
      <c r="U1815" s="323"/>
    </row>
    <row r="1816" spans="1:21" ht="15" customHeight="1" thickBot="1">
      <c r="A1816" s="327"/>
      <c r="B1816" s="327"/>
      <c r="C1816" s="340"/>
      <c r="D1816" s="164">
        <f t="shared" si="310"/>
        <v>46119</v>
      </c>
      <c r="E1816" s="215" t="str">
        <f t="shared" si="311"/>
        <v>currydestroyer27</v>
      </c>
      <c r="F1816" s="165">
        <f>IFERROR(AVERAGE(Data[[#This Row],[alappatjoe]:[currydestroyer27]]), "TBD")</f>
        <v>2.6</v>
      </c>
      <c r="G1816" s="256">
        <f>IFERROR(_xlfn.STDEV.P(Data[[#This Row],[alappatjoe]:[currydestroyer27]]), "TBD")</f>
        <v>1.019803902718557</v>
      </c>
      <c r="H1816" s="227" t="s">
        <v>3483</v>
      </c>
      <c r="I1816" s="257" t="s">
        <v>3132</v>
      </c>
      <c r="J1816" s="166">
        <v>4</v>
      </c>
      <c r="K1816" s="166">
        <v>1</v>
      </c>
      <c r="L1816" s="166">
        <v>3</v>
      </c>
      <c r="M1816" s="166">
        <v>3</v>
      </c>
      <c r="N1816" s="166">
        <v>2</v>
      </c>
      <c r="O1816" s="242">
        <v>61120119</v>
      </c>
      <c r="P1816" s="167"/>
      <c r="Q1816" s="167"/>
      <c r="R18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16" s="167">
        <v>1</v>
      </c>
      <c r="T1816" s="167" t="b">
        <f>Data[[#This Row],[Day Rank]]=Data[[#This Row],[W Rank]]</f>
        <v>0</v>
      </c>
      <c r="U1816" s="324"/>
    </row>
    <row r="1817" spans="1:21" ht="15" customHeight="1">
      <c r="A1817" s="325">
        <v>46120</v>
      </c>
      <c r="B1817" s="325"/>
      <c r="C1817" s="328" t="str" cm="1">
        <f t="array" ref="C1817">_xlfn.LET(_xlpm.matches, _xlfn._xlws.FILTER(Data[Poster], (Data[Date]=A1817)*(Data[Winner]=TRUE)), IF(ROWS(_xlpm.matches)&gt;1, "TIE", _xlpm.matches))</f>
        <v>currydestroyer27</v>
      </c>
      <c r="D1817" s="147">
        <f t="shared" ref="D1817" si="313">A1817</f>
        <v>46120</v>
      </c>
      <c r="E1817" s="181" t="str">
        <f t="shared" si="303"/>
        <v>alappatjoe</v>
      </c>
      <c r="F1817" s="9">
        <f>IFERROR(AVERAGE(Data[[#This Row],[alappatjoe]:[currydestroyer27]]), "TBD")</f>
        <v>4</v>
      </c>
      <c r="G1817" s="178">
        <f>IFERROR(_xlfn.STDEV.P(Data[[#This Row],[alappatjoe]:[currydestroyer27]]), "TBD")</f>
        <v>1.5491933384829668</v>
      </c>
      <c r="H1817" s="160" t="s">
        <v>3484</v>
      </c>
      <c r="I1817" s="186" t="s">
        <v>3485</v>
      </c>
      <c r="J1817" s="3">
        <v>1</v>
      </c>
      <c r="K1817" s="3">
        <v>5</v>
      </c>
      <c r="L1817" s="3">
        <v>4</v>
      </c>
      <c r="M1817" s="3">
        <v>5</v>
      </c>
      <c r="N1817" s="3">
        <v>5</v>
      </c>
      <c r="O1817" s="238">
        <v>551083</v>
      </c>
      <c r="P1817" s="93"/>
      <c r="Q1817" s="93"/>
      <c r="R18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17" s="93">
        <v>1</v>
      </c>
      <c r="T1817" s="93" t="b">
        <f>Data[[#This Row],[Day Rank]]=Data[[#This Row],[W Rank]]</f>
        <v>0</v>
      </c>
      <c r="U1817" s="322"/>
    </row>
    <row r="1818" spans="1:21" ht="15" customHeight="1">
      <c r="A1818" s="326"/>
      <c r="B1818" s="326"/>
      <c r="C1818" s="329"/>
      <c r="D1818" s="81">
        <f t="shared" si="304"/>
        <v>46120</v>
      </c>
      <c r="E1818" s="140" t="str">
        <f t="shared" si="305"/>
        <v>danram</v>
      </c>
      <c r="F1818" s="8">
        <f>IFERROR(AVERAGE(Data[[#This Row],[alappatjoe]:[currydestroyer27]]), "TBD")</f>
        <v>3.6</v>
      </c>
      <c r="G1818" s="177">
        <f>IFERROR(_xlfn.STDEV.P(Data[[#This Row],[alappatjoe]:[currydestroyer27]]), "TBD")</f>
        <v>0.8</v>
      </c>
      <c r="H1818" s="135" t="s">
        <v>3486</v>
      </c>
      <c r="I1818" s="229" t="s">
        <v>3487</v>
      </c>
      <c r="J1818" s="3">
        <v>5</v>
      </c>
      <c r="K1818" s="3">
        <v>3</v>
      </c>
      <c r="L1818" s="3">
        <v>3</v>
      </c>
      <c r="M1818" s="3">
        <v>4</v>
      </c>
      <c r="N1818" s="3">
        <v>3</v>
      </c>
      <c r="O1818" s="238"/>
      <c r="P1818" s="93"/>
      <c r="Q1818" s="93"/>
      <c r="R18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18" s="93">
        <v>1</v>
      </c>
      <c r="T1818" s="93" t="b">
        <f>Data[[#This Row],[Day Rank]]=Data[[#This Row],[W Rank]]</f>
        <v>0</v>
      </c>
      <c r="U1818" s="323"/>
    </row>
    <row r="1819" spans="1:21" ht="15" customHeight="1">
      <c r="A1819" s="326"/>
      <c r="B1819" s="326"/>
      <c r="C1819" s="329"/>
      <c r="D1819" s="81">
        <f t="shared" si="306"/>
        <v>46120</v>
      </c>
      <c r="E1819" s="140" t="str">
        <f t="shared" si="307"/>
        <v>loganworsdell</v>
      </c>
      <c r="F1819" s="8">
        <f>IFERROR(AVERAGE(Data[[#This Row],[alappatjoe]:[currydestroyer27]]), "TBD")</f>
        <v>2.8</v>
      </c>
      <c r="G1819" s="177">
        <f>IFERROR(_xlfn.STDEV.P(Data[[#This Row],[alappatjoe]:[currydestroyer27]]), "TBD")</f>
        <v>1.1661903789690602</v>
      </c>
      <c r="H1819" s="135" t="s">
        <v>3488</v>
      </c>
      <c r="I1819" s="229" t="s">
        <v>2516</v>
      </c>
      <c r="J1819" s="3">
        <v>2</v>
      </c>
      <c r="K1819" s="3">
        <v>4</v>
      </c>
      <c r="L1819" s="3">
        <v>1</v>
      </c>
      <c r="M1819" s="3">
        <v>3</v>
      </c>
      <c r="N1819" s="3">
        <v>4</v>
      </c>
      <c r="O1819" s="238">
        <v>229859</v>
      </c>
      <c r="P1819" s="93"/>
      <c r="Q1819" s="93"/>
      <c r="R18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19" s="93">
        <v>1</v>
      </c>
      <c r="T1819" s="93" t="b">
        <f>Data[[#This Row],[Day Rank]]=Data[[#This Row],[W Rank]]</f>
        <v>0</v>
      </c>
      <c r="U1819" s="323"/>
    </row>
    <row r="1820" spans="1:21" ht="15" customHeight="1">
      <c r="A1820" s="326"/>
      <c r="B1820" s="326"/>
      <c r="C1820" s="329"/>
      <c r="D1820" s="81">
        <f t="shared" si="308"/>
        <v>46120</v>
      </c>
      <c r="E1820" s="140" t="str">
        <f t="shared" si="309"/>
        <v>samuelbattista</v>
      </c>
      <c r="F1820" s="8">
        <f>IFERROR(AVERAGE(Data[[#This Row],[alappatjoe]:[currydestroyer27]]), "TBD")</f>
        <v>2.6</v>
      </c>
      <c r="G1820" s="177">
        <f>IFERROR(_xlfn.STDEV.P(Data[[#This Row],[alappatjoe]:[currydestroyer27]]), "TBD")</f>
        <v>1.6248076809271921</v>
      </c>
      <c r="H1820" s="135" t="s">
        <v>3489</v>
      </c>
      <c r="I1820" s="229" t="s">
        <v>2920</v>
      </c>
      <c r="J1820" s="3">
        <v>4</v>
      </c>
      <c r="K1820" s="3">
        <v>2</v>
      </c>
      <c r="L1820" s="3">
        <v>5</v>
      </c>
      <c r="M1820" s="3">
        <v>1</v>
      </c>
      <c r="N1820" s="3">
        <v>1</v>
      </c>
      <c r="O1820" s="238"/>
      <c r="P1820" s="93"/>
      <c r="Q1820" s="93"/>
      <c r="R18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20" s="93">
        <v>1</v>
      </c>
      <c r="T1820" s="93" t="b">
        <f>Data[[#This Row],[Day Rank]]=Data[[#This Row],[W Rank]]</f>
        <v>0</v>
      </c>
      <c r="U1820" s="323"/>
    </row>
    <row r="1821" spans="1:21" ht="15" customHeight="1" thickBot="1">
      <c r="A1821" s="327"/>
      <c r="B1821" s="327"/>
      <c r="C1821" s="330"/>
      <c r="D1821" s="164">
        <f t="shared" si="310"/>
        <v>46120</v>
      </c>
      <c r="E1821" s="215" t="str">
        <f t="shared" si="311"/>
        <v>currydestroyer27</v>
      </c>
      <c r="F1821" s="165">
        <f>IFERROR(AVERAGE(Data[[#This Row],[alappatjoe]:[currydestroyer27]]), "TBD")</f>
        <v>2</v>
      </c>
      <c r="G1821" s="256">
        <f>IFERROR(_xlfn.STDEV.P(Data[[#This Row],[alappatjoe]:[currydestroyer27]]), "TBD")</f>
        <v>0.63245553203367588</v>
      </c>
      <c r="H1821" s="227" t="s">
        <v>3490</v>
      </c>
      <c r="I1821" s="257" t="s">
        <v>855</v>
      </c>
      <c r="J1821" s="166">
        <v>3</v>
      </c>
      <c r="K1821" s="166">
        <v>1</v>
      </c>
      <c r="L1821" s="166">
        <v>2</v>
      </c>
      <c r="M1821" s="166">
        <v>2</v>
      </c>
      <c r="N1821" s="166">
        <v>2</v>
      </c>
      <c r="O1821" s="242">
        <v>446454</v>
      </c>
      <c r="P1821" s="167"/>
      <c r="Q1821" s="167"/>
      <c r="R18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21" s="167">
        <v>1</v>
      </c>
      <c r="T1821" s="167" t="b">
        <f>Data[[#This Row],[Day Rank]]=Data[[#This Row],[W Rank]]</f>
        <v>1</v>
      </c>
      <c r="U1821" s="324"/>
    </row>
    <row r="1822" spans="1:21" ht="15" customHeight="1">
      <c r="A1822" s="325">
        <v>46121</v>
      </c>
      <c r="B1822" s="325"/>
      <c r="C1822" s="338" t="str" cm="1">
        <f t="array" ref="C1822">_xlfn.LET(_xlpm.matches, _xlfn._xlws.FILTER(Data[Poster], (Data[Date]=A1822)*(Data[Winner]=TRUE)), IF(ROWS(_xlpm.matches)&gt;1, "TIE", _xlpm.matches))</f>
        <v>alappatjoe</v>
      </c>
      <c r="D1822" s="147">
        <f t="shared" ref="D1822" si="314">A1822</f>
        <v>46121</v>
      </c>
      <c r="E1822" s="181" t="str">
        <f t="shared" si="303"/>
        <v>alappatjoe</v>
      </c>
      <c r="F1822" s="9">
        <f>IFERROR(AVERAGE(Data[[#This Row],[alappatjoe]:[currydestroyer27]]), "TBD")</f>
        <v>2.2000000000000002</v>
      </c>
      <c r="G1822" s="178">
        <f>IFERROR(_xlfn.STDEV.P(Data[[#This Row],[alappatjoe]:[currydestroyer27]]), "TBD")</f>
        <v>1.6</v>
      </c>
      <c r="H1822" s="160" t="s">
        <v>3491</v>
      </c>
      <c r="I1822" s="186" t="s">
        <v>3492</v>
      </c>
      <c r="J1822" s="3">
        <v>1</v>
      </c>
      <c r="K1822" s="3">
        <v>1</v>
      </c>
      <c r="L1822" s="3">
        <v>5</v>
      </c>
      <c r="M1822" s="3">
        <v>1</v>
      </c>
      <c r="N1822" s="3">
        <v>3</v>
      </c>
      <c r="O1822" s="238">
        <v>87025174</v>
      </c>
      <c r="P1822" s="93"/>
      <c r="Q1822" s="93"/>
      <c r="R18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22" s="93">
        <v>1</v>
      </c>
      <c r="T1822" s="93" t="b">
        <f>Data[[#This Row],[Day Rank]]=Data[[#This Row],[W Rank]]</f>
        <v>1</v>
      </c>
      <c r="U1822" s="322" t="s">
        <v>3493</v>
      </c>
    </row>
    <row r="1823" spans="1:21" ht="15" customHeight="1">
      <c r="A1823" s="326"/>
      <c r="B1823" s="326"/>
      <c r="C1823" s="339"/>
      <c r="D1823" s="81">
        <f t="shared" si="304"/>
        <v>46121</v>
      </c>
      <c r="E1823" s="140" t="str">
        <f t="shared" si="305"/>
        <v>danram</v>
      </c>
      <c r="F1823" s="8">
        <f>IFERROR(AVERAGE(Data[[#This Row],[alappatjoe]:[currydestroyer27]]), "TBD")</f>
        <v>4.8</v>
      </c>
      <c r="G1823" s="177">
        <f>IFERROR(_xlfn.STDEV.P(Data[[#This Row],[alappatjoe]:[currydestroyer27]]), "TBD")</f>
        <v>0.39999999999999997</v>
      </c>
      <c r="H1823" s="135" t="s">
        <v>3494</v>
      </c>
      <c r="I1823" s="229" t="s">
        <v>3495</v>
      </c>
      <c r="J1823" s="3">
        <v>5</v>
      </c>
      <c r="K1823" s="3">
        <v>5</v>
      </c>
      <c r="L1823" s="3">
        <v>4</v>
      </c>
      <c r="M1823" s="3">
        <v>5</v>
      </c>
      <c r="N1823" s="3">
        <v>5</v>
      </c>
      <c r="O1823" s="238"/>
      <c r="P1823" s="93"/>
      <c r="Q1823" s="93"/>
      <c r="R18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23" s="93">
        <v>1</v>
      </c>
      <c r="T1823" s="93" t="b">
        <f>Data[[#This Row],[Day Rank]]=Data[[#This Row],[W Rank]]</f>
        <v>0</v>
      </c>
      <c r="U1823" s="323"/>
    </row>
    <row r="1824" spans="1:21" ht="15" customHeight="1">
      <c r="A1824" s="326"/>
      <c r="B1824" s="326"/>
      <c r="C1824" s="339"/>
      <c r="D1824" s="81">
        <f t="shared" si="306"/>
        <v>46121</v>
      </c>
      <c r="E1824" s="140" t="str">
        <f t="shared" si="307"/>
        <v>loganworsdell</v>
      </c>
      <c r="F1824" s="8">
        <f>IFERROR(AVERAGE(Data[[#This Row],[alappatjoe]:[currydestroyer27]]), "TBD")</f>
        <v>3</v>
      </c>
      <c r="G1824" s="177">
        <f>IFERROR(_xlfn.STDEV.P(Data[[#This Row],[alappatjoe]:[currydestroyer27]]), "TBD")</f>
        <v>1.2649110640673518</v>
      </c>
      <c r="H1824" s="135" t="s">
        <v>3496</v>
      </c>
      <c r="I1824" s="229" t="s">
        <v>3497</v>
      </c>
      <c r="J1824" s="3">
        <v>4</v>
      </c>
      <c r="K1824" s="3">
        <v>4</v>
      </c>
      <c r="L1824" s="3">
        <v>1</v>
      </c>
      <c r="M1824" s="3">
        <v>2</v>
      </c>
      <c r="N1824" s="3">
        <v>4</v>
      </c>
      <c r="O1824" s="238">
        <v>42029556</v>
      </c>
      <c r="P1824" s="93"/>
      <c r="Q1824" s="93"/>
      <c r="R18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24" s="93">
        <v>1</v>
      </c>
      <c r="T1824" s="93" t="b">
        <f>Data[[#This Row],[Day Rank]]=Data[[#This Row],[W Rank]]</f>
        <v>0</v>
      </c>
      <c r="U1824" s="323"/>
    </row>
    <row r="1825" spans="1:21" ht="15" customHeight="1">
      <c r="A1825" s="326"/>
      <c r="B1825" s="326"/>
      <c r="C1825" s="339"/>
      <c r="D1825" s="81">
        <f t="shared" si="308"/>
        <v>46121</v>
      </c>
      <c r="E1825" s="140" t="str">
        <f t="shared" si="309"/>
        <v>samuelbattista</v>
      </c>
      <c r="F1825" s="8">
        <f>IFERROR(AVERAGE(Data[[#This Row],[alappatjoe]:[currydestroyer27]]), "TBD")</f>
        <v>2.4</v>
      </c>
      <c r="G1825" s="177">
        <f>IFERROR(_xlfn.STDEV.P(Data[[#This Row],[alappatjoe]:[currydestroyer27]]), "TBD")</f>
        <v>0.4898979485566356</v>
      </c>
      <c r="H1825" s="135" t="s">
        <v>3498</v>
      </c>
      <c r="I1825" s="229" t="s">
        <v>1106</v>
      </c>
      <c r="J1825" s="3">
        <v>3</v>
      </c>
      <c r="K1825" s="3">
        <v>2</v>
      </c>
      <c r="L1825" s="3">
        <v>2</v>
      </c>
      <c r="M1825" s="3">
        <v>3</v>
      </c>
      <c r="N1825" s="3">
        <v>2</v>
      </c>
      <c r="O1825" s="238"/>
      <c r="P1825" s="93"/>
      <c r="Q1825" s="93"/>
      <c r="R18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25" s="93">
        <v>1</v>
      </c>
      <c r="T1825" s="93" t="b">
        <f>Data[[#This Row],[Day Rank]]=Data[[#This Row],[W Rank]]</f>
        <v>0</v>
      </c>
      <c r="U1825" s="323"/>
    </row>
    <row r="1826" spans="1:21" ht="15" customHeight="1" thickBot="1">
      <c r="A1826" s="327"/>
      <c r="B1826" s="327"/>
      <c r="C1826" s="340"/>
      <c r="D1826" s="164">
        <f t="shared" si="310"/>
        <v>46121</v>
      </c>
      <c r="E1826" s="215" t="str">
        <f t="shared" si="311"/>
        <v>currydestroyer27</v>
      </c>
      <c r="F1826" s="165">
        <f>IFERROR(AVERAGE(Data[[#This Row],[alappatjoe]:[currydestroyer27]]), "TBD")</f>
        <v>2.6</v>
      </c>
      <c r="G1826" s="256">
        <f>IFERROR(_xlfn.STDEV.P(Data[[#This Row],[alappatjoe]:[currydestroyer27]]), "TBD")</f>
        <v>1.019803902718557</v>
      </c>
      <c r="H1826" s="227" t="s">
        <v>3499</v>
      </c>
      <c r="I1826" s="257" t="s">
        <v>3500</v>
      </c>
      <c r="J1826" s="166">
        <v>2</v>
      </c>
      <c r="K1826" s="166">
        <v>3</v>
      </c>
      <c r="L1826" s="166">
        <v>3</v>
      </c>
      <c r="M1826" s="166">
        <v>4</v>
      </c>
      <c r="N1826" s="166">
        <v>1</v>
      </c>
      <c r="O1826" s="242">
        <v>302855954</v>
      </c>
      <c r="P1826" s="167"/>
      <c r="Q1826" s="167"/>
      <c r="R18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26" s="167">
        <v>1</v>
      </c>
      <c r="T1826" s="167" t="b">
        <f>Data[[#This Row],[Day Rank]]=Data[[#This Row],[W Rank]]</f>
        <v>0</v>
      </c>
      <c r="U1826" s="324"/>
    </row>
    <row r="1827" spans="1:21" ht="15" customHeight="1">
      <c r="A1827" s="325">
        <v>46125</v>
      </c>
      <c r="B1827" s="325"/>
      <c r="C1827" s="328" t="str" cm="1">
        <f t="array" ref="C1827">_xlfn.LET(_xlpm.matches, _xlfn._xlws.FILTER(Data[Poster], (Data[Date]=A1827)*(Data[Winner]=TRUE)), IF(ROWS(_xlpm.matches)&gt;1, "TIE", _xlpm.matches))</f>
        <v>loganworsdell</v>
      </c>
      <c r="D1827" s="147">
        <f t="shared" ref="D1827" si="315">A1827</f>
        <v>46125</v>
      </c>
      <c r="E1827" s="181" t="str">
        <f t="shared" si="303"/>
        <v>alappatjoe</v>
      </c>
      <c r="F1827" s="9">
        <f>IFERROR(AVERAGE(Data[[#This Row],[alappatjoe]:[currydestroyer27]]), "TBD")</f>
        <v>3</v>
      </c>
      <c r="G1827" s="178">
        <f>IFERROR(_xlfn.STDEV.P(Data[[#This Row],[alappatjoe]:[currydestroyer27]]), "TBD")</f>
        <v>1.4142135623730951</v>
      </c>
      <c r="H1827" s="160" t="s">
        <v>3501</v>
      </c>
      <c r="I1827" s="186" t="s">
        <v>3502</v>
      </c>
      <c r="J1827" s="3">
        <v>2</v>
      </c>
      <c r="K1827" s="3">
        <v>1</v>
      </c>
      <c r="L1827" s="3">
        <v>3</v>
      </c>
      <c r="M1827" s="3">
        <v>5</v>
      </c>
      <c r="N1827" s="3">
        <v>4</v>
      </c>
      <c r="O1827" s="238">
        <v>437441</v>
      </c>
      <c r="P1827" s="93"/>
      <c r="Q1827" s="93"/>
      <c r="R18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27" s="93">
        <v>1</v>
      </c>
      <c r="T1827" s="93" t="b">
        <f>Data[[#This Row],[Day Rank]]=Data[[#This Row],[W Rank]]</f>
        <v>0</v>
      </c>
      <c r="U1827" s="322"/>
    </row>
    <row r="1828" spans="1:21" ht="15" customHeight="1">
      <c r="A1828" s="326"/>
      <c r="B1828" s="326"/>
      <c r="C1828" s="329"/>
      <c r="D1828" s="81">
        <f t="shared" si="304"/>
        <v>46125</v>
      </c>
      <c r="E1828" s="140" t="str">
        <f t="shared" si="305"/>
        <v>danram</v>
      </c>
      <c r="F1828" s="8">
        <f>IFERROR(AVERAGE(Data[[#This Row],[alappatjoe]:[currydestroyer27]]), "TBD")</f>
        <v>3.4</v>
      </c>
      <c r="G1828" s="177">
        <f>IFERROR(_xlfn.STDEV.P(Data[[#This Row],[alappatjoe]:[currydestroyer27]]), "TBD")</f>
        <v>1.3564659966250536</v>
      </c>
      <c r="H1828" s="135" t="s">
        <v>3503</v>
      </c>
      <c r="I1828" s="229" t="s">
        <v>3504</v>
      </c>
      <c r="J1828" s="3">
        <v>5</v>
      </c>
      <c r="K1828" s="3">
        <v>2</v>
      </c>
      <c r="L1828" s="3">
        <v>5</v>
      </c>
      <c r="M1828" s="3">
        <v>2</v>
      </c>
      <c r="N1828" s="3">
        <v>3</v>
      </c>
      <c r="O1828" s="238"/>
      <c r="P1828" s="93"/>
      <c r="Q1828" s="93"/>
      <c r="R18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28" s="93">
        <v>1</v>
      </c>
      <c r="T1828" s="93" t="b">
        <f>Data[[#This Row],[Day Rank]]=Data[[#This Row],[W Rank]]</f>
        <v>0</v>
      </c>
      <c r="U1828" s="323"/>
    </row>
    <row r="1829" spans="1:21" ht="15" customHeight="1">
      <c r="A1829" s="326"/>
      <c r="B1829" s="326"/>
      <c r="C1829" s="329"/>
      <c r="D1829" s="81">
        <f t="shared" si="306"/>
        <v>46125</v>
      </c>
      <c r="E1829" s="140" t="str">
        <f t="shared" si="307"/>
        <v>loganworsdell</v>
      </c>
      <c r="F1829" s="8">
        <f>IFERROR(AVERAGE(Data[[#This Row],[alappatjoe]:[currydestroyer27]]), "TBD")</f>
        <v>2.2000000000000002</v>
      </c>
      <c r="G1829" s="177">
        <f>IFERROR(_xlfn.STDEV.P(Data[[#This Row],[alappatjoe]:[currydestroyer27]]), "TBD")</f>
        <v>1.1661903789690602</v>
      </c>
      <c r="H1829" s="135" t="s">
        <v>3505</v>
      </c>
      <c r="I1829" s="229" t="s">
        <v>3506</v>
      </c>
      <c r="J1829" s="3">
        <v>1</v>
      </c>
      <c r="K1829" s="3">
        <v>3</v>
      </c>
      <c r="L1829" s="3">
        <v>1</v>
      </c>
      <c r="M1829" s="3">
        <v>4</v>
      </c>
      <c r="N1829" s="3">
        <v>2</v>
      </c>
      <c r="O1829" s="238">
        <v>240345</v>
      </c>
      <c r="P1829" s="93"/>
      <c r="Q1829" s="93"/>
      <c r="R18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29" s="93">
        <v>1</v>
      </c>
      <c r="T1829" s="93" t="b">
        <f>Data[[#This Row],[Day Rank]]=Data[[#This Row],[W Rank]]</f>
        <v>1</v>
      </c>
      <c r="U1829" s="323"/>
    </row>
    <row r="1830" spans="1:21" ht="15" customHeight="1">
      <c r="A1830" s="326"/>
      <c r="B1830" s="326"/>
      <c r="C1830" s="329"/>
      <c r="D1830" s="81">
        <f t="shared" si="308"/>
        <v>46125</v>
      </c>
      <c r="E1830" s="140" t="str">
        <f t="shared" si="309"/>
        <v>samuelbattista</v>
      </c>
      <c r="F1830" s="8">
        <f>IFERROR(AVERAGE(Data[[#This Row],[alappatjoe]:[currydestroyer27]]), "TBD")</f>
        <v>3</v>
      </c>
      <c r="G1830" s="177">
        <f>IFERROR(_xlfn.STDEV.P(Data[[#This Row],[alappatjoe]:[currydestroyer27]]), "TBD")</f>
        <v>1.4142135623730951</v>
      </c>
      <c r="H1830" s="135" t="s">
        <v>3507</v>
      </c>
      <c r="I1830" s="229" t="s">
        <v>3508</v>
      </c>
      <c r="J1830" s="3">
        <v>3</v>
      </c>
      <c r="K1830" s="3">
        <v>4</v>
      </c>
      <c r="L1830" s="3">
        <v>2</v>
      </c>
      <c r="M1830" s="3">
        <v>1</v>
      </c>
      <c r="N1830" s="3">
        <v>5</v>
      </c>
      <c r="O1830" s="238"/>
      <c r="P1830" s="93"/>
      <c r="Q1830" s="93"/>
      <c r="R18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30" s="93">
        <v>1</v>
      </c>
      <c r="T1830" s="93" t="b">
        <f>Data[[#This Row],[Day Rank]]=Data[[#This Row],[W Rank]]</f>
        <v>0</v>
      </c>
      <c r="U1830" s="323"/>
    </row>
    <row r="1831" spans="1:21" ht="15" customHeight="1" thickBot="1">
      <c r="A1831" s="327"/>
      <c r="B1831" s="327"/>
      <c r="C1831" s="330"/>
      <c r="D1831" s="164">
        <f t="shared" si="310"/>
        <v>46125</v>
      </c>
      <c r="E1831" s="215" t="str">
        <f t="shared" si="311"/>
        <v>currydestroyer27</v>
      </c>
      <c r="F1831" s="165">
        <f>IFERROR(AVERAGE(Data[[#This Row],[alappatjoe]:[currydestroyer27]]), "TBD")</f>
        <v>3.4</v>
      </c>
      <c r="G1831" s="256">
        <f>IFERROR(_xlfn.STDEV.P(Data[[#This Row],[alappatjoe]:[currydestroyer27]]), "TBD")</f>
        <v>1.3564659966250536</v>
      </c>
      <c r="H1831" s="227" t="s">
        <v>3509</v>
      </c>
      <c r="I1831" s="257" t="s">
        <v>3510</v>
      </c>
      <c r="J1831" s="166">
        <v>4</v>
      </c>
      <c r="K1831" s="166">
        <v>5</v>
      </c>
      <c r="L1831" s="166">
        <v>4</v>
      </c>
      <c r="M1831" s="166">
        <v>3</v>
      </c>
      <c r="N1831" s="166">
        <v>1</v>
      </c>
      <c r="O1831" s="242">
        <v>14075973</v>
      </c>
      <c r="P1831" s="167"/>
      <c r="Q1831" s="167"/>
      <c r="R183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31" s="167">
        <v>1</v>
      </c>
      <c r="T1831" s="167" t="b">
        <f>Data[[#This Row],[Day Rank]]=Data[[#This Row],[W Rank]]</f>
        <v>0</v>
      </c>
      <c r="U1831" s="324"/>
    </row>
    <row r="1832" spans="1:21" ht="15" customHeight="1">
      <c r="A1832" s="325">
        <v>46126</v>
      </c>
      <c r="B1832" s="325"/>
      <c r="C1832" s="338" t="str" cm="1">
        <f t="array" ref="C1832">_xlfn.LET(_xlpm.matches, _xlfn._xlws.FILTER(Data[Poster], (Data[Date]=A1832)*(Data[Winner]=TRUE)), IF(ROWS(_xlpm.matches)&gt;1, "TIE", _xlpm.matches))</f>
        <v>loganworsdell</v>
      </c>
      <c r="D1832" s="147">
        <f t="shared" ref="D1832" si="316">A1832</f>
        <v>46126</v>
      </c>
      <c r="E1832" s="181" t="str">
        <f t="shared" si="303"/>
        <v>alappatjoe</v>
      </c>
      <c r="F1832" s="9">
        <f>IFERROR(AVERAGE(Data[[#This Row],[alappatjoe]:[currydestroyer27]]), "TBD")</f>
        <v>4</v>
      </c>
      <c r="G1832" s="178">
        <f>IFERROR(_xlfn.STDEV.P(Data[[#This Row],[alappatjoe]:[currydestroyer27]]), "TBD")</f>
        <v>1.5491933384829668</v>
      </c>
      <c r="H1832" s="160" t="s">
        <v>3511</v>
      </c>
      <c r="I1832" s="186" t="s">
        <v>3512</v>
      </c>
      <c r="J1832" s="3">
        <v>1</v>
      </c>
      <c r="K1832" s="3">
        <v>5</v>
      </c>
      <c r="L1832" s="3">
        <v>4</v>
      </c>
      <c r="M1832" s="3">
        <v>5</v>
      </c>
      <c r="N1832" s="3">
        <v>5</v>
      </c>
      <c r="O1832" s="238">
        <v>49352659</v>
      </c>
      <c r="P1832" s="93"/>
      <c r="Q1832" s="93"/>
      <c r="R18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32" s="93">
        <v>1</v>
      </c>
      <c r="T1832" s="93" t="b">
        <f>Data[[#This Row],[Day Rank]]=Data[[#This Row],[W Rank]]</f>
        <v>0</v>
      </c>
      <c r="U1832" s="322"/>
    </row>
    <row r="1833" spans="1:21" ht="15" customHeight="1">
      <c r="A1833" s="326"/>
      <c r="B1833" s="326"/>
      <c r="C1833" s="339"/>
      <c r="D1833" s="81">
        <f t="shared" si="304"/>
        <v>46126</v>
      </c>
      <c r="E1833" s="140" t="str">
        <f t="shared" si="305"/>
        <v>danram</v>
      </c>
      <c r="F1833" s="8">
        <f>IFERROR(AVERAGE(Data[[#This Row],[alappatjoe]:[currydestroyer27]]), "TBD")</f>
        <v>3.6</v>
      </c>
      <c r="G1833" s="177">
        <f>IFERROR(_xlfn.STDEV.P(Data[[#This Row],[alappatjoe]:[currydestroyer27]]), "TBD")</f>
        <v>0.8</v>
      </c>
      <c r="H1833" s="135" t="s">
        <v>3513</v>
      </c>
      <c r="I1833" s="229" t="s">
        <v>361</v>
      </c>
      <c r="J1833" s="3">
        <v>4</v>
      </c>
      <c r="K1833" s="3">
        <v>3</v>
      </c>
      <c r="L1833" s="3">
        <v>5</v>
      </c>
      <c r="M1833" s="3">
        <v>3</v>
      </c>
      <c r="N1833" s="3">
        <v>3</v>
      </c>
      <c r="O1833" s="238"/>
      <c r="P1833" s="93"/>
      <c r="Q1833" s="93"/>
      <c r="R18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33" s="93">
        <v>1</v>
      </c>
      <c r="T1833" s="93" t="b">
        <f>Data[[#This Row],[Day Rank]]=Data[[#This Row],[W Rank]]</f>
        <v>0</v>
      </c>
      <c r="U1833" s="323"/>
    </row>
    <row r="1834" spans="1:21" ht="15" customHeight="1">
      <c r="A1834" s="326"/>
      <c r="B1834" s="326"/>
      <c r="C1834" s="339"/>
      <c r="D1834" s="81">
        <f t="shared" si="306"/>
        <v>46126</v>
      </c>
      <c r="E1834" s="140" t="str">
        <f t="shared" si="307"/>
        <v>loganworsdell</v>
      </c>
      <c r="F1834" s="8">
        <f>IFERROR(AVERAGE(Data[[#This Row],[alappatjoe]:[currydestroyer27]]), "TBD")</f>
        <v>2</v>
      </c>
      <c r="G1834" s="177">
        <f>IFERROR(_xlfn.STDEV.P(Data[[#This Row],[alappatjoe]:[currydestroyer27]]), "TBD")</f>
        <v>0</v>
      </c>
      <c r="H1834" s="135" t="s">
        <v>3514</v>
      </c>
      <c r="I1834" s="229" t="s">
        <v>3515</v>
      </c>
      <c r="J1834" s="3">
        <v>2</v>
      </c>
      <c r="K1834" s="3">
        <v>2</v>
      </c>
      <c r="L1834" s="3">
        <v>2</v>
      </c>
      <c r="M1834" s="3">
        <v>2</v>
      </c>
      <c r="N1834" s="3">
        <v>2</v>
      </c>
      <c r="O1834" s="238">
        <v>6374589</v>
      </c>
      <c r="P1834" s="93"/>
      <c r="Q1834" s="93"/>
      <c r="R18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34" s="93">
        <v>1</v>
      </c>
      <c r="T1834" s="93" t="b">
        <f>Data[[#This Row],[Day Rank]]=Data[[#This Row],[W Rank]]</f>
        <v>1</v>
      </c>
      <c r="U1834" s="323"/>
    </row>
    <row r="1835" spans="1:21" ht="15" customHeight="1">
      <c r="A1835" s="326"/>
      <c r="B1835" s="326"/>
      <c r="C1835" s="339"/>
      <c r="D1835" s="81">
        <f t="shared" si="308"/>
        <v>46126</v>
      </c>
      <c r="E1835" s="140" t="str">
        <f t="shared" si="309"/>
        <v>samuelbattista</v>
      </c>
      <c r="F1835" s="8">
        <f>IFERROR(AVERAGE(Data[[#This Row],[alappatjoe]:[currydestroyer27]]), "TBD")</f>
        <v>3</v>
      </c>
      <c r="G1835" s="177">
        <f>IFERROR(_xlfn.STDEV.P(Data[[#This Row],[alappatjoe]:[currydestroyer27]]), "TBD")</f>
        <v>1.0954451150103321</v>
      </c>
      <c r="H1835" s="135" t="s">
        <v>3516</v>
      </c>
      <c r="I1835" s="229" t="s">
        <v>3517</v>
      </c>
      <c r="J1835" s="3">
        <v>3</v>
      </c>
      <c r="K1835" s="3">
        <v>4</v>
      </c>
      <c r="L1835" s="3">
        <v>3</v>
      </c>
      <c r="M1835" s="3">
        <v>1</v>
      </c>
      <c r="N1835" s="3">
        <v>4</v>
      </c>
      <c r="O1835" s="238"/>
      <c r="P1835" s="93"/>
      <c r="Q1835" s="93"/>
      <c r="R18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35" s="93">
        <v>1</v>
      </c>
      <c r="T1835" s="93" t="b">
        <f>Data[[#This Row],[Day Rank]]=Data[[#This Row],[W Rank]]</f>
        <v>0</v>
      </c>
      <c r="U1835" s="323"/>
    </row>
    <row r="1836" spans="1:21" ht="15" customHeight="1" thickBot="1">
      <c r="A1836" s="327"/>
      <c r="B1836" s="327"/>
      <c r="C1836" s="340"/>
      <c r="D1836" s="164">
        <f t="shared" si="310"/>
        <v>46126</v>
      </c>
      <c r="E1836" s="215" t="str">
        <f t="shared" si="311"/>
        <v>currydestroyer27</v>
      </c>
      <c r="F1836" s="165">
        <f>IFERROR(AVERAGE(Data[[#This Row],[alappatjoe]:[currydestroyer27]]), "TBD")</f>
        <v>2.4</v>
      </c>
      <c r="G1836" s="256">
        <f>IFERROR(_xlfn.STDEV.P(Data[[#This Row],[alappatjoe]:[currydestroyer27]]), "TBD")</f>
        <v>1.7435595774162693</v>
      </c>
      <c r="H1836" s="227" t="s">
        <v>3518</v>
      </c>
      <c r="I1836" s="257" t="s">
        <v>3519</v>
      </c>
      <c r="J1836" s="166">
        <v>5</v>
      </c>
      <c r="K1836" s="166">
        <v>1</v>
      </c>
      <c r="L1836" s="166">
        <v>1</v>
      </c>
      <c r="M1836" s="166">
        <v>4</v>
      </c>
      <c r="N1836" s="166">
        <v>1</v>
      </c>
      <c r="O1836" s="242">
        <v>17492397</v>
      </c>
      <c r="P1836" s="167" t="s">
        <v>76</v>
      </c>
      <c r="Q1836" s="167" t="s">
        <v>99</v>
      </c>
      <c r="R183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36" s="167">
        <v>1</v>
      </c>
      <c r="T1836" s="167" t="b">
        <f>Data[[#This Row],[Day Rank]]=Data[[#This Row],[W Rank]]</f>
        <v>0</v>
      </c>
      <c r="U1836" s="324"/>
    </row>
    <row r="1837" spans="1:21" ht="15" customHeight="1">
      <c r="A1837" s="325">
        <v>46127</v>
      </c>
      <c r="B1837" s="325"/>
      <c r="C1837" s="328" t="str" cm="1">
        <f t="array" ref="C1837">_xlfn.LET(_xlpm.matches, _xlfn._xlws.FILTER(Data[Poster], (Data[Date]=A1837)*(Data[Winner]=TRUE)), IF(ROWS(_xlpm.matches)&gt;1, "TIE", _xlpm.matches))</f>
        <v>loganworsdell</v>
      </c>
      <c r="D1837" s="147">
        <f t="shared" ref="D1837" si="317">A1837</f>
        <v>46127</v>
      </c>
      <c r="E1837" s="181" t="str">
        <f t="shared" si="303"/>
        <v>alappatjoe</v>
      </c>
      <c r="F1837" s="9">
        <f>IFERROR(AVERAGE(Data[[#This Row],[alappatjoe]:[currydestroyer27]]), "TBD")</f>
        <v>2.6</v>
      </c>
      <c r="G1837" s="178">
        <f>IFERROR(_xlfn.STDEV.P(Data[[#This Row],[alappatjoe]:[currydestroyer27]]), "TBD")</f>
        <v>1.019803902718557</v>
      </c>
      <c r="H1837" s="160" t="s">
        <v>3520</v>
      </c>
      <c r="I1837" s="186" t="s">
        <v>3521</v>
      </c>
      <c r="J1837" s="3">
        <v>1</v>
      </c>
      <c r="K1837" s="3">
        <v>3</v>
      </c>
      <c r="L1837" s="3">
        <v>3</v>
      </c>
      <c r="M1837" s="3">
        <v>4</v>
      </c>
      <c r="N1837" s="3">
        <v>2</v>
      </c>
      <c r="O1837" s="238">
        <v>590185</v>
      </c>
      <c r="P1837" s="93"/>
      <c r="Q1837" s="93"/>
      <c r="R18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37" s="93">
        <v>1</v>
      </c>
      <c r="T1837" s="93" t="b">
        <f>Data[[#This Row],[Day Rank]]=Data[[#This Row],[W Rank]]</f>
        <v>0</v>
      </c>
      <c r="U1837" s="322"/>
    </row>
    <row r="1838" spans="1:21" ht="15" customHeight="1">
      <c r="A1838" s="326"/>
      <c r="B1838" s="326"/>
      <c r="C1838" s="329"/>
      <c r="D1838" s="81">
        <f t="shared" si="304"/>
        <v>46127</v>
      </c>
      <c r="E1838" s="140" t="str">
        <f t="shared" si="305"/>
        <v>danram</v>
      </c>
      <c r="F1838" s="8">
        <f>IFERROR(AVERAGE(Data[[#This Row],[alappatjoe]:[currydestroyer27]]), "TBD")</f>
        <v>3</v>
      </c>
      <c r="G1838" s="177">
        <f>IFERROR(_xlfn.STDEV.P(Data[[#This Row],[alappatjoe]:[currydestroyer27]]), "TBD")</f>
        <v>1.2649110640673518</v>
      </c>
      <c r="H1838" s="135" t="s">
        <v>3522</v>
      </c>
      <c r="I1838" s="229" t="s">
        <v>3523</v>
      </c>
      <c r="J1838" s="3">
        <v>4</v>
      </c>
      <c r="K1838" s="3">
        <v>2</v>
      </c>
      <c r="L1838" s="3">
        <v>2</v>
      </c>
      <c r="M1838" s="3">
        <v>2</v>
      </c>
      <c r="N1838" s="3">
        <v>5</v>
      </c>
      <c r="O1838" s="238"/>
      <c r="P1838" s="93"/>
      <c r="Q1838" s="93"/>
      <c r="R18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38" s="93">
        <v>1</v>
      </c>
      <c r="T1838" s="93" t="b">
        <f>Data[[#This Row],[Day Rank]]=Data[[#This Row],[W Rank]]</f>
        <v>0</v>
      </c>
      <c r="U1838" s="323"/>
    </row>
    <row r="1839" spans="1:21" ht="15" customHeight="1">
      <c r="A1839" s="326"/>
      <c r="B1839" s="326"/>
      <c r="C1839" s="329"/>
      <c r="D1839" s="81">
        <f t="shared" si="306"/>
        <v>46127</v>
      </c>
      <c r="E1839" s="140" t="str">
        <f t="shared" si="307"/>
        <v>loganworsdell</v>
      </c>
      <c r="F1839" s="8">
        <f>IFERROR(AVERAGE(Data[[#This Row],[alappatjoe]:[currydestroyer27]]), "TBD")</f>
        <v>2.4</v>
      </c>
      <c r="G1839" s="177">
        <f>IFERROR(_xlfn.STDEV.P(Data[[#This Row],[alappatjoe]:[currydestroyer27]]), "TBD")</f>
        <v>1.2</v>
      </c>
      <c r="H1839" s="135" t="s">
        <v>3524</v>
      </c>
      <c r="I1839" s="229" t="s">
        <v>855</v>
      </c>
      <c r="J1839" s="3">
        <v>3</v>
      </c>
      <c r="K1839" s="3">
        <v>4</v>
      </c>
      <c r="L1839" s="3">
        <v>1</v>
      </c>
      <c r="M1839" s="3">
        <v>3</v>
      </c>
      <c r="N1839" s="3">
        <v>1</v>
      </c>
      <c r="O1839" s="238">
        <v>485714</v>
      </c>
      <c r="P1839" s="93"/>
      <c r="Q1839" s="93"/>
      <c r="R18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39" s="93">
        <v>1</v>
      </c>
      <c r="T1839" s="93" t="b">
        <f>Data[[#This Row],[Day Rank]]=Data[[#This Row],[W Rank]]</f>
        <v>1</v>
      </c>
      <c r="U1839" s="323"/>
    </row>
    <row r="1840" spans="1:21" ht="15" customHeight="1">
      <c r="A1840" s="326"/>
      <c r="B1840" s="326"/>
      <c r="C1840" s="329"/>
      <c r="D1840" s="81">
        <f t="shared" si="308"/>
        <v>46127</v>
      </c>
      <c r="E1840" s="140" t="str">
        <f t="shared" si="309"/>
        <v>samuelbattista</v>
      </c>
      <c r="F1840" s="8">
        <f>IFERROR(AVERAGE(Data[[#This Row],[alappatjoe]:[currydestroyer27]]), "TBD")</f>
        <v>2.4</v>
      </c>
      <c r="G1840" s="177">
        <f>IFERROR(_xlfn.STDEV.P(Data[[#This Row],[alappatjoe]:[currydestroyer27]]), "TBD")</f>
        <v>1.3564659966250536</v>
      </c>
      <c r="H1840" s="135" t="s">
        <v>3525</v>
      </c>
      <c r="I1840" s="229" t="s">
        <v>2540</v>
      </c>
      <c r="J1840" s="3">
        <v>2</v>
      </c>
      <c r="K1840" s="3">
        <v>1</v>
      </c>
      <c r="L1840" s="3">
        <v>4</v>
      </c>
      <c r="M1840" s="3">
        <v>1</v>
      </c>
      <c r="N1840" s="3">
        <v>4</v>
      </c>
      <c r="O1840" s="238"/>
      <c r="P1840" s="93"/>
      <c r="Q1840" s="93"/>
      <c r="R18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40" s="93">
        <v>1</v>
      </c>
      <c r="T1840" s="93" t="b">
        <f>Data[[#This Row],[Day Rank]]=Data[[#This Row],[W Rank]]</f>
        <v>0</v>
      </c>
      <c r="U1840" s="323"/>
    </row>
    <row r="1841" spans="1:21" ht="15" customHeight="1" thickBot="1">
      <c r="A1841" s="327"/>
      <c r="B1841" s="327"/>
      <c r="C1841" s="330"/>
      <c r="D1841" s="164">
        <f t="shared" si="310"/>
        <v>46127</v>
      </c>
      <c r="E1841" s="215" t="str">
        <f t="shared" si="311"/>
        <v>currydestroyer27</v>
      </c>
      <c r="F1841" s="165">
        <f>IFERROR(AVERAGE(Data[[#This Row],[alappatjoe]:[currydestroyer27]]), "TBD")</f>
        <v>4.5999999999999996</v>
      </c>
      <c r="G1841" s="256">
        <f>IFERROR(_xlfn.STDEV.P(Data[[#This Row],[alappatjoe]:[currydestroyer27]]), "TBD")</f>
        <v>0.8</v>
      </c>
      <c r="H1841" s="227" t="s">
        <v>3526</v>
      </c>
      <c r="I1841" s="257" t="s">
        <v>3527</v>
      </c>
      <c r="J1841" s="166">
        <v>5</v>
      </c>
      <c r="K1841" s="166">
        <v>5</v>
      </c>
      <c r="L1841" s="166">
        <v>5</v>
      </c>
      <c r="M1841" s="166">
        <v>5</v>
      </c>
      <c r="N1841" s="166">
        <v>3</v>
      </c>
      <c r="O1841" s="242">
        <v>22397353</v>
      </c>
      <c r="P1841" s="167"/>
      <c r="Q1841" s="167"/>
      <c r="R184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41" s="167">
        <v>1</v>
      </c>
      <c r="T1841" s="167" t="b">
        <f>Data[[#This Row],[Day Rank]]=Data[[#This Row],[W Rank]]</f>
        <v>0</v>
      </c>
      <c r="U1841" s="324"/>
    </row>
    <row r="1842" spans="1:21" ht="15" customHeight="1">
      <c r="A1842" s="325">
        <v>46128</v>
      </c>
      <c r="B1842" s="325"/>
      <c r="C1842" s="338" t="str" cm="1">
        <f t="array" ref="C1842">_xlfn.LET(_xlpm.matches, _xlfn._xlws.FILTER(Data[Poster], (Data[Date]=A1842)*(Data[Winner]=TRUE)), IF(ROWS(_xlpm.matches)&gt;1, "TIE", _xlpm.matches))</f>
        <v>danram</v>
      </c>
      <c r="D1842" s="147">
        <f t="shared" ref="D1842" si="318">A1842</f>
        <v>46128</v>
      </c>
      <c r="E1842" s="181" t="str">
        <f t="shared" si="303"/>
        <v>alappatjoe</v>
      </c>
      <c r="F1842" s="9">
        <f>IFERROR(AVERAGE(Data[[#This Row],[alappatjoe]:[currydestroyer27]]), "TBD")</f>
        <v>2.8</v>
      </c>
      <c r="G1842" s="178">
        <f>IFERROR(_xlfn.STDEV.P(Data[[#This Row],[alappatjoe]:[currydestroyer27]]), "TBD")</f>
        <v>1.1661903789690602</v>
      </c>
      <c r="H1842" s="160" t="s">
        <v>3528</v>
      </c>
      <c r="I1842" s="186" t="s">
        <v>3529</v>
      </c>
      <c r="J1842" s="3">
        <v>1</v>
      </c>
      <c r="K1842" s="3">
        <v>2</v>
      </c>
      <c r="L1842" s="3">
        <v>3</v>
      </c>
      <c r="M1842" s="3">
        <v>4</v>
      </c>
      <c r="N1842" s="3">
        <v>4</v>
      </c>
      <c r="O1842" s="238">
        <v>1685405</v>
      </c>
      <c r="P1842" s="93"/>
      <c r="Q1842" s="93"/>
      <c r="R18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42" s="93">
        <v>1</v>
      </c>
      <c r="T1842" s="93" t="b">
        <f>Data[[#This Row],[Day Rank]]=Data[[#This Row],[W Rank]]</f>
        <v>0</v>
      </c>
      <c r="U1842" s="322" t="s">
        <v>3530</v>
      </c>
    </row>
    <row r="1843" spans="1:21" ht="15" customHeight="1">
      <c r="A1843" s="326"/>
      <c r="B1843" s="326"/>
      <c r="C1843" s="339"/>
      <c r="D1843" s="81">
        <f t="shared" si="304"/>
        <v>46128</v>
      </c>
      <c r="E1843" s="140" t="str">
        <f t="shared" si="305"/>
        <v>danram</v>
      </c>
      <c r="F1843" s="8">
        <f>IFERROR(AVERAGE(Data[[#This Row],[alappatjoe]:[currydestroyer27]]), "TBD")</f>
        <v>1.8</v>
      </c>
      <c r="G1843" s="177">
        <f>IFERROR(_xlfn.STDEV.P(Data[[#This Row],[alappatjoe]:[currydestroyer27]]), "TBD")</f>
        <v>0.74833147735478833</v>
      </c>
      <c r="H1843" s="135" t="s">
        <v>3531</v>
      </c>
      <c r="I1843" s="229" t="s">
        <v>657</v>
      </c>
      <c r="J1843" s="3">
        <v>3</v>
      </c>
      <c r="K1843" s="3">
        <v>1</v>
      </c>
      <c r="L1843" s="3">
        <v>2</v>
      </c>
      <c r="M1843" s="3">
        <v>1</v>
      </c>
      <c r="N1843" s="3">
        <v>2</v>
      </c>
      <c r="O1843" s="238"/>
      <c r="P1843" s="93"/>
      <c r="Q1843" s="93"/>
      <c r="R18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43" s="93">
        <v>1</v>
      </c>
      <c r="T1843" s="93" t="b">
        <f>Data[[#This Row],[Day Rank]]=Data[[#This Row],[W Rank]]</f>
        <v>1</v>
      </c>
      <c r="U1843" s="323"/>
    </row>
    <row r="1844" spans="1:21" ht="15" customHeight="1">
      <c r="A1844" s="326"/>
      <c r="B1844" s="326"/>
      <c r="C1844" s="339"/>
      <c r="D1844" s="81">
        <f t="shared" si="306"/>
        <v>46128</v>
      </c>
      <c r="E1844" s="140" t="str">
        <f t="shared" si="307"/>
        <v>loganworsdell</v>
      </c>
      <c r="F1844" s="8">
        <f>IFERROR(AVERAGE(Data[[#This Row],[alappatjoe]:[currydestroyer27]]), "TBD")</f>
        <v>2.8</v>
      </c>
      <c r="G1844" s="177">
        <f>IFERROR(_xlfn.STDEV.P(Data[[#This Row],[alappatjoe]:[currydestroyer27]]), "TBD")</f>
        <v>0.9797958971132712</v>
      </c>
      <c r="H1844" s="135" t="s">
        <v>3532</v>
      </c>
      <c r="I1844" s="229" t="s">
        <v>3533</v>
      </c>
      <c r="J1844" s="3">
        <v>4</v>
      </c>
      <c r="K1844" s="3">
        <v>3</v>
      </c>
      <c r="L1844" s="3">
        <v>1</v>
      </c>
      <c r="M1844" s="3">
        <v>3</v>
      </c>
      <c r="N1844" s="3">
        <v>3</v>
      </c>
      <c r="O1844" s="238">
        <v>45251200</v>
      </c>
      <c r="P1844" s="93"/>
      <c r="Q1844" s="93"/>
      <c r="R18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44" s="93">
        <v>1</v>
      </c>
      <c r="T1844" s="93" t="b">
        <f>Data[[#This Row],[Day Rank]]=Data[[#This Row],[W Rank]]</f>
        <v>0</v>
      </c>
      <c r="U1844" s="323"/>
    </row>
    <row r="1845" spans="1:21" ht="15" customHeight="1">
      <c r="A1845" s="326"/>
      <c r="B1845" s="326"/>
      <c r="C1845" s="339"/>
      <c r="D1845" s="81">
        <f t="shared" si="308"/>
        <v>46128</v>
      </c>
      <c r="E1845" s="140" t="str">
        <f t="shared" si="309"/>
        <v>samuelbattista</v>
      </c>
      <c r="F1845" s="8">
        <f>IFERROR(AVERAGE(Data[[#This Row],[alappatjoe]:[currydestroyer27]]), "TBD")</f>
        <v>4.4000000000000004</v>
      </c>
      <c r="G1845" s="177">
        <f>IFERROR(_xlfn.STDEV.P(Data[[#This Row],[alappatjoe]:[currydestroyer27]]), "TBD")</f>
        <v>1.2</v>
      </c>
      <c r="H1845" s="135" t="s">
        <v>3534</v>
      </c>
      <c r="I1845" s="229" t="s">
        <v>1928</v>
      </c>
      <c r="J1845" s="3">
        <v>5</v>
      </c>
      <c r="K1845" s="3">
        <v>5</v>
      </c>
      <c r="L1845" s="3">
        <v>5</v>
      </c>
      <c r="M1845" s="3">
        <v>2</v>
      </c>
      <c r="N1845" s="3">
        <v>5</v>
      </c>
      <c r="O1845" s="238"/>
      <c r="P1845" s="93"/>
      <c r="Q1845" s="93"/>
      <c r="R18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45" s="93">
        <v>1</v>
      </c>
      <c r="T1845" s="93" t="b">
        <f>Data[[#This Row],[Day Rank]]=Data[[#This Row],[W Rank]]</f>
        <v>0</v>
      </c>
      <c r="U1845" s="323"/>
    </row>
    <row r="1846" spans="1:21" ht="15" customHeight="1" thickBot="1">
      <c r="A1846" s="327"/>
      <c r="B1846" s="327"/>
      <c r="C1846" s="340"/>
      <c r="D1846" s="164">
        <f t="shared" si="310"/>
        <v>46128</v>
      </c>
      <c r="E1846" s="215" t="str">
        <f t="shared" si="311"/>
        <v>currydestroyer27</v>
      </c>
      <c r="F1846" s="165">
        <f>IFERROR(AVERAGE(Data[[#This Row],[alappatjoe]:[currydestroyer27]]), "TBD")</f>
        <v>3.2</v>
      </c>
      <c r="G1846" s="256">
        <f>IFERROR(_xlfn.STDEV.P(Data[[#This Row],[alappatjoe]:[currydestroyer27]]), "TBD")</f>
        <v>1.4696938456699069</v>
      </c>
      <c r="H1846" s="227" t="s">
        <v>3535</v>
      </c>
      <c r="I1846" s="257" t="s">
        <v>697</v>
      </c>
      <c r="J1846" s="166">
        <v>2</v>
      </c>
      <c r="K1846" s="166">
        <v>4</v>
      </c>
      <c r="L1846" s="166">
        <v>4</v>
      </c>
      <c r="M1846" s="166">
        <v>5</v>
      </c>
      <c r="N1846" s="166">
        <v>1</v>
      </c>
      <c r="O1846" s="242">
        <v>555431457</v>
      </c>
      <c r="P1846" s="167" t="s">
        <v>76</v>
      </c>
      <c r="Q1846" s="167" t="s">
        <v>99</v>
      </c>
      <c r="R184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46" s="167">
        <v>1</v>
      </c>
      <c r="T1846" s="167" t="b">
        <f>Data[[#This Row],[Day Rank]]=Data[[#This Row],[W Rank]]</f>
        <v>0</v>
      </c>
      <c r="U1846" s="324"/>
    </row>
    <row r="1847" spans="1:21" ht="15" customHeight="1">
      <c r="A1847" s="325">
        <v>46132</v>
      </c>
      <c r="B1847" s="325"/>
      <c r="C1847" s="328" t="str" cm="1">
        <f t="array" ref="C1847">_xlfn.LET(_xlpm.matches, _xlfn._xlws.FILTER(Data[Poster], (Data[Date]=A1847)*(Data[Winner]=TRUE)), IF(ROWS(_xlpm.matches)&gt;1, "TIE", _xlpm.matches))</f>
        <v>loganworsdell</v>
      </c>
      <c r="D1847" s="147">
        <f t="shared" ref="D1847" si="319">A1847</f>
        <v>46132</v>
      </c>
      <c r="E1847" s="181" t="str">
        <f t="shared" ref="E1847:E1882" si="320">$J$1</f>
        <v>alappatjoe</v>
      </c>
      <c r="F1847" s="9">
        <f>IFERROR(AVERAGE(Data[[#This Row],[alappatjoe]:[currydestroyer27]]), "TBD")</f>
        <v>4.2</v>
      </c>
      <c r="G1847" s="178">
        <f>IFERROR(_xlfn.STDEV.P(Data[[#This Row],[alappatjoe]:[currydestroyer27]]), "TBD")</f>
        <v>1.6</v>
      </c>
      <c r="H1847" s="160" t="s">
        <v>3536</v>
      </c>
      <c r="I1847" s="186" t="s">
        <v>3537</v>
      </c>
      <c r="J1847" s="3">
        <v>1</v>
      </c>
      <c r="K1847" s="3">
        <v>5</v>
      </c>
      <c r="L1847" s="3">
        <v>5</v>
      </c>
      <c r="M1847" s="3">
        <v>5</v>
      </c>
      <c r="N1847" s="3">
        <v>5</v>
      </c>
      <c r="O1847" s="238">
        <v>1644676</v>
      </c>
      <c r="P1847" s="93"/>
      <c r="Q1847" s="93"/>
      <c r="R18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47" s="93">
        <v>1</v>
      </c>
      <c r="T1847" s="93" t="b">
        <f>Data[[#This Row],[Day Rank]]=Data[[#This Row],[W Rank]]</f>
        <v>0</v>
      </c>
      <c r="U1847" s="322"/>
    </row>
    <row r="1848" spans="1:21" ht="15" customHeight="1">
      <c r="A1848" s="326"/>
      <c r="B1848" s="326"/>
      <c r="C1848" s="329"/>
      <c r="D1848" s="81">
        <f t="shared" ref="D1848:D1883" si="321">D1847</f>
        <v>46132</v>
      </c>
      <c r="E1848" s="140" t="str">
        <f t="shared" ref="E1848:E1883" si="322">$K$1</f>
        <v>danram</v>
      </c>
      <c r="F1848" s="8">
        <f>IFERROR(AVERAGE(Data[[#This Row],[alappatjoe]:[currydestroyer27]]), "TBD")</f>
        <v>2.6</v>
      </c>
      <c r="G1848" s="177">
        <f>IFERROR(_xlfn.STDEV.P(Data[[#This Row],[alappatjoe]:[currydestroyer27]]), "TBD")</f>
        <v>0.8</v>
      </c>
      <c r="H1848" s="135" t="s">
        <v>3538</v>
      </c>
      <c r="I1848" s="229" t="s">
        <v>3539</v>
      </c>
      <c r="J1848" s="3">
        <v>3</v>
      </c>
      <c r="K1848" s="3">
        <v>3</v>
      </c>
      <c r="L1848" s="3">
        <v>3</v>
      </c>
      <c r="M1848" s="3">
        <v>3</v>
      </c>
      <c r="N1848" s="3">
        <v>1</v>
      </c>
      <c r="O1848" s="238"/>
      <c r="P1848" s="93"/>
      <c r="Q1848" s="93"/>
      <c r="R18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48" s="93">
        <v>1</v>
      </c>
      <c r="T1848" s="93" t="b">
        <f>Data[[#This Row],[Day Rank]]=Data[[#This Row],[W Rank]]</f>
        <v>0</v>
      </c>
      <c r="U1848" s="323"/>
    </row>
    <row r="1849" spans="1:21" ht="15" customHeight="1">
      <c r="A1849" s="326"/>
      <c r="B1849" s="326"/>
      <c r="C1849" s="329"/>
      <c r="D1849" s="81">
        <f t="shared" ref="D1849:D1884" si="323">D1847</f>
        <v>46132</v>
      </c>
      <c r="E1849" s="140" t="str">
        <f t="shared" ref="E1849:E1884" si="324">$L$1</f>
        <v>loganworsdell</v>
      </c>
      <c r="F1849" s="8">
        <f>IFERROR(AVERAGE(Data[[#This Row],[alappatjoe]:[currydestroyer27]]), "TBD")</f>
        <v>2.2000000000000002</v>
      </c>
      <c r="G1849" s="177">
        <f>IFERROR(_xlfn.STDEV.P(Data[[#This Row],[alappatjoe]:[currydestroyer27]]), "TBD")</f>
        <v>1.1661903789690602</v>
      </c>
      <c r="H1849" s="135" t="s">
        <v>3540</v>
      </c>
      <c r="I1849" s="229" t="s">
        <v>324</v>
      </c>
      <c r="J1849" s="3">
        <v>4</v>
      </c>
      <c r="K1849" s="3">
        <v>2</v>
      </c>
      <c r="L1849" s="3">
        <v>1</v>
      </c>
      <c r="M1849" s="3">
        <v>1</v>
      </c>
      <c r="N1849" s="3">
        <v>3</v>
      </c>
      <c r="O1849" s="238">
        <v>5079007</v>
      </c>
      <c r="P1849" s="93"/>
      <c r="Q1849" s="93"/>
      <c r="R18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49" s="93">
        <v>1</v>
      </c>
      <c r="T1849" s="93" t="b">
        <f>Data[[#This Row],[Day Rank]]=Data[[#This Row],[W Rank]]</f>
        <v>1</v>
      </c>
      <c r="U1849" s="323"/>
    </row>
    <row r="1850" spans="1:21" ht="15" customHeight="1">
      <c r="A1850" s="326"/>
      <c r="B1850" s="326"/>
      <c r="C1850" s="329"/>
      <c r="D1850" s="81">
        <f t="shared" ref="D1850:D1885" si="325">D1847</f>
        <v>46132</v>
      </c>
      <c r="E1850" s="140" t="str">
        <f t="shared" ref="E1850:E1885" si="326">$M$1</f>
        <v>samuelbattista</v>
      </c>
      <c r="F1850" s="8">
        <f>IFERROR(AVERAGE(Data[[#This Row],[alappatjoe]:[currydestroyer27]]), "TBD")</f>
        <v>2.8</v>
      </c>
      <c r="G1850" s="177">
        <f>IFERROR(_xlfn.STDEV.P(Data[[#This Row],[alappatjoe]:[currydestroyer27]]), "TBD")</f>
        <v>0.9797958971132712</v>
      </c>
      <c r="H1850" s="135" t="s">
        <v>3541</v>
      </c>
      <c r="I1850" s="229" t="s">
        <v>1140</v>
      </c>
      <c r="J1850" s="3">
        <v>2</v>
      </c>
      <c r="K1850" s="3">
        <v>4</v>
      </c>
      <c r="L1850" s="3">
        <v>2</v>
      </c>
      <c r="M1850" s="3">
        <v>2</v>
      </c>
      <c r="N1850" s="3">
        <v>4</v>
      </c>
      <c r="O1850" s="238"/>
      <c r="P1850" s="93"/>
      <c r="Q1850" s="93"/>
      <c r="R18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50" s="93">
        <v>1</v>
      </c>
      <c r="T1850" s="93" t="b">
        <f>Data[[#This Row],[Day Rank]]=Data[[#This Row],[W Rank]]</f>
        <v>0</v>
      </c>
      <c r="U1850" s="323"/>
    </row>
    <row r="1851" spans="1:21" ht="15" customHeight="1" thickBot="1">
      <c r="A1851" s="327"/>
      <c r="B1851" s="327"/>
      <c r="C1851" s="330"/>
      <c r="D1851" s="164">
        <f t="shared" ref="D1851:D1886" si="327">D1847</f>
        <v>46132</v>
      </c>
      <c r="E1851" s="215" t="str">
        <f t="shared" ref="E1851:E1886" si="328">$N$1</f>
        <v>currydestroyer27</v>
      </c>
      <c r="F1851" s="165">
        <f>IFERROR(AVERAGE(Data[[#This Row],[alappatjoe]:[currydestroyer27]]), "TBD")</f>
        <v>3.2</v>
      </c>
      <c r="G1851" s="256">
        <f>IFERROR(_xlfn.STDEV.P(Data[[#This Row],[alappatjoe]:[currydestroyer27]]), "TBD")</f>
        <v>1.4696938456699069</v>
      </c>
      <c r="H1851" s="227" t="s">
        <v>3542</v>
      </c>
      <c r="I1851" s="257" t="s">
        <v>582</v>
      </c>
      <c r="J1851" s="166">
        <v>5</v>
      </c>
      <c r="K1851" s="166">
        <v>1</v>
      </c>
      <c r="L1851" s="166">
        <v>4</v>
      </c>
      <c r="M1851" s="166">
        <v>4</v>
      </c>
      <c r="N1851" s="166">
        <v>2</v>
      </c>
      <c r="O1851" s="242">
        <v>10291807</v>
      </c>
      <c r="P1851" s="167"/>
      <c r="Q1851" s="167"/>
      <c r="R185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51" s="167">
        <v>1</v>
      </c>
      <c r="T1851" s="167" t="b">
        <f>Data[[#This Row],[Day Rank]]=Data[[#This Row],[W Rank]]</f>
        <v>0</v>
      </c>
      <c r="U1851" s="324"/>
    </row>
    <row r="1852" spans="1:21" ht="15" customHeight="1">
      <c r="A1852" s="325">
        <v>46133</v>
      </c>
      <c r="B1852" s="325"/>
      <c r="C1852" s="338" t="str" cm="1">
        <f t="array" ref="C1852">_xlfn.LET(_xlpm.matches, _xlfn._xlws.FILTER(Data[Poster], (Data[Date]=A1852)*(Data[Winner]=TRUE)), IF(ROWS(_xlpm.matches)&gt;1, "TIE", _xlpm.matches))</f>
        <v>loganworsdell</v>
      </c>
      <c r="D1852" s="147">
        <f t="shared" ref="D1852" si="329">A1852</f>
        <v>46133</v>
      </c>
      <c r="E1852" s="181" t="str">
        <f t="shared" si="320"/>
        <v>alappatjoe</v>
      </c>
      <c r="F1852" s="9">
        <f>IFERROR(AVERAGE(Data[[#This Row],[alappatjoe]:[currydestroyer27]]), "TBD")</f>
        <v>4.2</v>
      </c>
      <c r="G1852" s="178">
        <f>IFERROR(_xlfn.STDEV.P(Data[[#This Row],[alappatjoe]:[currydestroyer27]]), "TBD")</f>
        <v>1.6</v>
      </c>
      <c r="H1852" s="160" t="s">
        <v>3543</v>
      </c>
      <c r="I1852" s="186" t="s">
        <v>3544</v>
      </c>
      <c r="J1852" s="3">
        <v>1</v>
      </c>
      <c r="K1852" s="3">
        <v>5</v>
      </c>
      <c r="L1852" s="3">
        <v>5</v>
      </c>
      <c r="M1852" s="3">
        <v>5</v>
      </c>
      <c r="N1852" s="3">
        <v>5</v>
      </c>
      <c r="O1852" s="238">
        <v>68118</v>
      </c>
      <c r="P1852" s="93"/>
      <c r="Q1852" s="93"/>
      <c r="R18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52" s="93">
        <v>1</v>
      </c>
      <c r="T1852" s="93" t="b">
        <f>Data[[#This Row],[Day Rank]]=Data[[#This Row],[W Rank]]</f>
        <v>0</v>
      </c>
      <c r="U1852" s="322"/>
    </row>
    <row r="1853" spans="1:21" ht="15" customHeight="1">
      <c r="A1853" s="326"/>
      <c r="B1853" s="326"/>
      <c r="C1853" s="339"/>
      <c r="D1853" s="81">
        <f t="shared" si="321"/>
        <v>46133</v>
      </c>
      <c r="E1853" s="140" t="str">
        <f t="shared" si="322"/>
        <v>danram</v>
      </c>
      <c r="F1853" s="8">
        <f>IFERROR(AVERAGE(Data[[#This Row],[alappatjoe]:[currydestroyer27]]), "TBD")</f>
        <v>3.6</v>
      </c>
      <c r="G1853" s="177">
        <f>IFERROR(_xlfn.STDEV.P(Data[[#This Row],[alappatjoe]:[currydestroyer27]]), "TBD")</f>
        <v>1.019803902718557</v>
      </c>
      <c r="H1853" s="135" t="s">
        <v>3545</v>
      </c>
      <c r="I1853" s="229" t="s">
        <v>3546</v>
      </c>
      <c r="J1853" s="3">
        <v>5</v>
      </c>
      <c r="K1853" s="3">
        <v>2</v>
      </c>
      <c r="L1853" s="3">
        <v>4</v>
      </c>
      <c r="M1853" s="3">
        <v>3</v>
      </c>
      <c r="N1853" s="3">
        <v>4</v>
      </c>
      <c r="O1853" s="238"/>
      <c r="P1853" s="93"/>
      <c r="Q1853" s="93"/>
      <c r="R18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53" s="93">
        <v>1</v>
      </c>
      <c r="T1853" s="93" t="b">
        <f>Data[[#This Row],[Day Rank]]=Data[[#This Row],[W Rank]]</f>
        <v>0</v>
      </c>
      <c r="U1853" s="323"/>
    </row>
    <row r="1854" spans="1:21" ht="15" customHeight="1">
      <c r="A1854" s="326"/>
      <c r="B1854" s="326"/>
      <c r="C1854" s="339"/>
      <c r="D1854" s="81">
        <f t="shared" si="323"/>
        <v>46133</v>
      </c>
      <c r="E1854" s="140" t="str">
        <f t="shared" si="324"/>
        <v>loganworsdell</v>
      </c>
      <c r="F1854" s="8">
        <f>IFERROR(AVERAGE(Data[[#This Row],[alappatjoe]:[currydestroyer27]]), "TBD")</f>
        <v>1.8</v>
      </c>
      <c r="G1854" s="177">
        <f>IFERROR(_xlfn.STDEV.P(Data[[#This Row],[alappatjoe]:[currydestroyer27]]), "TBD")</f>
        <v>0.74833147735478833</v>
      </c>
      <c r="H1854" s="135" t="s">
        <v>3547</v>
      </c>
      <c r="I1854" s="229" t="s">
        <v>681</v>
      </c>
      <c r="J1854" s="3">
        <v>2</v>
      </c>
      <c r="K1854" s="3">
        <v>1</v>
      </c>
      <c r="L1854" s="3">
        <v>1</v>
      </c>
      <c r="M1854" s="3">
        <v>2</v>
      </c>
      <c r="N1854" s="3">
        <v>3</v>
      </c>
      <c r="O1854" s="238">
        <v>13682833</v>
      </c>
      <c r="P1854" s="93"/>
      <c r="Q1854" s="93"/>
      <c r="R18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54" s="93">
        <v>1</v>
      </c>
      <c r="T1854" s="93" t="b">
        <f>Data[[#This Row],[Day Rank]]=Data[[#This Row],[W Rank]]</f>
        <v>1</v>
      </c>
      <c r="U1854" s="323"/>
    </row>
    <row r="1855" spans="1:21" ht="15" customHeight="1">
      <c r="A1855" s="326"/>
      <c r="B1855" s="326"/>
      <c r="C1855" s="339"/>
      <c r="D1855" s="81">
        <f t="shared" si="325"/>
        <v>46133</v>
      </c>
      <c r="E1855" s="140" t="str">
        <f t="shared" si="326"/>
        <v>samuelbattista</v>
      </c>
      <c r="F1855" s="8">
        <f>IFERROR(AVERAGE(Data[[#This Row],[alappatjoe]:[currydestroyer27]]), "TBD")</f>
        <v>2.4</v>
      </c>
      <c r="G1855" s="177">
        <f>IFERROR(_xlfn.STDEV.P(Data[[#This Row],[alappatjoe]:[currydestroyer27]]), "TBD")</f>
        <v>1.019803902718557</v>
      </c>
      <c r="H1855" s="135" t="s">
        <v>3548</v>
      </c>
      <c r="I1855" s="229" t="s">
        <v>3549</v>
      </c>
      <c r="J1855" s="3">
        <v>4</v>
      </c>
      <c r="K1855" s="3">
        <v>3</v>
      </c>
      <c r="L1855" s="3">
        <v>2</v>
      </c>
      <c r="M1855" s="3">
        <v>1</v>
      </c>
      <c r="N1855" s="3">
        <v>2</v>
      </c>
      <c r="O1855" s="238"/>
      <c r="P1855" s="93"/>
      <c r="Q1855" s="93"/>
      <c r="R18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55" s="93">
        <v>1</v>
      </c>
      <c r="T1855" s="93" t="b">
        <f>Data[[#This Row],[Day Rank]]=Data[[#This Row],[W Rank]]</f>
        <v>0</v>
      </c>
      <c r="U1855" s="323"/>
    </row>
    <row r="1856" spans="1:21" ht="15" customHeight="1" thickBot="1">
      <c r="A1856" s="327"/>
      <c r="B1856" s="327"/>
      <c r="C1856" s="340"/>
      <c r="D1856" s="164">
        <f t="shared" si="327"/>
        <v>46133</v>
      </c>
      <c r="E1856" s="215" t="str">
        <f t="shared" si="328"/>
        <v>currydestroyer27</v>
      </c>
      <c r="F1856" s="165">
        <f>IFERROR(AVERAGE(Data[[#This Row],[alappatjoe]:[currydestroyer27]]), "TBD")</f>
        <v>3</v>
      </c>
      <c r="G1856" s="256">
        <f>IFERROR(_xlfn.STDEV.P(Data[[#This Row],[alappatjoe]:[currydestroyer27]]), "TBD")</f>
        <v>1.0954451150103321</v>
      </c>
      <c r="H1856" s="227" t="s">
        <v>3550</v>
      </c>
      <c r="I1856" s="257" t="s">
        <v>3551</v>
      </c>
      <c r="J1856" s="166">
        <v>3</v>
      </c>
      <c r="K1856" s="166">
        <v>4</v>
      </c>
      <c r="L1856" s="166">
        <v>3</v>
      </c>
      <c r="M1856" s="166">
        <v>4</v>
      </c>
      <c r="N1856" s="166">
        <v>1</v>
      </c>
      <c r="O1856" s="242">
        <v>283434</v>
      </c>
      <c r="P1856" s="167" t="s">
        <v>76</v>
      </c>
      <c r="Q1856" s="167" t="s">
        <v>99</v>
      </c>
      <c r="R185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56" s="167">
        <v>1</v>
      </c>
      <c r="T1856" s="167" t="b">
        <f>Data[[#This Row],[Day Rank]]=Data[[#This Row],[W Rank]]</f>
        <v>0</v>
      </c>
      <c r="U1856" s="324"/>
    </row>
    <row r="1857" spans="1:21" ht="15" customHeight="1">
      <c r="A1857" s="325">
        <v>46134</v>
      </c>
      <c r="B1857" s="325"/>
      <c r="C1857" s="328" t="str" cm="1">
        <f t="array" ref="C1857">_xlfn.LET(_xlpm.matches, _xlfn._xlws.FILTER(Data[Poster], (Data[Date]=A1857)*(Data[Winner]=TRUE)), IF(ROWS(_xlpm.matches)&gt;1, "TIE", _xlpm.matches))</f>
        <v>currydestroyer27</v>
      </c>
      <c r="D1857" s="147">
        <f t="shared" ref="D1857" si="330">A1857</f>
        <v>46134</v>
      </c>
      <c r="E1857" s="181" t="str">
        <f t="shared" si="320"/>
        <v>alappatjoe</v>
      </c>
      <c r="F1857" s="9">
        <f>IFERROR(AVERAGE(Data[[#This Row],[alappatjoe]:[currydestroyer27]]), "TBD")</f>
        <v>3.6</v>
      </c>
      <c r="G1857" s="178">
        <f>IFERROR(_xlfn.STDEV.P(Data[[#This Row],[alappatjoe]:[currydestroyer27]]), "TBD")</f>
        <v>1.4966629547095767</v>
      </c>
      <c r="H1857" s="160" t="s">
        <v>3552</v>
      </c>
      <c r="I1857" s="186" t="s">
        <v>3553</v>
      </c>
      <c r="J1857" s="3">
        <v>1</v>
      </c>
      <c r="K1857" s="3">
        <v>5</v>
      </c>
      <c r="L1857" s="3">
        <v>5</v>
      </c>
      <c r="M1857" s="3">
        <v>3</v>
      </c>
      <c r="N1857" s="3">
        <v>4</v>
      </c>
      <c r="O1857" s="238">
        <v>2696068</v>
      </c>
      <c r="P1857" s="93"/>
      <c r="Q1857" s="93"/>
      <c r="R18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57" s="93">
        <v>1</v>
      </c>
      <c r="T1857" s="93" t="b">
        <f>Data[[#This Row],[Day Rank]]=Data[[#This Row],[W Rank]]</f>
        <v>0</v>
      </c>
      <c r="U1857" s="322"/>
    </row>
    <row r="1858" spans="1:21" ht="15" customHeight="1">
      <c r="A1858" s="326"/>
      <c r="B1858" s="326"/>
      <c r="C1858" s="329"/>
      <c r="D1858" s="81">
        <f t="shared" si="321"/>
        <v>46134</v>
      </c>
      <c r="E1858" s="140" t="str">
        <f t="shared" si="322"/>
        <v>danram</v>
      </c>
      <c r="F1858" s="8">
        <f>IFERROR(AVERAGE(Data[[#This Row],[alappatjoe]:[currydestroyer27]]), "TBD")</f>
        <v>3.4</v>
      </c>
      <c r="G1858" s="177">
        <f>IFERROR(_xlfn.STDEV.P(Data[[#This Row],[alappatjoe]:[currydestroyer27]]), "TBD")</f>
        <v>1.9595917942265424</v>
      </c>
      <c r="H1858" s="135" t="s">
        <v>3554</v>
      </c>
      <c r="I1858" s="229" t="s">
        <v>3555</v>
      </c>
      <c r="J1858" s="3">
        <v>5</v>
      </c>
      <c r="K1858" s="3">
        <v>1</v>
      </c>
      <c r="L1858" s="3">
        <v>1</v>
      </c>
      <c r="M1858" s="3">
        <v>5</v>
      </c>
      <c r="N1858" s="3">
        <v>5</v>
      </c>
      <c r="O1858" s="238"/>
      <c r="P1858" s="93"/>
      <c r="Q1858" s="93"/>
      <c r="R18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58" s="93">
        <v>1</v>
      </c>
      <c r="T1858" s="93" t="b">
        <f>Data[[#This Row],[Day Rank]]=Data[[#This Row],[W Rank]]</f>
        <v>0</v>
      </c>
      <c r="U1858" s="323"/>
    </row>
    <row r="1859" spans="1:21" ht="15" customHeight="1">
      <c r="A1859" s="326"/>
      <c r="B1859" s="326"/>
      <c r="C1859" s="329"/>
      <c r="D1859" s="81">
        <f t="shared" si="323"/>
        <v>46134</v>
      </c>
      <c r="E1859" s="140" t="str">
        <f t="shared" si="324"/>
        <v>loganworsdell</v>
      </c>
      <c r="F1859" s="8">
        <f>IFERROR(AVERAGE(Data[[#This Row],[alappatjoe]:[currydestroyer27]]), "TBD")</f>
        <v>3.2</v>
      </c>
      <c r="G1859" s="177">
        <f>IFERROR(_xlfn.STDEV.P(Data[[#This Row],[alappatjoe]:[currydestroyer27]]), "TBD")</f>
        <v>0.74833147735478833</v>
      </c>
      <c r="H1859" s="135" t="s">
        <v>3556</v>
      </c>
      <c r="I1859" s="229" t="s">
        <v>3557</v>
      </c>
      <c r="J1859" s="3">
        <v>4</v>
      </c>
      <c r="K1859" s="3">
        <v>3</v>
      </c>
      <c r="L1859" s="3">
        <v>3</v>
      </c>
      <c r="M1859" s="3">
        <v>4</v>
      </c>
      <c r="N1859" s="3">
        <v>2</v>
      </c>
      <c r="O1859" s="238">
        <v>7636893</v>
      </c>
      <c r="P1859" s="93"/>
      <c r="Q1859" s="93"/>
      <c r="R18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59" s="93">
        <v>1</v>
      </c>
      <c r="T1859" s="93" t="b">
        <f>Data[[#This Row],[Day Rank]]=Data[[#This Row],[W Rank]]</f>
        <v>0</v>
      </c>
      <c r="U1859" s="323"/>
    </row>
    <row r="1860" spans="1:21" ht="15" customHeight="1">
      <c r="A1860" s="326"/>
      <c r="B1860" s="326"/>
      <c r="C1860" s="329"/>
      <c r="D1860" s="81">
        <f t="shared" si="325"/>
        <v>46134</v>
      </c>
      <c r="E1860" s="140" t="str">
        <f t="shared" si="326"/>
        <v>samuelbattista</v>
      </c>
      <c r="F1860" s="8">
        <f>IFERROR(AVERAGE(Data[[#This Row],[alappatjoe]:[currydestroyer27]]), "TBD")</f>
        <v>3</v>
      </c>
      <c r="G1860" s="177">
        <f>IFERROR(_xlfn.STDEV.P(Data[[#This Row],[alappatjoe]:[currydestroyer27]]), "TBD")</f>
        <v>1.0954451150103321</v>
      </c>
      <c r="H1860" s="135" t="s">
        <v>3558</v>
      </c>
      <c r="I1860" s="229" t="s">
        <v>3559</v>
      </c>
      <c r="J1860" s="3">
        <v>3</v>
      </c>
      <c r="K1860" s="3">
        <v>4</v>
      </c>
      <c r="L1860" s="3">
        <v>4</v>
      </c>
      <c r="M1860" s="3">
        <v>1</v>
      </c>
      <c r="N1860" s="3">
        <v>3</v>
      </c>
      <c r="O1860" s="238"/>
      <c r="P1860" s="93"/>
      <c r="Q1860" s="93"/>
      <c r="R18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60" s="93">
        <v>1</v>
      </c>
      <c r="T1860" s="93" t="b">
        <f>Data[[#This Row],[Day Rank]]=Data[[#This Row],[W Rank]]</f>
        <v>0</v>
      </c>
      <c r="U1860" s="323"/>
    </row>
    <row r="1861" spans="1:21" ht="15" customHeight="1" thickBot="1">
      <c r="A1861" s="327"/>
      <c r="B1861" s="327"/>
      <c r="C1861" s="330"/>
      <c r="D1861" s="164">
        <f t="shared" si="327"/>
        <v>46134</v>
      </c>
      <c r="E1861" s="215" t="str">
        <f t="shared" si="328"/>
        <v>currydestroyer27</v>
      </c>
      <c r="F1861" s="165">
        <f>IFERROR(AVERAGE(Data[[#This Row],[alappatjoe]:[currydestroyer27]]), "TBD")</f>
        <v>1.8</v>
      </c>
      <c r="G1861" s="256">
        <f>IFERROR(_xlfn.STDEV.P(Data[[#This Row],[alappatjoe]:[currydestroyer27]]), "TBD")</f>
        <v>0.4</v>
      </c>
      <c r="H1861" s="227" t="s">
        <v>3560</v>
      </c>
      <c r="I1861" s="257" t="s">
        <v>3561</v>
      </c>
      <c r="J1861" s="166">
        <v>2</v>
      </c>
      <c r="K1861" s="166">
        <v>2</v>
      </c>
      <c r="L1861" s="166">
        <v>2</v>
      </c>
      <c r="M1861" s="166">
        <v>2</v>
      </c>
      <c r="N1861" s="166">
        <v>1</v>
      </c>
      <c r="O1861" s="242">
        <v>1193083</v>
      </c>
      <c r="P1861" s="167" t="s">
        <v>76</v>
      </c>
      <c r="Q1861" s="167" t="s">
        <v>99</v>
      </c>
      <c r="R186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61" s="167">
        <v>1</v>
      </c>
      <c r="T1861" s="167" t="b">
        <f>Data[[#This Row],[Day Rank]]=Data[[#This Row],[W Rank]]</f>
        <v>1</v>
      </c>
      <c r="U1861" s="324"/>
    </row>
    <row r="1862" spans="1:21" ht="15" customHeight="1">
      <c r="A1862" s="325">
        <v>46135</v>
      </c>
      <c r="B1862" s="325"/>
      <c r="C1862" s="338" t="str" cm="1">
        <f t="array" ref="C1862">_xlfn.LET(_xlpm.matches, _xlfn._xlws.FILTER(Data[Poster], (Data[Date]=A1862)*(Data[Winner]=TRUE)), IF(ROWS(_xlpm.matches)&gt;1, "TIE", _xlpm.matches))</f>
        <v>samuelbattista</v>
      </c>
      <c r="D1862" s="147">
        <f t="shared" ref="D1862" si="331">A1862</f>
        <v>46135</v>
      </c>
      <c r="E1862" s="181" t="str">
        <f t="shared" si="320"/>
        <v>alappatjoe</v>
      </c>
      <c r="F1862" s="9">
        <f>IFERROR(AVERAGE(Data[[#This Row],[alappatjoe]:[currydestroyer27]]), "TBD")</f>
        <v>2.6</v>
      </c>
      <c r="G1862" s="178">
        <f>IFERROR(_xlfn.STDEV.P(Data[[#This Row],[alappatjoe]:[currydestroyer27]]), "TBD")</f>
        <v>1.3564659966250536</v>
      </c>
      <c r="H1862" s="160" t="s">
        <v>3562</v>
      </c>
      <c r="I1862" s="186" t="s">
        <v>3468</v>
      </c>
      <c r="J1862" s="3">
        <v>1</v>
      </c>
      <c r="K1862" s="3">
        <v>4</v>
      </c>
      <c r="L1862" s="3">
        <v>3</v>
      </c>
      <c r="M1862" s="3">
        <v>4</v>
      </c>
      <c r="N1862" s="3">
        <v>1</v>
      </c>
      <c r="O1862" s="238">
        <v>8969134</v>
      </c>
      <c r="P1862" s="93"/>
      <c r="Q1862" s="93"/>
      <c r="R18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62" s="93">
        <v>1</v>
      </c>
      <c r="T1862" s="93" t="b">
        <f>Data[[#This Row],[Day Rank]]=Data[[#This Row],[W Rank]]</f>
        <v>0</v>
      </c>
      <c r="U1862" s="322" t="s">
        <v>3563</v>
      </c>
    </row>
    <row r="1863" spans="1:21" ht="15" customHeight="1">
      <c r="A1863" s="326"/>
      <c r="B1863" s="326"/>
      <c r="C1863" s="339"/>
      <c r="D1863" s="81">
        <f t="shared" si="321"/>
        <v>46135</v>
      </c>
      <c r="E1863" s="140" t="str">
        <f t="shared" si="322"/>
        <v>danram</v>
      </c>
      <c r="F1863" s="8">
        <f>IFERROR(AVERAGE(Data[[#This Row],[alappatjoe]:[currydestroyer27]]), "TBD")</f>
        <v>4.5999999999999996</v>
      </c>
      <c r="G1863" s="177">
        <f>IFERROR(_xlfn.STDEV.P(Data[[#This Row],[alappatjoe]:[currydestroyer27]]), "TBD")</f>
        <v>0.4898979485566356</v>
      </c>
      <c r="H1863" s="135" t="s">
        <v>3564</v>
      </c>
      <c r="I1863" s="229" t="s">
        <v>3565</v>
      </c>
      <c r="J1863" s="3">
        <v>4</v>
      </c>
      <c r="K1863" s="3">
        <v>5</v>
      </c>
      <c r="L1863" s="3">
        <v>4</v>
      </c>
      <c r="M1863" s="3">
        <v>5</v>
      </c>
      <c r="N1863" s="3">
        <v>5</v>
      </c>
      <c r="O1863" s="238"/>
      <c r="P1863" s="93"/>
      <c r="Q1863" s="93"/>
      <c r="R18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63" s="93">
        <v>1</v>
      </c>
      <c r="T1863" s="93" t="b">
        <f>Data[[#This Row],[Day Rank]]=Data[[#This Row],[W Rank]]</f>
        <v>0</v>
      </c>
      <c r="U1863" s="323"/>
    </row>
    <row r="1864" spans="1:21" ht="15" customHeight="1">
      <c r="A1864" s="326"/>
      <c r="B1864" s="326"/>
      <c r="C1864" s="339"/>
      <c r="D1864" s="81">
        <f t="shared" si="323"/>
        <v>46135</v>
      </c>
      <c r="E1864" s="140" t="str">
        <f t="shared" si="324"/>
        <v>loganworsdell</v>
      </c>
      <c r="F1864" s="8">
        <f>IFERROR(AVERAGE(Data[[#This Row],[alappatjoe]:[currydestroyer27]]), "TBD")</f>
        <v>2.4</v>
      </c>
      <c r="G1864" s="177">
        <f>IFERROR(_xlfn.STDEV.P(Data[[#This Row],[alappatjoe]:[currydestroyer27]]), "TBD")</f>
        <v>0.8</v>
      </c>
      <c r="H1864" s="135" t="s">
        <v>3566</v>
      </c>
      <c r="I1864" s="229" t="s">
        <v>3567</v>
      </c>
      <c r="J1864" s="3">
        <v>2</v>
      </c>
      <c r="K1864" s="3">
        <v>2</v>
      </c>
      <c r="L1864" s="3">
        <v>2</v>
      </c>
      <c r="M1864" s="3">
        <v>2</v>
      </c>
      <c r="N1864" s="3">
        <v>4</v>
      </c>
      <c r="O1864" s="238">
        <v>836195</v>
      </c>
      <c r="P1864" s="93"/>
      <c r="Q1864" s="93"/>
      <c r="R18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64" s="93">
        <v>1</v>
      </c>
      <c r="T1864" s="93" t="b">
        <f>Data[[#This Row],[Day Rank]]=Data[[#This Row],[W Rank]]</f>
        <v>0</v>
      </c>
      <c r="U1864" s="323"/>
    </row>
    <row r="1865" spans="1:21" ht="15" customHeight="1">
      <c r="A1865" s="326"/>
      <c r="B1865" s="326"/>
      <c r="C1865" s="339"/>
      <c r="D1865" s="81">
        <f t="shared" si="325"/>
        <v>46135</v>
      </c>
      <c r="E1865" s="140" t="str">
        <f t="shared" si="326"/>
        <v>samuelbattista</v>
      </c>
      <c r="F1865" s="8">
        <f>IFERROR(AVERAGE(Data[[#This Row],[alappatjoe]:[currydestroyer27]]), "TBD")</f>
        <v>1.6</v>
      </c>
      <c r="G1865" s="177">
        <f>IFERROR(_xlfn.STDEV.P(Data[[#This Row],[alappatjoe]:[currydestroyer27]]), "TBD")</f>
        <v>0.8</v>
      </c>
      <c r="H1865" s="135" t="s">
        <v>3568</v>
      </c>
      <c r="I1865" s="229" t="s">
        <v>195</v>
      </c>
      <c r="J1865" s="3">
        <v>3</v>
      </c>
      <c r="K1865" s="3">
        <v>1</v>
      </c>
      <c r="L1865" s="3">
        <v>1</v>
      </c>
      <c r="M1865" s="3">
        <v>1</v>
      </c>
      <c r="N1865" s="3">
        <v>2</v>
      </c>
      <c r="O1865" s="238"/>
      <c r="P1865" s="93"/>
      <c r="Q1865" s="93"/>
      <c r="R18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65" s="93">
        <v>1</v>
      </c>
      <c r="T1865" s="93" t="b">
        <f>Data[[#This Row],[Day Rank]]=Data[[#This Row],[W Rank]]</f>
        <v>1</v>
      </c>
      <c r="U1865" s="323"/>
    </row>
    <row r="1866" spans="1:21" ht="15" customHeight="1" thickBot="1">
      <c r="A1866" s="327"/>
      <c r="B1866" s="327"/>
      <c r="C1866" s="340"/>
      <c r="D1866" s="164">
        <f t="shared" si="327"/>
        <v>46135</v>
      </c>
      <c r="E1866" s="215" t="str">
        <f t="shared" si="328"/>
        <v>currydestroyer27</v>
      </c>
      <c r="F1866" s="165">
        <f>IFERROR(AVERAGE(Data[[#This Row],[alappatjoe]:[currydestroyer27]]), "TBD")</f>
        <v>3.8</v>
      </c>
      <c r="G1866" s="256">
        <f>IFERROR(_xlfn.STDEV.P(Data[[#This Row],[alappatjoe]:[currydestroyer27]]), "TBD")</f>
        <v>0.9797958971132712</v>
      </c>
      <c r="H1866" s="227" t="s">
        <v>3569</v>
      </c>
      <c r="I1866" s="257" t="s">
        <v>3570</v>
      </c>
      <c r="J1866" s="166">
        <v>5</v>
      </c>
      <c r="K1866" s="166">
        <v>3</v>
      </c>
      <c r="L1866" s="166">
        <v>5</v>
      </c>
      <c r="M1866" s="166">
        <v>3</v>
      </c>
      <c r="N1866" s="166">
        <v>3</v>
      </c>
      <c r="O1866" s="242">
        <v>5576157</v>
      </c>
      <c r="P1866" s="167"/>
      <c r="Q1866" s="167"/>
      <c r="R186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66" s="167">
        <v>1</v>
      </c>
      <c r="T1866" s="167" t="b">
        <f>Data[[#This Row],[Day Rank]]=Data[[#This Row],[W Rank]]</f>
        <v>0</v>
      </c>
      <c r="U1866" s="324"/>
    </row>
    <row r="1867" spans="1:21" ht="15" customHeight="1">
      <c r="A1867" s="325">
        <v>46139</v>
      </c>
      <c r="B1867" s="325"/>
      <c r="C1867" s="328" t="str" cm="1">
        <f t="array" ref="C1867">_xlfn.LET(_xlpm.matches, _xlfn._xlws.FILTER(Data[Poster], (Data[Date]=A1867)*(Data[Winner]=TRUE)), IF(ROWS(_xlpm.matches)&gt;1, "TIE", _xlpm.matches))</f>
        <v>loganworsdell</v>
      </c>
      <c r="D1867" s="147">
        <f t="shared" ref="D1867" si="332">A1867</f>
        <v>46139</v>
      </c>
      <c r="E1867" s="181" t="str">
        <f t="shared" si="320"/>
        <v>alappatjoe</v>
      </c>
      <c r="F1867" s="9">
        <f>IFERROR(AVERAGE(Data[[#This Row],[alappatjoe]:[currydestroyer27]]), "TBD")</f>
        <v>2.8</v>
      </c>
      <c r="G1867" s="178">
        <f>IFERROR(_xlfn.STDEV.P(Data[[#This Row],[alappatjoe]:[currydestroyer27]]), "TBD")</f>
        <v>1.4696938456699069</v>
      </c>
      <c r="H1867" s="160" t="s">
        <v>426</v>
      </c>
      <c r="I1867" s="186" t="s">
        <v>3571</v>
      </c>
      <c r="J1867" s="3">
        <v>1</v>
      </c>
      <c r="K1867" s="3">
        <v>4</v>
      </c>
      <c r="L1867" s="3">
        <v>2</v>
      </c>
      <c r="M1867" s="3">
        <v>5</v>
      </c>
      <c r="N1867" s="3">
        <v>2</v>
      </c>
      <c r="O1867" s="238">
        <v>453599</v>
      </c>
      <c r="P1867" s="93"/>
      <c r="Q1867" s="93"/>
      <c r="R18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67" s="93">
        <v>1</v>
      </c>
      <c r="T1867" s="93" t="b">
        <f>Data[[#This Row],[Day Rank]]=Data[[#This Row],[W Rank]]</f>
        <v>0</v>
      </c>
      <c r="U1867" s="322"/>
    </row>
    <row r="1868" spans="1:21" ht="15" customHeight="1">
      <c r="A1868" s="326"/>
      <c r="B1868" s="326"/>
      <c r="C1868" s="329"/>
      <c r="D1868" s="81">
        <f t="shared" si="321"/>
        <v>46139</v>
      </c>
      <c r="E1868" s="140" t="str">
        <f t="shared" si="322"/>
        <v>danram</v>
      </c>
      <c r="F1868" s="8">
        <f>IFERROR(AVERAGE(Data[[#This Row],[alappatjoe]:[currydestroyer27]]), "TBD")</f>
        <v>2.8</v>
      </c>
      <c r="G1868" s="177">
        <f>IFERROR(_xlfn.STDEV.P(Data[[#This Row],[alappatjoe]:[currydestroyer27]]), "TBD")</f>
        <v>0.4</v>
      </c>
      <c r="H1868" s="135" t="s">
        <v>3572</v>
      </c>
      <c r="I1868" s="229" t="s">
        <v>3573</v>
      </c>
      <c r="J1868" s="3">
        <v>3</v>
      </c>
      <c r="K1868" s="3">
        <v>2</v>
      </c>
      <c r="L1868" s="3">
        <v>3</v>
      </c>
      <c r="M1868" s="3">
        <v>3</v>
      </c>
      <c r="N1868" s="3">
        <v>3</v>
      </c>
      <c r="O1868" s="238"/>
      <c r="P1868" s="93"/>
      <c r="Q1868" s="93"/>
      <c r="R18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68" s="93">
        <v>1</v>
      </c>
      <c r="T1868" s="93" t="b">
        <f>Data[[#This Row],[Day Rank]]=Data[[#This Row],[W Rank]]</f>
        <v>0</v>
      </c>
      <c r="U1868" s="323"/>
    </row>
    <row r="1869" spans="1:21" ht="15" customHeight="1">
      <c r="A1869" s="326"/>
      <c r="B1869" s="326"/>
      <c r="C1869" s="329"/>
      <c r="D1869" s="81">
        <f t="shared" si="323"/>
        <v>46139</v>
      </c>
      <c r="E1869" s="140" t="str">
        <f t="shared" si="324"/>
        <v>loganworsdell</v>
      </c>
      <c r="F1869" s="8">
        <f>IFERROR(AVERAGE(Data[[#This Row],[alappatjoe]:[currydestroyer27]]), "TBD")</f>
        <v>2.4</v>
      </c>
      <c r="G1869" s="177">
        <f>IFERROR(_xlfn.STDEV.P(Data[[#This Row],[alappatjoe]:[currydestroyer27]]), "TBD")</f>
        <v>1.3564659966250536</v>
      </c>
      <c r="H1869" s="135" t="s">
        <v>3574</v>
      </c>
      <c r="I1869" s="229" t="s">
        <v>2910</v>
      </c>
      <c r="J1869" s="3">
        <v>2</v>
      </c>
      <c r="K1869" s="3">
        <v>1</v>
      </c>
      <c r="L1869" s="3">
        <v>1</v>
      </c>
      <c r="M1869" s="3">
        <v>4</v>
      </c>
      <c r="N1869" s="3">
        <v>4</v>
      </c>
      <c r="O1869" s="238">
        <v>564864</v>
      </c>
      <c r="P1869" s="93"/>
      <c r="Q1869" s="93"/>
      <c r="R18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69" s="93">
        <v>1</v>
      </c>
      <c r="T1869" s="93" t="b">
        <f>Data[[#This Row],[Day Rank]]=Data[[#This Row],[W Rank]]</f>
        <v>1</v>
      </c>
      <c r="U1869" s="323"/>
    </row>
    <row r="1870" spans="1:21" ht="15" customHeight="1">
      <c r="A1870" s="326"/>
      <c r="B1870" s="326"/>
      <c r="C1870" s="329"/>
      <c r="D1870" s="81">
        <f t="shared" si="325"/>
        <v>46139</v>
      </c>
      <c r="E1870" s="140" t="str">
        <f t="shared" si="326"/>
        <v>samuelbattista</v>
      </c>
      <c r="F1870" s="8">
        <f>IFERROR(AVERAGE(Data[[#This Row],[alappatjoe]:[currydestroyer27]]), "TBD")</f>
        <v>4</v>
      </c>
      <c r="G1870" s="177">
        <f>IFERROR(_xlfn.STDEV.P(Data[[#This Row],[alappatjoe]:[currydestroyer27]]), "TBD")</f>
        <v>1.5491933384829668</v>
      </c>
      <c r="H1870" s="135" t="s">
        <v>3575</v>
      </c>
      <c r="I1870" s="229" t="s">
        <v>574</v>
      </c>
      <c r="J1870" s="3">
        <v>5</v>
      </c>
      <c r="K1870" s="3">
        <v>5</v>
      </c>
      <c r="L1870" s="3">
        <v>4</v>
      </c>
      <c r="M1870" s="3">
        <v>1</v>
      </c>
      <c r="N1870" s="3">
        <v>5</v>
      </c>
      <c r="O1870" s="238"/>
      <c r="P1870" s="93"/>
      <c r="Q1870" s="93"/>
      <c r="R18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70" s="93">
        <v>1</v>
      </c>
      <c r="T1870" s="93" t="b">
        <f>Data[[#This Row],[Day Rank]]=Data[[#This Row],[W Rank]]</f>
        <v>0</v>
      </c>
      <c r="U1870" s="323"/>
    </row>
    <row r="1871" spans="1:21" ht="15" customHeight="1" thickBot="1">
      <c r="A1871" s="327"/>
      <c r="B1871" s="327"/>
      <c r="C1871" s="330"/>
      <c r="D1871" s="164">
        <f t="shared" si="327"/>
        <v>46139</v>
      </c>
      <c r="E1871" s="215" t="str">
        <f t="shared" si="328"/>
        <v>currydestroyer27</v>
      </c>
      <c r="F1871" s="165">
        <f>IFERROR(AVERAGE(Data[[#This Row],[alappatjoe]:[currydestroyer27]]), "TBD")</f>
        <v>3</v>
      </c>
      <c r="G1871" s="256">
        <f>IFERROR(_xlfn.STDEV.P(Data[[#This Row],[alappatjoe]:[currydestroyer27]]), "TBD")</f>
        <v>1.4142135623730951</v>
      </c>
      <c r="H1871" s="227" t="s">
        <v>3576</v>
      </c>
      <c r="I1871" s="257" t="s">
        <v>3577</v>
      </c>
      <c r="J1871" s="166">
        <v>4</v>
      </c>
      <c r="K1871" s="166">
        <v>3</v>
      </c>
      <c r="L1871" s="166">
        <v>5</v>
      </c>
      <c r="M1871" s="166">
        <v>2</v>
      </c>
      <c r="N1871" s="166">
        <v>1</v>
      </c>
      <c r="O1871" s="242">
        <v>30886385</v>
      </c>
      <c r="P1871" s="167"/>
      <c r="Q1871" s="167"/>
      <c r="R187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71" s="167">
        <v>1</v>
      </c>
      <c r="T1871" s="167" t="b">
        <f>Data[[#This Row],[Day Rank]]=Data[[#This Row],[W Rank]]</f>
        <v>0</v>
      </c>
      <c r="U1871" s="324"/>
    </row>
    <row r="1872" spans="1:21" ht="15" customHeight="1">
      <c r="A1872" s="325">
        <v>46140</v>
      </c>
      <c r="B1872" s="325"/>
      <c r="C1872" s="338" t="str" cm="1">
        <f t="array" ref="C1872">_xlfn.LET(_xlpm.matches, _xlfn._xlws.FILTER(Data[Poster], (Data[Date]=A1872)*(Data[Winner]=TRUE)), IF(ROWS(_xlpm.matches)&gt;1, "TIE", _xlpm.matches))</f>
        <v>alappatjoe</v>
      </c>
      <c r="D1872" s="147">
        <f t="shared" ref="D1872" si="333">A1872</f>
        <v>46140</v>
      </c>
      <c r="E1872" s="181" t="str">
        <f t="shared" si="320"/>
        <v>alappatjoe</v>
      </c>
      <c r="F1872" s="9">
        <f>IFERROR(AVERAGE(Data[[#This Row],[alappatjoe]:[currydestroyer27]]), "TBD")</f>
        <v>2.2000000000000002</v>
      </c>
      <c r="G1872" s="178">
        <f>IFERROR(_xlfn.STDEV.P(Data[[#This Row],[alappatjoe]:[currydestroyer27]]), "TBD")</f>
        <v>1.4696938456699069</v>
      </c>
      <c r="H1872" s="160" t="s">
        <v>3578</v>
      </c>
      <c r="I1872" s="186" t="s">
        <v>3579</v>
      </c>
      <c r="J1872" s="3">
        <v>1</v>
      </c>
      <c r="K1872" s="3">
        <v>4</v>
      </c>
      <c r="L1872" s="3">
        <v>1</v>
      </c>
      <c r="M1872" s="3">
        <v>4</v>
      </c>
      <c r="N1872" s="3">
        <v>1</v>
      </c>
      <c r="O1872" s="238">
        <v>21602</v>
      </c>
      <c r="P1872" s="93"/>
      <c r="Q1872" s="93"/>
      <c r="R18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72" s="93">
        <v>1</v>
      </c>
      <c r="T1872" s="93" t="b">
        <f>Data[[#This Row],[Day Rank]]=Data[[#This Row],[W Rank]]</f>
        <v>1</v>
      </c>
      <c r="U1872" s="322"/>
    </row>
    <row r="1873" spans="1:21" ht="15" customHeight="1">
      <c r="A1873" s="326"/>
      <c r="B1873" s="326"/>
      <c r="C1873" s="339"/>
      <c r="D1873" s="81">
        <f t="shared" si="321"/>
        <v>46140</v>
      </c>
      <c r="E1873" s="140" t="str">
        <f t="shared" si="322"/>
        <v>danram</v>
      </c>
      <c r="F1873" s="8">
        <f>IFERROR(AVERAGE(Data[[#This Row],[alappatjoe]:[currydestroyer27]]), "TBD")</f>
        <v>3.4</v>
      </c>
      <c r="G1873" s="177">
        <f>IFERROR(_xlfn.STDEV.P(Data[[#This Row],[alappatjoe]:[currydestroyer27]]), "TBD")</f>
        <v>1.3564659966250536</v>
      </c>
      <c r="H1873" s="135" t="s">
        <v>3580</v>
      </c>
      <c r="I1873" s="229" t="s">
        <v>361</v>
      </c>
      <c r="J1873" s="3">
        <v>5</v>
      </c>
      <c r="K1873" s="3">
        <v>2</v>
      </c>
      <c r="L1873" s="3">
        <v>5</v>
      </c>
      <c r="M1873" s="3">
        <v>2</v>
      </c>
      <c r="N1873" s="3">
        <v>3</v>
      </c>
      <c r="O1873" s="238"/>
      <c r="P1873" s="93"/>
      <c r="Q1873" s="93"/>
      <c r="R18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73" s="93">
        <v>1</v>
      </c>
      <c r="T1873" s="93" t="b">
        <f>Data[[#This Row],[Day Rank]]=Data[[#This Row],[W Rank]]</f>
        <v>0</v>
      </c>
      <c r="U1873" s="323"/>
    </row>
    <row r="1874" spans="1:21" ht="15" customHeight="1">
      <c r="A1874" s="326"/>
      <c r="B1874" s="326"/>
      <c r="C1874" s="339"/>
      <c r="D1874" s="81">
        <f t="shared" si="323"/>
        <v>46140</v>
      </c>
      <c r="E1874" s="140" t="str">
        <f t="shared" si="324"/>
        <v>loganworsdell</v>
      </c>
      <c r="F1874" s="8">
        <f>IFERROR(AVERAGE(Data[[#This Row],[alappatjoe]:[currydestroyer27]]), "TBD")</f>
        <v>3</v>
      </c>
      <c r="G1874" s="177">
        <f>IFERROR(_xlfn.STDEV.P(Data[[#This Row],[alappatjoe]:[currydestroyer27]]), "TBD")</f>
        <v>0.63245553203367588</v>
      </c>
      <c r="H1874" s="135" t="s">
        <v>3581</v>
      </c>
      <c r="I1874" s="229" t="s">
        <v>3582</v>
      </c>
      <c r="J1874" s="3">
        <v>2</v>
      </c>
      <c r="K1874" s="3">
        <v>3</v>
      </c>
      <c r="L1874" s="3">
        <v>3</v>
      </c>
      <c r="M1874" s="3">
        <v>3</v>
      </c>
      <c r="N1874" s="3">
        <v>4</v>
      </c>
      <c r="O1874" s="238">
        <v>167436878</v>
      </c>
      <c r="P1874" s="93"/>
      <c r="Q1874" s="93"/>
      <c r="R18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74" s="93">
        <v>1</v>
      </c>
      <c r="T1874" s="93" t="b">
        <f>Data[[#This Row],[Day Rank]]=Data[[#This Row],[W Rank]]</f>
        <v>0</v>
      </c>
      <c r="U1874" s="323"/>
    </row>
    <row r="1875" spans="1:21" ht="15" customHeight="1">
      <c r="A1875" s="326"/>
      <c r="B1875" s="326"/>
      <c r="C1875" s="339"/>
      <c r="D1875" s="81">
        <f t="shared" si="325"/>
        <v>46140</v>
      </c>
      <c r="E1875" s="140" t="str">
        <f t="shared" si="326"/>
        <v>samuelbattista</v>
      </c>
      <c r="F1875" s="8">
        <f>IFERROR(AVERAGE(Data[[#This Row],[alappatjoe]:[currydestroyer27]]), "TBD")</f>
        <v>2.4</v>
      </c>
      <c r="G1875" s="177">
        <f>IFERROR(_xlfn.STDEV.P(Data[[#This Row],[alappatjoe]:[currydestroyer27]]), "TBD")</f>
        <v>1.4966629547095767</v>
      </c>
      <c r="H1875" s="135" t="s">
        <v>3583</v>
      </c>
      <c r="I1875" s="229" t="s">
        <v>3584</v>
      </c>
      <c r="J1875" s="3">
        <v>3</v>
      </c>
      <c r="K1875" s="3">
        <v>1</v>
      </c>
      <c r="L1875" s="3">
        <v>2</v>
      </c>
      <c r="M1875" s="3">
        <v>1</v>
      </c>
      <c r="N1875" s="3">
        <v>5</v>
      </c>
      <c r="O1875" s="238"/>
      <c r="P1875" s="93"/>
      <c r="Q1875" s="93"/>
      <c r="R18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75" s="93">
        <v>1</v>
      </c>
      <c r="T1875" s="93" t="b">
        <f>Data[[#This Row],[Day Rank]]=Data[[#This Row],[W Rank]]</f>
        <v>0</v>
      </c>
      <c r="U1875" s="323"/>
    </row>
    <row r="1876" spans="1:21" ht="15" customHeight="1" thickBot="1">
      <c r="A1876" s="327"/>
      <c r="B1876" s="327"/>
      <c r="C1876" s="340"/>
      <c r="D1876" s="164">
        <f t="shared" si="327"/>
        <v>46140</v>
      </c>
      <c r="E1876" s="215" t="str">
        <f t="shared" si="328"/>
        <v>currydestroyer27</v>
      </c>
      <c r="F1876" s="165">
        <f>IFERROR(AVERAGE(Data[[#This Row],[alappatjoe]:[currydestroyer27]]), "TBD")</f>
        <v>4</v>
      </c>
      <c r="G1876" s="256">
        <f>IFERROR(_xlfn.STDEV.P(Data[[#This Row],[alappatjoe]:[currydestroyer27]]), "TBD")</f>
        <v>1.0954451150103321</v>
      </c>
      <c r="H1876" s="227" t="s">
        <v>3585</v>
      </c>
      <c r="I1876" s="257" t="s">
        <v>3586</v>
      </c>
      <c r="J1876" s="166">
        <v>4</v>
      </c>
      <c r="K1876" s="166">
        <v>5</v>
      </c>
      <c r="L1876" s="166">
        <v>4</v>
      </c>
      <c r="M1876" s="166">
        <v>5</v>
      </c>
      <c r="N1876" s="166">
        <v>2</v>
      </c>
      <c r="O1876" s="242">
        <v>682482647</v>
      </c>
      <c r="P1876" s="167"/>
      <c r="Q1876" s="167"/>
      <c r="R187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76" s="167">
        <v>1</v>
      </c>
      <c r="T1876" s="167" t="b">
        <f>Data[[#This Row],[Day Rank]]=Data[[#This Row],[W Rank]]</f>
        <v>0</v>
      </c>
      <c r="U1876" s="324"/>
    </row>
    <row r="1877" spans="1:21" ht="15" customHeight="1">
      <c r="A1877" s="325">
        <v>46141</v>
      </c>
      <c r="B1877" s="325"/>
      <c r="C1877" s="328" t="str" cm="1">
        <f t="array" ref="C1877">_xlfn.LET(_xlpm.matches, _xlfn._xlws.FILTER(Data[Poster], (Data[Date]=A1877)*(Data[Winner]=TRUE)), IF(ROWS(_xlpm.matches)&gt;1, "TIE", _xlpm.matches))</f>
        <v>loganworsdell</v>
      </c>
      <c r="D1877" s="147">
        <f t="shared" ref="D1877" si="334">A1877</f>
        <v>46141</v>
      </c>
      <c r="E1877" s="181" t="str">
        <f t="shared" si="320"/>
        <v>alappatjoe</v>
      </c>
      <c r="F1877" s="9">
        <f>IFERROR(AVERAGE(Data[[#This Row],[alappatjoe]:[currydestroyer27]]), "TBD")</f>
        <v>2.8</v>
      </c>
      <c r="G1877" s="178">
        <f>IFERROR(_xlfn.STDEV.P(Data[[#This Row],[alappatjoe]:[currydestroyer27]]), "TBD")</f>
        <v>1.1661903789690602</v>
      </c>
      <c r="H1877" s="160" t="s">
        <v>3587</v>
      </c>
      <c r="I1877" s="186" t="s">
        <v>260</v>
      </c>
      <c r="J1877" s="3">
        <v>1</v>
      </c>
      <c r="K1877" s="3">
        <v>4</v>
      </c>
      <c r="L1877" s="3">
        <v>4</v>
      </c>
      <c r="M1877" s="3">
        <v>3</v>
      </c>
      <c r="N1877" s="3">
        <v>2</v>
      </c>
      <c r="O1877" s="238">
        <v>10646029</v>
      </c>
      <c r="P1877" s="93"/>
      <c r="Q1877" s="93"/>
      <c r="R18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77" s="93">
        <v>1</v>
      </c>
      <c r="T1877" s="93" t="b">
        <f>Data[[#This Row],[Day Rank]]=Data[[#This Row],[W Rank]]</f>
        <v>0</v>
      </c>
      <c r="U1877" s="322"/>
    </row>
    <row r="1878" spans="1:21" ht="15" customHeight="1">
      <c r="A1878" s="326"/>
      <c r="B1878" s="326"/>
      <c r="C1878" s="329"/>
      <c r="D1878" s="81">
        <f t="shared" si="321"/>
        <v>46141</v>
      </c>
      <c r="E1878" s="140" t="str">
        <f t="shared" si="322"/>
        <v>danram</v>
      </c>
      <c r="F1878" s="8">
        <f>IFERROR(AVERAGE(Data[[#This Row],[alappatjoe]:[currydestroyer27]]), "TBD")</f>
        <v>4.2</v>
      </c>
      <c r="G1878" s="177">
        <f>IFERROR(_xlfn.STDEV.P(Data[[#This Row],[alappatjoe]:[currydestroyer27]]), "TBD")</f>
        <v>0.74833147735478833</v>
      </c>
      <c r="H1878" s="135" t="s">
        <v>3588</v>
      </c>
      <c r="I1878" s="229" t="s">
        <v>3504</v>
      </c>
      <c r="J1878" s="3">
        <v>4</v>
      </c>
      <c r="K1878" s="3">
        <v>3</v>
      </c>
      <c r="L1878" s="3">
        <v>5</v>
      </c>
      <c r="M1878" s="3">
        <v>4</v>
      </c>
      <c r="N1878" s="3">
        <v>5</v>
      </c>
      <c r="O1878" s="238"/>
      <c r="P1878" s="93"/>
      <c r="Q1878" s="93"/>
      <c r="R18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78" s="93">
        <v>1</v>
      </c>
      <c r="T1878" s="93" t="b">
        <f>Data[[#This Row],[Day Rank]]=Data[[#This Row],[W Rank]]</f>
        <v>0</v>
      </c>
      <c r="U1878" s="323"/>
    </row>
    <row r="1879" spans="1:21" ht="15" customHeight="1">
      <c r="A1879" s="326"/>
      <c r="B1879" s="326"/>
      <c r="C1879" s="329"/>
      <c r="D1879" s="81">
        <f t="shared" si="323"/>
        <v>46141</v>
      </c>
      <c r="E1879" s="140" t="str">
        <f t="shared" si="324"/>
        <v>loganworsdell</v>
      </c>
      <c r="F1879" s="8">
        <f>IFERROR(AVERAGE(Data[[#This Row],[alappatjoe]:[currydestroyer27]]), "TBD")</f>
        <v>1.8</v>
      </c>
      <c r="G1879" s="177">
        <f>IFERROR(_xlfn.STDEV.P(Data[[#This Row],[alappatjoe]:[currydestroyer27]]), "TBD")</f>
        <v>0.74833147735478833</v>
      </c>
      <c r="H1879" s="135" t="s">
        <v>3589</v>
      </c>
      <c r="I1879" s="229" t="s">
        <v>3590</v>
      </c>
      <c r="J1879" s="3">
        <v>2</v>
      </c>
      <c r="K1879" s="3">
        <v>1</v>
      </c>
      <c r="L1879" s="3">
        <v>1</v>
      </c>
      <c r="M1879" s="3">
        <v>2</v>
      </c>
      <c r="N1879" s="3">
        <v>3</v>
      </c>
      <c r="O1879" s="238">
        <v>4120670</v>
      </c>
      <c r="P1879" s="93"/>
      <c r="Q1879" s="93"/>
      <c r="R18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79" s="93">
        <v>1</v>
      </c>
      <c r="T1879" s="93" t="b">
        <f>Data[[#This Row],[Day Rank]]=Data[[#This Row],[W Rank]]</f>
        <v>1</v>
      </c>
      <c r="U1879" s="323"/>
    </row>
    <row r="1880" spans="1:21" ht="15" customHeight="1">
      <c r="A1880" s="326"/>
      <c r="B1880" s="326"/>
      <c r="C1880" s="329"/>
      <c r="D1880" s="81">
        <f t="shared" si="325"/>
        <v>46141</v>
      </c>
      <c r="E1880" s="140" t="str">
        <f t="shared" si="326"/>
        <v>samuelbattista</v>
      </c>
      <c r="F1880" s="8">
        <f>IFERROR(AVERAGE(Data[[#This Row],[alappatjoe]:[currydestroyer27]]), "TBD")</f>
        <v>3.2</v>
      </c>
      <c r="G1880" s="177">
        <f>IFERROR(_xlfn.STDEV.P(Data[[#This Row],[alappatjoe]:[currydestroyer27]]), "TBD")</f>
        <v>1.3266499161421599</v>
      </c>
      <c r="H1880" s="135" t="s">
        <v>3591</v>
      </c>
      <c r="I1880" s="229" t="s">
        <v>3592</v>
      </c>
      <c r="J1880" s="3">
        <v>3</v>
      </c>
      <c r="K1880" s="3">
        <v>5</v>
      </c>
      <c r="L1880" s="3">
        <v>3</v>
      </c>
      <c r="M1880" s="3">
        <v>1</v>
      </c>
      <c r="N1880" s="3">
        <v>4</v>
      </c>
      <c r="O1880" s="238"/>
      <c r="P1880" s="93"/>
      <c r="Q1880" s="93"/>
      <c r="R18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80" s="93">
        <v>1</v>
      </c>
      <c r="T1880" s="93" t="b">
        <f>Data[[#This Row],[Day Rank]]=Data[[#This Row],[W Rank]]</f>
        <v>0</v>
      </c>
      <c r="U1880" s="323"/>
    </row>
    <row r="1881" spans="1:21" ht="15" customHeight="1" thickBot="1">
      <c r="A1881" s="327"/>
      <c r="B1881" s="327"/>
      <c r="C1881" s="330"/>
      <c r="D1881" s="164">
        <f t="shared" si="327"/>
        <v>46141</v>
      </c>
      <c r="E1881" s="215" t="str">
        <f t="shared" si="328"/>
        <v>currydestroyer27</v>
      </c>
      <c r="F1881" s="165">
        <f>IFERROR(AVERAGE(Data[[#This Row],[alappatjoe]:[currydestroyer27]]), "TBD")</f>
        <v>3</v>
      </c>
      <c r="G1881" s="256">
        <f>IFERROR(_xlfn.STDEV.P(Data[[#This Row],[alappatjoe]:[currydestroyer27]]), "TBD")</f>
        <v>1.6733200530681511</v>
      </c>
      <c r="H1881" s="227" t="s">
        <v>3593</v>
      </c>
      <c r="I1881" s="257" t="s">
        <v>3594</v>
      </c>
      <c r="J1881" s="166">
        <v>5</v>
      </c>
      <c r="K1881" s="166">
        <v>2</v>
      </c>
      <c r="L1881" s="166">
        <v>2</v>
      </c>
      <c r="M1881" s="166">
        <v>5</v>
      </c>
      <c r="N1881" s="166">
        <v>1</v>
      </c>
      <c r="O1881" s="242">
        <v>1535515</v>
      </c>
      <c r="P1881" s="167" t="s">
        <v>76</v>
      </c>
      <c r="Q1881" s="167" t="s">
        <v>99</v>
      </c>
      <c r="R188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81" s="167">
        <v>1</v>
      </c>
      <c r="T1881" s="167" t="b">
        <f>Data[[#This Row],[Day Rank]]=Data[[#This Row],[W Rank]]</f>
        <v>0</v>
      </c>
      <c r="U1881" s="324"/>
    </row>
    <row r="1882" spans="1:21" ht="15" customHeight="1">
      <c r="A1882" s="325">
        <v>46142</v>
      </c>
      <c r="B1882" s="325"/>
      <c r="C1882" s="338" t="str" cm="1">
        <f t="array" ref="C1882">_xlfn.LET(_xlpm.matches, _xlfn._xlws.FILTER(Data[Poster], (Data[Date]=A1882)*(Data[Winner]=TRUE)), IF(ROWS(_xlpm.matches)&gt;1, "TIE", _xlpm.matches))</f>
        <v>loganworsdell</v>
      </c>
      <c r="D1882" s="147">
        <f t="shared" ref="D1882" si="335">A1882</f>
        <v>46142</v>
      </c>
      <c r="E1882" s="181" t="str">
        <f t="shared" si="320"/>
        <v>alappatjoe</v>
      </c>
      <c r="F1882" s="9">
        <f>IFERROR(AVERAGE(Data[[#This Row],[alappatjoe]:[currydestroyer27]]), "TBD")</f>
        <v>2.8</v>
      </c>
      <c r="G1882" s="178">
        <f>IFERROR(_xlfn.STDEV.P(Data[[#This Row],[alappatjoe]:[currydestroyer27]]), "TBD")</f>
        <v>1.3266499161421599</v>
      </c>
      <c r="H1882" s="160" t="s">
        <v>2272</v>
      </c>
      <c r="I1882" s="186" t="s">
        <v>3595</v>
      </c>
      <c r="J1882" s="3">
        <v>1</v>
      </c>
      <c r="K1882" s="3">
        <v>3</v>
      </c>
      <c r="L1882" s="3">
        <v>5</v>
      </c>
      <c r="M1882" s="3">
        <v>2</v>
      </c>
      <c r="N1882" s="3">
        <v>3</v>
      </c>
      <c r="O1882" s="238">
        <v>1883697711</v>
      </c>
      <c r="P1882" s="93"/>
      <c r="Q1882" s="93"/>
      <c r="R18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82" s="93">
        <v>1</v>
      </c>
      <c r="T1882" s="93" t="b">
        <f>Data[[#This Row],[Day Rank]]=Data[[#This Row],[W Rank]]</f>
        <v>0</v>
      </c>
      <c r="U1882" s="322" t="s">
        <v>3596</v>
      </c>
    </row>
    <row r="1883" spans="1:21" ht="15" customHeight="1">
      <c r="A1883" s="326"/>
      <c r="B1883" s="326"/>
      <c r="C1883" s="339"/>
      <c r="D1883" s="81">
        <f t="shared" si="321"/>
        <v>46142</v>
      </c>
      <c r="E1883" s="140" t="str">
        <f t="shared" si="322"/>
        <v>danram</v>
      </c>
      <c r="F1883" s="8">
        <f>IFERROR(AVERAGE(Data[[#This Row],[alappatjoe]:[currydestroyer27]]), "TBD")</f>
        <v>3.2</v>
      </c>
      <c r="G1883" s="177">
        <f>IFERROR(_xlfn.STDEV.P(Data[[#This Row],[alappatjoe]:[currydestroyer27]]), "TBD")</f>
        <v>1.1661903789690602</v>
      </c>
      <c r="H1883" s="135" t="s">
        <v>3597</v>
      </c>
      <c r="I1883" s="229" t="s">
        <v>1573</v>
      </c>
      <c r="J1883" s="3">
        <v>5</v>
      </c>
      <c r="K1883" s="3">
        <v>2</v>
      </c>
      <c r="L1883" s="3">
        <v>4</v>
      </c>
      <c r="M1883" s="3">
        <v>3</v>
      </c>
      <c r="N1883" s="3">
        <v>2</v>
      </c>
      <c r="O1883" s="238">
        <v>1480393929</v>
      </c>
      <c r="P1883" s="93"/>
      <c r="Q1883" s="93"/>
      <c r="R18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83" s="93">
        <v>1</v>
      </c>
      <c r="T1883" s="93" t="b">
        <f>Data[[#This Row],[Day Rank]]=Data[[#This Row],[W Rank]]</f>
        <v>0</v>
      </c>
      <c r="U1883" s="323"/>
    </row>
    <row r="1884" spans="1:21" ht="15" customHeight="1">
      <c r="A1884" s="326"/>
      <c r="B1884" s="326"/>
      <c r="C1884" s="339"/>
      <c r="D1884" s="81">
        <f t="shared" si="323"/>
        <v>46142</v>
      </c>
      <c r="E1884" s="140" t="str">
        <f t="shared" si="324"/>
        <v>loganworsdell</v>
      </c>
      <c r="F1884" s="8">
        <f>IFERROR(AVERAGE(Data[[#This Row],[alappatjoe]:[currydestroyer27]]), "TBD")</f>
        <v>2.6</v>
      </c>
      <c r="G1884" s="177">
        <f>IFERROR(_xlfn.STDEV.P(Data[[#This Row],[alappatjoe]:[currydestroyer27]]), "TBD")</f>
        <v>1.6248076809271921</v>
      </c>
      <c r="H1884" s="135" t="s">
        <v>2250</v>
      </c>
      <c r="I1884" s="229" t="s">
        <v>3598</v>
      </c>
      <c r="J1884" s="3">
        <v>2</v>
      </c>
      <c r="K1884" s="3">
        <v>1</v>
      </c>
      <c r="L1884" s="3">
        <v>1</v>
      </c>
      <c r="M1884" s="3">
        <v>4</v>
      </c>
      <c r="N1884" s="3">
        <v>5</v>
      </c>
      <c r="O1884" s="238">
        <v>411455629</v>
      </c>
      <c r="P1884" s="93"/>
      <c r="Q1884" s="93"/>
      <c r="R18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84" s="93">
        <v>1</v>
      </c>
      <c r="T1884" s="93" t="b">
        <f>Data[[#This Row],[Day Rank]]=Data[[#This Row],[W Rank]]</f>
        <v>1</v>
      </c>
      <c r="U1884" s="323"/>
    </row>
    <row r="1885" spans="1:21" ht="15" customHeight="1">
      <c r="A1885" s="326"/>
      <c r="B1885" s="326"/>
      <c r="C1885" s="339"/>
      <c r="D1885" s="81">
        <f t="shared" si="325"/>
        <v>46142</v>
      </c>
      <c r="E1885" s="140" t="str">
        <f t="shared" si="326"/>
        <v>samuelbattista</v>
      </c>
      <c r="F1885" s="8">
        <f>IFERROR(AVERAGE(Data[[#This Row],[alappatjoe]:[currydestroyer27]]), "TBD")</f>
        <v>3</v>
      </c>
      <c r="G1885" s="177">
        <f>IFERROR(_xlfn.STDEV.P(Data[[#This Row],[alappatjoe]:[currydestroyer27]]), "TBD")</f>
        <v>1.2649110640673518</v>
      </c>
      <c r="H1885" s="135" t="s">
        <v>3599</v>
      </c>
      <c r="I1885" s="229" t="s">
        <v>3600</v>
      </c>
      <c r="J1885" s="3">
        <v>4</v>
      </c>
      <c r="K1885" s="3">
        <v>4</v>
      </c>
      <c r="L1885" s="3">
        <v>2</v>
      </c>
      <c r="M1885" s="3">
        <v>1</v>
      </c>
      <c r="N1885" s="3">
        <v>4</v>
      </c>
      <c r="O1885" s="238">
        <v>1416594652</v>
      </c>
      <c r="P1885" s="93"/>
      <c r="Q1885" s="93"/>
      <c r="R18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85" s="93">
        <v>1</v>
      </c>
      <c r="T1885" s="93" t="b">
        <f>Data[[#This Row],[Day Rank]]=Data[[#This Row],[W Rank]]</f>
        <v>0</v>
      </c>
      <c r="U1885" s="323"/>
    </row>
    <row r="1886" spans="1:21" ht="15" customHeight="1" thickBot="1">
      <c r="A1886" s="327"/>
      <c r="B1886" s="327"/>
      <c r="C1886" s="340"/>
      <c r="D1886" s="164">
        <f t="shared" si="327"/>
        <v>46142</v>
      </c>
      <c r="E1886" s="215" t="str">
        <f t="shared" si="328"/>
        <v>currydestroyer27</v>
      </c>
      <c r="F1886" s="165">
        <f>IFERROR(AVERAGE(Data[[#This Row],[alappatjoe]:[currydestroyer27]]), "TBD")</f>
        <v>3.4</v>
      </c>
      <c r="G1886" s="256">
        <f>IFERROR(_xlfn.STDEV.P(Data[[#This Row],[alappatjoe]:[currydestroyer27]]), "TBD")</f>
        <v>1.4966629547095767</v>
      </c>
      <c r="H1886" s="227" t="s">
        <v>3601</v>
      </c>
      <c r="I1886" s="257" t="s">
        <v>1573</v>
      </c>
      <c r="J1886" s="166">
        <v>3</v>
      </c>
      <c r="K1886" s="166">
        <v>5</v>
      </c>
      <c r="L1886" s="166">
        <v>3</v>
      </c>
      <c r="M1886" s="166">
        <v>5</v>
      </c>
      <c r="N1886" s="166">
        <v>1</v>
      </c>
      <c r="O1886" s="242">
        <v>58578554</v>
      </c>
      <c r="P1886" s="167"/>
      <c r="Q1886" s="167"/>
      <c r="R188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86" s="167">
        <v>1</v>
      </c>
      <c r="T1886" s="167" t="b">
        <f>Data[[#This Row],[Day Rank]]=Data[[#This Row],[W Rank]]</f>
        <v>0</v>
      </c>
      <c r="U1886" s="324"/>
    </row>
    <row r="1887" spans="1:21" ht="15" customHeight="1">
      <c r="A1887" s="325">
        <v>46146</v>
      </c>
      <c r="B1887" s="325"/>
      <c r="C1887" s="328" t="str" cm="1">
        <f t="array" ref="C1887">_xlfn.LET(_xlpm.matches, _xlfn._xlws.FILTER(Data[Poster], (Data[Date]=A1887)*(Data[Winner]=TRUE)), IF(ROWS(_xlpm.matches)&gt;1, "TIE", _xlpm.matches))</f>
        <v>danram</v>
      </c>
      <c r="D1887" s="147">
        <f t="shared" ref="D1887" si="336">A1887</f>
        <v>46146</v>
      </c>
      <c r="E1887" s="181" t="str">
        <f t="shared" ref="E1887:E1922" si="337">$J$1</f>
        <v>alappatjoe</v>
      </c>
      <c r="F1887" s="9">
        <f>IFERROR(AVERAGE(Data[[#This Row],[alappatjoe]:[currydestroyer27]]), "TBD")</f>
        <v>3.2</v>
      </c>
      <c r="G1887" s="178">
        <f>IFERROR(_xlfn.STDEV.P(Data[[#This Row],[alappatjoe]:[currydestroyer27]]), "TBD")</f>
        <v>1.833030277982336</v>
      </c>
      <c r="H1887" s="160" t="s">
        <v>3602</v>
      </c>
      <c r="I1887" s="186" t="s">
        <v>3603</v>
      </c>
      <c r="J1887" s="3">
        <v>1</v>
      </c>
      <c r="K1887" s="3">
        <v>5</v>
      </c>
      <c r="L1887" s="3">
        <v>4</v>
      </c>
      <c r="M1887" s="3">
        <v>5</v>
      </c>
      <c r="N1887" s="3">
        <v>1</v>
      </c>
      <c r="O1887" s="238">
        <v>2721588</v>
      </c>
      <c r="P1887" s="93"/>
      <c r="Q1887" s="93"/>
      <c r="R18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87" s="93">
        <v>1</v>
      </c>
      <c r="T1887" s="93" t="b">
        <f>Data[[#This Row],[Day Rank]]=Data[[#This Row],[W Rank]]</f>
        <v>0</v>
      </c>
      <c r="U1887" s="322"/>
    </row>
    <row r="1888" spans="1:21" ht="15" customHeight="1">
      <c r="A1888" s="326"/>
      <c r="B1888" s="326"/>
      <c r="C1888" s="329"/>
      <c r="D1888" s="81">
        <f t="shared" ref="D1888:D1923" si="338">D1887</f>
        <v>46146</v>
      </c>
      <c r="E1888" s="140" t="str">
        <f t="shared" ref="E1888:E1923" si="339">$K$1</f>
        <v>danram</v>
      </c>
      <c r="F1888" s="8">
        <f>IFERROR(AVERAGE(Data[[#This Row],[alappatjoe]:[currydestroyer27]]), "TBD")</f>
        <v>2.4</v>
      </c>
      <c r="G1888" s="177">
        <f>IFERROR(_xlfn.STDEV.P(Data[[#This Row],[alappatjoe]:[currydestroyer27]]), "TBD")</f>
        <v>0.8</v>
      </c>
      <c r="H1888" s="135" t="s">
        <v>3604</v>
      </c>
      <c r="I1888" s="229" t="s">
        <v>3605</v>
      </c>
      <c r="J1888" s="3">
        <v>3</v>
      </c>
      <c r="K1888" s="3">
        <v>1</v>
      </c>
      <c r="L1888" s="3">
        <v>2</v>
      </c>
      <c r="M1888" s="3">
        <v>3</v>
      </c>
      <c r="N1888" s="3">
        <v>3</v>
      </c>
      <c r="O1888" s="238"/>
      <c r="P1888" s="93"/>
      <c r="Q1888" s="93"/>
      <c r="R18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88" s="93">
        <v>1</v>
      </c>
      <c r="T1888" s="93" t="b">
        <f>Data[[#This Row],[Day Rank]]=Data[[#This Row],[W Rank]]</f>
        <v>1</v>
      </c>
      <c r="U1888" s="323"/>
    </row>
    <row r="1889" spans="1:21" ht="15" customHeight="1">
      <c r="A1889" s="326"/>
      <c r="B1889" s="326"/>
      <c r="C1889" s="329"/>
      <c r="D1889" s="81">
        <f t="shared" ref="D1889:D1924" si="340">D1887</f>
        <v>46146</v>
      </c>
      <c r="E1889" s="140" t="str">
        <f t="shared" ref="E1889:E1924" si="341">$L$1</f>
        <v>loganworsdell</v>
      </c>
      <c r="F1889" s="8">
        <f>IFERROR(AVERAGE(Data[[#This Row],[alappatjoe]:[currydestroyer27]]), "TBD")</f>
        <v>2.8</v>
      </c>
      <c r="G1889" s="177">
        <f>IFERROR(_xlfn.STDEV.P(Data[[#This Row],[alappatjoe]:[currydestroyer27]]), "TBD")</f>
        <v>1.1661903789690602</v>
      </c>
      <c r="H1889" s="135" t="s">
        <v>3606</v>
      </c>
      <c r="I1889" s="229" t="s">
        <v>3607</v>
      </c>
      <c r="J1889" s="3">
        <v>4</v>
      </c>
      <c r="K1889" s="3">
        <v>3</v>
      </c>
      <c r="L1889" s="3">
        <v>1</v>
      </c>
      <c r="M1889" s="3">
        <v>2</v>
      </c>
      <c r="N1889" s="3">
        <v>4</v>
      </c>
      <c r="O1889" s="238">
        <v>519797799</v>
      </c>
      <c r="P1889" s="93"/>
      <c r="Q1889" s="93"/>
      <c r="R18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89" s="93">
        <v>1</v>
      </c>
      <c r="T1889" s="93" t="b">
        <f>Data[[#This Row],[Day Rank]]=Data[[#This Row],[W Rank]]</f>
        <v>0</v>
      </c>
      <c r="U1889" s="323"/>
    </row>
    <row r="1890" spans="1:21" ht="15" customHeight="1">
      <c r="A1890" s="326"/>
      <c r="B1890" s="326"/>
      <c r="C1890" s="329"/>
      <c r="D1890" s="81">
        <f t="shared" ref="D1890:D1925" si="342">D1887</f>
        <v>46146</v>
      </c>
      <c r="E1890" s="140" t="str">
        <f t="shared" ref="E1890:E1925" si="343">$M$1</f>
        <v>samuelbattista</v>
      </c>
      <c r="F1890" s="8">
        <f>IFERROR(AVERAGE(Data[[#This Row],[alappatjoe]:[currydestroyer27]]), "TBD")</f>
        <v>4</v>
      </c>
      <c r="G1890" s="177">
        <f>IFERROR(_xlfn.STDEV.P(Data[[#This Row],[alappatjoe]:[currydestroyer27]]), "TBD")</f>
        <v>1.5491933384829668</v>
      </c>
      <c r="H1890" s="135" t="s">
        <v>375</v>
      </c>
      <c r="I1890" s="229" t="s">
        <v>1937</v>
      </c>
      <c r="J1890" s="3">
        <v>5</v>
      </c>
      <c r="K1890" s="3">
        <v>4</v>
      </c>
      <c r="L1890" s="3">
        <v>5</v>
      </c>
      <c r="M1890" s="3">
        <v>1</v>
      </c>
      <c r="N1890" s="3">
        <v>5</v>
      </c>
      <c r="O1890" s="238"/>
      <c r="P1890" s="93"/>
      <c r="Q1890" s="93"/>
      <c r="R18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90" s="93">
        <v>1</v>
      </c>
      <c r="T1890" s="93" t="b">
        <f>Data[[#This Row],[Day Rank]]=Data[[#This Row],[W Rank]]</f>
        <v>0</v>
      </c>
      <c r="U1890" s="323"/>
    </row>
    <row r="1891" spans="1:21" ht="15" customHeight="1" thickBot="1">
      <c r="A1891" s="327"/>
      <c r="B1891" s="327"/>
      <c r="C1891" s="330"/>
      <c r="D1891" s="164">
        <f t="shared" ref="D1891:D1926" si="344">D1887</f>
        <v>46146</v>
      </c>
      <c r="E1891" s="215" t="str">
        <f t="shared" ref="E1891:E1926" si="345">$N$1</f>
        <v>currydestroyer27</v>
      </c>
      <c r="F1891" s="165">
        <f>IFERROR(AVERAGE(Data[[#This Row],[alappatjoe]:[currydestroyer27]]), "TBD")</f>
        <v>2.6</v>
      </c>
      <c r="G1891" s="256">
        <f>IFERROR(_xlfn.STDEV.P(Data[[#This Row],[alappatjoe]:[currydestroyer27]]), "TBD")</f>
        <v>0.8</v>
      </c>
      <c r="H1891" s="227" t="s">
        <v>3608</v>
      </c>
      <c r="I1891" s="257" t="s">
        <v>3609</v>
      </c>
      <c r="J1891" s="166">
        <v>2</v>
      </c>
      <c r="K1891" s="166">
        <v>2</v>
      </c>
      <c r="L1891" s="166">
        <v>3</v>
      </c>
      <c r="M1891" s="166">
        <v>4</v>
      </c>
      <c r="N1891" s="166">
        <v>2</v>
      </c>
      <c r="O1891" s="242">
        <v>15557854</v>
      </c>
      <c r="P1891" s="167"/>
      <c r="Q1891" s="167"/>
      <c r="R189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891" s="167">
        <v>1</v>
      </c>
      <c r="T1891" s="167" t="b">
        <f>Data[[#This Row],[Day Rank]]=Data[[#This Row],[W Rank]]</f>
        <v>0</v>
      </c>
      <c r="U1891" s="324"/>
    </row>
    <row r="1892" spans="1:21" ht="15" customHeight="1">
      <c r="A1892" s="325">
        <v>46147</v>
      </c>
      <c r="B1892" s="325"/>
      <c r="C1892" s="338" t="str" cm="1">
        <f t="array" ref="C1892">_xlfn.LET(_xlpm.matches, _xlfn._xlws.FILTER(Data[Poster], (Data[Date]=A1892)*(Data[Winner]=TRUE)), IF(ROWS(_xlpm.matches)&gt;1, "TIE", _xlpm.matches))</f>
        <v>loganworsdell</v>
      </c>
      <c r="D1892" s="147">
        <f t="shared" ref="D1892" si="346">A1892</f>
        <v>46147</v>
      </c>
      <c r="E1892" s="181" t="str">
        <f t="shared" si="337"/>
        <v>alappatjoe</v>
      </c>
      <c r="F1892" s="9">
        <f>IFERROR(AVERAGE(Data[[#This Row],[alappatjoe]:[currydestroyer27]]), "TBD")</f>
        <v>2.6</v>
      </c>
      <c r="G1892" s="178">
        <f>IFERROR(_xlfn.STDEV.P(Data[[#This Row],[alappatjoe]:[currydestroyer27]]), "TBD")</f>
        <v>1.3564659966250536</v>
      </c>
      <c r="H1892" s="160" t="s">
        <v>3610</v>
      </c>
      <c r="I1892" s="186" t="s">
        <v>3611</v>
      </c>
      <c r="J1892" s="3">
        <v>1</v>
      </c>
      <c r="K1892" s="3">
        <v>3</v>
      </c>
      <c r="L1892" s="3">
        <v>1</v>
      </c>
      <c r="M1892" s="3">
        <v>4</v>
      </c>
      <c r="N1892" s="3">
        <v>4</v>
      </c>
      <c r="O1892" s="238">
        <v>3024642</v>
      </c>
      <c r="P1892" s="93"/>
      <c r="Q1892" s="93"/>
      <c r="R18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92" s="93">
        <v>1</v>
      </c>
      <c r="T1892" s="93" t="b">
        <f>Data[[#This Row],[Day Rank]]=Data[[#This Row],[W Rank]]</f>
        <v>0</v>
      </c>
      <c r="U1892" s="322"/>
    </row>
    <row r="1893" spans="1:21" ht="15" customHeight="1">
      <c r="A1893" s="326"/>
      <c r="B1893" s="326"/>
      <c r="C1893" s="339"/>
      <c r="D1893" s="81">
        <f t="shared" si="338"/>
        <v>46147</v>
      </c>
      <c r="E1893" s="140" t="str">
        <f t="shared" si="339"/>
        <v>danram</v>
      </c>
      <c r="F1893" s="8">
        <f>IFERROR(AVERAGE(Data[[#This Row],[alappatjoe]:[currydestroyer27]]), "TBD")</f>
        <v>5</v>
      </c>
      <c r="G1893" s="177">
        <f>IFERROR(_xlfn.STDEV.P(Data[[#This Row],[alappatjoe]:[currydestroyer27]]), "TBD")</f>
        <v>0</v>
      </c>
      <c r="H1893" s="135" t="s">
        <v>3612</v>
      </c>
      <c r="I1893" s="229" t="s">
        <v>3090</v>
      </c>
      <c r="J1893" s="3">
        <v>5</v>
      </c>
      <c r="K1893" s="3">
        <v>5</v>
      </c>
      <c r="L1893" s="3">
        <v>5</v>
      </c>
      <c r="M1893" s="3">
        <v>5</v>
      </c>
      <c r="N1893" s="3">
        <v>5</v>
      </c>
      <c r="O1893" s="238"/>
      <c r="P1893" s="93"/>
      <c r="Q1893" s="93"/>
      <c r="R18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93" s="93">
        <v>1</v>
      </c>
      <c r="T1893" s="93" t="b">
        <f>Data[[#This Row],[Day Rank]]=Data[[#This Row],[W Rank]]</f>
        <v>0</v>
      </c>
      <c r="U1893" s="323"/>
    </row>
    <row r="1894" spans="1:21" ht="15" customHeight="1">
      <c r="A1894" s="326"/>
      <c r="B1894" s="326"/>
      <c r="C1894" s="339"/>
      <c r="D1894" s="81">
        <f t="shared" si="340"/>
        <v>46147</v>
      </c>
      <c r="E1894" s="140" t="str">
        <f t="shared" si="341"/>
        <v>loganworsdell</v>
      </c>
      <c r="F1894" s="8">
        <f>IFERROR(AVERAGE(Data[[#This Row],[alappatjoe]:[currydestroyer27]]), "TBD")</f>
        <v>2.4</v>
      </c>
      <c r="G1894" s="177">
        <f>IFERROR(_xlfn.STDEV.P(Data[[#This Row],[alappatjoe]:[currydestroyer27]]), "TBD")</f>
        <v>0.8</v>
      </c>
      <c r="H1894" s="135" t="s">
        <v>3613</v>
      </c>
      <c r="I1894" s="229" t="s">
        <v>3614</v>
      </c>
      <c r="J1894" s="3">
        <v>2</v>
      </c>
      <c r="K1894" s="3">
        <v>4</v>
      </c>
      <c r="L1894" s="3">
        <v>2</v>
      </c>
      <c r="M1894" s="3">
        <v>2</v>
      </c>
      <c r="N1894" s="3">
        <v>2</v>
      </c>
      <c r="O1894" s="238">
        <v>1185020</v>
      </c>
      <c r="P1894" s="93"/>
      <c r="Q1894" s="93"/>
      <c r="R18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94" s="93">
        <v>1</v>
      </c>
      <c r="T1894" s="93" t="b">
        <f>Data[[#This Row],[Day Rank]]=Data[[#This Row],[W Rank]]</f>
        <v>1</v>
      </c>
      <c r="U1894" s="323"/>
    </row>
    <row r="1895" spans="1:21" ht="15" customHeight="1">
      <c r="A1895" s="326"/>
      <c r="B1895" s="326"/>
      <c r="C1895" s="339"/>
      <c r="D1895" s="81">
        <f t="shared" si="342"/>
        <v>46147</v>
      </c>
      <c r="E1895" s="140" t="str">
        <f t="shared" si="343"/>
        <v>samuelbattista</v>
      </c>
      <c r="F1895" s="8">
        <f>IFERROR(AVERAGE(Data[[#This Row],[alappatjoe]:[currydestroyer27]]), "TBD")</f>
        <v>2.4</v>
      </c>
      <c r="G1895" s="177">
        <f>IFERROR(_xlfn.STDEV.P(Data[[#This Row],[alappatjoe]:[currydestroyer27]]), "TBD")</f>
        <v>0.8</v>
      </c>
      <c r="H1895" s="135" t="s">
        <v>3615</v>
      </c>
      <c r="I1895" s="229" t="s">
        <v>1110</v>
      </c>
      <c r="J1895" s="3">
        <v>3</v>
      </c>
      <c r="K1895" s="3">
        <v>2</v>
      </c>
      <c r="L1895" s="3">
        <v>3</v>
      </c>
      <c r="M1895" s="3">
        <v>1</v>
      </c>
      <c r="N1895" s="3">
        <v>3</v>
      </c>
      <c r="O1895" s="238"/>
      <c r="P1895" s="93"/>
      <c r="Q1895" s="93"/>
      <c r="R18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895" s="93">
        <v>2</v>
      </c>
      <c r="T1895" s="93" t="b">
        <f>Data[[#This Row],[Day Rank]]=Data[[#This Row],[W Rank]]</f>
        <v>0</v>
      </c>
      <c r="U1895" s="323"/>
    </row>
    <row r="1896" spans="1:21" ht="15" customHeight="1" thickBot="1">
      <c r="A1896" s="327"/>
      <c r="B1896" s="327"/>
      <c r="C1896" s="340"/>
      <c r="D1896" s="164">
        <f t="shared" si="344"/>
        <v>46147</v>
      </c>
      <c r="E1896" s="215" t="str">
        <f t="shared" si="345"/>
        <v>currydestroyer27</v>
      </c>
      <c r="F1896" s="165">
        <f>IFERROR(AVERAGE(Data[[#This Row],[alappatjoe]:[currydestroyer27]]), "TBD")</f>
        <v>2.6</v>
      </c>
      <c r="G1896" s="256">
        <f>IFERROR(_xlfn.STDEV.P(Data[[#This Row],[alappatjoe]:[currydestroyer27]]), "TBD")</f>
        <v>1.3564659966250536</v>
      </c>
      <c r="H1896" s="227" t="s">
        <v>3616</v>
      </c>
      <c r="I1896" s="257" t="s">
        <v>3617</v>
      </c>
      <c r="J1896" s="166">
        <v>4</v>
      </c>
      <c r="K1896" s="166">
        <v>1</v>
      </c>
      <c r="L1896" s="166">
        <v>4</v>
      </c>
      <c r="M1896" s="166">
        <v>3</v>
      </c>
      <c r="N1896" s="166">
        <v>1</v>
      </c>
      <c r="O1896" s="242">
        <v>47605</v>
      </c>
      <c r="P1896" s="167"/>
      <c r="Q1896" s="167"/>
      <c r="R189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96" s="167">
        <v>1</v>
      </c>
      <c r="T1896" s="167" t="b">
        <f>Data[[#This Row],[Day Rank]]=Data[[#This Row],[W Rank]]</f>
        <v>0</v>
      </c>
      <c r="U1896" s="324"/>
    </row>
    <row r="1897" spans="1:21" ht="15" customHeight="1">
      <c r="A1897" s="325">
        <v>46148</v>
      </c>
      <c r="B1897" s="325"/>
      <c r="C1897" s="328" t="str" cm="1">
        <f t="array" ref="C1897">_xlfn.LET(_xlpm.matches, _xlfn._xlws.FILTER(Data[Poster], (Data[Date]=A1897)*(Data[Winner]=TRUE)), IF(ROWS(_xlpm.matches)&gt;1, "TIE", _xlpm.matches))</f>
        <v>samuelbattista</v>
      </c>
      <c r="D1897" s="147">
        <f t="shared" ref="D1897" si="347">A1897</f>
        <v>46148</v>
      </c>
      <c r="E1897" s="181" t="str">
        <f t="shared" si="337"/>
        <v>alappatjoe</v>
      </c>
      <c r="F1897" s="9">
        <f>IFERROR(AVERAGE(Data[[#This Row],[alappatjoe]:[currydestroyer27]]), "TBD")</f>
        <v>3.8</v>
      </c>
      <c r="G1897" s="178">
        <f>IFERROR(_xlfn.STDEV.P(Data[[#This Row],[alappatjoe]:[currydestroyer27]]), "TBD")</f>
        <v>1.6</v>
      </c>
      <c r="H1897" s="160" t="s">
        <v>3618</v>
      </c>
      <c r="I1897" s="186" t="s">
        <v>3619</v>
      </c>
      <c r="J1897" s="3">
        <v>1</v>
      </c>
      <c r="K1897" s="3">
        <v>5</v>
      </c>
      <c r="L1897" s="3">
        <v>3</v>
      </c>
      <c r="M1897" s="3">
        <v>5</v>
      </c>
      <c r="N1897" s="3">
        <v>5</v>
      </c>
      <c r="O1897" s="238">
        <v>2077799</v>
      </c>
      <c r="P1897" s="93"/>
      <c r="Q1897" s="93"/>
      <c r="R18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897" s="93">
        <v>1</v>
      </c>
      <c r="T1897" s="93" t="b">
        <f>Data[[#This Row],[Day Rank]]=Data[[#This Row],[W Rank]]</f>
        <v>0</v>
      </c>
      <c r="U1897" s="322"/>
    </row>
    <row r="1898" spans="1:21" ht="15" customHeight="1">
      <c r="A1898" s="326"/>
      <c r="B1898" s="326"/>
      <c r="C1898" s="329"/>
      <c r="D1898" s="81">
        <f t="shared" si="338"/>
        <v>46148</v>
      </c>
      <c r="E1898" s="140" t="str">
        <f t="shared" si="339"/>
        <v>danram</v>
      </c>
      <c r="F1898" s="8">
        <f>IFERROR(AVERAGE(Data[[#This Row],[alappatjoe]:[currydestroyer27]]), "TBD")</f>
        <v>2.8</v>
      </c>
      <c r="G1898" s="177">
        <f>IFERROR(_xlfn.STDEV.P(Data[[#This Row],[alappatjoe]:[currydestroyer27]]), "TBD")</f>
        <v>1.4696938456699069</v>
      </c>
      <c r="H1898" s="135" t="s">
        <v>3620</v>
      </c>
      <c r="I1898" s="229" t="s">
        <v>3621</v>
      </c>
      <c r="J1898" s="3">
        <v>5</v>
      </c>
      <c r="K1898" s="3">
        <v>1</v>
      </c>
      <c r="L1898" s="3">
        <v>4</v>
      </c>
      <c r="M1898" s="3">
        <v>2</v>
      </c>
      <c r="N1898" s="3">
        <v>2</v>
      </c>
      <c r="O1898" s="238"/>
      <c r="P1898" s="93"/>
      <c r="Q1898" s="93"/>
      <c r="R18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898" s="93">
        <v>1</v>
      </c>
      <c r="T1898" s="93" t="b">
        <f>Data[[#This Row],[Day Rank]]=Data[[#This Row],[W Rank]]</f>
        <v>0</v>
      </c>
      <c r="U1898" s="323"/>
    </row>
    <row r="1899" spans="1:21" ht="15" customHeight="1">
      <c r="A1899" s="326"/>
      <c r="B1899" s="326"/>
      <c r="C1899" s="329"/>
      <c r="D1899" s="81">
        <f t="shared" si="340"/>
        <v>46148</v>
      </c>
      <c r="E1899" s="140" t="str">
        <f t="shared" si="341"/>
        <v>loganworsdell</v>
      </c>
      <c r="F1899" s="8">
        <f>IFERROR(AVERAGE(Data[[#This Row],[alappatjoe]:[currydestroyer27]]), "TBD")</f>
        <v>3</v>
      </c>
      <c r="G1899" s="177">
        <f>IFERROR(_xlfn.STDEV.P(Data[[#This Row],[alappatjoe]:[currydestroyer27]]), "TBD")</f>
        <v>1.2649110640673518</v>
      </c>
      <c r="H1899" s="135" t="s">
        <v>3622</v>
      </c>
      <c r="I1899" s="229" t="s">
        <v>3623</v>
      </c>
      <c r="J1899" s="3">
        <v>2</v>
      </c>
      <c r="K1899" s="3">
        <v>4</v>
      </c>
      <c r="L1899" s="3">
        <v>1</v>
      </c>
      <c r="M1899" s="3">
        <v>4</v>
      </c>
      <c r="N1899" s="3">
        <v>4</v>
      </c>
      <c r="O1899" s="238">
        <v>3205204</v>
      </c>
      <c r="P1899" s="93"/>
      <c r="Q1899" s="93"/>
      <c r="R18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899" s="93">
        <v>1</v>
      </c>
      <c r="T1899" s="93" t="b">
        <f>Data[[#This Row],[Day Rank]]=Data[[#This Row],[W Rank]]</f>
        <v>0</v>
      </c>
      <c r="U1899" s="323"/>
    </row>
    <row r="1900" spans="1:21" ht="15" customHeight="1">
      <c r="A1900" s="326"/>
      <c r="B1900" s="326"/>
      <c r="C1900" s="329"/>
      <c r="D1900" s="81">
        <f t="shared" si="342"/>
        <v>46148</v>
      </c>
      <c r="E1900" s="140" t="str">
        <f t="shared" si="343"/>
        <v>samuelbattista</v>
      </c>
      <c r="F1900" s="8">
        <f>IFERROR(AVERAGE(Data[[#This Row],[alappatjoe]:[currydestroyer27]]), "TBD")</f>
        <v>2.6</v>
      </c>
      <c r="G1900" s="177">
        <f>IFERROR(_xlfn.STDEV.P(Data[[#This Row],[alappatjoe]:[currydestroyer27]]), "TBD")</f>
        <v>1.019803902718557</v>
      </c>
      <c r="H1900" s="135" t="s">
        <v>3624</v>
      </c>
      <c r="I1900" s="229" t="s">
        <v>3625</v>
      </c>
      <c r="J1900" s="3">
        <v>4</v>
      </c>
      <c r="K1900" s="3">
        <v>3</v>
      </c>
      <c r="L1900" s="3">
        <v>2</v>
      </c>
      <c r="M1900" s="3">
        <v>1</v>
      </c>
      <c r="N1900" s="3">
        <v>3</v>
      </c>
      <c r="O1900" s="238"/>
      <c r="P1900" s="93"/>
      <c r="Q1900" s="93"/>
      <c r="R19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00" s="93">
        <v>1</v>
      </c>
      <c r="T1900" s="93" t="b">
        <f>Data[[#This Row],[Day Rank]]=Data[[#This Row],[W Rank]]</f>
        <v>1</v>
      </c>
      <c r="U1900" s="323"/>
    </row>
    <row r="1901" spans="1:21" ht="15" customHeight="1" thickBot="1">
      <c r="A1901" s="327"/>
      <c r="B1901" s="327"/>
      <c r="C1901" s="330"/>
      <c r="D1901" s="164">
        <f t="shared" si="344"/>
        <v>46148</v>
      </c>
      <c r="E1901" s="215" t="str">
        <f t="shared" si="345"/>
        <v>currydestroyer27</v>
      </c>
      <c r="F1901" s="165">
        <f>IFERROR(AVERAGE(Data[[#This Row],[alappatjoe]:[currydestroyer27]]), "TBD")</f>
        <v>2.8</v>
      </c>
      <c r="G1901" s="256">
        <f>IFERROR(_xlfn.STDEV.P(Data[[#This Row],[alappatjoe]:[currydestroyer27]]), "TBD")</f>
        <v>1.3266499161421599</v>
      </c>
      <c r="H1901" s="227" t="s">
        <v>3626</v>
      </c>
      <c r="I1901" s="257" t="s">
        <v>361</v>
      </c>
      <c r="J1901" s="166">
        <v>3</v>
      </c>
      <c r="K1901" s="166">
        <v>2</v>
      </c>
      <c r="L1901" s="166">
        <v>5</v>
      </c>
      <c r="M1901" s="166">
        <v>3</v>
      </c>
      <c r="N1901" s="166">
        <v>1</v>
      </c>
      <c r="O1901" s="242">
        <v>17026621</v>
      </c>
      <c r="P1901" s="167"/>
      <c r="Q1901" s="167"/>
      <c r="R190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01" s="167">
        <v>1</v>
      </c>
      <c r="T1901" s="167" t="b">
        <f>Data[[#This Row],[Day Rank]]=Data[[#This Row],[W Rank]]</f>
        <v>0</v>
      </c>
      <c r="U1901" s="324"/>
    </row>
    <row r="1902" spans="1:21" ht="15" customHeight="1">
      <c r="A1902" s="325">
        <v>46149</v>
      </c>
      <c r="B1902" s="325"/>
      <c r="C1902" s="338" t="str" cm="1">
        <f t="array" ref="C1902">_xlfn.LET(_xlpm.matches, _xlfn._xlws.FILTER(Data[Poster], (Data[Date]=A1902)*(Data[Winner]=TRUE)), IF(ROWS(_xlpm.matches)&gt;1, "TIE", _xlpm.matches))</f>
        <v>loganworsdell</v>
      </c>
      <c r="D1902" s="147">
        <f t="shared" ref="D1902" si="348">A1902</f>
        <v>46149</v>
      </c>
      <c r="E1902" s="181" t="str">
        <f t="shared" si="337"/>
        <v>alappatjoe</v>
      </c>
      <c r="F1902" s="9">
        <f>IFERROR(AVERAGE(Data[[#This Row],[alappatjoe]:[currydestroyer27]]), "TBD")</f>
        <v>4</v>
      </c>
      <c r="G1902" s="178">
        <f>IFERROR(_xlfn.STDEV.P(Data[[#This Row],[alappatjoe]:[currydestroyer27]]), "TBD")</f>
        <v>1.5491933384829668</v>
      </c>
      <c r="H1902" s="160" t="s">
        <v>3627</v>
      </c>
      <c r="I1902" s="186" t="s">
        <v>3628</v>
      </c>
      <c r="J1902" s="3">
        <v>1</v>
      </c>
      <c r="K1902" s="3">
        <v>5</v>
      </c>
      <c r="L1902" s="3">
        <v>4</v>
      </c>
      <c r="M1902" s="3">
        <v>5</v>
      </c>
      <c r="N1902" s="3">
        <v>5</v>
      </c>
      <c r="O1902" s="238">
        <v>8502</v>
      </c>
      <c r="P1902" s="93"/>
      <c r="Q1902" s="93"/>
      <c r="R19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02" s="93">
        <v>1</v>
      </c>
      <c r="T1902" s="93" t="b">
        <f>Data[[#This Row],[Day Rank]]=Data[[#This Row],[W Rank]]</f>
        <v>0</v>
      </c>
      <c r="U1902" s="322" t="s">
        <v>3629</v>
      </c>
    </row>
    <row r="1903" spans="1:21" ht="15" customHeight="1">
      <c r="A1903" s="326"/>
      <c r="B1903" s="326"/>
      <c r="C1903" s="339"/>
      <c r="D1903" s="81">
        <f t="shared" si="338"/>
        <v>46149</v>
      </c>
      <c r="E1903" s="140" t="str">
        <f t="shared" si="339"/>
        <v>danram</v>
      </c>
      <c r="F1903" s="8">
        <f>IFERROR(AVERAGE(Data[[#This Row],[alappatjoe]:[currydestroyer27]]), "TBD")</f>
        <v>2.6</v>
      </c>
      <c r="G1903" s="177">
        <f>IFERROR(_xlfn.STDEV.P(Data[[#This Row],[alappatjoe]:[currydestroyer27]]), "TBD")</f>
        <v>1.3564659966250536</v>
      </c>
      <c r="H1903" s="135" t="s">
        <v>3630</v>
      </c>
      <c r="I1903" s="229" t="s">
        <v>202</v>
      </c>
      <c r="J1903" s="3">
        <v>3</v>
      </c>
      <c r="K1903" s="3">
        <v>2</v>
      </c>
      <c r="L1903" s="3">
        <v>5</v>
      </c>
      <c r="M1903" s="3">
        <v>2</v>
      </c>
      <c r="N1903" s="3">
        <v>1</v>
      </c>
      <c r="O1903" s="238"/>
      <c r="P1903" s="93"/>
      <c r="Q1903" s="93"/>
      <c r="R19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03" s="93">
        <v>1</v>
      </c>
      <c r="T1903" s="93" t="b">
        <f>Data[[#This Row],[Day Rank]]=Data[[#This Row],[W Rank]]</f>
        <v>0</v>
      </c>
      <c r="U1903" s="323"/>
    </row>
    <row r="1904" spans="1:21" ht="15" customHeight="1">
      <c r="A1904" s="326"/>
      <c r="B1904" s="326"/>
      <c r="C1904" s="339"/>
      <c r="D1904" s="81">
        <f t="shared" si="340"/>
        <v>46149</v>
      </c>
      <c r="E1904" s="140" t="str">
        <f t="shared" si="341"/>
        <v>loganworsdell</v>
      </c>
      <c r="F1904" s="8">
        <f>IFERROR(AVERAGE(Data[[#This Row],[alappatjoe]:[currydestroyer27]]), "TBD")</f>
        <v>2</v>
      </c>
      <c r="G1904" s="177">
        <f>IFERROR(_xlfn.STDEV.P(Data[[#This Row],[alappatjoe]:[currydestroyer27]]), "TBD")</f>
        <v>1.0954451150103321</v>
      </c>
      <c r="H1904" s="135" t="s">
        <v>3631</v>
      </c>
      <c r="I1904" s="229" t="s">
        <v>3632</v>
      </c>
      <c r="J1904" s="3">
        <v>2</v>
      </c>
      <c r="K1904" s="3">
        <v>1</v>
      </c>
      <c r="L1904" s="3">
        <v>1</v>
      </c>
      <c r="M1904" s="3">
        <v>4</v>
      </c>
      <c r="N1904" s="3">
        <v>2</v>
      </c>
      <c r="O1904" s="238">
        <v>36881</v>
      </c>
      <c r="P1904" s="93"/>
      <c r="Q1904" s="93"/>
      <c r="R19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04" s="93">
        <v>1</v>
      </c>
      <c r="T1904" s="93" t="b">
        <f>Data[[#This Row],[Day Rank]]=Data[[#This Row],[W Rank]]</f>
        <v>1</v>
      </c>
      <c r="U1904" s="323"/>
    </row>
    <row r="1905" spans="1:21" ht="15" customHeight="1">
      <c r="A1905" s="326"/>
      <c r="B1905" s="326"/>
      <c r="C1905" s="339"/>
      <c r="D1905" s="81">
        <f t="shared" si="342"/>
        <v>46149</v>
      </c>
      <c r="E1905" s="140" t="str">
        <f t="shared" si="343"/>
        <v>samuelbattista</v>
      </c>
      <c r="F1905" s="8">
        <f>IFERROR(AVERAGE(Data[[#This Row],[alappatjoe]:[currydestroyer27]]), "TBD")</f>
        <v>2.6</v>
      </c>
      <c r="G1905" s="177">
        <f>IFERROR(_xlfn.STDEV.P(Data[[#This Row],[alappatjoe]:[currydestroyer27]]), "TBD")</f>
        <v>1.019803902718557</v>
      </c>
      <c r="H1905" s="135" t="s">
        <v>3633</v>
      </c>
      <c r="I1905" s="229" t="s">
        <v>1488</v>
      </c>
      <c r="J1905" s="3">
        <v>4</v>
      </c>
      <c r="K1905" s="3">
        <v>3</v>
      </c>
      <c r="L1905" s="3">
        <v>2</v>
      </c>
      <c r="M1905" s="3">
        <v>1</v>
      </c>
      <c r="N1905" s="3">
        <v>3</v>
      </c>
      <c r="O1905" s="238"/>
      <c r="P1905" s="93"/>
      <c r="Q1905" s="93"/>
      <c r="R19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05" s="93">
        <v>1</v>
      </c>
      <c r="T1905" s="93" t="b">
        <f>Data[[#This Row],[Day Rank]]=Data[[#This Row],[W Rank]]</f>
        <v>0</v>
      </c>
      <c r="U1905" s="323"/>
    </row>
    <row r="1906" spans="1:21" ht="15" customHeight="1" thickBot="1">
      <c r="A1906" s="327"/>
      <c r="B1906" s="327"/>
      <c r="C1906" s="340"/>
      <c r="D1906" s="164">
        <f t="shared" si="344"/>
        <v>46149</v>
      </c>
      <c r="E1906" s="215" t="str">
        <f t="shared" si="345"/>
        <v>currydestroyer27</v>
      </c>
      <c r="F1906" s="165">
        <f>IFERROR(AVERAGE(Data[[#This Row],[alappatjoe]:[currydestroyer27]]), "TBD")</f>
        <v>3.8</v>
      </c>
      <c r="G1906" s="256">
        <f>IFERROR(_xlfn.STDEV.P(Data[[#This Row],[alappatjoe]:[currydestroyer27]]), "TBD")</f>
        <v>0.74833147735478833</v>
      </c>
      <c r="H1906" s="227" t="s">
        <v>3634</v>
      </c>
      <c r="I1906" s="257" t="s">
        <v>3635</v>
      </c>
      <c r="J1906" s="166">
        <v>5</v>
      </c>
      <c r="K1906" s="166">
        <v>4</v>
      </c>
      <c r="L1906" s="166">
        <v>3</v>
      </c>
      <c r="M1906" s="166">
        <v>3</v>
      </c>
      <c r="N1906" s="166">
        <v>4</v>
      </c>
      <c r="O1906" s="242">
        <v>25656</v>
      </c>
      <c r="P1906" s="167"/>
      <c r="Q1906" s="167"/>
      <c r="R190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06" s="167">
        <v>1</v>
      </c>
      <c r="T1906" s="167" t="b">
        <f>Data[[#This Row],[Day Rank]]=Data[[#This Row],[W Rank]]</f>
        <v>0</v>
      </c>
      <c r="U1906" s="324"/>
    </row>
    <row r="1907" spans="1:21" ht="15" customHeight="1">
      <c r="A1907" s="325">
        <v>46153</v>
      </c>
      <c r="B1907" s="325"/>
      <c r="C1907" s="328" t="str" cm="1">
        <f t="array" ref="C1907">_xlfn.LET(_xlpm.matches, _xlfn._xlws.FILTER(Data[Poster], (Data[Date]=A1907)*(Data[Winner]=TRUE)), IF(ROWS(_xlpm.matches)&gt;1, "TIE", _xlpm.matches))</f>
        <v>currydestroyer27</v>
      </c>
      <c r="D1907" s="147">
        <f t="shared" ref="D1907" si="349">A1907</f>
        <v>46153</v>
      </c>
      <c r="E1907" s="181" t="str">
        <f t="shared" si="337"/>
        <v>alappatjoe</v>
      </c>
      <c r="F1907" s="9">
        <f>IFERROR(AVERAGE(Data[[#This Row],[alappatjoe]:[currydestroyer27]]), "TBD")</f>
        <v>2.2000000000000002</v>
      </c>
      <c r="G1907" s="178">
        <f>IFERROR(_xlfn.STDEV.P(Data[[#This Row],[alappatjoe]:[currydestroyer27]]), "TBD")</f>
        <v>0.9797958971132712</v>
      </c>
      <c r="H1907" s="160" t="s">
        <v>3636</v>
      </c>
      <c r="I1907" s="186" t="s">
        <v>3445</v>
      </c>
      <c r="J1907" s="3">
        <v>1</v>
      </c>
      <c r="K1907" s="3">
        <v>2</v>
      </c>
      <c r="L1907" s="3">
        <v>4</v>
      </c>
      <c r="M1907" s="3">
        <v>2</v>
      </c>
      <c r="N1907" s="3">
        <v>2</v>
      </c>
      <c r="O1907" s="238">
        <v>1552467</v>
      </c>
      <c r="P1907" s="93"/>
      <c r="Q1907" s="93"/>
      <c r="R19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07" s="93">
        <v>1</v>
      </c>
      <c r="T1907" s="93" t="b">
        <f>Data[[#This Row],[Day Rank]]=Data[[#This Row],[W Rank]]</f>
        <v>0</v>
      </c>
      <c r="U1907" s="322"/>
    </row>
    <row r="1908" spans="1:21" ht="15" customHeight="1">
      <c r="A1908" s="326"/>
      <c r="B1908" s="326"/>
      <c r="C1908" s="329"/>
      <c r="D1908" s="81">
        <f t="shared" si="338"/>
        <v>46153</v>
      </c>
      <c r="E1908" s="140" t="str">
        <f t="shared" si="339"/>
        <v>danram</v>
      </c>
      <c r="F1908" s="8">
        <f>IFERROR(AVERAGE(Data[[#This Row],[alappatjoe]:[currydestroyer27]]), "TBD")</f>
        <v>2.8</v>
      </c>
      <c r="G1908" s="177">
        <f>IFERROR(_xlfn.STDEV.P(Data[[#This Row],[alappatjoe]:[currydestroyer27]]), "TBD")</f>
        <v>1.1661903789690602</v>
      </c>
      <c r="H1908" s="135" t="s">
        <v>3637</v>
      </c>
      <c r="I1908" s="229" t="s">
        <v>3313</v>
      </c>
      <c r="J1908" s="3">
        <v>2</v>
      </c>
      <c r="K1908" s="3">
        <v>1</v>
      </c>
      <c r="L1908" s="3">
        <v>3</v>
      </c>
      <c r="M1908" s="3">
        <v>4</v>
      </c>
      <c r="N1908" s="3">
        <v>4</v>
      </c>
      <c r="O1908" s="238"/>
      <c r="P1908" s="93"/>
      <c r="Q1908" s="93"/>
      <c r="R19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08" s="93">
        <v>1</v>
      </c>
      <c r="T1908" s="93" t="b">
        <f>Data[[#This Row],[Day Rank]]=Data[[#This Row],[W Rank]]</f>
        <v>0</v>
      </c>
      <c r="U1908" s="323"/>
    </row>
    <row r="1909" spans="1:21" ht="15" customHeight="1">
      <c r="A1909" s="326"/>
      <c r="B1909" s="326"/>
      <c r="C1909" s="329"/>
      <c r="D1909" s="81">
        <f t="shared" si="340"/>
        <v>46153</v>
      </c>
      <c r="E1909" s="140" t="str">
        <f t="shared" si="341"/>
        <v>loganworsdell</v>
      </c>
      <c r="F1909" s="8">
        <f>IFERROR(AVERAGE(Data[[#This Row],[alappatjoe]:[currydestroyer27]]), "TBD")</f>
        <v>3.6</v>
      </c>
      <c r="G1909" s="177">
        <f>IFERROR(_xlfn.STDEV.P(Data[[#This Row],[alappatjoe]:[currydestroyer27]]), "TBD")</f>
        <v>1.019803902718557</v>
      </c>
      <c r="H1909" s="288" t="s">
        <v>3638</v>
      </c>
      <c r="I1909" s="229" t="s">
        <v>496</v>
      </c>
      <c r="J1909" s="3">
        <v>4</v>
      </c>
      <c r="K1909" s="3">
        <v>4</v>
      </c>
      <c r="L1909" s="3">
        <v>2</v>
      </c>
      <c r="M1909" s="3">
        <v>5</v>
      </c>
      <c r="N1909" s="3">
        <v>3</v>
      </c>
      <c r="O1909" s="238">
        <v>3596462</v>
      </c>
      <c r="P1909" s="93"/>
      <c r="Q1909" s="93"/>
      <c r="R19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09" s="93">
        <v>1</v>
      </c>
      <c r="T1909" s="93" t="b">
        <f>Data[[#This Row],[Day Rank]]=Data[[#This Row],[W Rank]]</f>
        <v>0</v>
      </c>
      <c r="U1909" s="323"/>
    </row>
    <row r="1910" spans="1:21" ht="15" customHeight="1">
      <c r="A1910" s="326"/>
      <c r="B1910" s="326"/>
      <c r="C1910" s="329"/>
      <c r="D1910" s="81">
        <f t="shared" si="342"/>
        <v>46153</v>
      </c>
      <c r="E1910" s="140" t="str">
        <f t="shared" si="343"/>
        <v>samuelbattista</v>
      </c>
      <c r="F1910" s="8">
        <f>IFERROR(AVERAGE(Data[[#This Row],[alappatjoe]:[currydestroyer27]]), "TBD")</f>
        <v>4.5999999999999996</v>
      </c>
      <c r="G1910" s="177">
        <f>IFERROR(_xlfn.STDEV.P(Data[[#This Row],[alappatjoe]:[currydestroyer27]]), "TBD")</f>
        <v>0.8</v>
      </c>
      <c r="H1910" s="135" t="s">
        <v>3639</v>
      </c>
      <c r="I1910" s="229" t="s">
        <v>3640</v>
      </c>
      <c r="J1910" s="3">
        <v>5</v>
      </c>
      <c r="K1910" s="3">
        <v>5</v>
      </c>
      <c r="L1910" s="3">
        <v>5</v>
      </c>
      <c r="M1910" s="3">
        <v>3</v>
      </c>
      <c r="N1910" s="3">
        <v>5</v>
      </c>
      <c r="O1910" s="238"/>
      <c r="P1910" s="93"/>
      <c r="Q1910" s="93"/>
      <c r="R19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10" s="93">
        <v>1</v>
      </c>
      <c r="T1910" s="93" t="b">
        <f>Data[[#This Row],[Day Rank]]=Data[[#This Row],[W Rank]]</f>
        <v>0</v>
      </c>
      <c r="U1910" s="323"/>
    </row>
    <row r="1911" spans="1:21" ht="15" customHeight="1" thickBot="1">
      <c r="A1911" s="327"/>
      <c r="B1911" s="327"/>
      <c r="C1911" s="330"/>
      <c r="D1911" s="164">
        <f t="shared" si="344"/>
        <v>46153</v>
      </c>
      <c r="E1911" s="215" t="str">
        <f t="shared" si="345"/>
        <v>currydestroyer27</v>
      </c>
      <c r="F1911" s="165">
        <f>IFERROR(AVERAGE(Data[[#This Row],[alappatjoe]:[currydestroyer27]]), "TBD")</f>
        <v>1.8</v>
      </c>
      <c r="G1911" s="256">
        <f>IFERROR(_xlfn.STDEV.P(Data[[#This Row],[alappatjoe]:[currydestroyer27]]), "TBD")</f>
        <v>0.9797958971132712</v>
      </c>
      <c r="H1911" s="227" t="s">
        <v>3641</v>
      </c>
      <c r="I1911" s="257" t="s">
        <v>3642</v>
      </c>
      <c r="J1911" s="166">
        <v>3</v>
      </c>
      <c r="K1911" s="166">
        <v>3</v>
      </c>
      <c r="L1911" s="166">
        <v>1</v>
      </c>
      <c r="M1911" s="166">
        <v>1</v>
      </c>
      <c r="N1911" s="166">
        <v>1</v>
      </c>
      <c r="O1911" s="242">
        <v>102134914</v>
      </c>
      <c r="P1911" s="167"/>
      <c r="Q1911" s="167"/>
      <c r="R19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11" s="167">
        <v>1</v>
      </c>
      <c r="T1911" s="167" t="b">
        <f>Data[[#This Row],[Day Rank]]=Data[[#This Row],[W Rank]]</f>
        <v>1</v>
      </c>
      <c r="U1911" s="324"/>
    </row>
    <row r="1912" spans="1:21" ht="15" customHeight="1">
      <c r="A1912" s="325">
        <v>46154</v>
      </c>
      <c r="B1912" s="325"/>
      <c r="C1912" s="338" t="str" cm="1">
        <f t="array" ref="C1912">_xlfn.LET(_xlpm.matches, _xlfn._xlws.FILTER(Data[Poster], (Data[Date]=A1912)*(Data[Winner]=TRUE)), IF(ROWS(_xlpm.matches)&gt;1, "TIE", _xlpm.matches))</f>
        <v>alappatjoe</v>
      </c>
      <c r="D1912" s="147">
        <f t="shared" ref="D1912" si="350">A1912</f>
        <v>46154</v>
      </c>
      <c r="E1912" s="181" t="str">
        <f t="shared" si="337"/>
        <v>alappatjoe</v>
      </c>
      <c r="F1912" s="9">
        <f>IFERROR(AVERAGE(Data[[#This Row],[alappatjoe]:[currydestroyer27]]), "TBD")</f>
        <v>1.4</v>
      </c>
      <c r="G1912" s="178">
        <f>IFERROR(_xlfn.STDEV.P(Data[[#This Row],[alappatjoe]:[currydestroyer27]]), "TBD")</f>
        <v>0.4898979485566356</v>
      </c>
      <c r="H1912" s="160" t="s">
        <v>3643</v>
      </c>
      <c r="I1912" s="186" t="s">
        <v>3644</v>
      </c>
      <c r="J1912" s="3">
        <v>1</v>
      </c>
      <c r="K1912" s="3">
        <v>1</v>
      </c>
      <c r="L1912" s="3">
        <v>2</v>
      </c>
      <c r="M1912" s="3">
        <v>2</v>
      </c>
      <c r="N1912" s="3">
        <v>1</v>
      </c>
      <c r="O1912" s="238">
        <v>38635675</v>
      </c>
      <c r="P1912" s="93"/>
      <c r="Q1912" s="93"/>
      <c r="R19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12" s="93">
        <v>1</v>
      </c>
      <c r="T1912" s="93" t="b">
        <f>Data[[#This Row],[Day Rank]]=Data[[#This Row],[W Rank]]</f>
        <v>1</v>
      </c>
      <c r="U1912" s="322"/>
    </row>
    <row r="1913" spans="1:21" ht="15" customHeight="1">
      <c r="A1913" s="326"/>
      <c r="B1913" s="326"/>
      <c r="C1913" s="339"/>
      <c r="D1913" s="81">
        <f t="shared" si="338"/>
        <v>46154</v>
      </c>
      <c r="E1913" s="140" t="str">
        <f t="shared" si="339"/>
        <v>danram</v>
      </c>
      <c r="F1913" s="8">
        <f>IFERROR(AVERAGE(Data[[#This Row],[alappatjoe]:[currydestroyer27]]), "TBD")</f>
        <v>3.8</v>
      </c>
      <c r="G1913" s="177">
        <f>IFERROR(_xlfn.STDEV.P(Data[[#This Row],[alappatjoe]:[currydestroyer27]]), "TBD")</f>
        <v>0.9797958971132712</v>
      </c>
      <c r="H1913" s="135" t="s">
        <v>3645</v>
      </c>
      <c r="I1913" s="229" t="s">
        <v>444</v>
      </c>
      <c r="J1913" s="3">
        <v>4</v>
      </c>
      <c r="K1913" s="3">
        <v>2</v>
      </c>
      <c r="L1913" s="3">
        <v>4</v>
      </c>
      <c r="M1913" s="3">
        <v>4</v>
      </c>
      <c r="N1913" s="3">
        <v>5</v>
      </c>
      <c r="O1913" s="238"/>
      <c r="P1913" s="93"/>
      <c r="Q1913" s="93"/>
      <c r="R19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13" s="93">
        <v>1</v>
      </c>
      <c r="T1913" s="93" t="b">
        <f>Data[[#This Row],[Day Rank]]=Data[[#This Row],[W Rank]]</f>
        <v>0</v>
      </c>
      <c r="U1913" s="323"/>
    </row>
    <row r="1914" spans="1:21" ht="15" customHeight="1">
      <c r="A1914" s="326"/>
      <c r="B1914" s="326"/>
      <c r="C1914" s="339"/>
      <c r="D1914" s="81">
        <f t="shared" si="340"/>
        <v>46154</v>
      </c>
      <c r="E1914" s="140" t="str">
        <f t="shared" si="341"/>
        <v>loganworsdell</v>
      </c>
      <c r="F1914" s="8">
        <f>IFERROR(AVERAGE(Data[[#This Row],[alappatjoe]:[currydestroyer27]]), "TBD")</f>
        <v>2.8</v>
      </c>
      <c r="G1914" s="177">
        <f>IFERROR(_xlfn.STDEV.P(Data[[#This Row],[alappatjoe]:[currydestroyer27]]), "TBD")</f>
        <v>0.9797958971132712</v>
      </c>
      <c r="H1914" s="135" t="s">
        <v>3646</v>
      </c>
      <c r="I1914" s="229" t="s">
        <v>3647</v>
      </c>
      <c r="J1914" s="3">
        <v>3</v>
      </c>
      <c r="K1914" s="3">
        <v>4</v>
      </c>
      <c r="L1914" s="3">
        <v>1</v>
      </c>
      <c r="M1914" s="3">
        <v>3</v>
      </c>
      <c r="N1914" s="3">
        <v>3</v>
      </c>
      <c r="O1914" s="238">
        <v>4721241</v>
      </c>
      <c r="P1914" s="93"/>
      <c r="Q1914" s="93"/>
      <c r="R19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14" s="93">
        <v>1</v>
      </c>
      <c r="T1914" s="93" t="b">
        <f>Data[[#This Row],[Day Rank]]=Data[[#This Row],[W Rank]]</f>
        <v>0</v>
      </c>
      <c r="U1914" s="323"/>
    </row>
    <row r="1915" spans="1:21" ht="15" customHeight="1">
      <c r="A1915" s="326"/>
      <c r="B1915" s="326"/>
      <c r="C1915" s="339"/>
      <c r="D1915" s="81">
        <f t="shared" si="342"/>
        <v>46154</v>
      </c>
      <c r="E1915" s="140" t="str">
        <f t="shared" si="343"/>
        <v>samuelbattista</v>
      </c>
      <c r="F1915" s="8">
        <f>IFERROR(AVERAGE(Data[[#This Row],[alappatjoe]:[currydestroyer27]]), "TBD")</f>
        <v>3.2</v>
      </c>
      <c r="G1915" s="177">
        <f>IFERROR(_xlfn.STDEV.P(Data[[#This Row],[alappatjoe]:[currydestroyer27]]), "TBD")</f>
        <v>1.6</v>
      </c>
      <c r="H1915" s="135" t="s">
        <v>3648</v>
      </c>
      <c r="I1915" s="229" t="s">
        <v>1203</v>
      </c>
      <c r="J1915" s="3">
        <v>5</v>
      </c>
      <c r="K1915" s="3">
        <v>5</v>
      </c>
      <c r="L1915" s="3">
        <v>3</v>
      </c>
      <c r="M1915" s="3">
        <v>1</v>
      </c>
      <c r="N1915" s="3">
        <v>2</v>
      </c>
      <c r="O1915" s="238"/>
      <c r="P1915" s="93"/>
      <c r="Q1915" s="93"/>
      <c r="R19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15" s="93">
        <v>1</v>
      </c>
      <c r="T1915" s="93" t="b">
        <f>Data[[#This Row],[Day Rank]]=Data[[#This Row],[W Rank]]</f>
        <v>0</v>
      </c>
      <c r="U1915" s="323"/>
    </row>
    <row r="1916" spans="1:21" ht="15" customHeight="1" thickBot="1">
      <c r="A1916" s="327"/>
      <c r="B1916" s="327"/>
      <c r="C1916" s="340"/>
      <c r="D1916" s="164">
        <f t="shared" si="344"/>
        <v>46154</v>
      </c>
      <c r="E1916" s="215" t="str">
        <f t="shared" si="345"/>
        <v>currydestroyer27</v>
      </c>
      <c r="F1916" s="165">
        <f>IFERROR(AVERAGE(Data[[#This Row],[alappatjoe]:[currydestroyer27]]), "TBD")</f>
        <v>3.8</v>
      </c>
      <c r="G1916" s="256">
        <f>IFERROR(_xlfn.STDEV.P(Data[[#This Row],[alappatjoe]:[currydestroyer27]]), "TBD")</f>
        <v>1.1661903789690602</v>
      </c>
      <c r="H1916" s="227" t="s">
        <v>3649</v>
      </c>
      <c r="I1916" s="257" t="s">
        <v>3650</v>
      </c>
      <c r="J1916" s="166">
        <v>2</v>
      </c>
      <c r="K1916" s="166">
        <v>3</v>
      </c>
      <c r="L1916" s="166">
        <v>5</v>
      </c>
      <c r="M1916" s="166">
        <v>5</v>
      </c>
      <c r="N1916" s="166">
        <v>4</v>
      </c>
      <c r="O1916" s="242">
        <v>221753447</v>
      </c>
      <c r="P1916" s="167"/>
      <c r="Q1916" s="167"/>
      <c r="R19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16" s="167">
        <v>1</v>
      </c>
      <c r="T1916" s="167" t="b">
        <f>Data[[#This Row],[Day Rank]]=Data[[#This Row],[W Rank]]</f>
        <v>0</v>
      </c>
      <c r="U1916" s="324"/>
    </row>
    <row r="1917" spans="1:21" ht="15" customHeight="1">
      <c r="A1917" s="325">
        <v>46155</v>
      </c>
      <c r="B1917" s="325"/>
      <c r="C1917" s="328" t="str" cm="1">
        <f t="array" ref="C1917">_xlfn.LET(_xlpm.matches, _xlfn._xlws.FILTER(Data[Poster], (Data[Date]=A1917)*(Data[Winner]=TRUE)), IF(ROWS(_xlpm.matches)&gt;1, "TIE", _xlpm.matches))</f>
        <v>alappatjoe</v>
      </c>
      <c r="D1917" s="147">
        <f t="shared" ref="D1917" si="351">A1917</f>
        <v>46155</v>
      </c>
      <c r="E1917" s="181" t="str">
        <f t="shared" si="337"/>
        <v>alappatjoe</v>
      </c>
      <c r="F1917" s="9">
        <f>IFERROR(AVERAGE(Data[[#This Row],[alappatjoe]:[currydestroyer27]]), "TBD")</f>
        <v>2.8</v>
      </c>
      <c r="G1917" s="178">
        <f>IFERROR(_xlfn.STDEV.P(Data[[#This Row],[alappatjoe]:[currydestroyer27]]), "TBD")</f>
        <v>1.1661903789690602</v>
      </c>
      <c r="H1917" s="160" t="s">
        <v>3651</v>
      </c>
      <c r="I1917" s="186" t="s">
        <v>1349</v>
      </c>
      <c r="J1917" s="3">
        <v>1</v>
      </c>
      <c r="K1917" s="3">
        <v>4</v>
      </c>
      <c r="L1917" s="3">
        <v>2</v>
      </c>
      <c r="M1917" s="3">
        <v>4</v>
      </c>
      <c r="N1917" s="3">
        <v>3</v>
      </c>
      <c r="O1917" s="238">
        <v>656216</v>
      </c>
      <c r="P1917" s="93"/>
      <c r="Q1917" s="93"/>
      <c r="R19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17" s="93">
        <v>1</v>
      </c>
      <c r="T1917" s="93" t="b">
        <f>Data[[#This Row],[Day Rank]]=Data[[#This Row],[W Rank]]</f>
        <v>1</v>
      </c>
      <c r="U1917" s="322"/>
    </row>
    <row r="1918" spans="1:21" ht="15" customHeight="1">
      <c r="A1918" s="326"/>
      <c r="B1918" s="326"/>
      <c r="C1918" s="329"/>
      <c r="D1918" s="81">
        <f t="shared" si="338"/>
        <v>46155</v>
      </c>
      <c r="E1918" s="140" t="str">
        <f t="shared" si="339"/>
        <v>danram</v>
      </c>
      <c r="F1918" s="8">
        <f>IFERROR(AVERAGE(Data[[#This Row],[alappatjoe]:[currydestroyer27]]), "TBD")</f>
        <v>3.4</v>
      </c>
      <c r="G1918" s="177">
        <f>IFERROR(_xlfn.STDEV.P(Data[[#This Row],[alappatjoe]:[currydestroyer27]]), "TBD")</f>
        <v>1.6248076809271921</v>
      </c>
      <c r="H1918" s="135" t="s">
        <v>3652</v>
      </c>
      <c r="I1918" s="229" t="s">
        <v>3653</v>
      </c>
      <c r="J1918" s="3">
        <v>2</v>
      </c>
      <c r="K1918" s="3">
        <v>1</v>
      </c>
      <c r="L1918" s="3">
        <v>5</v>
      </c>
      <c r="M1918" s="3">
        <v>5</v>
      </c>
      <c r="N1918" s="3">
        <v>4</v>
      </c>
      <c r="O1918" s="238"/>
      <c r="P1918" s="93"/>
      <c r="Q1918" s="93"/>
      <c r="R19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18" s="93">
        <v>1</v>
      </c>
      <c r="T1918" s="93" t="b">
        <f>Data[[#This Row],[Day Rank]]=Data[[#This Row],[W Rank]]</f>
        <v>0</v>
      </c>
      <c r="U1918" s="323"/>
    </row>
    <row r="1919" spans="1:21" ht="15" customHeight="1">
      <c r="A1919" s="326"/>
      <c r="B1919" s="326"/>
      <c r="C1919" s="329"/>
      <c r="D1919" s="81">
        <f t="shared" si="340"/>
        <v>46155</v>
      </c>
      <c r="E1919" s="140" t="str">
        <f t="shared" si="341"/>
        <v>loganworsdell</v>
      </c>
      <c r="F1919" s="8">
        <f>IFERROR(AVERAGE(Data[[#This Row],[alappatjoe]:[currydestroyer27]]), "TBD")</f>
        <v>3.2</v>
      </c>
      <c r="G1919" s="177">
        <f>IFERROR(_xlfn.STDEV.P(Data[[#This Row],[alappatjoe]:[currydestroyer27]]), "TBD")</f>
        <v>1.3266499161421599</v>
      </c>
      <c r="H1919" s="135" t="s">
        <v>3654</v>
      </c>
      <c r="I1919" s="229" t="s">
        <v>166</v>
      </c>
      <c r="J1919" s="3">
        <v>4</v>
      </c>
      <c r="K1919" s="3">
        <v>3</v>
      </c>
      <c r="L1919" s="3">
        <v>1</v>
      </c>
      <c r="M1919" s="3">
        <v>3</v>
      </c>
      <c r="N1919" s="3">
        <v>5</v>
      </c>
      <c r="O1919" s="238">
        <v>7286148</v>
      </c>
      <c r="P1919" s="93"/>
      <c r="Q1919" s="93"/>
      <c r="R19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19" s="93">
        <v>1</v>
      </c>
      <c r="T1919" s="93" t="b">
        <f>Data[[#This Row],[Day Rank]]=Data[[#This Row],[W Rank]]</f>
        <v>0</v>
      </c>
      <c r="U1919" s="323"/>
    </row>
    <row r="1920" spans="1:21" ht="15" customHeight="1">
      <c r="A1920" s="326"/>
      <c r="B1920" s="326"/>
      <c r="C1920" s="329"/>
      <c r="D1920" s="81">
        <f t="shared" si="342"/>
        <v>46155</v>
      </c>
      <c r="E1920" s="140" t="str">
        <f t="shared" si="343"/>
        <v>samuelbattista</v>
      </c>
      <c r="F1920" s="8">
        <f>IFERROR(AVERAGE(Data[[#This Row],[alappatjoe]:[currydestroyer27]]), "TBD")</f>
        <v>2.8</v>
      </c>
      <c r="G1920" s="177">
        <f>IFERROR(_xlfn.STDEV.P(Data[[#This Row],[alappatjoe]:[currydestroyer27]]), "TBD")</f>
        <v>1.4696938456699069</v>
      </c>
      <c r="H1920" s="135" t="s">
        <v>3655</v>
      </c>
      <c r="I1920" s="229" t="s">
        <v>3656</v>
      </c>
      <c r="J1920" s="3">
        <v>5</v>
      </c>
      <c r="K1920" s="3">
        <v>2</v>
      </c>
      <c r="L1920" s="3">
        <v>4</v>
      </c>
      <c r="M1920" s="3">
        <v>1</v>
      </c>
      <c r="N1920" s="3">
        <v>2</v>
      </c>
      <c r="O1920" s="238"/>
      <c r="P1920" s="93"/>
      <c r="Q1920" s="93"/>
      <c r="R19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20" s="93">
        <v>1</v>
      </c>
      <c r="T1920" s="93" t="b">
        <f>Data[[#This Row],[Day Rank]]=Data[[#This Row],[W Rank]]</f>
        <v>0</v>
      </c>
      <c r="U1920" s="323"/>
    </row>
    <row r="1921" spans="1:21" ht="15" customHeight="1" thickBot="1">
      <c r="A1921" s="327"/>
      <c r="B1921" s="327"/>
      <c r="C1921" s="330"/>
      <c r="D1921" s="164">
        <f t="shared" si="344"/>
        <v>46155</v>
      </c>
      <c r="E1921" s="215" t="str">
        <f t="shared" si="345"/>
        <v>currydestroyer27</v>
      </c>
      <c r="F1921" s="165">
        <f>IFERROR(AVERAGE(Data[[#This Row],[alappatjoe]:[currydestroyer27]]), "TBD")</f>
        <v>2.8</v>
      </c>
      <c r="G1921" s="256">
        <f>IFERROR(_xlfn.STDEV.P(Data[[#This Row],[alappatjoe]:[currydestroyer27]]), "TBD")</f>
        <v>1.3266499161421599</v>
      </c>
      <c r="H1921" s="227" t="s">
        <v>3657</v>
      </c>
      <c r="I1921" s="257" t="s">
        <v>3658</v>
      </c>
      <c r="J1921" s="166">
        <v>3</v>
      </c>
      <c r="K1921" s="166">
        <v>5</v>
      </c>
      <c r="L1921" s="166">
        <v>3</v>
      </c>
      <c r="M1921" s="166">
        <v>2</v>
      </c>
      <c r="N1921" s="166">
        <v>1</v>
      </c>
      <c r="O1921" s="242">
        <v>10039518</v>
      </c>
      <c r="P1921" s="167" t="s">
        <v>76</v>
      </c>
      <c r="Q1921" s="167" t="s">
        <v>99</v>
      </c>
      <c r="R19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21" s="167">
        <v>1</v>
      </c>
      <c r="T1921" s="167" t="b">
        <f>Data[[#This Row],[Day Rank]]=Data[[#This Row],[W Rank]]</f>
        <v>0</v>
      </c>
      <c r="U1921" s="324"/>
    </row>
    <row r="1922" spans="1:21" ht="15" customHeight="1">
      <c r="A1922" s="325">
        <v>46156</v>
      </c>
      <c r="B1922" s="325"/>
      <c r="C1922" s="338" t="str" cm="1">
        <f t="array" ref="C1922">_xlfn.LET(_xlpm.matches, _xlfn._xlws.FILTER(Data[Poster], (Data[Date]=A1922)*(Data[Winner]=TRUE)), IF(ROWS(_xlpm.matches)&gt;1, "TIE", _xlpm.matches))</f>
        <v>currydestroyer27</v>
      </c>
      <c r="D1922" s="147">
        <f t="shared" ref="D1922" si="352">A1922</f>
        <v>46156</v>
      </c>
      <c r="E1922" s="181" t="str">
        <f t="shared" si="337"/>
        <v>alappatjoe</v>
      </c>
      <c r="F1922" s="9">
        <f>IFERROR(AVERAGE(Data[[#This Row],[alappatjoe]:[currydestroyer27]]), "TBD")</f>
        <v>2.6</v>
      </c>
      <c r="G1922" s="178">
        <f>IFERROR(_xlfn.STDEV.P(Data[[#This Row],[alappatjoe]:[currydestroyer27]]), "TBD")</f>
        <v>1.019803902718557</v>
      </c>
      <c r="H1922" s="160" t="s">
        <v>1861</v>
      </c>
      <c r="I1922" s="186" t="s">
        <v>3659</v>
      </c>
      <c r="J1922" s="3">
        <v>1</v>
      </c>
      <c r="K1922" s="3">
        <v>3</v>
      </c>
      <c r="L1922" s="3">
        <v>2</v>
      </c>
      <c r="M1922" s="3">
        <v>4</v>
      </c>
      <c r="N1922" s="3">
        <v>3</v>
      </c>
      <c r="O1922" s="238">
        <v>200889366</v>
      </c>
      <c r="P1922" s="93"/>
      <c r="Q1922" s="93"/>
      <c r="R19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22" s="93">
        <v>1</v>
      </c>
      <c r="T1922" s="93" t="b">
        <f>Data[[#This Row],[Day Rank]]=Data[[#This Row],[W Rank]]</f>
        <v>0</v>
      </c>
      <c r="U1922" s="322" t="s">
        <v>3660</v>
      </c>
    </row>
    <row r="1923" spans="1:21" ht="15" customHeight="1">
      <c r="A1923" s="326"/>
      <c r="B1923" s="326"/>
      <c r="C1923" s="339"/>
      <c r="D1923" s="81">
        <f t="shared" si="338"/>
        <v>46156</v>
      </c>
      <c r="E1923" s="140" t="str">
        <f t="shared" si="339"/>
        <v>danram</v>
      </c>
      <c r="F1923" s="8">
        <f>IFERROR(AVERAGE(Data[[#This Row],[alappatjoe]:[currydestroyer27]]), "TBD")</f>
        <v>4.4000000000000004</v>
      </c>
      <c r="G1923" s="177">
        <f>IFERROR(_xlfn.STDEV.P(Data[[#This Row],[alappatjoe]:[currydestroyer27]]), "TBD")</f>
        <v>0.8</v>
      </c>
      <c r="H1923" s="135" t="s">
        <v>3661</v>
      </c>
      <c r="I1923" s="229" t="s">
        <v>415</v>
      </c>
      <c r="J1923" s="3">
        <v>4</v>
      </c>
      <c r="K1923" s="3">
        <v>5</v>
      </c>
      <c r="L1923" s="3">
        <v>5</v>
      </c>
      <c r="M1923" s="3">
        <v>3</v>
      </c>
      <c r="N1923" s="3">
        <v>5</v>
      </c>
      <c r="O1923" s="238"/>
      <c r="P1923" s="93"/>
      <c r="Q1923" s="93"/>
      <c r="R19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23" s="93">
        <v>1</v>
      </c>
      <c r="T1923" s="93" t="b">
        <f>Data[[#This Row],[Day Rank]]=Data[[#This Row],[W Rank]]</f>
        <v>0</v>
      </c>
      <c r="U1923" s="323"/>
    </row>
    <row r="1924" spans="1:21" ht="15" customHeight="1">
      <c r="A1924" s="326"/>
      <c r="B1924" s="326"/>
      <c r="C1924" s="339"/>
      <c r="D1924" s="81">
        <f t="shared" si="340"/>
        <v>46156</v>
      </c>
      <c r="E1924" s="140" t="str">
        <f t="shared" si="341"/>
        <v>loganworsdell</v>
      </c>
      <c r="F1924" s="8">
        <f>IFERROR(AVERAGE(Data[[#This Row],[alappatjoe]:[currydestroyer27]]), "TBD")</f>
        <v>3.4</v>
      </c>
      <c r="G1924" s="177">
        <f>IFERROR(_xlfn.STDEV.P(Data[[#This Row],[alappatjoe]:[currydestroyer27]]), "TBD")</f>
        <v>1.6248076809271921</v>
      </c>
      <c r="H1924" s="135" t="s">
        <v>3662</v>
      </c>
      <c r="I1924" s="229" t="s">
        <v>3663</v>
      </c>
      <c r="J1924" s="3">
        <v>5</v>
      </c>
      <c r="K1924" s="3">
        <v>4</v>
      </c>
      <c r="L1924" s="3">
        <v>1</v>
      </c>
      <c r="M1924" s="3">
        <v>5</v>
      </c>
      <c r="N1924" s="3">
        <v>2</v>
      </c>
      <c r="O1924" s="238">
        <v>352842</v>
      </c>
      <c r="P1924" s="93"/>
      <c r="Q1924" s="93"/>
      <c r="R19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24" s="93">
        <v>1</v>
      </c>
      <c r="T1924" s="93" t="b">
        <f>Data[[#This Row],[Day Rank]]=Data[[#This Row],[W Rank]]</f>
        <v>0</v>
      </c>
      <c r="U1924" s="323"/>
    </row>
    <row r="1925" spans="1:21" ht="15" customHeight="1">
      <c r="A1925" s="326"/>
      <c r="B1925" s="326"/>
      <c r="C1925" s="339"/>
      <c r="D1925" s="81">
        <f t="shared" si="342"/>
        <v>46156</v>
      </c>
      <c r="E1925" s="140" t="str">
        <f t="shared" si="343"/>
        <v>samuelbattista</v>
      </c>
      <c r="F1925" s="8">
        <f>IFERROR(AVERAGE(Data[[#This Row],[alappatjoe]:[currydestroyer27]]), "TBD")</f>
        <v>2.4</v>
      </c>
      <c r="G1925" s="177">
        <f>IFERROR(_xlfn.STDEV.P(Data[[#This Row],[alappatjoe]:[currydestroyer27]]), "TBD")</f>
        <v>1.3564659966250536</v>
      </c>
      <c r="H1925" s="135" t="s">
        <v>3664</v>
      </c>
      <c r="I1925" s="229" t="s">
        <v>1110</v>
      </c>
      <c r="J1925" s="3">
        <v>2</v>
      </c>
      <c r="K1925" s="3">
        <v>1</v>
      </c>
      <c r="L1925" s="3">
        <v>4</v>
      </c>
      <c r="M1925" s="3">
        <v>1</v>
      </c>
      <c r="N1925" s="3">
        <v>4</v>
      </c>
      <c r="O1925" s="238"/>
      <c r="P1925" s="93"/>
      <c r="Q1925" s="93"/>
      <c r="R19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25" s="93">
        <v>1</v>
      </c>
      <c r="T1925" s="93" t="b">
        <f>Data[[#This Row],[Day Rank]]=Data[[#This Row],[W Rank]]</f>
        <v>0</v>
      </c>
      <c r="U1925" s="323"/>
    </row>
    <row r="1926" spans="1:21" ht="15" customHeight="1" thickBot="1">
      <c r="A1926" s="327"/>
      <c r="B1926" s="327"/>
      <c r="C1926" s="340"/>
      <c r="D1926" s="164">
        <f t="shared" si="344"/>
        <v>46156</v>
      </c>
      <c r="E1926" s="215" t="str">
        <f t="shared" si="345"/>
        <v>currydestroyer27</v>
      </c>
      <c r="F1926" s="165">
        <f>IFERROR(AVERAGE(Data[[#This Row],[alappatjoe]:[currydestroyer27]]), "TBD")</f>
        <v>2.2000000000000002</v>
      </c>
      <c r="G1926" s="256">
        <f>IFERROR(_xlfn.STDEV.P(Data[[#This Row],[alappatjoe]:[currydestroyer27]]), "TBD")</f>
        <v>0.74833147735478833</v>
      </c>
      <c r="H1926" s="227" t="s">
        <v>3665</v>
      </c>
      <c r="I1926" s="257" t="s">
        <v>2868</v>
      </c>
      <c r="J1926" s="166">
        <v>3</v>
      </c>
      <c r="K1926" s="166">
        <v>2</v>
      </c>
      <c r="L1926" s="166">
        <v>3</v>
      </c>
      <c r="M1926" s="166">
        <v>2</v>
      </c>
      <c r="N1926" s="166">
        <v>1</v>
      </c>
      <c r="O1926" s="242">
        <v>4396802</v>
      </c>
      <c r="P1926" s="167" t="s">
        <v>76</v>
      </c>
      <c r="Q1926" s="167" t="s">
        <v>99</v>
      </c>
      <c r="R19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26" s="167">
        <v>1</v>
      </c>
      <c r="T1926" s="167" t="b">
        <f>Data[[#This Row],[Day Rank]]=Data[[#This Row],[W Rank]]</f>
        <v>1</v>
      </c>
      <c r="U1926" s="324"/>
    </row>
    <row r="1927" spans="1:21" ht="15" customHeight="1">
      <c r="A1927" s="325">
        <v>46160</v>
      </c>
      <c r="B1927" s="325"/>
      <c r="C1927" s="328" t="str" cm="1">
        <f t="array" ref="C1927">_xlfn.LET(_xlpm.matches, _xlfn._xlws.FILTER(Data[Poster], (Data[Date]=A1927)*(Data[Winner]=TRUE)), IF(ROWS(_xlpm.matches)&gt;1, "TIE", _xlpm.matches))</f>
        <v>alappatjoe</v>
      </c>
      <c r="D1927" s="81">
        <f t="shared" ref="D1927" si="353">A1927</f>
        <v>46160</v>
      </c>
      <c r="E1927" s="140" t="str">
        <f t="shared" ref="E1927" si="354">$J$1</f>
        <v>alappatjoe</v>
      </c>
      <c r="F1927" s="8">
        <f>IFERROR(AVERAGE(Data[[#This Row],[alappatjoe]:[currydestroyer27]]), "TBD")</f>
        <v>2.6</v>
      </c>
      <c r="G1927" s="177">
        <f>IFERROR(_xlfn.STDEV.P(Data[[#This Row],[alappatjoe]:[currydestroyer27]]), "TBD")</f>
        <v>1.3564659966250536</v>
      </c>
      <c r="H1927" s="135" t="s">
        <v>3666</v>
      </c>
      <c r="I1927" s="229" t="s">
        <v>3667</v>
      </c>
      <c r="J1927" s="3">
        <v>1</v>
      </c>
      <c r="K1927" s="3">
        <v>1</v>
      </c>
      <c r="L1927" s="3">
        <v>3</v>
      </c>
      <c r="M1927" s="3">
        <v>4</v>
      </c>
      <c r="N1927" s="3">
        <v>4</v>
      </c>
      <c r="O1927" s="238">
        <v>4824602</v>
      </c>
      <c r="P1927" s="93"/>
      <c r="Q1927" s="93"/>
      <c r="R19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27" s="93">
        <v>1</v>
      </c>
      <c r="T1927" s="93" t="b">
        <f>Data[[#This Row],[Day Rank]]=Data[[#This Row],[W Rank]]</f>
        <v>1</v>
      </c>
      <c r="U1927" s="322"/>
    </row>
    <row r="1928" spans="1:21" ht="15" customHeight="1">
      <c r="A1928" s="326"/>
      <c r="B1928" s="326"/>
      <c r="C1928" s="329"/>
      <c r="D1928" s="81">
        <f t="shared" ref="D1928" si="355">D1927</f>
        <v>46160</v>
      </c>
      <c r="E1928" s="140" t="str">
        <f t="shared" ref="E1928" si="356">$K$1</f>
        <v>danram</v>
      </c>
      <c r="F1928" s="8">
        <f>IFERROR(AVERAGE(Data[[#This Row],[alappatjoe]:[currydestroyer27]]), "TBD")</f>
        <v>3</v>
      </c>
      <c r="G1928" s="177">
        <f>IFERROR(_xlfn.STDEV.P(Data[[#This Row],[alappatjoe]:[currydestroyer27]]), "TBD")</f>
        <v>0.63245553203367588</v>
      </c>
      <c r="H1928" s="135" t="s">
        <v>3668</v>
      </c>
      <c r="I1928" s="229" t="s">
        <v>3669</v>
      </c>
      <c r="J1928" s="3">
        <v>3</v>
      </c>
      <c r="K1928" s="3">
        <v>3</v>
      </c>
      <c r="L1928" s="3">
        <v>4</v>
      </c>
      <c r="M1928" s="3">
        <v>2</v>
      </c>
      <c r="N1928" s="3">
        <v>3</v>
      </c>
      <c r="O1928" s="238"/>
      <c r="P1928" s="93"/>
      <c r="Q1928" s="93"/>
      <c r="R19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28" s="93">
        <v>1</v>
      </c>
      <c r="T1928" s="93" t="b">
        <f>Data[[#This Row],[Day Rank]]=Data[[#This Row],[W Rank]]</f>
        <v>0</v>
      </c>
      <c r="U1928" s="323"/>
    </row>
    <row r="1929" spans="1:21" ht="15" customHeight="1">
      <c r="A1929" s="326"/>
      <c r="B1929" s="326"/>
      <c r="C1929" s="329"/>
      <c r="D1929" s="81">
        <f t="shared" ref="D1929" si="357">D1927</f>
        <v>46160</v>
      </c>
      <c r="E1929" s="140" t="str">
        <f t="shared" ref="E1929" si="358">$L$1</f>
        <v>loganworsdell</v>
      </c>
      <c r="F1929" s="8">
        <f>IFERROR(AVERAGE(Data[[#This Row],[alappatjoe]:[currydestroyer27]]), "TBD")</f>
        <v>2.8</v>
      </c>
      <c r="G1929" s="177">
        <f>IFERROR(_xlfn.STDEV.P(Data[[#This Row],[alappatjoe]:[currydestroyer27]]), "TBD")</f>
        <v>1.6</v>
      </c>
      <c r="H1929" s="288" t="s">
        <v>3670</v>
      </c>
      <c r="I1929" s="229" t="s">
        <v>3671</v>
      </c>
      <c r="J1929" s="3">
        <v>5</v>
      </c>
      <c r="K1929" s="3">
        <v>4</v>
      </c>
      <c r="L1929" s="3">
        <v>1</v>
      </c>
      <c r="M1929" s="3">
        <v>3</v>
      </c>
      <c r="N1929" s="3">
        <v>1</v>
      </c>
      <c r="O1929" s="238">
        <v>80602608</v>
      </c>
      <c r="P1929" s="93"/>
      <c r="Q1929" s="93"/>
      <c r="R19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29" s="93">
        <v>1</v>
      </c>
      <c r="T1929" s="93" t="b">
        <f>Data[[#This Row],[Day Rank]]=Data[[#This Row],[W Rank]]</f>
        <v>0</v>
      </c>
      <c r="U1929" s="323"/>
    </row>
    <row r="1930" spans="1:21" ht="15" customHeight="1">
      <c r="A1930" s="326"/>
      <c r="B1930" s="326"/>
      <c r="C1930" s="329"/>
      <c r="D1930" s="81">
        <f t="shared" ref="D1930" si="359">D1927</f>
        <v>46160</v>
      </c>
      <c r="E1930" s="140" t="str">
        <f t="shared" ref="E1930" si="360">$M$1</f>
        <v>samuelbattista</v>
      </c>
      <c r="F1930" s="8">
        <f>IFERROR(AVERAGE(Data[[#This Row],[alappatjoe]:[currydestroyer27]]), "TBD")</f>
        <v>2.8</v>
      </c>
      <c r="G1930" s="177">
        <f>IFERROR(_xlfn.STDEV.P(Data[[#This Row],[alappatjoe]:[currydestroyer27]]), "TBD")</f>
        <v>1.4696938456699069</v>
      </c>
      <c r="H1930" s="135" t="s">
        <v>3672</v>
      </c>
      <c r="I1930" s="229" t="s">
        <v>3673</v>
      </c>
      <c r="J1930" s="3">
        <v>4</v>
      </c>
      <c r="K1930" s="3">
        <v>2</v>
      </c>
      <c r="L1930" s="3">
        <v>2</v>
      </c>
      <c r="M1930" s="3">
        <v>1</v>
      </c>
      <c r="N1930" s="3">
        <v>5</v>
      </c>
      <c r="O1930" s="238"/>
      <c r="P1930" s="93"/>
      <c r="Q1930" s="93"/>
      <c r="R19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30" s="93">
        <v>1</v>
      </c>
      <c r="T1930" s="93" t="b">
        <f>Data[[#This Row],[Day Rank]]=Data[[#This Row],[W Rank]]</f>
        <v>0</v>
      </c>
      <c r="U1930" s="323"/>
    </row>
    <row r="1931" spans="1:21" ht="15" customHeight="1" thickBot="1">
      <c r="A1931" s="327"/>
      <c r="B1931" s="327"/>
      <c r="C1931" s="330"/>
      <c r="D1931" s="164">
        <f t="shared" ref="D1931" si="361">D1927</f>
        <v>46160</v>
      </c>
      <c r="E1931" s="215" t="str">
        <f t="shared" ref="E1931" si="362">$N$1</f>
        <v>currydestroyer27</v>
      </c>
      <c r="F1931" s="165">
        <f>IFERROR(AVERAGE(Data[[#This Row],[alappatjoe]:[currydestroyer27]]), "TBD")</f>
        <v>3.8</v>
      </c>
      <c r="G1931" s="256">
        <f>IFERROR(_xlfn.STDEV.P(Data[[#This Row],[alappatjoe]:[currydestroyer27]]), "TBD")</f>
        <v>1.4696938456699069</v>
      </c>
      <c r="H1931" s="227" t="s">
        <v>3674</v>
      </c>
      <c r="I1931" s="257" t="s">
        <v>3675</v>
      </c>
      <c r="J1931" s="166">
        <v>2</v>
      </c>
      <c r="K1931" s="166">
        <v>5</v>
      </c>
      <c r="L1931" s="166">
        <v>5</v>
      </c>
      <c r="M1931" s="166">
        <v>5</v>
      </c>
      <c r="N1931" s="166">
        <v>2</v>
      </c>
      <c r="O1931" s="242">
        <v>97073099</v>
      </c>
      <c r="P1931" s="167"/>
      <c r="Q1931" s="167"/>
      <c r="R193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31" s="167">
        <v>1</v>
      </c>
      <c r="T1931" s="167" t="b">
        <f>Data[[#This Row],[Day Rank]]=Data[[#This Row],[W Rank]]</f>
        <v>0</v>
      </c>
      <c r="U1931" s="324"/>
    </row>
    <row r="1932" spans="1:21" ht="15" customHeight="1">
      <c r="A1932" s="325">
        <v>46161</v>
      </c>
      <c r="B1932" s="325"/>
      <c r="C1932" s="338" t="str" cm="1">
        <f t="array" ref="C1932">_xlfn.LET(_xlpm.matches, _xlfn._xlws.FILTER(Data[Poster], (Data[Date]=A1932)*(Data[Winner]=TRUE)), IF(ROWS(_xlpm.matches)&gt;1, "TIE", _xlpm.matches))</f>
        <v>loganworsdell</v>
      </c>
      <c r="D1932" s="147">
        <f t="shared" ref="D1932" si="363">A1932</f>
        <v>46161</v>
      </c>
      <c r="E1932" s="181" t="str">
        <f t="shared" ref="E1932" si="364">$J$1</f>
        <v>alappatjoe</v>
      </c>
      <c r="F1932" s="9">
        <f>IFERROR(AVERAGE(Data[[#This Row],[alappatjoe]:[currydestroyer27]]), "TBD")</f>
        <v>3.6</v>
      </c>
      <c r="G1932" s="178">
        <f>IFERROR(_xlfn.STDEV.P(Data[[#This Row],[alappatjoe]:[currydestroyer27]]), "TBD")</f>
        <v>0.4898979485566356</v>
      </c>
      <c r="H1932" s="160" t="s">
        <v>3676</v>
      </c>
      <c r="I1932" s="186" t="s">
        <v>3677</v>
      </c>
      <c r="J1932" s="3">
        <v>3</v>
      </c>
      <c r="K1932" s="3">
        <v>4</v>
      </c>
      <c r="L1932" s="3">
        <v>3</v>
      </c>
      <c r="M1932" s="3">
        <v>4</v>
      </c>
      <c r="N1932" s="3">
        <v>4</v>
      </c>
      <c r="O1932" s="238">
        <v>28443444</v>
      </c>
      <c r="P1932" s="93"/>
      <c r="Q1932" s="93"/>
      <c r="R19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32" s="93">
        <v>1</v>
      </c>
      <c r="T1932" s="93" t="b">
        <f>Data[[#This Row],[Day Rank]]=Data[[#This Row],[W Rank]]</f>
        <v>0</v>
      </c>
      <c r="U1932" s="322"/>
    </row>
    <row r="1933" spans="1:21" ht="15" customHeight="1">
      <c r="A1933" s="326"/>
      <c r="B1933" s="326"/>
      <c r="C1933" s="339"/>
      <c r="D1933" s="81">
        <f t="shared" ref="D1933" si="365">D1932</f>
        <v>46161</v>
      </c>
      <c r="E1933" s="140" t="str">
        <f t="shared" ref="E1933" si="366">$K$1</f>
        <v>danram</v>
      </c>
      <c r="F1933" s="8">
        <f>IFERROR(AVERAGE(Data[[#This Row],[alappatjoe]:[currydestroyer27]]), "TBD")</f>
        <v>3.6</v>
      </c>
      <c r="G1933" s="177">
        <f>IFERROR(_xlfn.STDEV.P(Data[[#This Row],[alappatjoe]:[currydestroyer27]]), "TBD")</f>
        <v>1.7435595774162693</v>
      </c>
      <c r="H1933" s="135" t="s">
        <v>3678</v>
      </c>
      <c r="I1933" s="229" t="s">
        <v>3679</v>
      </c>
      <c r="J1933" s="3">
        <v>5</v>
      </c>
      <c r="K1933" s="3">
        <v>1</v>
      </c>
      <c r="L1933" s="3">
        <v>5</v>
      </c>
      <c r="M1933" s="3">
        <v>5</v>
      </c>
      <c r="N1933" s="3">
        <v>2</v>
      </c>
      <c r="O1933" s="238"/>
      <c r="P1933" s="93"/>
      <c r="Q1933" s="93"/>
      <c r="R19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33" s="93">
        <v>1</v>
      </c>
      <c r="T1933" s="93" t="b">
        <f>Data[[#This Row],[Day Rank]]=Data[[#This Row],[W Rank]]</f>
        <v>0</v>
      </c>
      <c r="U1933" s="323"/>
    </row>
    <row r="1934" spans="1:21" ht="15" customHeight="1">
      <c r="A1934" s="326"/>
      <c r="B1934" s="326"/>
      <c r="C1934" s="339"/>
      <c r="D1934" s="81">
        <f t="shared" ref="D1934" si="367">D1932</f>
        <v>46161</v>
      </c>
      <c r="E1934" s="140" t="str">
        <f t="shared" ref="E1934" si="368">$L$1</f>
        <v>loganworsdell</v>
      </c>
      <c r="F1934" s="8">
        <f>IFERROR(AVERAGE(Data[[#This Row],[alappatjoe]:[currydestroyer27]]), "TBD")</f>
        <v>2.6</v>
      </c>
      <c r="G1934" s="177">
        <f>IFERROR(_xlfn.STDEV.P(Data[[#This Row],[alappatjoe]:[currydestroyer27]]), "TBD")</f>
        <v>1.019803902718557</v>
      </c>
      <c r="H1934" s="135" t="s">
        <v>3680</v>
      </c>
      <c r="I1934" s="229" t="s">
        <v>3681</v>
      </c>
      <c r="J1934" s="3">
        <v>4</v>
      </c>
      <c r="K1934" s="3">
        <v>3</v>
      </c>
      <c r="L1934" s="3">
        <v>1</v>
      </c>
      <c r="M1934" s="3">
        <v>2</v>
      </c>
      <c r="N1934" s="3">
        <v>3</v>
      </c>
      <c r="O1934" s="238">
        <v>309075</v>
      </c>
      <c r="P1934" s="93"/>
      <c r="Q1934" s="93"/>
      <c r="R19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34" s="93">
        <v>1</v>
      </c>
      <c r="T1934" s="93" t="b">
        <f>Data[[#This Row],[Day Rank]]=Data[[#This Row],[W Rank]]</f>
        <v>1</v>
      </c>
      <c r="U1934" s="323"/>
    </row>
    <row r="1935" spans="1:21" ht="15" customHeight="1">
      <c r="A1935" s="326"/>
      <c r="B1935" s="326"/>
      <c r="C1935" s="339"/>
      <c r="D1935" s="81">
        <f t="shared" ref="D1935" si="369">D1932</f>
        <v>46161</v>
      </c>
      <c r="E1935" s="140" t="str">
        <f t="shared" ref="E1935" si="370">$M$1</f>
        <v>samuelbattista</v>
      </c>
      <c r="F1935" s="8">
        <f>IFERROR(AVERAGE(Data[[#This Row],[alappatjoe]:[currydestroyer27]]), "TBD")</f>
        <v>2.6</v>
      </c>
      <c r="G1935" s="177">
        <f>IFERROR(_xlfn.STDEV.P(Data[[#This Row],[alappatjoe]:[currydestroyer27]]), "TBD")</f>
        <v>1.6248076809271921</v>
      </c>
      <c r="H1935" s="135" t="s">
        <v>3682</v>
      </c>
      <c r="I1935" s="229" t="s">
        <v>1934</v>
      </c>
      <c r="J1935" s="3">
        <v>1</v>
      </c>
      <c r="K1935" s="3">
        <v>2</v>
      </c>
      <c r="L1935" s="3">
        <v>4</v>
      </c>
      <c r="M1935" s="3">
        <v>1</v>
      </c>
      <c r="N1935" s="3">
        <v>5</v>
      </c>
      <c r="O1935" s="238"/>
      <c r="P1935" s="93"/>
      <c r="Q1935" s="93"/>
      <c r="R19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35" s="93">
        <v>1</v>
      </c>
      <c r="T1935" s="93" t="b">
        <f>Data[[#This Row],[Day Rank]]=Data[[#This Row],[W Rank]]</f>
        <v>0</v>
      </c>
      <c r="U1935" s="323"/>
    </row>
    <row r="1936" spans="1:21" ht="15" customHeight="1" thickBot="1">
      <c r="A1936" s="327"/>
      <c r="B1936" s="327"/>
      <c r="C1936" s="340"/>
      <c r="D1936" s="164">
        <f t="shared" ref="D1936" si="371">D1932</f>
        <v>46161</v>
      </c>
      <c r="E1936" s="215" t="str">
        <f t="shared" ref="E1936" si="372">$N$1</f>
        <v>currydestroyer27</v>
      </c>
      <c r="F1936" s="165">
        <f>IFERROR(AVERAGE(Data[[#This Row],[alappatjoe]:[currydestroyer27]]), "TBD")</f>
        <v>2.6</v>
      </c>
      <c r="G1936" s="256">
        <f>IFERROR(_xlfn.STDEV.P(Data[[#This Row],[alappatjoe]:[currydestroyer27]]), "TBD")</f>
        <v>1.3564659966250536</v>
      </c>
      <c r="H1936" s="227" t="s">
        <v>3683</v>
      </c>
      <c r="I1936" s="257" t="s">
        <v>1554</v>
      </c>
      <c r="J1936" s="166">
        <v>2</v>
      </c>
      <c r="K1936" s="166">
        <v>5</v>
      </c>
      <c r="L1936" s="166">
        <v>2</v>
      </c>
      <c r="M1936" s="166">
        <v>3</v>
      </c>
      <c r="N1936" s="166">
        <v>1</v>
      </c>
      <c r="O1936" s="242">
        <v>113491708</v>
      </c>
      <c r="P1936" s="167"/>
      <c r="Q1936" s="167"/>
      <c r="R193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36" s="167">
        <v>1</v>
      </c>
      <c r="T1936" s="167" t="b">
        <f>Data[[#This Row],[Day Rank]]=Data[[#This Row],[W Rank]]</f>
        <v>0</v>
      </c>
      <c r="U1936" s="324"/>
    </row>
    <row r="1937" spans="1:21" ht="15" customHeight="1">
      <c r="A1937" s="325">
        <v>46162</v>
      </c>
      <c r="B1937" s="325"/>
      <c r="C1937" s="328" t="str" cm="1">
        <f t="array" ref="C1937">_xlfn.LET(_xlpm.matches, _xlfn._xlws.FILTER(Data[Poster], (Data[Date]=A1937)*(Data[Winner]=TRUE)), IF(ROWS(_xlpm.matches)&gt;1, "TIE", _xlpm.matches))</f>
        <v>loganworsdell</v>
      </c>
      <c r="D1937" s="147">
        <f t="shared" ref="D1937" si="373">A1937</f>
        <v>46162</v>
      </c>
      <c r="E1937" s="181" t="str">
        <f t="shared" ref="E1937" si="374">$J$1</f>
        <v>alappatjoe</v>
      </c>
      <c r="F1937" s="9">
        <f>IFERROR(AVERAGE(Data[[#This Row],[alappatjoe]:[currydestroyer27]]), "TBD")</f>
        <v>4.8</v>
      </c>
      <c r="G1937" s="178">
        <f>IFERROR(_xlfn.STDEV.P(Data[[#This Row],[alappatjoe]:[currydestroyer27]]), "TBD")</f>
        <v>0.39999999999999997</v>
      </c>
      <c r="H1937" s="160" t="s">
        <v>3684</v>
      </c>
      <c r="I1937" s="186" t="s">
        <v>3685</v>
      </c>
      <c r="J1937" s="3">
        <v>4</v>
      </c>
      <c r="K1937" s="3">
        <v>5</v>
      </c>
      <c r="L1937" s="3">
        <v>5</v>
      </c>
      <c r="M1937" s="3">
        <v>5</v>
      </c>
      <c r="N1937" s="3">
        <v>5</v>
      </c>
      <c r="O1937" s="238">
        <v>698290</v>
      </c>
      <c r="P1937" s="93"/>
      <c r="Q1937" s="93"/>
      <c r="R19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37" s="93">
        <v>1</v>
      </c>
      <c r="T1937" s="93" t="b">
        <f>Data[[#This Row],[Day Rank]]=Data[[#This Row],[W Rank]]</f>
        <v>0</v>
      </c>
      <c r="U1937" s="322"/>
    </row>
    <row r="1938" spans="1:21" ht="15" customHeight="1">
      <c r="A1938" s="326"/>
      <c r="B1938" s="326"/>
      <c r="C1938" s="329"/>
      <c r="D1938" s="81">
        <f t="shared" ref="D1938" si="375">D1937</f>
        <v>46162</v>
      </c>
      <c r="E1938" s="140" t="str">
        <f t="shared" ref="E1938" si="376">$K$1</f>
        <v>danram</v>
      </c>
      <c r="F1938" s="8">
        <f>IFERROR(AVERAGE(Data[[#This Row],[alappatjoe]:[currydestroyer27]]), "TBD")</f>
        <v>3.2</v>
      </c>
      <c r="G1938" s="177">
        <f>IFERROR(_xlfn.STDEV.P(Data[[#This Row],[alappatjoe]:[currydestroyer27]]), "TBD")</f>
        <v>1.1661903789690602</v>
      </c>
      <c r="H1938" s="135" t="s">
        <v>3686</v>
      </c>
      <c r="I1938" s="229" t="s">
        <v>3687</v>
      </c>
      <c r="J1938" s="3">
        <v>1</v>
      </c>
      <c r="K1938" s="3">
        <v>3</v>
      </c>
      <c r="L1938" s="3">
        <v>4</v>
      </c>
      <c r="M1938" s="3">
        <v>4</v>
      </c>
      <c r="N1938" s="3">
        <v>4</v>
      </c>
      <c r="O1938" s="238"/>
      <c r="P1938" s="93"/>
      <c r="Q1938" s="93"/>
      <c r="R19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38" s="93">
        <v>1</v>
      </c>
      <c r="T1938" s="93" t="b">
        <f>Data[[#This Row],[Day Rank]]=Data[[#This Row],[W Rank]]</f>
        <v>0</v>
      </c>
      <c r="U1938" s="323"/>
    </row>
    <row r="1939" spans="1:21" ht="15" customHeight="1">
      <c r="A1939" s="326"/>
      <c r="B1939" s="326"/>
      <c r="C1939" s="329"/>
      <c r="D1939" s="81">
        <f t="shared" ref="D1939" si="377">D1937</f>
        <v>46162</v>
      </c>
      <c r="E1939" s="140" t="str">
        <f t="shared" ref="E1939" si="378">$L$1</f>
        <v>loganworsdell</v>
      </c>
      <c r="F1939" s="8">
        <f>IFERROR(AVERAGE(Data[[#This Row],[alappatjoe]:[currydestroyer27]]), "TBD")</f>
        <v>1.6</v>
      </c>
      <c r="G1939" s="177">
        <f>IFERROR(_xlfn.STDEV.P(Data[[#This Row],[alappatjoe]:[currydestroyer27]]), "TBD")</f>
        <v>0.8</v>
      </c>
      <c r="H1939" s="135" t="s">
        <v>3688</v>
      </c>
      <c r="I1939" s="229" t="s">
        <v>3689</v>
      </c>
      <c r="J1939" s="3">
        <v>3</v>
      </c>
      <c r="K1939" s="3">
        <v>2</v>
      </c>
      <c r="L1939" s="3">
        <v>1</v>
      </c>
      <c r="M1939" s="3">
        <v>1</v>
      </c>
      <c r="N1939" s="3">
        <v>1</v>
      </c>
      <c r="O1939" s="238">
        <v>7074889</v>
      </c>
      <c r="P1939" s="93"/>
      <c r="Q1939" s="93"/>
      <c r="R19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39" s="93">
        <v>1</v>
      </c>
      <c r="T1939" s="93" t="b">
        <f>Data[[#This Row],[Day Rank]]=Data[[#This Row],[W Rank]]</f>
        <v>1</v>
      </c>
      <c r="U1939" s="323"/>
    </row>
    <row r="1940" spans="1:21" ht="15" customHeight="1">
      <c r="A1940" s="326"/>
      <c r="B1940" s="326"/>
      <c r="C1940" s="329"/>
      <c r="D1940" s="81">
        <f t="shared" ref="D1940" si="379">D1937</f>
        <v>46162</v>
      </c>
      <c r="E1940" s="140" t="str">
        <f t="shared" ref="E1940" si="380">$M$1</f>
        <v>samuelbattista</v>
      </c>
      <c r="F1940" s="8">
        <f>IFERROR(AVERAGE(Data[[#This Row],[alappatjoe]:[currydestroyer27]]), "TBD")</f>
        <v>2.6</v>
      </c>
      <c r="G1940" s="177">
        <f>IFERROR(_xlfn.STDEV.P(Data[[#This Row],[alappatjoe]:[currydestroyer27]]), "TBD")</f>
        <v>0.8</v>
      </c>
      <c r="H1940" s="298" t="s">
        <v>3690</v>
      </c>
      <c r="I1940" s="229" t="s">
        <v>3691</v>
      </c>
      <c r="J1940" s="3">
        <v>2</v>
      </c>
      <c r="K1940" s="3">
        <v>4</v>
      </c>
      <c r="L1940" s="3">
        <v>2</v>
      </c>
      <c r="M1940" s="3">
        <v>2</v>
      </c>
      <c r="N1940" s="3">
        <v>3</v>
      </c>
      <c r="O1940" s="238"/>
      <c r="P1940" s="93"/>
      <c r="Q1940" s="93"/>
      <c r="R19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40" s="93">
        <v>1</v>
      </c>
      <c r="T1940" s="93" t="b">
        <f>Data[[#This Row],[Day Rank]]=Data[[#This Row],[W Rank]]</f>
        <v>0</v>
      </c>
      <c r="U1940" s="323"/>
    </row>
    <row r="1941" spans="1:21" ht="15" customHeight="1" thickBot="1">
      <c r="A1941" s="327"/>
      <c r="B1941" s="327"/>
      <c r="C1941" s="330"/>
      <c r="D1941" s="164">
        <f t="shared" ref="D1941" si="381">D1937</f>
        <v>46162</v>
      </c>
      <c r="E1941" s="215" t="str">
        <f t="shared" ref="E1941" si="382">$N$1</f>
        <v>currydestroyer27</v>
      </c>
      <c r="F1941" s="165">
        <f>IFERROR(AVERAGE(Data[[#This Row],[alappatjoe]:[currydestroyer27]]), "TBD")</f>
        <v>2.8</v>
      </c>
      <c r="G1941" s="256">
        <f>IFERROR(_xlfn.STDEV.P(Data[[#This Row],[alappatjoe]:[currydestroyer27]]), "TBD")</f>
        <v>1.3266499161421599</v>
      </c>
      <c r="H1941" s="227" t="s">
        <v>3692</v>
      </c>
      <c r="I1941" s="257" t="s">
        <v>3693</v>
      </c>
      <c r="J1941" s="166">
        <v>5</v>
      </c>
      <c r="K1941" s="166">
        <v>1</v>
      </c>
      <c r="L1941" s="166">
        <v>3</v>
      </c>
      <c r="M1941" s="166">
        <v>3</v>
      </c>
      <c r="N1941" s="166">
        <v>2</v>
      </c>
      <c r="O1941" s="242">
        <v>634719925</v>
      </c>
      <c r="P1941" s="167"/>
      <c r="Q1941" s="167"/>
      <c r="R194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41" s="167">
        <v>1</v>
      </c>
      <c r="T1941" s="167" t="b">
        <f>Data[[#This Row],[Day Rank]]=Data[[#This Row],[W Rank]]</f>
        <v>0</v>
      </c>
      <c r="U1941" s="324"/>
    </row>
    <row r="1942" spans="1:21" ht="15" customHeight="1">
      <c r="A1942" s="325">
        <v>46163</v>
      </c>
      <c r="B1942" s="325"/>
      <c r="C1942" s="338" t="str" cm="1">
        <f t="array" ref="C1942">_xlfn.LET(_xlpm.matches, _xlfn._xlws.FILTER(Data[Poster], (Data[Date]=A1942)*(Data[Winner]=TRUE)), IF(ROWS(_xlpm.matches)&gt;1, "TIE", _xlpm.matches))</f>
        <v>currydestroyer27</v>
      </c>
      <c r="D1942" s="147">
        <f t="shared" ref="D1942" si="383">A1942</f>
        <v>46163</v>
      </c>
      <c r="E1942" s="181" t="str">
        <f t="shared" ref="E1942" si="384">$J$1</f>
        <v>alappatjoe</v>
      </c>
      <c r="F1942" s="9">
        <f>IFERROR(AVERAGE(Data[[#This Row],[alappatjoe]:[currydestroyer27]]), "TBD")</f>
        <v>3.4</v>
      </c>
      <c r="G1942" s="178">
        <f>IFERROR(_xlfn.STDEV.P(Data[[#This Row],[alappatjoe]:[currydestroyer27]]), "TBD")</f>
        <v>1.2</v>
      </c>
      <c r="H1942" s="160" t="s">
        <v>3694</v>
      </c>
      <c r="I1942" s="186" t="s">
        <v>3695</v>
      </c>
      <c r="J1942" s="3">
        <v>1</v>
      </c>
      <c r="K1942" s="3">
        <v>4</v>
      </c>
      <c r="L1942" s="3">
        <v>4</v>
      </c>
      <c r="M1942" s="3">
        <v>4</v>
      </c>
      <c r="N1942" s="3">
        <v>4</v>
      </c>
      <c r="O1942" s="238">
        <v>8317513</v>
      </c>
      <c r="P1942" s="93"/>
      <c r="Q1942" s="93"/>
      <c r="R19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42" s="93">
        <v>1</v>
      </c>
      <c r="T1942" s="93" t="b">
        <f>Data[[#This Row],[Day Rank]]=Data[[#This Row],[W Rank]]</f>
        <v>0</v>
      </c>
      <c r="U1942" s="322" t="s">
        <v>3696</v>
      </c>
    </row>
    <row r="1943" spans="1:21" ht="15" customHeight="1">
      <c r="A1943" s="326"/>
      <c r="B1943" s="326"/>
      <c r="C1943" s="339"/>
      <c r="D1943" s="81">
        <f t="shared" ref="D1943" si="385">D1942</f>
        <v>46163</v>
      </c>
      <c r="E1943" s="140" t="str">
        <f t="shared" ref="E1943" si="386">$K$1</f>
        <v>danram</v>
      </c>
      <c r="F1943" s="8">
        <f>IFERROR(AVERAGE(Data[[#This Row],[alappatjoe]:[currydestroyer27]]), "TBD")</f>
        <v>3.2</v>
      </c>
      <c r="G1943" s="177">
        <f>IFERROR(_xlfn.STDEV.P(Data[[#This Row],[alappatjoe]:[currydestroyer27]]), "TBD")</f>
        <v>1.6</v>
      </c>
      <c r="H1943" s="135" t="s">
        <v>3697</v>
      </c>
      <c r="I1943" s="229" t="s">
        <v>3698</v>
      </c>
      <c r="J1943" s="3">
        <v>3</v>
      </c>
      <c r="K1943" s="3">
        <v>1</v>
      </c>
      <c r="L1943" s="3">
        <v>5</v>
      </c>
      <c r="M1943" s="3">
        <v>5</v>
      </c>
      <c r="N1943" s="3">
        <v>2</v>
      </c>
      <c r="O1943" s="238"/>
      <c r="P1943" s="93"/>
      <c r="Q1943" s="93"/>
      <c r="R19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43" s="93">
        <v>1</v>
      </c>
      <c r="T1943" s="93" t="b">
        <f>Data[[#This Row],[Day Rank]]=Data[[#This Row],[W Rank]]</f>
        <v>0</v>
      </c>
      <c r="U1943" s="323"/>
    </row>
    <row r="1944" spans="1:21" ht="15" customHeight="1">
      <c r="A1944" s="326"/>
      <c r="B1944" s="326"/>
      <c r="C1944" s="339"/>
      <c r="D1944" s="81">
        <f t="shared" ref="D1944" si="387">D1942</f>
        <v>46163</v>
      </c>
      <c r="E1944" s="140" t="str">
        <f t="shared" ref="E1944" si="388">$L$1</f>
        <v>loganworsdell</v>
      </c>
      <c r="F1944" s="8">
        <f>IFERROR(AVERAGE(Data[[#This Row],[alappatjoe]:[currydestroyer27]]), "TBD")</f>
        <v>3.8</v>
      </c>
      <c r="G1944" s="177">
        <f>IFERROR(_xlfn.STDEV.P(Data[[#This Row],[alappatjoe]:[currydestroyer27]]), "TBD")</f>
        <v>1.6</v>
      </c>
      <c r="H1944" s="135" t="s">
        <v>3699</v>
      </c>
      <c r="I1944" s="229" t="s">
        <v>3700</v>
      </c>
      <c r="J1944" s="3">
        <v>5</v>
      </c>
      <c r="K1944" s="3">
        <v>5</v>
      </c>
      <c r="L1944" s="3">
        <v>1</v>
      </c>
      <c r="M1944" s="3">
        <v>3</v>
      </c>
      <c r="N1944" s="3">
        <v>5</v>
      </c>
      <c r="O1944" s="238">
        <v>3878438</v>
      </c>
      <c r="P1944" s="93"/>
      <c r="Q1944" s="93"/>
      <c r="R19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44" s="93">
        <v>1</v>
      </c>
      <c r="T1944" s="93" t="b">
        <f>Data[[#This Row],[Day Rank]]=Data[[#This Row],[W Rank]]</f>
        <v>0</v>
      </c>
      <c r="U1944" s="323"/>
    </row>
    <row r="1945" spans="1:21" ht="15" customHeight="1">
      <c r="A1945" s="326"/>
      <c r="B1945" s="326"/>
      <c r="C1945" s="339"/>
      <c r="D1945" s="81">
        <f t="shared" ref="D1945" si="389">D1942</f>
        <v>46163</v>
      </c>
      <c r="E1945" s="140" t="str">
        <f t="shared" ref="E1945" si="390">$M$1</f>
        <v>samuelbattista</v>
      </c>
      <c r="F1945" s="8">
        <f>IFERROR(AVERAGE(Data[[#This Row],[alappatjoe]:[currydestroyer27]]), "TBD")</f>
        <v>2.8</v>
      </c>
      <c r="G1945" s="177">
        <f>IFERROR(_xlfn.STDEV.P(Data[[#This Row],[alappatjoe]:[currydestroyer27]]), "TBD")</f>
        <v>0.9797958971132712</v>
      </c>
      <c r="H1945" s="298" t="s">
        <v>3701</v>
      </c>
      <c r="I1945" s="229" t="s">
        <v>3702</v>
      </c>
      <c r="J1945" s="3">
        <v>4</v>
      </c>
      <c r="K1945" s="3">
        <v>3</v>
      </c>
      <c r="L1945" s="3">
        <v>3</v>
      </c>
      <c r="M1945" s="3">
        <v>1</v>
      </c>
      <c r="N1945" s="3">
        <v>3</v>
      </c>
      <c r="O1945" s="238"/>
      <c r="P1945" s="93"/>
      <c r="Q1945" s="93"/>
      <c r="R19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45" s="93">
        <v>1</v>
      </c>
      <c r="T1945" s="93" t="b">
        <f>Data[[#This Row],[Day Rank]]=Data[[#This Row],[W Rank]]</f>
        <v>0</v>
      </c>
      <c r="U1945" s="323"/>
    </row>
    <row r="1946" spans="1:21" ht="15" customHeight="1" thickBot="1">
      <c r="A1946" s="327"/>
      <c r="B1946" s="327"/>
      <c r="C1946" s="340"/>
      <c r="D1946" s="164">
        <f t="shared" ref="D1946" si="391">D1942</f>
        <v>46163</v>
      </c>
      <c r="E1946" s="215" t="str">
        <f t="shared" ref="E1946" si="392">$N$1</f>
        <v>currydestroyer27</v>
      </c>
      <c r="F1946" s="165">
        <f>IFERROR(AVERAGE(Data[[#This Row],[alappatjoe]:[currydestroyer27]]), "TBD")</f>
        <v>1.8</v>
      </c>
      <c r="G1946" s="256">
        <f>IFERROR(_xlfn.STDEV.P(Data[[#This Row],[alappatjoe]:[currydestroyer27]]), "TBD")</f>
        <v>0.4</v>
      </c>
      <c r="H1946" s="227" t="s">
        <v>3703</v>
      </c>
      <c r="I1946" s="257" t="s">
        <v>3704</v>
      </c>
      <c r="J1946" s="166">
        <v>2</v>
      </c>
      <c r="K1946" s="166">
        <v>2</v>
      </c>
      <c r="L1946" s="166">
        <v>2</v>
      </c>
      <c r="M1946" s="166">
        <v>2</v>
      </c>
      <c r="N1946" s="166">
        <v>1</v>
      </c>
      <c r="O1946" s="242">
        <v>106001536</v>
      </c>
      <c r="P1946" s="167" t="s">
        <v>76</v>
      </c>
      <c r="Q1946" s="167" t="s">
        <v>3705</v>
      </c>
      <c r="R194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46" s="167">
        <v>1</v>
      </c>
      <c r="T1946" s="167" t="b">
        <f>Data[[#This Row],[Day Rank]]=Data[[#This Row],[W Rank]]</f>
        <v>1</v>
      </c>
      <c r="U1946" s="324"/>
    </row>
    <row r="1947" spans="1:21" ht="15" customHeight="1">
      <c r="A1947" s="325">
        <v>46167</v>
      </c>
      <c r="B1947" s="325"/>
      <c r="C1947" s="328" t="str" cm="1">
        <f t="array" ref="C1947">_xlfn.LET(_xlpm.matches, _xlfn._xlws.FILTER(Data[Poster], (Data[Date]=A1947)*(Data[Winner]=TRUE)), IF(ROWS(_xlpm.matches)&gt;1, "TIE", _xlpm.matches))</f>
        <v>danram</v>
      </c>
      <c r="D1947" s="147">
        <f t="shared" ref="D1947" si="393">A1947</f>
        <v>46167</v>
      </c>
      <c r="E1947" s="181" t="str">
        <f t="shared" ref="E1947:E1982" si="394">$J$1</f>
        <v>alappatjoe</v>
      </c>
      <c r="F1947" s="8">
        <f>IFERROR(AVERAGE(Data[[#This Row],[alappatjoe]:[currydestroyer27]]), "TBD")</f>
        <v>3.4</v>
      </c>
      <c r="G1947" s="177">
        <f>IFERROR(_xlfn.STDEV.P(Data[[#This Row],[alappatjoe]:[currydestroyer27]]), "TBD")</f>
        <v>1.6248076809271921</v>
      </c>
      <c r="H1947" s="135" t="s">
        <v>3706</v>
      </c>
      <c r="I1947" s="229" t="s">
        <v>3707</v>
      </c>
      <c r="J1947" s="3">
        <v>1</v>
      </c>
      <c r="K1947" s="3">
        <v>4</v>
      </c>
      <c r="L1947" s="3">
        <v>5</v>
      </c>
      <c r="M1947" s="3">
        <v>5</v>
      </c>
      <c r="N1947" s="3">
        <v>2</v>
      </c>
      <c r="O1947" s="238">
        <v>594071</v>
      </c>
      <c r="P1947" s="93"/>
      <c r="Q1947" s="93"/>
      <c r="R19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47" s="93">
        <v>1</v>
      </c>
      <c r="T1947" s="93" t="b">
        <f>Data[[#This Row],[Day Rank]]=Data[[#This Row],[W Rank]]</f>
        <v>0</v>
      </c>
      <c r="U1947" s="322" t="s">
        <v>3708</v>
      </c>
    </row>
    <row r="1948" spans="1:21" ht="15" customHeight="1">
      <c r="A1948" s="326"/>
      <c r="B1948" s="326"/>
      <c r="C1948" s="329"/>
      <c r="D1948" s="81">
        <f t="shared" ref="D1948:D1983" si="395">D1947</f>
        <v>46167</v>
      </c>
      <c r="E1948" s="140" t="str">
        <f t="shared" ref="E1948:E1983" si="396">$K$1</f>
        <v>danram</v>
      </c>
      <c r="F1948" s="8">
        <f>IFERROR(AVERAGE(Data[[#This Row],[alappatjoe]:[currydestroyer27]]), "TBD")</f>
        <v>2.6</v>
      </c>
      <c r="G1948" s="177">
        <f>IFERROR(_xlfn.STDEV.P(Data[[#This Row],[alappatjoe]:[currydestroyer27]]), "TBD")</f>
        <v>1.019803902718557</v>
      </c>
      <c r="H1948" s="135" t="s">
        <v>3709</v>
      </c>
      <c r="I1948" s="229" t="s">
        <v>3710</v>
      </c>
      <c r="J1948" s="3">
        <v>2</v>
      </c>
      <c r="K1948" s="3">
        <v>1</v>
      </c>
      <c r="L1948" s="3">
        <v>3</v>
      </c>
      <c r="M1948" s="3">
        <v>4</v>
      </c>
      <c r="N1948" s="3">
        <v>3</v>
      </c>
      <c r="O1948" s="238"/>
      <c r="P1948" s="93"/>
      <c r="Q1948" s="93"/>
      <c r="R19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48" s="93">
        <v>1</v>
      </c>
      <c r="T1948" s="93" t="b">
        <f>Data[[#This Row],[Day Rank]]=Data[[#This Row],[W Rank]]</f>
        <v>1</v>
      </c>
      <c r="U1948" s="323"/>
    </row>
    <row r="1949" spans="1:21" ht="15" customHeight="1">
      <c r="A1949" s="326"/>
      <c r="B1949" s="326"/>
      <c r="C1949" s="329"/>
      <c r="D1949" s="81">
        <f t="shared" ref="D1949:D1984" si="397">D1947</f>
        <v>46167</v>
      </c>
      <c r="E1949" s="140" t="str">
        <f t="shared" ref="E1949:E1984" si="398">$L$1</f>
        <v>loganworsdell</v>
      </c>
      <c r="F1949" s="8">
        <f>IFERROR(AVERAGE(Data[[#This Row],[alappatjoe]:[currydestroyer27]]), "TBD")</f>
        <v>3.4</v>
      </c>
      <c r="G1949" s="177">
        <f>IFERROR(_xlfn.STDEV.P(Data[[#This Row],[alappatjoe]:[currydestroyer27]]), "TBD")</f>
        <v>1.019803902718557</v>
      </c>
      <c r="H1949" s="135" t="s">
        <v>3711</v>
      </c>
      <c r="I1949" s="229" t="s">
        <v>3712</v>
      </c>
      <c r="J1949" s="3">
        <v>5</v>
      </c>
      <c r="K1949" s="3">
        <v>3</v>
      </c>
      <c r="L1949" s="3">
        <v>2</v>
      </c>
      <c r="M1949" s="3">
        <v>3</v>
      </c>
      <c r="N1949" s="3">
        <v>4</v>
      </c>
      <c r="O1949" s="238">
        <v>7201</v>
      </c>
      <c r="P1949" s="93"/>
      <c r="Q1949" s="93"/>
      <c r="R19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49" s="93">
        <v>1</v>
      </c>
      <c r="T1949" s="93" t="b">
        <f>Data[[#This Row],[Day Rank]]=Data[[#This Row],[W Rank]]</f>
        <v>0</v>
      </c>
      <c r="U1949" s="323"/>
    </row>
    <row r="1950" spans="1:21" ht="15" customHeight="1">
      <c r="A1950" s="326"/>
      <c r="B1950" s="326"/>
      <c r="C1950" s="329"/>
      <c r="D1950" s="81">
        <f t="shared" ref="D1950:D1985" si="399">D1947</f>
        <v>46167</v>
      </c>
      <c r="E1950" s="140" t="str">
        <f t="shared" ref="E1950:E1985" si="400">$M$1</f>
        <v>samuelbattista</v>
      </c>
      <c r="F1950" s="8">
        <f>IFERROR(AVERAGE(Data[[#This Row],[alappatjoe]:[currydestroyer27]]), "TBD")</f>
        <v>3</v>
      </c>
      <c r="G1950" s="177">
        <f>IFERROR(_xlfn.STDEV.P(Data[[#This Row],[alappatjoe]:[currydestroyer27]]), "TBD")</f>
        <v>1.7888543819998317</v>
      </c>
      <c r="H1950" s="135" t="s">
        <v>3713</v>
      </c>
      <c r="I1950" s="229" t="s">
        <v>2673</v>
      </c>
      <c r="J1950" s="3">
        <v>3</v>
      </c>
      <c r="K1950" s="3">
        <v>5</v>
      </c>
      <c r="L1950" s="3">
        <v>1</v>
      </c>
      <c r="M1950" s="3">
        <v>1</v>
      </c>
      <c r="N1950" s="3">
        <v>5</v>
      </c>
      <c r="O1950" s="238"/>
      <c r="P1950" s="93"/>
      <c r="Q1950" s="93"/>
      <c r="R19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50" s="93">
        <v>1</v>
      </c>
      <c r="T1950" s="93" t="b">
        <f>Data[[#This Row],[Day Rank]]=Data[[#This Row],[W Rank]]</f>
        <v>0</v>
      </c>
      <c r="U1950" s="323"/>
    </row>
    <row r="1951" spans="1:21" ht="15" customHeight="1" thickBot="1">
      <c r="A1951" s="327"/>
      <c r="B1951" s="327"/>
      <c r="C1951" s="330"/>
      <c r="D1951" s="164">
        <f t="shared" ref="D1951:D1986" si="401">D1947</f>
        <v>46167</v>
      </c>
      <c r="E1951" s="215" t="str">
        <f t="shared" ref="E1951:E1986" si="402">$N$1</f>
        <v>currydestroyer27</v>
      </c>
      <c r="F1951" s="165">
        <f>IFERROR(AVERAGE(Data[[#This Row],[alappatjoe]:[currydestroyer27]]), "TBD")</f>
        <v>2.6</v>
      </c>
      <c r="G1951" s="256">
        <f>IFERROR(_xlfn.STDEV.P(Data[[#This Row],[alappatjoe]:[currydestroyer27]]), "TBD")</f>
        <v>1.2</v>
      </c>
      <c r="H1951" s="227" t="s">
        <v>3714</v>
      </c>
      <c r="I1951" s="257" t="s">
        <v>3715</v>
      </c>
      <c r="J1951" s="166">
        <v>4</v>
      </c>
      <c r="K1951" s="166">
        <v>2</v>
      </c>
      <c r="L1951" s="166">
        <v>4</v>
      </c>
      <c r="M1951" s="166">
        <v>2</v>
      </c>
      <c r="N1951" s="166">
        <v>1</v>
      </c>
      <c r="O1951" s="242">
        <v>17920296</v>
      </c>
      <c r="P1951" s="167"/>
      <c r="Q1951" s="167"/>
      <c r="R195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51" s="167">
        <v>1</v>
      </c>
      <c r="T1951" s="167" t="b">
        <f>Data[[#This Row],[Day Rank]]=Data[[#This Row],[W Rank]]</f>
        <v>0</v>
      </c>
      <c r="U1951" s="324"/>
    </row>
    <row r="1952" spans="1:21" ht="15" customHeight="1">
      <c r="A1952" s="325">
        <v>46168</v>
      </c>
      <c r="B1952" s="325"/>
      <c r="C1952" s="338" t="str" cm="1">
        <f t="array" ref="C1952">_xlfn.LET(_xlpm.matches, _xlfn._xlws.FILTER(Data[Poster], (Data[Date]=A1952)*(Data[Winner]=TRUE)), IF(ROWS(_xlpm.matches)&gt;1, "TIE", _xlpm.matches))</f>
        <v>loganworsdell</v>
      </c>
      <c r="D1952" s="147">
        <f t="shared" ref="D1952" si="403">A1952</f>
        <v>46168</v>
      </c>
      <c r="E1952" s="181" t="str">
        <f t="shared" si="394"/>
        <v>alappatjoe</v>
      </c>
      <c r="F1952" s="9">
        <f>IFERROR(AVERAGE(Data[[#This Row],[alappatjoe]:[currydestroyer27]]), "TBD")</f>
        <v>2.8</v>
      </c>
      <c r="G1952" s="178">
        <f>IFERROR(_xlfn.STDEV.P(Data[[#This Row],[alappatjoe]:[currydestroyer27]]), "TBD")</f>
        <v>1.3266499161421599</v>
      </c>
      <c r="H1952" s="160" t="s">
        <v>3716</v>
      </c>
      <c r="I1952" s="186" t="s">
        <v>3717</v>
      </c>
      <c r="J1952" s="3">
        <v>1</v>
      </c>
      <c r="K1952" s="3">
        <v>5</v>
      </c>
      <c r="L1952" s="3">
        <v>2</v>
      </c>
      <c r="M1952" s="3">
        <v>3</v>
      </c>
      <c r="N1952" s="3">
        <v>3</v>
      </c>
      <c r="O1952" s="238">
        <v>609152</v>
      </c>
      <c r="P1952" s="93"/>
      <c r="Q1952" s="93"/>
      <c r="R19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52" s="93">
        <v>1</v>
      </c>
      <c r="T1952" s="93" t="b">
        <f>Data[[#This Row],[Day Rank]]=Data[[#This Row],[W Rank]]</f>
        <v>0</v>
      </c>
      <c r="U1952" s="322"/>
    </row>
    <row r="1953" spans="1:21" ht="15" customHeight="1">
      <c r="A1953" s="326"/>
      <c r="B1953" s="326"/>
      <c r="C1953" s="339"/>
      <c r="D1953" s="81">
        <f t="shared" si="395"/>
        <v>46168</v>
      </c>
      <c r="E1953" s="140" t="str">
        <f t="shared" si="396"/>
        <v>danram</v>
      </c>
      <c r="F1953" s="8">
        <f>IFERROR(AVERAGE(Data[[#This Row],[alappatjoe]:[currydestroyer27]]), "TBD")</f>
        <v>4.4000000000000004</v>
      </c>
      <c r="G1953" s="177">
        <f>IFERROR(_xlfn.STDEV.P(Data[[#This Row],[alappatjoe]:[currydestroyer27]]), "TBD")</f>
        <v>0.8</v>
      </c>
      <c r="H1953" s="135" t="s">
        <v>3718</v>
      </c>
      <c r="I1953" s="229" t="s">
        <v>3719</v>
      </c>
      <c r="J1953" s="3">
        <v>5</v>
      </c>
      <c r="K1953" s="3">
        <v>3</v>
      </c>
      <c r="L1953" s="3">
        <v>4</v>
      </c>
      <c r="M1953" s="3">
        <v>5</v>
      </c>
      <c r="N1953" s="3">
        <v>5</v>
      </c>
      <c r="O1953" s="238"/>
      <c r="P1953" s="93"/>
      <c r="Q1953" s="93"/>
      <c r="R19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53" s="93">
        <v>1</v>
      </c>
      <c r="T1953" s="93" t="b">
        <f>Data[[#This Row],[Day Rank]]=Data[[#This Row],[W Rank]]</f>
        <v>0</v>
      </c>
      <c r="U1953" s="323"/>
    </row>
    <row r="1954" spans="1:21" ht="15" customHeight="1">
      <c r="A1954" s="326"/>
      <c r="B1954" s="326"/>
      <c r="C1954" s="339"/>
      <c r="D1954" s="81">
        <f t="shared" si="397"/>
        <v>46168</v>
      </c>
      <c r="E1954" s="140" t="str">
        <f t="shared" si="398"/>
        <v>loganworsdell</v>
      </c>
      <c r="F1954" s="8">
        <f>IFERROR(AVERAGE(Data[[#This Row],[alappatjoe]:[currydestroyer27]]), "TBD")</f>
        <v>1.6</v>
      </c>
      <c r="G1954" s="177">
        <f>IFERROR(_xlfn.STDEV.P(Data[[#This Row],[alappatjoe]:[currydestroyer27]]), "TBD")</f>
        <v>0.8</v>
      </c>
      <c r="H1954" s="135" t="s">
        <v>3720</v>
      </c>
      <c r="I1954" s="229" t="s">
        <v>1668</v>
      </c>
      <c r="J1954" s="3">
        <v>3</v>
      </c>
      <c r="K1954" s="3">
        <v>1</v>
      </c>
      <c r="L1954" s="3">
        <v>1</v>
      </c>
      <c r="M1954" s="3">
        <v>1</v>
      </c>
      <c r="N1954" s="3">
        <v>2</v>
      </c>
      <c r="O1954" s="238">
        <v>237674788</v>
      </c>
      <c r="P1954" s="93"/>
      <c r="Q1954" s="93"/>
      <c r="R19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54" s="93">
        <v>1</v>
      </c>
      <c r="T1954" s="93" t="b">
        <f>Data[[#This Row],[Day Rank]]=Data[[#This Row],[W Rank]]</f>
        <v>1</v>
      </c>
      <c r="U1954" s="323"/>
    </row>
    <row r="1955" spans="1:21" ht="15" customHeight="1">
      <c r="A1955" s="326"/>
      <c r="B1955" s="326"/>
      <c r="C1955" s="339"/>
      <c r="D1955" s="81">
        <f t="shared" si="399"/>
        <v>46168</v>
      </c>
      <c r="E1955" s="140" t="str">
        <f t="shared" si="400"/>
        <v>samuelbattista</v>
      </c>
      <c r="F1955" s="8">
        <f>IFERROR(AVERAGE(Data[[#This Row],[alappatjoe]:[currydestroyer27]]), "TBD")</f>
        <v>2.6</v>
      </c>
      <c r="G1955" s="177">
        <f>IFERROR(_xlfn.STDEV.P(Data[[#This Row],[alappatjoe]:[currydestroyer27]]), "TBD")</f>
        <v>0.8</v>
      </c>
      <c r="H1955" s="135" t="s">
        <v>1511</v>
      </c>
      <c r="I1955" s="229" t="s">
        <v>3721</v>
      </c>
      <c r="J1955" s="3">
        <v>2</v>
      </c>
      <c r="K1955" s="3">
        <v>2</v>
      </c>
      <c r="L1955" s="3">
        <v>3</v>
      </c>
      <c r="M1955" s="3">
        <v>2</v>
      </c>
      <c r="N1955" s="3">
        <v>4</v>
      </c>
      <c r="O1955" s="238"/>
      <c r="P1955" s="93"/>
      <c r="Q1955" s="93"/>
      <c r="R19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55" s="93">
        <v>1</v>
      </c>
      <c r="T1955" s="93" t="b">
        <f>Data[[#This Row],[Day Rank]]=Data[[#This Row],[W Rank]]</f>
        <v>0</v>
      </c>
      <c r="U1955" s="323"/>
    </row>
    <row r="1956" spans="1:21" ht="15" customHeight="1" thickBot="1">
      <c r="A1956" s="327"/>
      <c r="B1956" s="327"/>
      <c r="C1956" s="340"/>
      <c r="D1956" s="164">
        <f t="shared" si="401"/>
        <v>46168</v>
      </c>
      <c r="E1956" s="215" t="str">
        <f t="shared" si="402"/>
        <v>currydestroyer27</v>
      </c>
      <c r="F1956" s="165">
        <f>IFERROR(AVERAGE(Data[[#This Row],[alappatjoe]:[currydestroyer27]]), "TBD")</f>
        <v>3.6</v>
      </c>
      <c r="G1956" s="256">
        <f>IFERROR(_xlfn.STDEV.P(Data[[#This Row],[alappatjoe]:[currydestroyer27]]), "TBD")</f>
        <v>1.3564659966250536</v>
      </c>
      <c r="H1956" s="227" t="s">
        <v>3722</v>
      </c>
      <c r="I1956" s="257" t="s">
        <v>3723</v>
      </c>
      <c r="J1956" s="166">
        <v>4</v>
      </c>
      <c r="K1956" s="166">
        <v>4</v>
      </c>
      <c r="L1956" s="166">
        <v>5</v>
      </c>
      <c r="M1956" s="166">
        <v>4</v>
      </c>
      <c r="N1956" s="166">
        <v>1</v>
      </c>
      <c r="O1956" s="242">
        <v>113822</v>
      </c>
      <c r="P1956" s="167" t="s">
        <v>76</v>
      </c>
      <c r="Q1956" s="167" t="s">
        <v>99</v>
      </c>
      <c r="R195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56" s="167">
        <v>1</v>
      </c>
      <c r="T1956" s="167" t="b">
        <f>Data[[#This Row],[Day Rank]]=Data[[#This Row],[W Rank]]</f>
        <v>0</v>
      </c>
      <c r="U1956" s="324"/>
    </row>
    <row r="1957" spans="1:21" ht="15" customHeight="1">
      <c r="A1957" s="325">
        <v>46169</v>
      </c>
      <c r="B1957" s="325"/>
      <c r="C1957" s="328" t="str" cm="1">
        <f t="array" ref="C1957">_xlfn.LET(_xlpm.matches, _xlfn._xlws.FILTER(Data[Poster], (Data[Date]=A1957)*(Data[Winner]=TRUE)), IF(ROWS(_xlpm.matches)&gt;1, "TIE", _xlpm.matches))</f>
        <v>currydestroyer27</v>
      </c>
      <c r="D1957" s="147">
        <f t="shared" ref="D1957" si="404">A1957</f>
        <v>46169</v>
      </c>
      <c r="E1957" s="181" t="str">
        <f t="shared" si="394"/>
        <v>alappatjoe</v>
      </c>
      <c r="F1957" s="9">
        <f>IFERROR(AVERAGE(Data[[#This Row],[alappatjoe]:[currydestroyer27]]), "TBD")</f>
        <v>3.2</v>
      </c>
      <c r="G1957" s="178">
        <f>IFERROR(_xlfn.STDEV.P(Data[[#This Row],[alappatjoe]:[currydestroyer27]]), "TBD")</f>
        <v>1.3266499161421599</v>
      </c>
      <c r="H1957" s="160" t="s">
        <v>3724</v>
      </c>
      <c r="I1957" s="186" t="s">
        <v>3725</v>
      </c>
      <c r="J1957" s="3">
        <v>1</v>
      </c>
      <c r="K1957" s="3">
        <v>4</v>
      </c>
      <c r="L1957" s="3">
        <v>3</v>
      </c>
      <c r="M1957" s="3">
        <v>3</v>
      </c>
      <c r="N1957" s="3">
        <v>5</v>
      </c>
      <c r="O1957" s="238">
        <v>390554</v>
      </c>
      <c r="P1957" s="93"/>
      <c r="Q1957" s="93"/>
      <c r="R19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57" s="93">
        <v>1</v>
      </c>
      <c r="T1957" s="93" t="b">
        <f>Data[[#This Row],[Day Rank]]=Data[[#This Row],[W Rank]]</f>
        <v>0</v>
      </c>
      <c r="U1957" s="322"/>
    </row>
    <row r="1958" spans="1:21" ht="15" customHeight="1">
      <c r="A1958" s="326"/>
      <c r="B1958" s="326"/>
      <c r="C1958" s="329"/>
      <c r="D1958" s="81">
        <f t="shared" si="395"/>
        <v>46169</v>
      </c>
      <c r="E1958" s="140" t="str">
        <f t="shared" si="396"/>
        <v>danram</v>
      </c>
      <c r="F1958" s="8">
        <f>IFERROR(AVERAGE(Data[[#This Row],[alappatjoe]:[currydestroyer27]]), "TBD")</f>
        <v>3</v>
      </c>
      <c r="G1958" s="177">
        <f>IFERROR(_xlfn.STDEV.P(Data[[#This Row],[alappatjoe]:[currydestroyer27]]), "TBD")</f>
        <v>1.6733200530681511</v>
      </c>
      <c r="H1958" s="135" t="s">
        <v>3726</v>
      </c>
      <c r="I1958" s="229" t="s">
        <v>1736</v>
      </c>
      <c r="J1958" s="3">
        <v>2</v>
      </c>
      <c r="K1958" s="3">
        <v>1</v>
      </c>
      <c r="L1958" s="3">
        <v>5</v>
      </c>
      <c r="M1958" s="3">
        <v>5</v>
      </c>
      <c r="N1958" s="3">
        <v>2</v>
      </c>
      <c r="O1958" s="238"/>
      <c r="P1958" s="93"/>
      <c r="Q1958" s="93"/>
      <c r="R19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58" s="93">
        <v>1</v>
      </c>
      <c r="T1958" s="93" t="b">
        <f>Data[[#This Row],[Day Rank]]=Data[[#This Row],[W Rank]]</f>
        <v>0</v>
      </c>
      <c r="U1958" s="323"/>
    </row>
    <row r="1959" spans="1:21" ht="15" customHeight="1">
      <c r="A1959" s="326"/>
      <c r="B1959" s="326"/>
      <c r="C1959" s="329"/>
      <c r="D1959" s="81">
        <f t="shared" si="397"/>
        <v>46169</v>
      </c>
      <c r="E1959" s="140" t="str">
        <f t="shared" si="398"/>
        <v>loganworsdell</v>
      </c>
      <c r="F1959" s="8">
        <f>IFERROR(AVERAGE(Data[[#This Row],[alappatjoe]:[currydestroyer27]]), "TBD")</f>
        <v>3</v>
      </c>
      <c r="G1959" s="177">
        <f>IFERROR(_xlfn.STDEV.P(Data[[#This Row],[alappatjoe]:[currydestroyer27]]), "TBD")</f>
        <v>0.89442719099991586</v>
      </c>
      <c r="H1959" s="135" t="s">
        <v>3727</v>
      </c>
      <c r="I1959" s="229" t="s">
        <v>350</v>
      </c>
      <c r="J1959" s="3">
        <v>3</v>
      </c>
      <c r="K1959" s="3">
        <v>2</v>
      </c>
      <c r="L1959" s="3">
        <v>2</v>
      </c>
      <c r="M1959" s="3">
        <v>4</v>
      </c>
      <c r="N1959" s="3">
        <v>4</v>
      </c>
      <c r="O1959" s="238">
        <v>13418191</v>
      </c>
      <c r="P1959" s="93"/>
      <c r="Q1959" s="93"/>
      <c r="R19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59" s="93">
        <v>1</v>
      </c>
      <c r="T1959" s="93" t="b">
        <f>Data[[#This Row],[Day Rank]]=Data[[#This Row],[W Rank]]</f>
        <v>0</v>
      </c>
      <c r="U1959" s="323"/>
    </row>
    <row r="1960" spans="1:21" ht="15" customHeight="1">
      <c r="A1960" s="326"/>
      <c r="B1960" s="326"/>
      <c r="C1960" s="329"/>
      <c r="D1960" s="81">
        <f t="shared" si="399"/>
        <v>46169</v>
      </c>
      <c r="E1960" s="140" t="str">
        <f t="shared" si="400"/>
        <v>samuelbattista</v>
      </c>
      <c r="F1960" s="8">
        <f>IFERROR(AVERAGE(Data[[#This Row],[alappatjoe]:[currydestroyer27]]), "TBD")</f>
        <v>3.8</v>
      </c>
      <c r="G1960" s="177">
        <f>IFERROR(_xlfn.STDEV.P(Data[[#This Row],[alappatjoe]:[currydestroyer27]]), "TBD")</f>
        <v>1.1661903789690602</v>
      </c>
      <c r="H1960" s="135" t="s">
        <v>3728</v>
      </c>
      <c r="I1960" s="229" t="s">
        <v>1984</v>
      </c>
      <c r="J1960" s="3">
        <v>5</v>
      </c>
      <c r="K1960" s="3">
        <v>5</v>
      </c>
      <c r="L1960" s="3">
        <v>4</v>
      </c>
      <c r="M1960" s="3">
        <v>2</v>
      </c>
      <c r="N1960" s="3">
        <v>3</v>
      </c>
      <c r="O1960" s="238"/>
      <c r="P1960" s="93"/>
      <c r="Q1960" s="93"/>
      <c r="R19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60" s="93">
        <v>1</v>
      </c>
      <c r="T1960" s="93" t="b">
        <f>Data[[#This Row],[Day Rank]]=Data[[#This Row],[W Rank]]</f>
        <v>0</v>
      </c>
      <c r="U1960" s="323"/>
    </row>
    <row r="1961" spans="1:21" ht="15" customHeight="1" thickBot="1">
      <c r="A1961" s="327"/>
      <c r="B1961" s="327"/>
      <c r="C1961" s="330"/>
      <c r="D1961" s="164">
        <f t="shared" si="401"/>
        <v>46169</v>
      </c>
      <c r="E1961" s="215" t="str">
        <f t="shared" si="402"/>
        <v>currydestroyer27</v>
      </c>
      <c r="F1961" s="165">
        <f>IFERROR(AVERAGE(Data[[#This Row],[alappatjoe]:[currydestroyer27]]), "TBD")</f>
        <v>2</v>
      </c>
      <c r="G1961" s="256">
        <f>IFERROR(_xlfn.STDEV.P(Data[[#This Row],[alappatjoe]:[currydestroyer27]]), "TBD")</f>
        <v>1.2649110640673518</v>
      </c>
      <c r="H1961" s="227" t="s">
        <v>3729</v>
      </c>
      <c r="I1961" s="257" t="s">
        <v>2441</v>
      </c>
      <c r="J1961" s="166">
        <v>4</v>
      </c>
      <c r="K1961" s="166">
        <v>3</v>
      </c>
      <c r="L1961" s="166">
        <v>1</v>
      </c>
      <c r="M1961" s="166">
        <v>1</v>
      </c>
      <c r="N1961" s="166">
        <v>1</v>
      </c>
      <c r="O1961" s="242">
        <v>309043689</v>
      </c>
      <c r="P1961" s="167"/>
      <c r="Q1961" s="167"/>
      <c r="R196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61" s="167">
        <v>1</v>
      </c>
      <c r="T1961" s="167" t="b">
        <f>Data[[#This Row],[Day Rank]]=Data[[#This Row],[W Rank]]</f>
        <v>1</v>
      </c>
      <c r="U1961" s="324"/>
    </row>
    <row r="1962" spans="1:21" ht="15" customHeight="1">
      <c r="A1962" s="325">
        <v>46170</v>
      </c>
      <c r="B1962" s="325"/>
      <c r="C1962" s="338" t="str" cm="1">
        <f t="array" ref="C1962">_xlfn.LET(_xlpm.matches, _xlfn._xlws.FILTER(Data[Poster], (Data[Date]=A1962)*(Data[Winner]=TRUE)), IF(ROWS(_xlpm.matches)&gt;1, "TIE", _xlpm.matches))</f>
        <v>loganworsdell</v>
      </c>
      <c r="D1962" s="147">
        <f t="shared" ref="D1962" si="405">A1962</f>
        <v>46170</v>
      </c>
      <c r="E1962" s="181" t="str">
        <f t="shared" si="394"/>
        <v>alappatjoe</v>
      </c>
      <c r="F1962" s="9">
        <f>IFERROR(AVERAGE(Data[[#This Row],[alappatjoe]:[currydestroyer27]]), "TBD")</f>
        <v>4</v>
      </c>
      <c r="G1962" s="178">
        <f>IFERROR(_xlfn.STDEV.P(Data[[#This Row],[alappatjoe]:[currydestroyer27]]), "TBD")</f>
        <v>0.63245553203367588</v>
      </c>
      <c r="H1962" s="160" t="s">
        <v>3730</v>
      </c>
      <c r="I1962" s="186" t="s">
        <v>3731</v>
      </c>
      <c r="J1962" s="3">
        <v>3</v>
      </c>
      <c r="K1962" s="3">
        <v>4</v>
      </c>
      <c r="L1962" s="3">
        <v>5</v>
      </c>
      <c r="M1962" s="3">
        <v>4</v>
      </c>
      <c r="N1962" s="3">
        <v>4</v>
      </c>
      <c r="O1962" s="238">
        <v>21533503</v>
      </c>
      <c r="P1962" s="93"/>
      <c r="Q1962" s="93"/>
      <c r="R19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62" s="93">
        <v>1</v>
      </c>
      <c r="T1962" s="93" t="b">
        <f>Data[[#This Row],[Day Rank]]=Data[[#This Row],[W Rank]]</f>
        <v>0</v>
      </c>
      <c r="U1962" s="322" t="s">
        <v>3732</v>
      </c>
    </row>
    <row r="1963" spans="1:21" ht="15" customHeight="1">
      <c r="A1963" s="326"/>
      <c r="B1963" s="326"/>
      <c r="C1963" s="339"/>
      <c r="D1963" s="81">
        <f t="shared" si="395"/>
        <v>46170</v>
      </c>
      <c r="E1963" s="140" t="str">
        <f t="shared" si="396"/>
        <v>danram</v>
      </c>
      <c r="F1963" s="8">
        <f>IFERROR(AVERAGE(Data[[#This Row],[alappatjoe]:[currydestroyer27]]), "TBD")</f>
        <v>2.6</v>
      </c>
      <c r="G1963" s="177">
        <f>IFERROR(_xlfn.STDEV.P(Data[[#This Row],[alappatjoe]:[currydestroyer27]]), "TBD")</f>
        <v>1.4966629547095767</v>
      </c>
      <c r="H1963" s="135" t="s">
        <v>2148</v>
      </c>
      <c r="I1963" s="229" t="s">
        <v>3733</v>
      </c>
      <c r="J1963" s="3">
        <v>5</v>
      </c>
      <c r="K1963" s="3">
        <v>1</v>
      </c>
      <c r="L1963" s="3">
        <v>3</v>
      </c>
      <c r="M1963" s="3">
        <v>3</v>
      </c>
      <c r="N1963" s="3">
        <v>1</v>
      </c>
      <c r="O1963" s="238"/>
      <c r="P1963" s="93"/>
      <c r="Q1963" s="93"/>
      <c r="R19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63" s="93">
        <v>1</v>
      </c>
      <c r="T1963" s="93" t="b">
        <f>Data[[#This Row],[Day Rank]]=Data[[#This Row],[W Rank]]</f>
        <v>0</v>
      </c>
      <c r="U1963" s="323"/>
    </row>
    <row r="1964" spans="1:21" ht="15" customHeight="1">
      <c r="A1964" s="326"/>
      <c r="B1964" s="326"/>
      <c r="C1964" s="339"/>
      <c r="D1964" s="81">
        <f t="shared" si="397"/>
        <v>46170</v>
      </c>
      <c r="E1964" s="140" t="str">
        <f t="shared" si="398"/>
        <v>loganworsdell</v>
      </c>
      <c r="F1964" s="8">
        <f>IFERROR(AVERAGE(Data[[#This Row],[alappatjoe]:[currydestroyer27]]), "TBD")</f>
        <v>1.8</v>
      </c>
      <c r="G1964" s="177">
        <f>IFERROR(_xlfn.STDEV.P(Data[[#This Row],[alappatjoe]:[currydestroyer27]]), "TBD")</f>
        <v>0.74833147735478833</v>
      </c>
      <c r="H1964" s="135" t="s">
        <v>3734</v>
      </c>
      <c r="I1964" s="229" t="s">
        <v>1976</v>
      </c>
      <c r="J1964" s="3">
        <v>1</v>
      </c>
      <c r="K1964" s="3">
        <v>3</v>
      </c>
      <c r="L1964" s="3">
        <v>1</v>
      </c>
      <c r="M1964" s="3">
        <v>2</v>
      </c>
      <c r="N1964" s="3">
        <v>2</v>
      </c>
      <c r="O1964" s="238">
        <v>2275692459</v>
      </c>
      <c r="P1964" s="93"/>
      <c r="Q1964" s="93"/>
      <c r="R19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64" s="93">
        <v>1</v>
      </c>
      <c r="T1964" s="93" t="b">
        <f>Data[[#This Row],[Day Rank]]=Data[[#This Row],[W Rank]]</f>
        <v>1</v>
      </c>
      <c r="U1964" s="323"/>
    </row>
    <row r="1965" spans="1:21" ht="15" customHeight="1">
      <c r="A1965" s="326"/>
      <c r="B1965" s="326"/>
      <c r="C1965" s="339"/>
      <c r="D1965" s="81">
        <f t="shared" si="399"/>
        <v>46170</v>
      </c>
      <c r="E1965" s="140" t="str">
        <f t="shared" si="400"/>
        <v>samuelbattista</v>
      </c>
      <c r="F1965" s="8">
        <f>IFERROR(AVERAGE(Data[[#This Row],[alappatjoe]:[currydestroyer27]]), "TBD")</f>
        <v>2</v>
      </c>
      <c r="G1965" s="177">
        <f>IFERROR(_xlfn.STDEV.P(Data[[#This Row],[alappatjoe]:[currydestroyer27]]), "TBD")</f>
        <v>0.63245553203367588</v>
      </c>
      <c r="H1965" s="135" t="s">
        <v>3735</v>
      </c>
      <c r="I1965" s="229" t="s">
        <v>2632</v>
      </c>
      <c r="J1965" s="3">
        <v>2</v>
      </c>
      <c r="K1965" s="3">
        <v>2</v>
      </c>
      <c r="L1965" s="3">
        <v>2</v>
      </c>
      <c r="M1965" s="3">
        <v>1</v>
      </c>
      <c r="N1965" s="3">
        <v>3</v>
      </c>
      <c r="O1965" s="238"/>
      <c r="P1965" s="93"/>
      <c r="Q1965" s="93"/>
      <c r="R19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65" s="93">
        <v>1</v>
      </c>
      <c r="T1965" s="93" t="b">
        <f>Data[[#This Row],[Day Rank]]=Data[[#This Row],[W Rank]]</f>
        <v>0</v>
      </c>
      <c r="U1965" s="323"/>
    </row>
    <row r="1966" spans="1:21" ht="15" customHeight="1" thickBot="1">
      <c r="A1966" s="327"/>
      <c r="B1966" s="327"/>
      <c r="C1966" s="340"/>
      <c r="D1966" s="164">
        <f t="shared" si="401"/>
        <v>46170</v>
      </c>
      <c r="E1966" s="215" t="str">
        <f t="shared" si="402"/>
        <v>currydestroyer27</v>
      </c>
      <c r="F1966" s="165">
        <f>IFERROR(AVERAGE(Data[[#This Row],[alappatjoe]:[currydestroyer27]]), "TBD")</f>
        <v>4.5999999999999996</v>
      </c>
      <c r="G1966" s="256">
        <f>IFERROR(_xlfn.STDEV.P(Data[[#This Row],[alappatjoe]:[currydestroyer27]]), "TBD")</f>
        <v>0.4898979485566356</v>
      </c>
      <c r="H1966" s="227" t="s">
        <v>3736</v>
      </c>
      <c r="I1966" s="257" t="s">
        <v>3737</v>
      </c>
      <c r="J1966" s="166">
        <v>4</v>
      </c>
      <c r="K1966" s="166">
        <v>5</v>
      </c>
      <c r="L1966" s="166">
        <v>4</v>
      </c>
      <c r="M1966" s="166">
        <v>5</v>
      </c>
      <c r="N1966" s="166">
        <v>5</v>
      </c>
      <c r="O1966" s="242">
        <v>2748910</v>
      </c>
      <c r="P1966" s="167"/>
      <c r="Q1966" s="167"/>
      <c r="R196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66" s="167">
        <v>1</v>
      </c>
      <c r="T1966" s="167" t="b">
        <f>Data[[#This Row],[Day Rank]]=Data[[#This Row],[W Rank]]</f>
        <v>0</v>
      </c>
      <c r="U1966" s="324"/>
    </row>
    <row r="1967" spans="1:21" ht="15" customHeight="1">
      <c r="A1967" s="325">
        <v>46174</v>
      </c>
      <c r="B1967" s="325"/>
      <c r="C1967" s="328" t="str" cm="1">
        <f t="array" ref="C1967">_xlfn.LET(_xlpm.matches, _xlfn._xlws.FILTER(Data[Poster], (Data[Date]=A1967)*(Data[Winner]=TRUE)), IF(ROWS(_xlpm.matches)&gt;1, "TIE", _xlpm.matches))</f>
        <v>danram</v>
      </c>
      <c r="D1967" s="147">
        <f t="shared" ref="D1967" si="406">A1967</f>
        <v>46174</v>
      </c>
      <c r="E1967" s="181" t="str">
        <f t="shared" si="394"/>
        <v>alappatjoe</v>
      </c>
      <c r="F1967" s="8">
        <f>IFERROR(AVERAGE(Data[[#This Row],[alappatjoe]:[currydestroyer27]]), "TBD")</f>
        <v>3.2</v>
      </c>
      <c r="G1967" s="177">
        <f>IFERROR(_xlfn.STDEV.P(Data[[#This Row],[alappatjoe]:[currydestroyer27]]), "TBD")</f>
        <v>1.4696938456699069</v>
      </c>
      <c r="H1967" s="135" t="s">
        <v>3738</v>
      </c>
      <c r="I1967" s="229" t="s">
        <v>3739</v>
      </c>
      <c r="J1967" s="3">
        <v>1</v>
      </c>
      <c r="K1967" s="3">
        <v>4</v>
      </c>
      <c r="L1967" s="3">
        <v>2</v>
      </c>
      <c r="M1967" s="3">
        <v>5</v>
      </c>
      <c r="N1967" s="3">
        <v>4</v>
      </c>
      <c r="O1967" s="238">
        <v>3347651</v>
      </c>
      <c r="P1967" s="93"/>
      <c r="Q1967" s="93"/>
      <c r="R19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67" s="93">
        <v>1</v>
      </c>
      <c r="T1967" s="93" t="b">
        <f>Data[[#This Row],[Day Rank]]=Data[[#This Row],[W Rank]]</f>
        <v>0</v>
      </c>
      <c r="U1967" s="322"/>
    </row>
    <row r="1968" spans="1:21" ht="15" customHeight="1">
      <c r="A1968" s="326"/>
      <c r="B1968" s="326"/>
      <c r="C1968" s="329"/>
      <c r="D1968" s="81">
        <f t="shared" si="395"/>
        <v>46174</v>
      </c>
      <c r="E1968" s="140" t="str">
        <f t="shared" si="396"/>
        <v>danram</v>
      </c>
      <c r="F1968" s="8">
        <f>IFERROR(AVERAGE(Data[[#This Row],[alappatjoe]:[currydestroyer27]]), "TBD")</f>
        <v>2.4</v>
      </c>
      <c r="G1968" s="177">
        <f>IFERROR(_xlfn.STDEV.P(Data[[#This Row],[alappatjoe]:[currydestroyer27]]), "TBD")</f>
        <v>0.8</v>
      </c>
      <c r="H1968" s="135" t="s">
        <v>3740</v>
      </c>
      <c r="I1968" s="229" t="s">
        <v>3741</v>
      </c>
      <c r="J1968" s="3">
        <v>2</v>
      </c>
      <c r="K1968" s="3">
        <v>2</v>
      </c>
      <c r="L1968" s="3">
        <v>4</v>
      </c>
      <c r="M1968" s="3">
        <v>2</v>
      </c>
      <c r="N1968" s="3">
        <v>2</v>
      </c>
      <c r="O1968" s="238"/>
      <c r="P1968" s="93"/>
      <c r="Q1968" s="93"/>
      <c r="R19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68" s="93">
        <v>1</v>
      </c>
      <c r="T1968" s="93" t="b">
        <f>Data[[#This Row],[Day Rank]]=Data[[#This Row],[W Rank]]</f>
        <v>1</v>
      </c>
      <c r="U1968" s="323"/>
    </row>
    <row r="1969" spans="1:21" ht="15" customHeight="1">
      <c r="A1969" s="326"/>
      <c r="B1969" s="326"/>
      <c r="C1969" s="329"/>
      <c r="D1969" s="81">
        <f t="shared" si="397"/>
        <v>46174</v>
      </c>
      <c r="E1969" s="140" t="str">
        <f t="shared" si="398"/>
        <v>loganworsdell</v>
      </c>
      <c r="F1969" s="8">
        <f>IFERROR(AVERAGE(Data[[#This Row],[alappatjoe]:[currydestroyer27]]), "TBD")</f>
        <v>2.8</v>
      </c>
      <c r="G1969" s="177">
        <f>IFERROR(_xlfn.STDEV.P(Data[[#This Row],[alappatjoe]:[currydestroyer27]]), "TBD")</f>
        <v>1.6</v>
      </c>
      <c r="H1969" s="288" t="s">
        <v>3742</v>
      </c>
      <c r="I1969" s="229" t="s">
        <v>3743</v>
      </c>
      <c r="J1969" s="3">
        <v>5</v>
      </c>
      <c r="K1969" s="3">
        <v>1</v>
      </c>
      <c r="L1969" s="3">
        <v>1</v>
      </c>
      <c r="M1969" s="3">
        <v>4</v>
      </c>
      <c r="N1969" s="3">
        <v>3</v>
      </c>
      <c r="O1969" s="238">
        <v>2632819</v>
      </c>
      <c r="P1969" s="93"/>
      <c r="Q1969" s="93"/>
      <c r="R19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69" s="93">
        <v>1</v>
      </c>
      <c r="T1969" s="93" t="b">
        <f>Data[[#This Row],[Day Rank]]=Data[[#This Row],[W Rank]]</f>
        <v>0</v>
      </c>
      <c r="U1969" s="323"/>
    </row>
    <row r="1970" spans="1:21" ht="15" customHeight="1">
      <c r="A1970" s="326"/>
      <c r="B1970" s="326"/>
      <c r="C1970" s="329"/>
      <c r="D1970" s="81">
        <f t="shared" si="399"/>
        <v>46174</v>
      </c>
      <c r="E1970" s="140" t="str">
        <f t="shared" si="400"/>
        <v>samuelbattista</v>
      </c>
      <c r="F1970" s="8">
        <f>IFERROR(AVERAGE(Data[[#This Row],[alappatjoe]:[currydestroyer27]]), "TBD")</f>
        <v>3.8</v>
      </c>
      <c r="G1970" s="177">
        <f>IFERROR(_xlfn.STDEV.P(Data[[#This Row],[alappatjoe]:[currydestroyer27]]), "TBD")</f>
        <v>1.6</v>
      </c>
      <c r="H1970" s="135" t="s">
        <v>3744</v>
      </c>
      <c r="I1970" s="229" t="s">
        <v>1705</v>
      </c>
      <c r="J1970" s="3">
        <v>3</v>
      </c>
      <c r="K1970" s="3">
        <v>5</v>
      </c>
      <c r="L1970" s="3">
        <v>5</v>
      </c>
      <c r="M1970" s="3">
        <v>1</v>
      </c>
      <c r="N1970" s="3">
        <v>5</v>
      </c>
      <c r="O1970" s="238"/>
      <c r="P1970" s="93"/>
      <c r="Q1970" s="93"/>
      <c r="R19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70" s="93">
        <v>1</v>
      </c>
      <c r="T1970" s="93" t="b">
        <f>Data[[#This Row],[Day Rank]]=Data[[#This Row],[W Rank]]</f>
        <v>0</v>
      </c>
      <c r="U1970" s="323"/>
    </row>
    <row r="1971" spans="1:21" ht="15" customHeight="1" thickBot="1">
      <c r="A1971" s="327"/>
      <c r="B1971" s="327"/>
      <c r="C1971" s="330"/>
      <c r="D1971" s="164">
        <f t="shared" si="401"/>
        <v>46174</v>
      </c>
      <c r="E1971" s="215" t="str">
        <f t="shared" si="402"/>
        <v>currydestroyer27</v>
      </c>
      <c r="F1971" s="165">
        <f>IFERROR(AVERAGE(Data[[#This Row],[alappatjoe]:[currydestroyer27]]), "TBD")</f>
        <v>2.8</v>
      </c>
      <c r="G1971" s="256">
        <f>IFERROR(_xlfn.STDEV.P(Data[[#This Row],[alappatjoe]:[currydestroyer27]]), "TBD")</f>
        <v>0.9797958971132712</v>
      </c>
      <c r="H1971" s="227" t="s">
        <v>3745</v>
      </c>
      <c r="I1971" s="257" t="s">
        <v>3746</v>
      </c>
      <c r="J1971" s="166">
        <v>4</v>
      </c>
      <c r="K1971" s="166">
        <v>3</v>
      </c>
      <c r="L1971" s="166">
        <v>3</v>
      </c>
      <c r="M1971" s="166">
        <v>3</v>
      </c>
      <c r="N1971" s="166">
        <v>1</v>
      </c>
      <c r="O1971" s="242">
        <v>16221185</v>
      </c>
      <c r="P1971" s="167"/>
      <c r="Q1971" s="167"/>
      <c r="R197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71" s="167">
        <v>1</v>
      </c>
      <c r="T1971" s="167" t="b">
        <f>Data[[#This Row],[Day Rank]]=Data[[#This Row],[W Rank]]</f>
        <v>0</v>
      </c>
      <c r="U1971" s="324"/>
    </row>
    <row r="1972" spans="1:21" ht="15" customHeight="1">
      <c r="A1972" s="325">
        <v>46175</v>
      </c>
      <c r="B1972" s="325"/>
      <c r="C1972" s="338" t="str" cm="1">
        <f t="array" ref="C1972">_xlfn.LET(_xlpm.matches, _xlfn._xlws.FILTER(Data[Poster], (Data[Date]=A1972)*(Data[Winner]=TRUE)), IF(ROWS(_xlpm.matches)&gt;1, "TIE", _xlpm.matches))</f>
        <v>samuelbattista</v>
      </c>
      <c r="D1972" s="147">
        <f t="shared" ref="D1972" si="407">A1972</f>
        <v>46175</v>
      </c>
      <c r="E1972" s="181" t="str">
        <f t="shared" si="394"/>
        <v>alappatjoe</v>
      </c>
      <c r="F1972" s="9">
        <f>IFERROR(AVERAGE(Data[[#This Row],[alappatjoe]:[currydestroyer27]]), "TBD")</f>
        <v>3.6</v>
      </c>
      <c r="G1972" s="178">
        <f>IFERROR(_xlfn.STDEV.P(Data[[#This Row],[alappatjoe]:[currydestroyer27]]), "TBD")</f>
        <v>1.7435595774162693</v>
      </c>
      <c r="H1972" s="160" t="s">
        <v>3747</v>
      </c>
      <c r="I1972" s="186" t="s">
        <v>3748</v>
      </c>
      <c r="J1972" s="3">
        <v>1</v>
      </c>
      <c r="K1972" s="3">
        <v>5</v>
      </c>
      <c r="L1972" s="3">
        <v>5</v>
      </c>
      <c r="M1972" s="3">
        <v>5</v>
      </c>
      <c r="N1972" s="3">
        <v>2</v>
      </c>
      <c r="O1972" s="238">
        <v>1072094</v>
      </c>
      <c r="P1972" s="93"/>
      <c r="Q1972" s="93"/>
      <c r="R19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72" s="93">
        <v>1</v>
      </c>
      <c r="T1972" s="93" t="b">
        <f>Data[[#This Row],[Day Rank]]=Data[[#This Row],[W Rank]]</f>
        <v>0</v>
      </c>
      <c r="U1972" s="322"/>
    </row>
    <row r="1973" spans="1:21" ht="15" customHeight="1">
      <c r="A1973" s="326"/>
      <c r="B1973" s="326"/>
      <c r="C1973" s="339"/>
      <c r="D1973" s="81">
        <f t="shared" si="395"/>
        <v>46175</v>
      </c>
      <c r="E1973" s="140" t="str">
        <f t="shared" si="396"/>
        <v>danram</v>
      </c>
      <c r="F1973" s="8">
        <f>IFERROR(AVERAGE(Data[[#This Row],[alappatjoe]:[currydestroyer27]]), "TBD")</f>
        <v>3.2</v>
      </c>
      <c r="G1973" s="177">
        <f>IFERROR(_xlfn.STDEV.P(Data[[#This Row],[alappatjoe]:[currydestroyer27]]), "TBD")</f>
        <v>1.1661903789690602</v>
      </c>
      <c r="H1973" s="135" t="s">
        <v>3749</v>
      </c>
      <c r="I1973" s="229" t="s">
        <v>361</v>
      </c>
      <c r="J1973" s="3">
        <v>2</v>
      </c>
      <c r="K1973" s="3">
        <v>2</v>
      </c>
      <c r="L1973" s="3">
        <v>4</v>
      </c>
      <c r="M1973" s="3">
        <v>3</v>
      </c>
      <c r="N1973" s="3">
        <v>5</v>
      </c>
      <c r="O1973" s="238"/>
      <c r="P1973" s="93"/>
      <c r="Q1973" s="93"/>
      <c r="R19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73" s="93">
        <v>1</v>
      </c>
      <c r="T1973" s="93" t="b">
        <f>Data[[#This Row],[Day Rank]]=Data[[#This Row],[W Rank]]</f>
        <v>0</v>
      </c>
      <c r="U1973" s="323"/>
    </row>
    <row r="1974" spans="1:21" ht="15" customHeight="1">
      <c r="A1974" s="326"/>
      <c r="B1974" s="326"/>
      <c r="C1974" s="339"/>
      <c r="D1974" s="81">
        <f t="shared" si="397"/>
        <v>46175</v>
      </c>
      <c r="E1974" s="140" t="str">
        <f t="shared" si="398"/>
        <v>loganworsdell</v>
      </c>
      <c r="F1974" s="8">
        <f>IFERROR(AVERAGE(Data[[#This Row],[alappatjoe]:[currydestroyer27]]), "TBD")</f>
        <v>2.8</v>
      </c>
      <c r="G1974" s="177">
        <f>IFERROR(_xlfn.STDEV.P(Data[[#This Row],[alappatjoe]:[currydestroyer27]]), "TBD")</f>
        <v>1.4696938456699069</v>
      </c>
      <c r="H1974" s="135" t="s">
        <v>3750</v>
      </c>
      <c r="I1974" s="229" t="s">
        <v>3751</v>
      </c>
      <c r="J1974" s="3">
        <v>5</v>
      </c>
      <c r="K1974" s="3">
        <v>1</v>
      </c>
      <c r="L1974" s="3">
        <v>2</v>
      </c>
      <c r="M1974" s="3">
        <v>2</v>
      </c>
      <c r="N1974" s="3">
        <v>4</v>
      </c>
      <c r="O1974" s="238">
        <v>17471</v>
      </c>
      <c r="P1974" s="93"/>
      <c r="Q1974" s="93"/>
      <c r="R19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74" s="93">
        <v>1</v>
      </c>
      <c r="T1974" s="93" t="b">
        <f>Data[[#This Row],[Day Rank]]=Data[[#This Row],[W Rank]]</f>
        <v>0</v>
      </c>
      <c r="U1974" s="323"/>
    </row>
    <row r="1975" spans="1:21" ht="15" customHeight="1">
      <c r="A1975" s="326"/>
      <c r="B1975" s="326"/>
      <c r="C1975" s="339"/>
      <c r="D1975" s="81">
        <f t="shared" si="399"/>
        <v>46175</v>
      </c>
      <c r="E1975" s="140" t="str">
        <f t="shared" si="400"/>
        <v>samuelbattista</v>
      </c>
      <c r="F1975" s="8">
        <f>IFERROR(AVERAGE(Data[[#This Row],[alappatjoe]:[currydestroyer27]]), "TBD")</f>
        <v>2.6</v>
      </c>
      <c r="G1975" s="177">
        <f>IFERROR(_xlfn.STDEV.P(Data[[#This Row],[alappatjoe]:[currydestroyer27]]), "TBD")</f>
        <v>0.8</v>
      </c>
      <c r="H1975" s="135" t="s">
        <v>3752</v>
      </c>
      <c r="I1975" s="229" t="s">
        <v>1061</v>
      </c>
      <c r="J1975" s="3">
        <v>3</v>
      </c>
      <c r="K1975" s="3">
        <v>3</v>
      </c>
      <c r="L1975" s="3">
        <v>3</v>
      </c>
      <c r="M1975" s="3">
        <v>1</v>
      </c>
      <c r="N1975" s="3">
        <v>3</v>
      </c>
      <c r="O1975" s="238"/>
      <c r="P1975" s="93"/>
      <c r="Q1975" s="93"/>
      <c r="R19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75" s="93">
        <v>1</v>
      </c>
      <c r="T1975" s="93" t="b">
        <f>Data[[#This Row],[Day Rank]]=Data[[#This Row],[W Rank]]</f>
        <v>1</v>
      </c>
      <c r="U1975" s="323"/>
    </row>
    <row r="1976" spans="1:21" ht="15" customHeight="1" thickBot="1">
      <c r="A1976" s="327"/>
      <c r="B1976" s="327"/>
      <c r="C1976" s="340"/>
      <c r="D1976" s="164">
        <f t="shared" si="401"/>
        <v>46175</v>
      </c>
      <c r="E1976" s="215" t="str">
        <f t="shared" si="402"/>
        <v>currydestroyer27</v>
      </c>
      <c r="F1976" s="165">
        <f>IFERROR(AVERAGE(Data[[#This Row],[alappatjoe]:[currydestroyer27]]), "TBD")</f>
        <v>2.8</v>
      </c>
      <c r="G1976" s="256">
        <f>IFERROR(_xlfn.STDEV.P(Data[[#This Row],[alappatjoe]:[currydestroyer27]]), "TBD")</f>
        <v>1.4696938456699069</v>
      </c>
      <c r="H1976" s="227" t="s">
        <v>3753</v>
      </c>
      <c r="I1976" s="257" t="s">
        <v>3754</v>
      </c>
      <c r="J1976" s="166">
        <v>4</v>
      </c>
      <c r="K1976" s="166">
        <v>4</v>
      </c>
      <c r="L1976" s="166">
        <v>1</v>
      </c>
      <c r="M1976" s="166">
        <v>4</v>
      </c>
      <c r="N1976" s="166">
        <v>1</v>
      </c>
      <c r="O1976" s="242">
        <v>892181</v>
      </c>
      <c r="P1976" s="167"/>
      <c r="Q1976" s="167"/>
      <c r="R197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76" s="167">
        <v>1</v>
      </c>
      <c r="T1976" s="167" t="b">
        <f>Data[[#This Row],[Day Rank]]=Data[[#This Row],[W Rank]]</f>
        <v>0</v>
      </c>
      <c r="U1976" s="324"/>
    </row>
    <row r="1977" spans="1:21" ht="15" customHeight="1">
      <c r="A1977" s="325">
        <v>46176</v>
      </c>
      <c r="B1977" s="325"/>
      <c r="C1977" s="328" t="str" cm="1">
        <f t="array" ref="C1977">_xlfn.LET(_xlpm.matches, _xlfn._xlws.FILTER(Data[Poster], (Data[Date]=A1977)*(Data[Winner]=TRUE)), IF(ROWS(_xlpm.matches)&gt;1, "TIE", _xlpm.matches))</f>
        <v>loganworsdell</v>
      </c>
      <c r="D1977" s="147">
        <f t="shared" ref="D1977" si="408">A1977</f>
        <v>46176</v>
      </c>
      <c r="E1977" s="181" t="str">
        <f t="shared" si="394"/>
        <v>alappatjoe</v>
      </c>
      <c r="F1977" s="9">
        <f>IFERROR(AVERAGE(Data[[#This Row],[alappatjoe]:[currydestroyer27]]), "TBD")</f>
        <v>2.6</v>
      </c>
      <c r="G1977" s="178">
        <f>IFERROR(_xlfn.STDEV.P(Data[[#This Row],[alappatjoe]:[currydestroyer27]]), "TBD")</f>
        <v>1.3564659966250536</v>
      </c>
      <c r="H1977" s="160" t="s">
        <v>3755</v>
      </c>
      <c r="I1977" s="186" t="s">
        <v>3756</v>
      </c>
      <c r="J1977" s="3">
        <v>1</v>
      </c>
      <c r="K1977" s="3">
        <v>5</v>
      </c>
      <c r="L1977" s="3">
        <v>2</v>
      </c>
      <c r="M1977" s="3">
        <v>3</v>
      </c>
      <c r="N1977" s="3">
        <v>2</v>
      </c>
      <c r="O1977" s="238">
        <v>50254</v>
      </c>
      <c r="P1977" s="93"/>
      <c r="Q1977" s="93"/>
      <c r="R19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77" s="93">
        <v>1</v>
      </c>
      <c r="T1977" s="93" t="b">
        <f>Data[[#This Row],[Day Rank]]=Data[[#This Row],[W Rank]]</f>
        <v>0</v>
      </c>
      <c r="U1977" s="322"/>
    </row>
    <row r="1978" spans="1:21" ht="15" customHeight="1">
      <c r="A1978" s="326"/>
      <c r="B1978" s="326"/>
      <c r="C1978" s="329"/>
      <c r="D1978" s="81">
        <f t="shared" si="395"/>
        <v>46176</v>
      </c>
      <c r="E1978" s="140" t="str">
        <f t="shared" si="396"/>
        <v>danram</v>
      </c>
      <c r="F1978" s="8">
        <f>IFERROR(AVERAGE(Data[[#This Row],[alappatjoe]:[currydestroyer27]]), "TBD")</f>
        <v>4.2</v>
      </c>
      <c r="G1978" s="177">
        <f>IFERROR(_xlfn.STDEV.P(Data[[#This Row],[alappatjoe]:[currydestroyer27]]), "TBD")</f>
        <v>0.9797958971132712</v>
      </c>
      <c r="H1978" s="135" t="s">
        <v>3757</v>
      </c>
      <c r="I1978" s="229" t="s">
        <v>3758</v>
      </c>
      <c r="J1978" s="3">
        <v>3</v>
      </c>
      <c r="K1978" s="3">
        <v>3</v>
      </c>
      <c r="L1978" s="3">
        <v>5</v>
      </c>
      <c r="M1978" s="3">
        <v>5</v>
      </c>
      <c r="N1978" s="3">
        <v>5</v>
      </c>
      <c r="O1978" s="238"/>
      <c r="P1978" s="93"/>
      <c r="Q1978" s="93"/>
      <c r="R19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78" s="93">
        <v>1</v>
      </c>
      <c r="T1978" s="93" t="b">
        <f>Data[[#This Row],[Day Rank]]=Data[[#This Row],[W Rank]]</f>
        <v>0</v>
      </c>
      <c r="U1978" s="323"/>
    </row>
    <row r="1979" spans="1:21" ht="15" customHeight="1">
      <c r="A1979" s="326"/>
      <c r="B1979" s="326"/>
      <c r="C1979" s="329"/>
      <c r="D1979" s="81">
        <f t="shared" si="397"/>
        <v>46176</v>
      </c>
      <c r="E1979" s="140" t="str">
        <f t="shared" si="398"/>
        <v>loganworsdell</v>
      </c>
      <c r="F1979" s="8">
        <f>IFERROR(AVERAGE(Data[[#This Row],[alappatjoe]:[currydestroyer27]]), "TBD")</f>
        <v>1.6</v>
      </c>
      <c r="G1979" s="177">
        <f>IFERROR(_xlfn.STDEV.P(Data[[#This Row],[alappatjoe]:[currydestroyer27]]), "TBD")</f>
        <v>0.8</v>
      </c>
      <c r="H1979" s="135" t="s">
        <v>3759</v>
      </c>
      <c r="I1979" s="229" t="s">
        <v>3687</v>
      </c>
      <c r="J1979" s="3">
        <v>2</v>
      </c>
      <c r="K1979" s="3">
        <v>1</v>
      </c>
      <c r="L1979" s="3">
        <v>1</v>
      </c>
      <c r="M1979" s="3">
        <v>1</v>
      </c>
      <c r="N1979" s="3">
        <v>3</v>
      </c>
      <c r="O1979" s="238">
        <v>36103599</v>
      </c>
      <c r="P1979" s="93"/>
      <c r="Q1979" s="93"/>
      <c r="R19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79" s="93">
        <v>1</v>
      </c>
      <c r="T1979" s="93" t="b">
        <f>Data[[#This Row],[Day Rank]]=Data[[#This Row],[W Rank]]</f>
        <v>1</v>
      </c>
      <c r="U1979" s="323"/>
    </row>
    <row r="1980" spans="1:21" ht="15" customHeight="1">
      <c r="A1980" s="326"/>
      <c r="B1980" s="326"/>
      <c r="C1980" s="329"/>
      <c r="D1980" s="81">
        <f t="shared" si="399"/>
        <v>46176</v>
      </c>
      <c r="E1980" s="140" t="str">
        <f t="shared" si="400"/>
        <v>samuelbattista</v>
      </c>
      <c r="F1980" s="8">
        <f>IFERROR(AVERAGE(Data[[#This Row],[alappatjoe]:[currydestroyer27]]), "TBD")</f>
        <v>3.6</v>
      </c>
      <c r="G1980" s="177">
        <f>IFERROR(_xlfn.STDEV.P(Data[[#This Row],[alappatjoe]:[currydestroyer27]]), "TBD")</f>
        <v>1.019803902718557</v>
      </c>
      <c r="H1980" s="135" t="s">
        <v>3760</v>
      </c>
      <c r="I1980" s="229" t="s">
        <v>3761</v>
      </c>
      <c r="J1980" s="3">
        <v>5</v>
      </c>
      <c r="K1980" s="3">
        <v>4</v>
      </c>
      <c r="L1980" s="3">
        <v>3</v>
      </c>
      <c r="M1980" s="3">
        <v>2</v>
      </c>
      <c r="N1980" s="3">
        <v>4</v>
      </c>
      <c r="O1980" s="238"/>
      <c r="P1980" s="93"/>
      <c r="Q1980" s="93"/>
      <c r="R19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80" s="93">
        <v>1</v>
      </c>
      <c r="T1980" s="93" t="b">
        <f>Data[[#This Row],[Day Rank]]=Data[[#This Row],[W Rank]]</f>
        <v>0</v>
      </c>
      <c r="U1980" s="323"/>
    </row>
    <row r="1981" spans="1:21" ht="15" customHeight="1" thickBot="1">
      <c r="A1981" s="327"/>
      <c r="B1981" s="327"/>
      <c r="C1981" s="330"/>
      <c r="D1981" s="164">
        <f t="shared" si="401"/>
        <v>46176</v>
      </c>
      <c r="E1981" s="215" t="str">
        <f t="shared" si="402"/>
        <v>currydestroyer27</v>
      </c>
      <c r="F1981" s="165">
        <f>IFERROR(AVERAGE(Data[[#This Row],[alappatjoe]:[currydestroyer27]]), "TBD")</f>
        <v>3</v>
      </c>
      <c r="G1981" s="256">
        <f>IFERROR(_xlfn.STDEV.P(Data[[#This Row],[alappatjoe]:[currydestroyer27]]), "TBD")</f>
        <v>1.2649110640673518</v>
      </c>
      <c r="H1981" s="227" t="s">
        <v>3762</v>
      </c>
      <c r="I1981" s="257" t="s">
        <v>3763</v>
      </c>
      <c r="J1981" s="166">
        <v>4</v>
      </c>
      <c r="K1981" s="166">
        <v>2</v>
      </c>
      <c r="L1981" s="166">
        <v>4</v>
      </c>
      <c r="M1981" s="166">
        <v>4</v>
      </c>
      <c r="N1981" s="166">
        <v>1</v>
      </c>
      <c r="O1981" s="242">
        <v>1138755414</v>
      </c>
      <c r="P1981" s="167"/>
      <c r="Q1981" s="167"/>
      <c r="R198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81" s="167">
        <v>1</v>
      </c>
      <c r="T1981" s="167" t="b">
        <f>Data[[#This Row],[Day Rank]]=Data[[#This Row],[W Rank]]</f>
        <v>0</v>
      </c>
      <c r="U1981" s="324"/>
    </row>
    <row r="1982" spans="1:21" ht="15" customHeight="1">
      <c r="A1982" s="325">
        <v>46177</v>
      </c>
      <c r="B1982" s="325"/>
      <c r="C1982" s="338" t="str" cm="1">
        <f t="array" ref="C1982">_xlfn.LET(_xlpm.matches, _xlfn._xlws.FILTER(Data[Poster], (Data[Date]=A1982)*(Data[Winner]=TRUE)), IF(ROWS(_xlpm.matches)&gt;1, "TIE", _xlpm.matches))</f>
        <v>loganworsdell</v>
      </c>
      <c r="D1982" s="147">
        <f t="shared" ref="D1982" si="409">A1982</f>
        <v>46177</v>
      </c>
      <c r="E1982" s="181" t="str">
        <f t="shared" si="394"/>
        <v>alappatjoe</v>
      </c>
      <c r="F1982" s="9">
        <f>IFERROR(AVERAGE(Data[[#This Row],[alappatjoe]:[currydestroyer27]]), "TBD")</f>
        <v>3.4</v>
      </c>
      <c r="G1982" s="178">
        <f>IFERROR(_xlfn.STDEV.P(Data[[#This Row],[alappatjoe]:[currydestroyer27]]), "TBD")</f>
        <v>1.3564659966250536</v>
      </c>
      <c r="H1982" s="160" t="s">
        <v>3764</v>
      </c>
      <c r="I1982" s="186" t="s">
        <v>3765</v>
      </c>
      <c r="J1982" s="3">
        <v>1</v>
      </c>
      <c r="K1982" s="3">
        <v>4</v>
      </c>
      <c r="L1982" s="3">
        <v>4</v>
      </c>
      <c r="M1982" s="3">
        <v>5</v>
      </c>
      <c r="N1982" s="3">
        <v>3</v>
      </c>
      <c r="O1982" s="238">
        <v>1865294672</v>
      </c>
      <c r="P1982" s="93"/>
      <c r="Q1982" s="93"/>
      <c r="R19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82" s="93">
        <v>1</v>
      </c>
      <c r="T1982" s="93" t="b">
        <f>Data[[#This Row],[Day Rank]]=Data[[#This Row],[W Rank]]</f>
        <v>0</v>
      </c>
      <c r="U1982" s="322" t="s">
        <v>3766</v>
      </c>
    </row>
    <row r="1983" spans="1:21" ht="15" customHeight="1">
      <c r="A1983" s="326"/>
      <c r="B1983" s="326"/>
      <c r="C1983" s="339"/>
      <c r="D1983" s="81">
        <f t="shared" si="395"/>
        <v>46177</v>
      </c>
      <c r="E1983" s="140" t="str">
        <f t="shared" si="396"/>
        <v>danram</v>
      </c>
      <c r="F1983" s="8">
        <f>IFERROR(AVERAGE(Data[[#This Row],[alappatjoe]:[currydestroyer27]]), "TBD")</f>
        <v>3.6</v>
      </c>
      <c r="G1983" s="177">
        <f>IFERROR(_xlfn.STDEV.P(Data[[#This Row],[alappatjoe]:[currydestroyer27]]), "TBD")</f>
        <v>1.019803902718557</v>
      </c>
      <c r="H1983" s="135" t="s">
        <v>3767</v>
      </c>
      <c r="I1983" s="229" t="s">
        <v>3768</v>
      </c>
      <c r="J1983" s="3">
        <v>5</v>
      </c>
      <c r="K1983" s="3">
        <v>2</v>
      </c>
      <c r="L1983" s="3">
        <v>3</v>
      </c>
      <c r="M1983" s="3">
        <v>4</v>
      </c>
      <c r="N1983" s="299">
        <v>4</v>
      </c>
      <c r="O1983" s="300">
        <v>1902534062</v>
      </c>
      <c r="P1983" s="234"/>
      <c r="Q1983" s="93"/>
      <c r="R19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83" s="93">
        <v>1</v>
      </c>
      <c r="T1983" s="93" t="b">
        <f>Data[[#This Row],[Day Rank]]=Data[[#This Row],[W Rank]]</f>
        <v>0</v>
      </c>
      <c r="U1983" s="323"/>
    </row>
    <row r="1984" spans="1:21" ht="15" customHeight="1">
      <c r="A1984" s="326"/>
      <c r="B1984" s="326"/>
      <c r="C1984" s="339"/>
      <c r="D1984" s="81">
        <f t="shared" si="397"/>
        <v>46177</v>
      </c>
      <c r="E1984" s="140" t="str">
        <f t="shared" si="398"/>
        <v>loganworsdell</v>
      </c>
      <c r="F1984" s="8">
        <f>IFERROR(AVERAGE(Data[[#This Row],[alappatjoe]:[currydestroyer27]]), "TBD")</f>
        <v>1.8</v>
      </c>
      <c r="G1984" s="177">
        <f>IFERROR(_xlfn.STDEV.P(Data[[#This Row],[alappatjoe]:[currydestroyer27]]), "TBD")</f>
        <v>0.9797958971132712</v>
      </c>
      <c r="H1984" s="135" t="s">
        <v>3769</v>
      </c>
      <c r="I1984" s="229" t="s">
        <v>3770</v>
      </c>
      <c r="J1984" s="3">
        <v>3</v>
      </c>
      <c r="K1984" s="3">
        <v>1</v>
      </c>
      <c r="L1984" s="3">
        <v>1</v>
      </c>
      <c r="M1984" s="3">
        <v>3</v>
      </c>
      <c r="N1984" s="3">
        <v>1</v>
      </c>
      <c r="O1984" s="238">
        <v>778901810</v>
      </c>
      <c r="P1984" s="93"/>
      <c r="Q1984" s="93"/>
      <c r="R19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84" s="93">
        <v>1</v>
      </c>
      <c r="T1984" s="93" t="b">
        <f>Data[[#This Row],[Day Rank]]=Data[[#This Row],[W Rank]]</f>
        <v>1</v>
      </c>
      <c r="U1984" s="323"/>
    </row>
    <row r="1985" spans="1:21" ht="15" customHeight="1">
      <c r="A1985" s="326"/>
      <c r="B1985" s="326"/>
      <c r="C1985" s="339"/>
      <c r="D1985" s="81">
        <f t="shared" si="399"/>
        <v>46177</v>
      </c>
      <c r="E1985" s="140" t="str">
        <f t="shared" si="400"/>
        <v>samuelbattista</v>
      </c>
      <c r="F1985" s="8">
        <f>IFERROR(AVERAGE(Data[[#This Row],[alappatjoe]:[currydestroyer27]]), "TBD")</f>
        <v>3.2</v>
      </c>
      <c r="G1985" s="177">
        <f>IFERROR(_xlfn.STDEV.P(Data[[#This Row],[alappatjoe]:[currydestroyer27]]), "TBD")</f>
        <v>1.6</v>
      </c>
      <c r="H1985" s="135" t="s">
        <v>3771</v>
      </c>
      <c r="I1985" s="229" t="s">
        <v>1110</v>
      </c>
      <c r="J1985" s="3">
        <v>2</v>
      </c>
      <c r="K1985" s="3">
        <v>3</v>
      </c>
      <c r="L1985" s="3">
        <v>5</v>
      </c>
      <c r="M1985" s="3">
        <v>1</v>
      </c>
      <c r="N1985" s="3">
        <v>5</v>
      </c>
      <c r="O1985" s="238">
        <v>24281451</v>
      </c>
      <c r="P1985" s="93"/>
      <c r="Q1985" s="93"/>
      <c r="R19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85" s="93">
        <v>1</v>
      </c>
      <c r="T1985" s="93" t="b">
        <f>Data[[#This Row],[Day Rank]]=Data[[#This Row],[W Rank]]</f>
        <v>0</v>
      </c>
      <c r="U1985" s="323"/>
    </row>
    <row r="1986" spans="1:21" ht="15" customHeight="1" thickBot="1">
      <c r="A1986" s="327"/>
      <c r="B1986" s="327"/>
      <c r="C1986" s="340"/>
      <c r="D1986" s="164">
        <f t="shared" si="401"/>
        <v>46177</v>
      </c>
      <c r="E1986" s="215" t="str">
        <f t="shared" si="402"/>
        <v>currydestroyer27</v>
      </c>
      <c r="F1986" s="165">
        <f>IFERROR(AVERAGE(Data[[#This Row],[alappatjoe]:[currydestroyer27]]), "TBD")</f>
        <v>3</v>
      </c>
      <c r="G1986" s="256">
        <f>IFERROR(_xlfn.STDEV.P(Data[[#This Row],[alappatjoe]:[currydestroyer27]]), "TBD")</f>
        <v>1.2649110640673518</v>
      </c>
      <c r="H1986" s="227" t="s">
        <v>3772</v>
      </c>
      <c r="I1986" s="257" t="s">
        <v>3773</v>
      </c>
      <c r="J1986" s="166">
        <v>4</v>
      </c>
      <c r="K1986" s="166">
        <v>5</v>
      </c>
      <c r="L1986" s="166">
        <v>2</v>
      </c>
      <c r="M1986" s="166">
        <v>2</v>
      </c>
      <c r="N1986" s="166">
        <v>2</v>
      </c>
      <c r="O1986" s="242">
        <v>1032268266</v>
      </c>
      <c r="P1986" s="167"/>
      <c r="Q1986" s="167"/>
      <c r="R198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86" s="167">
        <v>1</v>
      </c>
      <c r="T1986" s="167" t="b">
        <f>Data[[#This Row],[Day Rank]]=Data[[#This Row],[W Rank]]</f>
        <v>0</v>
      </c>
      <c r="U1986" s="324"/>
    </row>
    <row r="1987" spans="1:21" ht="15" customHeight="1">
      <c r="A1987" s="325">
        <v>46181</v>
      </c>
      <c r="B1987" s="325"/>
      <c r="C1987" s="328" t="str" cm="1">
        <f t="array" ref="C1987">_xlfn.LET(_xlpm.matches, _xlfn._xlws.FILTER(Data[Poster], (Data[Date]=A1987)*(Data[Winner]=TRUE)), IF(ROWS(_xlpm.matches)&gt;1, "TIE", _xlpm.matches))</f>
        <v>danram</v>
      </c>
      <c r="D1987" s="147">
        <f t="shared" ref="D1987" si="410">A1987</f>
        <v>46181</v>
      </c>
      <c r="E1987" s="181" t="str">
        <f t="shared" ref="E1987:E2022" si="411">$J$1</f>
        <v>alappatjoe</v>
      </c>
      <c r="F1987" s="8">
        <f>IFERROR(AVERAGE(Data[[#This Row],[alappatjoe]:[currydestroyer27]]), "TBD")</f>
        <v>2.8</v>
      </c>
      <c r="G1987" s="177">
        <f>IFERROR(_xlfn.STDEV.P(Data[[#This Row],[alappatjoe]:[currydestroyer27]]), "TBD")</f>
        <v>1.1661903789690602</v>
      </c>
      <c r="H1987" s="135" t="s">
        <v>3774</v>
      </c>
      <c r="I1987" s="229" t="s">
        <v>3775</v>
      </c>
      <c r="J1987" s="3">
        <v>1</v>
      </c>
      <c r="K1987" s="3">
        <v>4</v>
      </c>
      <c r="L1987" s="3">
        <v>3</v>
      </c>
      <c r="M1987" s="3">
        <v>4</v>
      </c>
      <c r="N1987" s="3">
        <v>2</v>
      </c>
      <c r="O1987" s="238">
        <v>853914738</v>
      </c>
      <c r="P1987" s="93"/>
      <c r="Q1987" s="93"/>
      <c r="R19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87" s="93">
        <v>1</v>
      </c>
      <c r="T1987" s="93" t="b">
        <f>Data[[#This Row],[Day Rank]]=Data[[#This Row],[W Rank]]</f>
        <v>0</v>
      </c>
      <c r="U1987" s="322"/>
    </row>
    <row r="1988" spans="1:21" ht="15" customHeight="1">
      <c r="A1988" s="326"/>
      <c r="B1988" s="326"/>
      <c r="C1988" s="329"/>
      <c r="D1988" s="81">
        <f t="shared" ref="D1988:D2023" si="412">D1987</f>
        <v>46181</v>
      </c>
      <c r="E1988" s="140" t="str">
        <f t="shared" ref="E1988:E2023" si="413">$K$1</f>
        <v>danram</v>
      </c>
      <c r="F1988" s="8">
        <f>IFERROR(AVERAGE(Data[[#This Row],[alappatjoe]:[currydestroyer27]]), "TBD")</f>
        <v>1.6</v>
      </c>
      <c r="G1988" s="177">
        <f>IFERROR(_xlfn.STDEV.P(Data[[#This Row],[alappatjoe]:[currydestroyer27]]), "TBD")</f>
        <v>1.2</v>
      </c>
      <c r="H1988" s="135" t="s">
        <v>3776</v>
      </c>
      <c r="I1988" s="229" t="s">
        <v>3777</v>
      </c>
      <c r="J1988" s="3">
        <v>4</v>
      </c>
      <c r="K1988" s="3">
        <v>1</v>
      </c>
      <c r="L1988" s="3">
        <v>1</v>
      </c>
      <c r="M1988" s="3">
        <v>1</v>
      </c>
      <c r="N1988" s="3">
        <v>1</v>
      </c>
      <c r="O1988" s="238"/>
      <c r="P1988" s="93"/>
      <c r="Q1988" s="93"/>
      <c r="R19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88" s="93">
        <v>1</v>
      </c>
      <c r="T1988" s="93" t="b">
        <f>Data[[#This Row],[Day Rank]]=Data[[#This Row],[W Rank]]</f>
        <v>1</v>
      </c>
      <c r="U1988" s="323"/>
    </row>
    <row r="1989" spans="1:21" ht="15" customHeight="1">
      <c r="A1989" s="326"/>
      <c r="B1989" s="326"/>
      <c r="C1989" s="329"/>
      <c r="D1989" s="81">
        <f t="shared" ref="D1989:D2024" si="414">D1987</f>
        <v>46181</v>
      </c>
      <c r="E1989" s="140" t="str">
        <f t="shared" ref="E1989:E2024" si="415">$L$1</f>
        <v>loganworsdell</v>
      </c>
      <c r="F1989" s="8">
        <f>IFERROR(AVERAGE(Data[[#This Row],[alappatjoe]:[currydestroyer27]]), "TBD")</f>
        <v>3</v>
      </c>
      <c r="G1989" s="177">
        <f>IFERROR(_xlfn.STDEV.P(Data[[#This Row],[alappatjoe]:[currydestroyer27]]), "TBD")</f>
        <v>1.0954451150103321</v>
      </c>
      <c r="H1989" s="288" t="s">
        <v>3778</v>
      </c>
      <c r="I1989" s="229" t="s">
        <v>3779</v>
      </c>
      <c r="J1989" s="3">
        <v>3</v>
      </c>
      <c r="K1989" s="3">
        <v>2</v>
      </c>
      <c r="L1989" s="3">
        <v>2</v>
      </c>
      <c r="M1989" s="3">
        <v>3</v>
      </c>
      <c r="N1989" s="3">
        <v>5</v>
      </c>
      <c r="O1989" s="238">
        <v>284522</v>
      </c>
      <c r="P1989" s="93"/>
      <c r="Q1989" s="93"/>
      <c r="R19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89" s="93">
        <v>1</v>
      </c>
      <c r="T1989" s="93" t="b">
        <f>Data[[#This Row],[Day Rank]]=Data[[#This Row],[W Rank]]</f>
        <v>0</v>
      </c>
      <c r="U1989" s="323"/>
    </row>
    <row r="1990" spans="1:21" ht="15" customHeight="1">
      <c r="A1990" s="326"/>
      <c r="B1990" s="326"/>
      <c r="C1990" s="329"/>
      <c r="D1990" s="81">
        <f t="shared" ref="D1990:D2025" si="416">D1987</f>
        <v>46181</v>
      </c>
      <c r="E1990" s="140" t="str">
        <f t="shared" ref="E1990:E2025" si="417">$M$1</f>
        <v>samuelbattista</v>
      </c>
      <c r="F1990" s="8">
        <f>IFERROR(AVERAGE(Data[[#This Row],[alappatjoe]:[currydestroyer27]]), "TBD")</f>
        <v>2.8</v>
      </c>
      <c r="G1990" s="177">
        <f>IFERROR(_xlfn.STDEV.P(Data[[#This Row],[alappatjoe]:[currydestroyer27]]), "TBD")</f>
        <v>0.74833147735478833</v>
      </c>
      <c r="H1990" s="135" t="s">
        <v>3780</v>
      </c>
      <c r="I1990" s="229" t="s">
        <v>3781</v>
      </c>
      <c r="J1990" s="3">
        <v>2</v>
      </c>
      <c r="K1990" s="3">
        <v>3</v>
      </c>
      <c r="L1990" s="3">
        <v>4</v>
      </c>
      <c r="M1990" s="3">
        <v>2</v>
      </c>
      <c r="N1990" s="3">
        <v>3</v>
      </c>
      <c r="O1990" s="238"/>
      <c r="P1990" s="93"/>
      <c r="Q1990" s="93"/>
      <c r="R19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90" s="93">
        <v>1</v>
      </c>
      <c r="T1990" s="93" t="b">
        <f>Data[[#This Row],[Day Rank]]=Data[[#This Row],[W Rank]]</f>
        <v>0</v>
      </c>
      <c r="U1990" s="323"/>
    </row>
    <row r="1991" spans="1:21" ht="15" customHeight="1" thickBot="1">
      <c r="A1991" s="327"/>
      <c r="B1991" s="327"/>
      <c r="C1991" s="330"/>
      <c r="D1991" s="164">
        <f t="shared" ref="D1991:D2026" si="418">D1987</f>
        <v>46181</v>
      </c>
      <c r="E1991" s="215" t="str">
        <f t="shared" ref="E1991:E2026" si="419">$N$1</f>
        <v>currydestroyer27</v>
      </c>
      <c r="F1991" s="165">
        <f>IFERROR(AVERAGE(Data[[#This Row],[alappatjoe]:[currydestroyer27]]), "TBD")</f>
        <v>4.8</v>
      </c>
      <c r="G1991" s="256">
        <f>IFERROR(_xlfn.STDEV.P(Data[[#This Row],[alappatjoe]:[currydestroyer27]]), "TBD")</f>
        <v>0.39999999999999997</v>
      </c>
      <c r="H1991" s="227" t="s">
        <v>3782</v>
      </c>
      <c r="I1991" s="257" t="s">
        <v>3783</v>
      </c>
      <c r="J1991" s="166">
        <v>5</v>
      </c>
      <c r="K1991" s="166">
        <v>5</v>
      </c>
      <c r="L1991" s="166">
        <v>5</v>
      </c>
      <c r="M1991" s="166">
        <v>5</v>
      </c>
      <c r="N1991" s="166">
        <v>4</v>
      </c>
      <c r="O1991" s="242">
        <v>1174224</v>
      </c>
      <c r="P1991" s="167"/>
      <c r="Q1991" s="167"/>
      <c r="R199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91" s="167">
        <v>1</v>
      </c>
      <c r="T1991" s="167" t="b">
        <f>Data[[#This Row],[Day Rank]]=Data[[#This Row],[W Rank]]</f>
        <v>0</v>
      </c>
      <c r="U1991" s="324"/>
    </row>
    <row r="1992" spans="1:21" ht="15" customHeight="1">
      <c r="A1992" s="325">
        <v>46182</v>
      </c>
      <c r="B1992" s="325"/>
      <c r="C1992" s="338" t="str" cm="1">
        <f t="array" ref="C1992">_xlfn.LET(_xlpm.matches, _xlfn._xlws.FILTER(Data[Poster], (Data[Date]=A1992)*(Data[Winner]=TRUE)), IF(ROWS(_xlpm.matches)&gt;1, "TIE", _xlpm.matches))</f>
        <v>currydestroyer27</v>
      </c>
      <c r="D1992" s="147">
        <f t="shared" ref="D1992" si="420">A1992</f>
        <v>46182</v>
      </c>
      <c r="E1992" s="181" t="str">
        <f t="shared" si="411"/>
        <v>alappatjoe</v>
      </c>
      <c r="F1992" s="9">
        <f>IFERROR(AVERAGE(Data[[#This Row],[alappatjoe]:[currydestroyer27]]), "TBD")</f>
        <v>3.4</v>
      </c>
      <c r="G1992" s="178">
        <f>IFERROR(_xlfn.STDEV.P(Data[[#This Row],[alappatjoe]:[currydestroyer27]]), "TBD")</f>
        <v>1.6248076809271921</v>
      </c>
      <c r="H1992" s="160" t="s">
        <v>3784</v>
      </c>
      <c r="I1992" s="186" t="s">
        <v>3785</v>
      </c>
      <c r="J1992" s="3">
        <v>1</v>
      </c>
      <c r="K1992" s="3">
        <v>5</v>
      </c>
      <c r="L1992" s="3">
        <v>4</v>
      </c>
      <c r="M1992" s="3">
        <v>5</v>
      </c>
      <c r="N1992" s="3">
        <v>2</v>
      </c>
      <c r="O1992" s="238">
        <v>873385478</v>
      </c>
      <c r="P1992" s="93"/>
      <c r="Q1992" s="93"/>
      <c r="R19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92" s="93">
        <v>1</v>
      </c>
      <c r="T1992" s="93" t="b">
        <f>Data[[#This Row],[Day Rank]]=Data[[#This Row],[W Rank]]</f>
        <v>0</v>
      </c>
      <c r="U1992" s="322"/>
    </row>
    <row r="1993" spans="1:21" ht="15" customHeight="1">
      <c r="A1993" s="326"/>
      <c r="B1993" s="326"/>
      <c r="C1993" s="339"/>
      <c r="D1993" s="81">
        <f t="shared" si="412"/>
        <v>46182</v>
      </c>
      <c r="E1993" s="140" t="str">
        <f t="shared" si="413"/>
        <v>danram</v>
      </c>
      <c r="F1993" s="8">
        <f>IFERROR(AVERAGE(Data[[#This Row],[alappatjoe]:[currydestroyer27]]), "TBD")</f>
        <v>4.5999999999999996</v>
      </c>
      <c r="G1993" s="177">
        <f>IFERROR(_xlfn.STDEV.P(Data[[#This Row],[alappatjoe]:[currydestroyer27]]), "TBD")</f>
        <v>0.4898979485566356</v>
      </c>
      <c r="H1993" s="135" t="s">
        <v>3786</v>
      </c>
      <c r="I1993" s="229" t="s">
        <v>3787</v>
      </c>
      <c r="J1993" s="3">
        <v>5</v>
      </c>
      <c r="K1993" s="3">
        <v>4</v>
      </c>
      <c r="L1993" s="3">
        <v>5</v>
      </c>
      <c r="M1993" s="3">
        <v>4</v>
      </c>
      <c r="N1993" s="3">
        <v>5</v>
      </c>
      <c r="O1993" s="238"/>
      <c r="P1993" s="93"/>
      <c r="Q1993" s="93"/>
      <c r="R19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1993" s="93">
        <v>1</v>
      </c>
      <c r="T1993" s="93" t="b">
        <f>Data[[#This Row],[Day Rank]]=Data[[#This Row],[W Rank]]</f>
        <v>0</v>
      </c>
      <c r="U1993" s="323"/>
    </row>
    <row r="1994" spans="1:21" ht="15" customHeight="1">
      <c r="A1994" s="326"/>
      <c r="B1994" s="326"/>
      <c r="C1994" s="339"/>
      <c r="D1994" s="81">
        <f t="shared" si="414"/>
        <v>46182</v>
      </c>
      <c r="E1994" s="140" t="str">
        <f t="shared" si="415"/>
        <v>loganworsdell</v>
      </c>
      <c r="F1994" s="8">
        <f>IFERROR(AVERAGE(Data[[#This Row],[alappatjoe]:[currydestroyer27]]), "TBD")</f>
        <v>2.8</v>
      </c>
      <c r="G1994" s="177">
        <f>IFERROR(_xlfn.STDEV.P(Data[[#This Row],[alappatjoe]:[currydestroyer27]]), "TBD")</f>
        <v>0.4</v>
      </c>
      <c r="H1994" s="135" t="s">
        <v>3788</v>
      </c>
      <c r="I1994" s="229" t="s">
        <v>3789</v>
      </c>
      <c r="J1994" s="3">
        <v>3</v>
      </c>
      <c r="K1994" s="3">
        <v>2</v>
      </c>
      <c r="L1994" s="3">
        <v>3</v>
      </c>
      <c r="M1994" s="3">
        <v>3</v>
      </c>
      <c r="N1994" s="3">
        <v>3</v>
      </c>
      <c r="O1994" s="238">
        <v>81200466</v>
      </c>
      <c r="P1994" s="93"/>
      <c r="Q1994" s="93"/>
      <c r="R19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1994" s="93">
        <v>1</v>
      </c>
      <c r="T1994" s="93" t="b">
        <f>Data[[#This Row],[Day Rank]]=Data[[#This Row],[W Rank]]</f>
        <v>0</v>
      </c>
      <c r="U1994" s="323"/>
    </row>
    <row r="1995" spans="1:21" ht="15" customHeight="1">
      <c r="A1995" s="326"/>
      <c r="B1995" s="326"/>
      <c r="C1995" s="339"/>
      <c r="D1995" s="81">
        <f t="shared" si="416"/>
        <v>46182</v>
      </c>
      <c r="E1995" s="140" t="str">
        <f t="shared" si="417"/>
        <v>samuelbattista</v>
      </c>
      <c r="F1995" s="8">
        <f>IFERROR(AVERAGE(Data[[#This Row],[alappatjoe]:[currydestroyer27]]), "TBD")</f>
        <v>2.8</v>
      </c>
      <c r="G1995" s="177">
        <f>IFERROR(_xlfn.STDEV.P(Data[[#This Row],[alappatjoe]:[currydestroyer27]]), "TBD")</f>
        <v>1.1661903789690602</v>
      </c>
      <c r="H1995" s="135" t="s">
        <v>3790</v>
      </c>
      <c r="I1995" s="229" t="s">
        <v>3508</v>
      </c>
      <c r="J1995" s="3">
        <v>4</v>
      </c>
      <c r="K1995" s="3">
        <v>3</v>
      </c>
      <c r="L1995" s="3">
        <v>2</v>
      </c>
      <c r="M1995" s="3">
        <v>1</v>
      </c>
      <c r="N1995" s="3">
        <v>4</v>
      </c>
      <c r="O1995" s="238"/>
      <c r="P1995" s="93"/>
      <c r="Q1995" s="93"/>
      <c r="R19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95" s="93">
        <v>1</v>
      </c>
      <c r="T1995" s="93" t="b">
        <f>Data[[#This Row],[Day Rank]]=Data[[#This Row],[W Rank]]</f>
        <v>0</v>
      </c>
      <c r="U1995" s="323"/>
    </row>
    <row r="1996" spans="1:21" ht="15" customHeight="1" thickBot="1">
      <c r="A1996" s="327"/>
      <c r="B1996" s="327"/>
      <c r="C1996" s="340"/>
      <c r="D1996" s="164">
        <f t="shared" si="418"/>
        <v>46182</v>
      </c>
      <c r="E1996" s="215" t="str">
        <f t="shared" si="419"/>
        <v>currydestroyer27</v>
      </c>
      <c r="F1996" s="165">
        <f>IFERROR(AVERAGE(Data[[#This Row],[alappatjoe]:[currydestroyer27]]), "TBD")</f>
        <v>1.4</v>
      </c>
      <c r="G1996" s="256">
        <f>IFERROR(_xlfn.STDEV.P(Data[[#This Row],[alappatjoe]:[currydestroyer27]]), "TBD")</f>
        <v>0.4898979485566356</v>
      </c>
      <c r="H1996" s="227" t="s">
        <v>386</v>
      </c>
      <c r="I1996" s="257" t="s">
        <v>3791</v>
      </c>
      <c r="J1996" s="166">
        <v>2</v>
      </c>
      <c r="K1996" s="166">
        <v>1</v>
      </c>
      <c r="L1996" s="166">
        <v>1</v>
      </c>
      <c r="M1996" s="166">
        <v>2</v>
      </c>
      <c r="N1996" s="166">
        <v>1</v>
      </c>
      <c r="O1996" s="242">
        <v>3327264</v>
      </c>
      <c r="P1996" s="167"/>
      <c r="Q1996" s="167"/>
      <c r="R199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96" s="167">
        <v>1</v>
      </c>
      <c r="T1996" s="167" t="b">
        <f>Data[[#This Row],[Day Rank]]=Data[[#This Row],[W Rank]]</f>
        <v>1</v>
      </c>
      <c r="U1996" s="324"/>
    </row>
    <row r="1997" spans="1:21" ht="15" customHeight="1">
      <c r="A1997" s="325">
        <v>46183</v>
      </c>
      <c r="B1997" s="325"/>
      <c r="C1997" s="328" t="str" cm="1">
        <f t="array" ref="C1997">_xlfn.LET(_xlpm.matches, _xlfn._xlws.FILTER(Data[Poster], (Data[Date]=A1997)*(Data[Winner]=TRUE)), IF(ROWS(_xlpm.matches)&gt;1, "TIE", _xlpm.matches))</f>
        <v>danram</v>
      </c>
      <c r="D1997" s="147">
        <f t="shared" ref="D1997" si="421">A1997</f>
        <v>46183</v>
      </c>
      <c r="E1997" s="181" t="str">
        <f t="shared" si="411"/>
        <v>alappatjoe</v>
      </c>
      <c r="F1997" s="9">
        <f>IFERROR(AVERAGE(Data[[#This Row],[alappatjoe]:[currydestroyer27]]), "TBD")</f>
        <v>2.8</v>
      </c>
      <c r="G1997" s="178">
        <f>IFERROR(_xlfn.STDEV.P(Data[[#This Row],[alappatjoe]:[currydestroyer27]]), "TBD")</f>
        <v>1.1661903789690602</v>
      </c>
      <c r="H1997" s="160" t="s">
        <v>3792</v>
      </c>
      <c r="I1997" s="186" t="s">
        <v>3793</v>
      </c>
      <c r="J1997" s="3">
        <v>1</v>
      </c>
      <c r="K1997" s="3">
        <v>3</v>
      </c>
      <c r="L1997" s="3">
        <v>4</v>
      </c>
      <c r="M1997" s="3">
        <v>4</v>
      </c>
      <c r="N1997" s="3">
        <v>2</v>
      </c>
      <c r="O1997" s="238">
        <v>297913</v>
      </c>
      <c r="P1997" s="93"/>
      <c r="Q1997" s="93"/>
      <c r="R19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1997" s="93">
        <v>1</v>
      </c>
      <c r="T1997" s="93" t="b">
        <f>Data[[#This Row],[Day Rank]]=Data[[#This Row],[W Rank]]</f>
        <v>0</v>
      </c>
      <c r="U1997" s="322"/>
    </row>
    <row r="1998" spans="1:21" ht="15" customHeight="1">
      <c r="A1998" s="326"/>
      <c r="B1998" s="326"/>
      <c r="C1998" s="329"/>
      <c r="D1998" s="81">
        <f t="shared" si="412"/>
        <v>46183</v>
      </c>
      <c r="E1998" s="140" t="str">
        <f t="shared" si="413"/>
        <v>danram</v>
      </c>
      <c r="F1998" s="8">
        <f>IFERROR(AVERAGE(Data[[#This Row],[alappatjoe]:[currydestroyer27]]), "TBD")</f>
        <v>2.2000000000000002</v>
      </c>
      <c r="G1998" s="177">
        <f>IFERROR(_xlfn.STDEV.P(Data[[#This Row],[alappatjoe]:[currydestroyer27]]), "TBD")</f>
        <v>1.1661903789690602</v>
      </c>
      <c r="H1998" s="135" t="s">
        <v>3794</v>
      </c>
      <c r="I1998" s="229" t="s">
        <v>3795</v>
      </c>
      <c r="J1998" s="3">
        <v>4</v>
      </c>
      <c r="K1998" s="3">
        <v>1</v>
      </c>
      <c r="L1998" s="3">
        <v>1</v>
      </c>
      <c r="M1998" s="3">
        <v>2</v>
      </c>
      <c r="N1998" s="3">
        <v>3</v>
      </c>
      <c r="O1998" s="238"/>
      <c r="P1998" s="93"/>
      <c r="Q1998" s="93"/>
      <c r="R19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1998" s="93">
        <v>1</v>
      </c>
      <c r="T1998" s="93" t="b">
        <f>Data[[#This Row],[Day Rank]]=Data[[#This Row],[W Rank]]</f>
        <v>1</v>
      </c>
      <c r="U1998" s="323"/>
    </row>
    <row r="1999" spans="1:21" ht="15" customHeight="1">
      <c r="A1999" s="326"/>
      <c r="B1999" s="326"/>
      <c r="C1999" s="329"/>
      <c r="D1999" s="81">
        <f t="shared" si="414"/>
        <v>46183</v>
      </c>
      <c r="E1999" s="140" t="str">
        <f t="shared" si="415"/>
        <v>loganworsdell</v>
      </c>
      <c r="F1999" s="8">
        <f>IFERROR(AVERAGE(Data[[#This Row],[alappatjoe]:[currydestroyer27]]), "TBD")</f>
        <v>3.8</v>
      </c>
      <c r="G1999" s="177">
        <f>IFERROR(_xlfn.STDEV.P(Data[[#This Row],[alappatjoe]:[currydestroyer27]]), "TBD")</f>
        <v>1.4696938456699069</v>
      </c>
      <c r="H1999" s="135" t="s">
        <v>3796</v>
      </c>
      <c r="I1999" s="229" t="s">
        <v>1661</v>
      </c>
      <c r="J1999" s="3">
        <v>2</v>
      </c>
      <c r="K1999" s="3">
        <v>5</v>
      </c>
      <c r="L1999" s="3">
        <v>2</v>
      </c>
      <c r="M1999" s="3">
        <v>5</v>
      </c>
      <c r="N1999" s="3">
        <v>5</v>
      </c>
      <c r="O1999" s="238">
        <v>540724</v>
      </c>
      <c r="P1999" s="93"/>
      <c r="Q1999" s="93"/>
      <c r="R19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1999" s="93">
        <v>1</v>
      </c>
      <c r="T1999" s="93" t="b">
        <f>Data[[#This Row],[Day Rank]]=Data[[#This Row],[W Rank]]</f>
        <v>0</v>
      </c>
      <c r="U1999" s="323"/>
    </row>
    <row r="2000" spans="1:21" ht="15" customHeight="1">
      <c r="A2000" s="326"/>
      <c r="B2000" s="326"/>
      <c r="C2000" s="329"/>
      <c r="D2000" s="81">
        <f t="shared" si="416"/>
        <v>46183</v>
      </c>
      <c r="E2000" s="140" t="str">
        <f t="shared" si="417"/>
        <v>samuelbattista</v>
      </c>
      <c r="F2000" s="8">
        <f>IFERROR(AVERAGE(Data[[#This Row],[alappatjoe]:[currydestroyer27]]), "TBD")</f>
        <v>3.8</v>
      </c>
      <c r="G2000" s="177">
        <f>IFERROR(_xlfn.STDEV.P(Data[[#This Row],[alappatjoe]:[currydestroyer27]]), "TBD")</f>
        <v>1.4696938456699069</v>
      </c>
      <c r="H2000" s="135" t="s">
        <v>3797</v>
      </c>
      <c r="I2000" s="229" t="s">
        <v>3798</v>
      </c>
      <c r="J2000" s="3">
        <v>5</v>
      </c>
      <c r="K2000" s="3">
        <v>4</v>
      </c>
      <c r="L2000" s="3">
        <v>5</v>
      </c>
      <c r="M2000" s="3">
        <v>1</v>
      </c>
      <c r="N2000" s="3">
        <v>4</v>
      </c>
      <c r="O2000" s="238"/>
      <c r="P2000" s="93"/>
      <c r="Q2000" s="93"/>
      <c r="R20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00" s="93">
        <v>1</v>
      </c>
      <c r="T2000" s="93" t="b">
        <f>Data[[#This Row],[Day Rank]]=Data[[#This Row],[W Rank]]</f>
        <v>0</v>
      </c>
      <c r="U2000" s="323"/>
    </row>
    <row r="2001" spans="1:21" ht="15" customHeight="1" thickBot="1">
      <c r="A2001" s="327"/>
      <c r="B2001" s="327"/>
      <c r="C2001" s="330"/>
      <c r="D2001" s="164">
        <f t="shared" si="418"/>
        <v>46183</v>
      </c>
      <c r="E2001" s="215" t="str">
        <f t="shared" si="419"/>
        <v>currydestroyer27</v>
      </c>
      <c r="F2001" s="165">
        <f>IFERROR(AVERAGE(Data[[#This Row],[alappatjoe]:[currydestroyer27]]), "TBD")</f>
        <v>2.4</v>
      </c>
      <c r="G2001" s="256">
        <f>IFERROR(_xlfn.STDEV.P(Data[[#This Row],[alappatjoe]:[currydestroyer27]]), "TBD")</f>
        <v>0.8</v>
      </c>
      <c r="H2001" s="227" t="s">
        <v>3799</v>
      </c>
      <c r="I2001" s="257" t="s">
        <v>3800</v>
      </c>
      <c r="J2001" s="166">
        <v>3</v>
      </c>
      <c r="K2001" s="166">
        <v>2</v>
      </c>
      <c r="L2001" s="166">
        <v>3</v>
      </c>
      <c r="M2001" s="166">
        <v>3</v>
      </c>
      <c r="N2001" s="166">
        <v>1</v>
      </c>
      <c r="O2001" s="242">
        <v>25643665</v>
      </c>
      <c r="P2001" s="167"/>
      <c r="Q2001" s="167"/>
      <c r="R200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01" s="167">
        <v>1</v>
      </c>
      <c r="T2001" s="167" t="b">
        <f>Data[[#This Row],[Day Rank]]=Data[[#This Row],[W Rank]]</f>
        <v>0</v>
      </c>
      <c r="U2001" s="324"/>
    </row>
    <row r="2002" spans="1:21" ht="15" customHeight="1">
      <c r="A2002" s="325">
        <v>46184</v>
      </c>
      <c r="B2002" s="325"/>
      <c r="C2002" s="338" t="str" cm="1">
        <f t="array" ref="C2002">_xlfn.LET(_xlpm.matches, _xlfn._xlws.FILTER(Data[Poster], (Data[Date]=A2002)*(Data[Winner]=TRUE)), IF(ROWS(_xlpm.matches)&gt;1, "TIE", _xlpm.matches))</f>
        <v>currydestroyer27</v>
      </c>
      <c r="D2002" s="147">
        <f t="shared" ref="D2002" si="422">A2002</f>
        <v>46184</v>
      </c>
      <c r="E2002" s="181" t="str">
        <f t="shared" si="411"/>
        <v>alappatjoe</v>
      </c>
      <c r="F2002" s="9">
        <f>IFERROR(AVERAGE(Data[[#This Row],[alappatjoe]:[currydestroyer27]]), "TBD")</f>
        <v>3.4</v>
      </c>
      <c r="G2002" s="178">
        <f>IFERROR(_xlfn.STDEV.P(Data[[#This Row],[alappatjoe]:[currydestroyer27]]), "TBD")</f>
        <v>1.3564659966250536</v>
      </c>
      <c r="H2002" s="160" t="s">
        <v>3801</v>
      </c>
      <c r="I2002" s="186" t="s">
        <v>2612</v>
      </c>
      <c r="J2002" s="3">
        <v>1</v>
      </c>
      <c r="K2002" s="3">
        <v>4</v>
      </c>
      <c r="L2002" s="3">
        <v>4</v>
      </c>
      <c r="M2002" s="3">
        <v>5</v>
      </c>
      <c r="N2002" s="3">
        <v>3</v>
      </c>
      <c r="O2002" s="238">
        <v>27487291</v>
      </c>
      <c r="P2002" s="93"/>
      <c r="Q2002" s="93"/>
      <c r="R20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02" s="93">
        <v>1</v>
      </c>
      <c r="T2002" s="93" t="b">
        <f>Data[[#This Row],[Day Rank]]=Data[[#This Row],[W Rank]]</f>
        <v>0</v>
      </c>
      <c r="U2002" s="322" t="s">
        <v>3802</v>
      </c>
    </row>
    <row r="2003" spans="1:21" ht="15" customHeight="1">
      <c r="A2003" s="326"/>
      <c r="B2003" s="326"/>
      <c r="C2003" s="339"/>
      <c r="D2003" s="81">
        <f t="shared" si="412"/>
        <v>46184</v>
      </c>
      <c r="E2003" s="140" t="str">
        <f t="shared" si="413"/>
        <v>danram</v>
      </c>
      <c r="F2003" s="8">
        <f>IFERROR(AVERAGE(Data[[#This Row],[alappatjoe]:[currydestroyer27]]), "TBD")</f>
        <v>2.8</v>
      </c>
      <c r="G2003" s="177">
        <f>IFERROR(_xlfn.STDEV.P(Data[[#This Row],[alappatjoe]:[currydestroyer27]]), "TBD")</f>
        <v>1.1661903789690602</v>
      </c>
      <c r="H2003" s="135" t="s">
        <v>3803</v>
      </c>
      <c r="I2003" s="229" t="s">
        <v>3804</v>
      </c>
      <c r="J2003" s="3">
        <v>2</v>
      </c>
      <c r="K2003" s="3">
        <v>2</v>
      </c>
      <c r="L2003" s="3">
        <v>2</v>
      </c>
      <c r="M2003" s="3">
        <v>3</v>
      </c>
      <c r="N2003" s="3">
        <v>5</v>
      </c>
      <c r="O2003" s="238"/>
      <c r="P2003" s="93"/>
      <c r="Q2003" s="93"/>
      <c r="R20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03" s="93">
        <v>1</v>
      </c>
      <c r="T2003" s="93" t="b">
        <f>Data[[#This Row],[Day Rank]]=Data[[#This Row],[W Rank]]</f>
        <v>0</v>
      </c>
      <c r="U2003" s="323"/>
    </row>
    <row r="2004" spans="1:21" ht="15" customHeight="1">
      <c r="A2004" s="326"/>
      <c r="B2004" s="326"/>
      <c r="C2004" s="339"/>
      <c r="D2004" s="81">
        <f t="shared" si="414"/>
        <v>46184</v>
      </c>
      <c r="E2004" s="140" t="str">
        <f t="shared" si="415"/>
        <v>loganworsdell</v>
      </c>
      <c r="F2004" s="8">
        <f>IFERROR(AVERAGE(Data[[#This Row],[alappatjoe]:[currydestroyer27]]), "TBD")</f>
        <v>3</v>
      </c>
      <c r="G2004" s="177">
        <f>IFERROR(_xlfn.STDEV.P(Data[[#This Row],[alappatjoe]:[currydestroyer27]]), "TBD")</f>
        <v>1.4142135623730951</v>
      </c>
      <c r="H2004" s="135" t="s">
        <v>3805</v>
      </c>
      <c r="I2004" s="229" t="s">
        <v>3806</v>
      </c>
      <c r="J2004" s="3">
        <v>3</v>
      </c>
      <c r="K2004" s="3">
        <v>5</v>
      </c>
      <c r="L2004" s="3">
        <v>1</v>
      </c>
      <c r="M2004" s="3">
        <v>4</v>
      </c>
      <c r="N2004" s="3">
        <v>2</v>
      </c>
      <c r="O2004" s="238">
        <v>3558213</v>
      </c>
      <c r="P2004" s="93"/>
      <c r="Q2004" s="93"/>
      <c r="R20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04" s="93">
        <v>1</v>
      </c>
      <c r="T2004" s="93" t="b">
        <f>Data[[#This Row],[Day Rank]]=Data[[#This Row],[W Rank]]</f>
        <v>0</v>
      </c>
      <c r="U2004" s="323"/>
    </row>
    <row r="2005" spans="1:21" ht="15" customHeight="1">
      <c r="A2005" s="326"/>
      <c r="B2005" s="326"/>
      <c r="C2005" s="339"/>
      <c r="D2005" s="81">
        <f t="shared" si="416"/>
        <v>46184</v>
      </c>
      <c r="E2005" s="140" t="str">
        <f t="shared" si="417"/>
        <v>samuelbattista</v>
      </c>
      <c r="F2005" s="8">
        <f>IFERROR(AVERAGE(Data[[#This Row],[alappatjoe]:[currydestroyer27]]), "TBD")</f>
        <v>3.2</v>
      </c>
      <c r="G2005" s="177">
        <f>IFERROR(_xlfn.STDEV.P(Data[[#This Row],[alappatjoe]:[currydestroyer27]]), "TBD")</f>
        <v>1.833030277982336</v>
      </c>
      <c r="H2005" s="135" t="s">
        <v>3807</v>
      </c>
      <c r="I2005" s="229" t="s">
        <v>3808</v>
      </c>
      <c r="J2005" s="3">
        <v>5</v>
      </c>
      <c r="K2005" s="3">
        <v>1</v>
      </c>
      <c r="L2005" s="3">
        <v>5</v>
      </c>
      <c r="M2005" s="3">
        <v>1</v>
      </c>
      <c r="N2005" s="3">
        <v>4</v>
      </c>
      <c r="O2005" s="238"/>
      <c r="P2005" s="93"/>
      <c r="Q2005" s="93"/>
      <c r="R20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05" s="93">
        <v>1</v>
      </c>
      <c r="T2005" s="93" t="b">
        <f>Data[[#This Row],[Day Rank]]=Data[[#This Row],[W Rank]]</f>
        <v>0</v>
      </c>
      <c r="U2005" s="323"/>
    </row>
    <row r="2006" spans="1:21" ht="15" customHeight="1" thickBot="1">
      <c r="A2006" s="327"/>
      <c r="B2006" s="327"/>
      <c r="C2006" s="340"/>
      <c r="D2006" s="164">
        <f t="shared" si="418"/>
        <v>46184</v>
      </c>
      <c r="E2006" s="215" t="str">
        <f t="shared" si="419"/>
        <v>currydestroyer27</v>
      </c>
      <c r="F2006" s="165">
        <f>IFERROR(AVERAGE(Data[[#This Row],[alappatjoe]:[currydestroyer27]]), "TBD")</f>
        <v>2.6</v>
      </c>
      <c r="G2006" s="256">
        <f>IFERROR(_xlfn.STDEV.P(Data[[#This Row],[alappatjoe]:[currydestroyer27]]), "TBD")</f>
        <v>1.019803902718557</v>
      </c>
      <c r="H2006" s="227" t="s">
        <v>3809</v>
      </c>
      <c r="I2006" s="257" t="s">
        <v>195</v>
      </c>
      <c r="J2006" s="166">
        <v>4</v>
      </c>
      <c r="K2006" s="166">
        <v>3</v>
      </c>
      <c r="L2006" s="166">
        <v>3</v>
      </c>
      <c r="M2006" s="166">
        <v>2</v>
      </c>
      <c r="N2006" s="166">
        <v>1</v>
      </c>
      <c r="O2006" s="242">
        <v>341524500</v>
      </c>
      <c r="P2006" s="167"/>
      <c r="Q2006" s="167"/>
      <c r="R200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06" s="167">
        <v>1</v>
      </c>
      <c r="T2006" s="167" t="b">
        <f>Data[[#This Row],[Day Rank]]=Data[[#This Row],[W Rank]]</f>
        <v>1</v>
      </c>
      <c r="U2006" s="324"/>
    </row>
    <row r="2007" spans="1:21" ht="15" customHeight="1">
      <c r="A2007" s="325">
        <v>46188</v>
      </c>
      <c r="B2007" s="325"/>
      <c r="C2007" s="328" t="str" cm="1">
        <f t="array" ref="C2007">_xlfn.LET(_xlpm.matches, _xlfn._xlws.FILTER(Data[Poster], (Data[Date]=A2007)*(Data[Winner]=TRUE)), IF(ROWS(_xlpm.matches)&gt;1, "TIE", _xlpm.matches))</f>
        <v>samuelbattista</v>
      </c>
      <c r="D2007" s="147">
        <f t="shared" ref="D2007" si="423">A2007</f>
        <v>46188</v>
      </c>
      <c r="E2007" s="181" t="str">
        <f t="shared" si="411"/>
        <v>alappatjoe</v>
      </c>
      <c r="F2007" s="8">
        <f>IFERROR(AVERAGE(Data[[#This Row],[alappatjoe]:[currydestroyer27]]), "TBD")</f>
        <v>4.4000000000000004</v>
      </c>
      <c r="G2007" s="177">
        <f>IFERROR(_xlfn.STDEV.P(Data[[#This Row],[alappatjoe]:[currydestroyer27]]), "TBD")</f>
        <v>1.2</v>
      </c>
      <c r="H2007" s="135" t="s">
        <v>3810</v>
      </c>
      <c r="I2007" s="229" t="s">
        <v>3811</v>
      </c>
      <c r="J2007" s="3">
        <v>2</v>
      </c>
      <c r="K2007" s="3">
        <v>5</v>
      </c>
      <c r="L2007" s="3">
        <v>5</v>
      </c>
      <c r="M2007" s="3">
        <v>5</v>
      </c>
      <c r="N2007" s="3">
        <v>5</v>
      </c>
      <c r="O2007" s="238">
        <v>16906708</v>
      </c>
      <c r="P2007" s="93"/>
      <c r="Q2007" s="93"/>
      <c r="R20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07" s="93">
        <v>1</v>
      </c>
      <c r="T2007" s="93" t="b">
        <f>Data[[#This Row],[Day Rank]]=Data[[#This Row],[W Rank]]</f>
        <v>0</v>
      </c>
      <c r="U2007" s="322"/>
    </row>
    <row r="2008" spans="1:21" ht="15" customHeight="1">
      <c r="A2008" s="326"/>
      <c r="B2008" s="326"/>
      <c r="C2008" s="329"/>
      <c r="D2008" s="81">
        <f t="shared" si="412"/>
        <v>46188</v>
      </c>
      <c r="E2008" s="140" t="str">
        <f t="shared" si="413"/>
        <v>danram</v>
      </c>
      <c r="F2008" s="8">
        <f>IFERROR(AVERAGE(Data[[#This Row],[alappatjoe]:[currydestroyer27]]), "TBD")</f>
        <v>2.6</v>
      </c>
      <c r="G2008" s="177">
        <f>IFERROR(_xlfn.STDEV.P(Data[[#This Row],[alappatjoe]:[currydestroyer27]]), "TBD")</f>
        <v>1.3564659966250536</v>
      </c>
      <c r="H2008" s="135" t="s">
        <v>3812</v>
      </c>
      <c r="I2008" s="229" t="s">
        <v>3813</v>
      </c>
      <c r="J2008" s="3">
        <v>4</v>
      </c>
      <c r="K2008" s="3">
        <v>1</v>
      </c>
      <c r="L2008" s="3">
        <v>1</v>
      </c>
      <c r="M2008" s="3">
        <v>3</v>
      </c>
      <c r="N2008" s="3">
        <v>4</v>
      </c>
      <c r="O2008" s="238"/>
      <c r="P2008" s="93"/>
      <c r="Q2008" s="93"/>
      <c r="R20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08" s="93">
        <v>1</v>
      </c>
      <c r="T2008" s="93" t="b">
        <f>Data[[#This Row],[Day Rank]]=Data[[#This Row],[W Rank]]</f>
        <v>0</v>
      </c>
      <c r="U2008" s="323"/>
    </row>
    <row r="2009" spans="1:21" ht="15" customHeight="1">
      <c r="A2009" s="326"/>
      <c r="B2009" s="326"/>
      <c r="C2009" s="329"/>
      <c r="D2009" s="81">
        <f t="shared" si="414"/>
        <v>46188</v>
      </c>
      <c r="E2009" s="140" t="str">
        <f t="shared" si="415"/>
        <v>loganworsdell</v>
      </c>
      <c r="F2009" s="8">
        <f>IFERROR(AVERAGE(Data[[#This Row],[alappatjoe]:[currydestroyer27]]), "TBD")</f>
        <v>3.4</v>
      </c>
      <c r="G2009" s="177">
        <f>IFERROR(_xlfn.STDEV.P(Data[[#This Row],[alappatjoe]:[currydestroyer27]]), "TBD")</f>
        <v>1.2</v>
      </c>
      <c r="H2009" s="288" t="s">
        <v>3814</v>
      </c>
      <c r="I2009" s="229" t="s">
        <v>3815</v>
      </c>
      <c r="J2009" s="3">
        <v>5</v>
      </c>
      <c r="K2009" s="3">
        <v>4</v>
      </c>
      <c r="L2009" s="3">
        <v>2</v>
      </c>
      <c r="M2009" s="3">
        <v>4</v>
      </c>
      <c r="N2009" s="3">
        <v>2</v>
      </c>
      <c r="O2009" s="238">
        <v>2346739</v>
      </c>
      <c r="P2009" s="93"/>
      <c r="Q2009" s="93"/>
      <c r="R20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09" s="93">
        <v>1</v>
      </c>
      <c r="T2009" s="93" t="b">
        <f>Data[[#This Row],[Day Rank]]=Data[[#This Row],[W Rank]]</f>
        <v>0</v>
      </c>
      <c r="U2009" s="323"/>
    </row>
    <row r="2010" spans="1:21" ht="15" customHeight="1">
      <c r="A2010" s="326"/>
      <c r="B2010" s="326"/>
      <c r="C2010" s="329"/>
      <c r="D2010" s="81">
        <f t="shared" si="416"/>
        <v>46188</v>
      </c>
      <c r="E2010" s="140" t="str">
        <f t="shared" si="417"/>
        <v>samuelbattista</v>
      </c>
      <c r="F2010" s="8">
        <f>IFERROR(AVERAGE(Data[[#This Row],[alappatjoe]:[currydestroyer27]]), "TBD")</f>
        <v>2.2000000000000002</v>
      </c>
      <c r="G2010" s="177">
        <f>IFERROR(_xlfn.STDEV.P(Data[[#This Row],[alappatjoe]:[currydestroyer27]]), "TBD")</f>
        <v>0.9797958971132712</v>
      </c>
      <c r="H2010" s="135" t="s">
        <v>3816</v>
      </c>
      <c r="I2010" s="229" t="s">
        <v>3492</v>
      </c>
      <c r="J2010" s="3">
        <v>1</v>
      </c>
      <c r="K2010" s="3">
        <v>3</v>
      </c>
      <c r="L2010" s="3">
        <v>3</v>
      </c>
      <c r="M2010" s="3">
        <v>1</v>
      </c>
      <c r="N2010" s="3">
        <v>3</v>
      </c>
      <c r="O2010" s="238"/>
      <c r="P2010" s="93"/>
      <c r="Q2010" s="93"/>
      <c r="R20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10" s="93">
        <v>1</v>
      </c>
      <c r="T2010" s="93" t="b">
        <f>Data[[#This Row],[Day Rank]]=Data[[#This Row],[W Rank]]</f>
        <v>1</v>
      </c>
      <c r="U2010" s="323"/>
    </row>
    <row r="2011" spans="1:21" ht="15" customHeight="1" thickBot="1">
      <c r="A2011" s="327"/>
      <c r="B2011" s="327"/>
      <c r="C2011" s="330"/>
      <c r="D2011" s="164">
        <f t="shared" si="418"/>
        <v>46188</v>
      </c>
      <c r="E2011" s="215" t="str">
        <f t="shared" si="419"/>
        <v>currydestroyer27</v>
      </c>
      <c r="F2011" s="165">
        <f>IFERROR(AVERAGE(Data[[#This Row],[alappatjoe]:[currydestroyer27]]), "TBD")</f>
        <v>2.4</v>
      </c>
      <c r="G2011" s="256">
        <f>IFERROR(_xlfn.STDEV.P(Data[[#This Row],[alappatjoe]:[currydestroyer27]]), "TBD")</f>
        <v>1.019803902718557</v>
      </c>
      <c r="H2011" s="227" t="s">
        <v>3817</v>
      </c>
      <c r="I2011" s="257" t="s">
        <v>504</v>
      </c>
      <c r="J2011" s="166">
        <v>3</v>
      </c>
      <c r="K2011" s="166">
        <v>2</v>
      </c>
      <c r="L2011" s="166">
        <v>4</v>
      </c>
      <c r="M2011" s="166">
        <v>2</v>
      </c>
      <c r="N2011" s="166">
        <v>1</v>
      </c>
      <c r="O2011" s="242">
        <v>121911327</v>
      </c>
      <c r="P2011" s="167"/>
      <c r="Q2011" s="167"/>
      <c r="R20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11" s="167">
        <v>1</v>
      </c>
      <c r="T2011" s="167" t="b">
        <f>Data[[#This Row],[Day Rank]]=Data[[#This Row],[W Rank]]</f>
        <v>0</v>
      </c>
      <c r="U2011" s="324"/>
    </row>
    <row r="2012" spans="1:21" ht="15" customHeight="1">
      <c r="A2012" s="325">
        <v>46189</v>
      </c>
      <c r="B2012" s="325"/>
      <c r="C2012" s="338" t="str" cm="1">
        <f t="array" ref="C2012">_xlfn.LET(_xlpm.matches, _xlfn._xlws.FILTER(Data[Poster], (Data[Date]=A2012)*(Data[Winner]=TRUE)), IF(ROWS(_xlpm.matches)&gt;1, "TIE", _xlpm.matches))</f>
        <v>currydestroyer27</v>
      </c>
      <c r="D2012" s="147">
        <f t="shared" ref="D2012" si="424">A2012</f>
        <v>46189</v>
      </c>
      <c r="E2012" s="181" t="str">
        <f t="shared" si="411"/>
        <v>alappatjoe</v>
      </c>
      <c r="F2012" s="9">
        <f>IFERROR(AVERAGE(Data[[#This Row],[alappatjoe]:[currydestroyer27]]), "TBD")</f>
        <v>2.8</v>
      </c>
      <c r="G2012" s="178">
        <f>IFERROR(_xlfn.STDEV.P(Data[[#This Row],[alappatjoe]:[currydestroyer27]]), "TBD")</f>
        <v>0.9797958971132712</v>
      </c>
      <c r="H2012" s="160" t="s">
        <v>3818</v>
      </c>
      <c r="I2012" s="186" t="s">
        <v>1180</v>
      </c>
      <c r="J2012" s="3">
        <v>1</v>
      </c>
      <c r="K2012" s="3">
        <v>3</v>
      </c>
      <c r="L2012" s="3">
        <v>3</v>
      </c>
      <c r="M2012" s="3">
        <v>3</v>
      </c>
      <c r="N2012" s="3">
        <v>4</v>
      </c>
      <c r="O2012" s="238">
        <v>344473</v>
      </c>
      <c r="P2012" s="93"/>
      <c r="Q2012" s="93"/>
      <c r="R20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12" s="93">
        <v>1</v>
      </c>
      <c r="T2012" s="93" t="b">
        <f>Data[[#This Row],[Day Rank]]=Data[[#This Row],[W Rank]]</f>
        <v>0</v>
      </c>
      <c r="U2012" s="322"/>
    </row>
    <row r="2013" spans="1:21" ht="15" customHeight="1">
      <c r="A2013" s="326"/>
      <c r="B2013" s="326"/>
      <c r="C2013" s="339"/>
      <c r="D2013" s="81">
        <f t="shared" si="412"/>
        <v>46189</v>
      </c>
      <c r="E2013" s="140" t="str">
        <f t="shared" si="413"/>
        <v>danram</v>
      </c>
      <c r="F2013" s="8">
        <f>IFERROR(AVERAGE(Data[[#This Row],[alappatjoe]:[currydestroyer27]]), "TBD")</f>
        <v>3</v>
      </c>
      <c r="G2013" s="177">
        <f>IFERROR(_xlfn.STDEV.P(Data[[#This Row],[alappatjoe]:[currydestroyer27]]), "TBD")</f>
        <v>1.2649110640673518</v>
      </c>
      <c r="H2013" s="135" t="s">
        <v>3819</v>
      </c>
      <c r="I2013" s="229" t="s">
        <v>3820</v>
      </c>
      <c r="J2013" s="3">
        <v>2</v>
      </c>
      <c r="K2013" s="3">
        <v>2</v>
      </c>
      <c r="L2013" s="3">
        <v>4</v>
      </c>
      <c r="M2013" s="3">
        <v>5</v>
      </c>
      <c r="N2013" s="3">
        <v>2</v>
      </c>
      <c r="O2013" s="238"/>
      <c r="P2013" s="93"/>
      <c r="Q2013" s="93"/>
      <c r="R20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13" s="93">
        <v>1</v>
      </c>
      <c r="T2013" s="93" t="b">
        <f>Data[[#This Row],[Day Rank]]=Data[[#This Row],[W Rank]]</f>
        <v>0</v>
      </c>
      <c r="U2013" s="323"/>
    </row>
    <row r="2014" spans="1:21" ht="15" customHeight="1">
      <c r="A2014" s="326"/>
      <c r="B2014" s="326"/>
      <c r="C2014" s="339"/>
      <c r="D2014" s="81">
        <f t="shared" si="414"/>
        <v>46189</v>
      </c>
      <c r="E2014" s="140" t="str">
        <f t="shared" si="415"/>
        <v>loganworsdell</v>
      </c>
      <c r="F2014" s="8">
        <f>IFERROR(AVERAGE(Data[[#This Row],[alappatjoe]:[currydestroyer27]]), "TBD")</f>
        <v>2.8</v>
      </c>
      <c r="G2014" s="177">
        <f>IFERROR(_xlfn.STDEV.P(Data[[#This Row],[alappatjoe]:[currydestroyer27]]), "TBD")</f>
        <v>1.6</v>
      </c>
      <c r="H2014" s="135" t="s">
        <v>3821</v>
      </c>
      <c r="I2014" s="229" t="s">
        <v>3822</v>
      </c>
      <c r="J2014" s="3">
        <v>5</v>
      </c>
      <c r="K2014" s="3">
        <v>1</v>
      </c>
      <c r="L2014" s="3">
        <v>1</v>
      </c>
      <c r="M2014" s="3">
        <v>4</v>
      </c>
      <c r="N2014" s="3">
        <v>3</v>
      </c>
      <c r="O2014" s="238">
        <v>1398</v>
      </c>
      <c r="P2014" s="93"/>
      <c r="Q2014" s="93"/>
      <c r="R20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14" s="93">
        <v>1</v>
      </c>
      <c r="T2014" s="93" t="b">
        <f>Data[[#This Row],[Day Rank]]=Data[[#This Row],[W Rank]]</f>
        <v>0</v>
      </c>
      <c r="U2014" s="323"/>
    </row>
    <row r="2015" spans="1:21" ht="15" customHeight="1">
      <c r="A2015" s="326"/>
      <c r="B2015" s="326"/>
      <c r="C2015" s="339"/>
      <c r="D2015" s="81">
        <f t="shared" si="416"/>
        <v>46189</v>
      </c>
      <c r="E2015" s="140" t="str">
        <f t="shared" si="417"/>
        <v>samuelbattista</v>
      </c>
      <c r="F2015" s="8">
        <f>IFERROR(AVERAGE(Data[[#This Row],[alappatjoe]:[currydestroyer27]]), "TBD")</f>
        <v>4</v>
      </c>
      <c r="G2015" s="177">
        <f>IFERROR(_xlfn.STDEV.P(Data[[#This Row],[alappatjoe]:[currydestroyer27]]), "TBD")</f>
        <v>1.5491933384829668</v>
      </c>
      <c r="H2015" s="135" t="s">
        <v>3823</v>
      </c>
      <c r="I2015" s="229" t="s">
        <v>3592</v>
      </c>
      <c r="J2015" s="3">
        <v>4</v>
      </c>
      <c r="K2015" s="3">
        <v>5</v>
      </c>
      <c r="L2015" s="3">
        <v>5</v>
      </c>
      <c r="M2015" s="3">
        <v>1</v>
      </c>
      <c r="N2015" s="3">
        <v>5</v>
      </c>
      <c r="O2015" s="238"/>
      <c r="P2015" s="93"/>
      <c r="Q2015" s="93"/>
      <c r="R20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15" s="93">
        <v>1</v>
      </c>
      <c r="T2015" s="93" t="b">
        <f>Data[[#This Row],[Day Rank]]=Data[[#This Row],[W Rank]]</f>
        <v>0</v>
      </c>
      <c r="U2015" s="323"/>
    </row>
    <row r="2016" spans="1:21" ht="15" customHeight="1" thickBot="1">
      <c r="A2016" s="327"/>
      <c r="B2016" s="327"/>
      <c r="C2016" s="340"/>
      <c r="D2016" s="164">
        <f t="shared" si="418"/>
        <v>46189</v>
      </c>
      <c r="E2016" s="215" t="str">
        <f t="shared" si="419"/>
        <v>currydestroyer27</v>
      </c>
      <c r="F2016" s="165">
        <f>IFERROR(AVERAGE(Data[[#This Row],[alappatjoe]:[currydestroyer27]]), "TBD")</f>
        <v>2.4</v>
      </c>
      <c r="G2016" s="256">
        <f>IFERROR(_xlfn.STDEV.P(Data[[#This Row],[alappatjoe]:[currydestroyer27]]), "TBD")</f>
        <v>1.019803902718557</v>
      </c>
      <c r="H2016" s="227" t="s">
        <v>3824</v>
      </c>
      <c r="I2016" s="257" t="s">
        <v>3825</v>
      </c>
      <c r="J2016" s="166">
        <v>3</v>
      </c>
      <c r="K2016" s="166">
        <v>4</v>
      </c>
      <c r="L2016" s="166">
        <v>2</v>
      </c>
      <c r="M2016" s="166">
        <v>2</v>
      </c>
      <c r="N2016" s="166">
        <v>1</v>
      </c>
      <c r="O2016" s="242">
        <v>69167321</v>
      </c>
      <c r="P2016" s="167"/>
      <c r="Q2016" s="167"/>
      <c r="R20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16" s="167">
        <v>1</v>
      </c>
      <c r="T2016" s="167" t="b">
        <f>Data[[#This Row],[Day Rank]]=Data[[#This Row],[W Rank]]</f>
        <v>1</v>
      </c>
      <c r="U2016" s="324"/>
    </row>
    <row r="2017" spans="1:21" ht="15" customHeight="1">
      <c r="A2017" s="325">
        <v>46190</v>
      </c>
      <c r="B2017" s="325"/>
      <c r="C2017" s="328" t="str" cm="1">
        <f t="array" ref="C2017">_xlfn.LET(_xlpm.matches, _xlfn._xlws.FILTER(Data[Poster], (Data[Date]=A2017)*(Data[Winner]=TRUE)), IF(ROWS(_xlpm.matches)&gt;1, "TIE", _xlpm.matches))</f>
        <v>currydestroyer27</v>
      </c>
      <c r="D2017" s="147">
        <f t="shared" ref="D2017" si="425">A2017</f>
        <v>46190</v>
      </c>
      <c r="E2017" s="181" t="str">
        <f t="shared" si="411"/>
        <v>alappatjoe</v>
      </c>
      <c r="F2017" s="9">
        <f>IFERROR(AVERAGE(Data[[#This Row],[alappatjoe]:[currydestroyer27]]), "TBD")</f>
        <v>3.8</v>
      </c>
      <c r="G2017" s="178">
        <f>IFERROR(_xlfn.STDEV.P(Data[[#This Row],[alappatjoe]:[currydestroyer27]]), "TBD")</f>
        <v>1.6</v>
      </c>
      <c r="H2017" s="160" t="s">
        <v>3826</v>
      </c>
      <c r="I2017" s="186" t="s">
        <v>3827</v>
      </c>
      <c r="J2017" s="3">
        <v>1</v>
      </c>
      <c r="K2017" s="3">
        <v>5</v>
      </c>
      <c r="L2017" s="3">
        <v>3</v>
      </c>
      <c r="M2017" s="3">
        <v>5</v>
      </c>
      <c r="N2017" s="3">
        <v>5</v>
      </c>
      <c r="O2017" s="238">
        <v>1371089</v>
      </c>
      <c r="P2017" s="93"/>
      <c r="Q2017" s="93"/>
      <c r="R20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17" s="93">
        <v>1</v>
      </c>
      <c r="T2017" s="93" t="b">
        <f>Data[[#This Row],[Day Rank]]=Data[[#This Row],[W Rank]]</f>
        <v>0</v>
      </c>
      <c r="U2017" s="322"/>
    </row>
    <row r="2018" spans="1:21" ht="15" customHeight="1">
      <c r="A2018" s="326"/>
      <c r="B2018" s="326"/>
      <c r="C2018" s="329"/>
      <c r="D2018" s="81">
        <f t="shared" si="412"/>
        <v>46190</v>
      </c>
      <c r="E2018" s="140" t="str">
        <f t="shared" si="413"/>
        <v>danram</v>
      </c>
      <c r="F2018" s="8">
        <f>IFERROR(AVERAGE(Data[[#This Row],[alappatjoe]:[currydestroyer27]]), "TBD")</f>
        <v>2.4</v>
      </c>
      <c r="G2018" s="177">
        <f>IFERROR(_xlfn.STDEV.P(Data[[#This Row],[alappatjoe]:[currydestroyer27]]), "TBD")</f>
        <v>1.019803902718557</v>
      </c>
      <c r="H2018" s="135" t="s">
        <v>3828</v>
      </c>
      <c r="I2018" s="229" t="s">
        <v>3829</v>
      </c>
      <c r="J2018" s="3">
        <v>2</v>
      </c>
      <c r="K2018" s="3">
        <v>1</v>
      </c>
      <c r="L2018" s="3">
        <v>4</v>
      </c>
      <c r="M2018" s="3">
        <v>3</v>
      </c>
      <c r="N2018" s="3">
        <v>2</v>
      </c>
      <c r="O2018" s="238"/>
      <c r="P2018" s="93"/>
      <c r="Q2018" s="93"/>
      <c r="R20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18" s="93">
        <v>1</v>
      </c>
      <c r="T2018" s="93" t="b">
        <f>Data[[#This Row],[Day Rank]]=Data[[#This Row],[W Rank]]</f>
        <v>0</v>
      </c>
      <c r="U2018" s="323"/>
    </row>
    <row r="2019" spans="1:21" ht="15" customHeight="1">
      <c r="A2019" s="326"/>
      <c r="B2019" s="326"/>
      <c r="C2019" s="329"/>
      <c r="D2019" s="81">
        <f t="shared" si="414"/>
        <v>46190</v>
      </c>
      <c r="E2019" s="140" t="str">
        <f t="shared" si="415"/>
        <v>loganworsdell</v>
      </c>
      <c r="F2019" s="8">
        <f>IFERROR(AVERAGE(Data[[#This Row],[alappatjoe]:[currydestroyer27]]), "TBD")</f>
        <v>3.4</v>
      </c>
      <c r="G2019" s="177">
        <f>IFERROR(_xlfn.STDEV.P(Data[[#This Row],[alappatjoe]:[currydestroyer27]]), "TBD")</f>
        <v>0.8</v>
      </c>
      <c r="H2019" s="135" t="s">
        <v>621</v>
      </c>
      <c r="I2019" s="229" t="s">
        <v>3830</v>
      </c>
      <c r="J2019" s="3">
        <v>3</v>
      </c>
      <c r="K2019" s="3">
        <v>4</v>
      </c>
      <c r="L2019" s="3">
        <v>2</v>
      </c>
      <c r="M2019" s="3">
        <v>4</v>
      </c>
      <c r="N2019" s="3">
        <v>4</v>
      </c>
      <c r="O2019" s="238">
        <v>295053</v>
      </c>
      <c r="P2019" s="93"/>
      <c r="Q2019" s="93"/>
      <c r="R20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19" s="93">
        <v>1</v>
      </c>
      <c r="T2019" s="93" t="b">
        <f>Data[[#This Row],[Day Rank]]=Data[[#This Row],[W Rank]]</f>
        <v>0</v>
      </c>
      <c r="U2019" s="323"/>
    </row>
    <row r="2020" spans="1:21" ht="15" customHeight="1">
      <c r="A2020" s="326"/>
      <c r="B2020" s="326"/>
      <c r="C2020" s="329"/>
      <c r="D2020" s="81">
        <f t="shared" si="416"/>
        <v>46190</v>
      </c>
      <c r="E2020" s="140" t="str">
        <f t="shared" si="417"/>
        <v>samuelbattista</v>
      </c>
      <c r="F2020" s="8">
        <f>IFERROR(AVERAGE(Data[[#This Row],[alappatjoe]:[currydestroyer27]]), "TBD")</f>
        <v>3.2</v>
      </c>
      <c r="G2020" s="177">
        <f>IFERROR(_xlfn.STDEV.P(Data[[#This Row],[alappatjoe]:[currydestroyer27]]), "TBD")</f>
        <v>1.6</v>
      </c>
      <c r="H2020" s="135" t="s">
        <v>3831</v>
      </c>
      <c r="I2020" s="229" t="s">
        <v>3832</v>
      </c>
      <c r="J2020" s="3">
        <v>5</v>
      </c>
      <c r="K2020" s="3">
        <v>2</v>
      </c>
      <c r="L2020" s="3">
        <v>5</v>
      </c>
      <c r="M2020" s="3">
        <v>1</v>
      </c>
      <c r="N2020" s="3">
        <v>3</v>
      </c>
      <c r="O2020" s="238"/>
      <c r="P2020" s="93"/>
      <c r="Q2020" s="93"/>
      <c r="R20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20" s="93">
        <v>1</v>
      </c>
      <c r="T2020" s="93" t="b">
        <f>Data[[#This Row],[Day Rank]]=Data[[#This Row],[W Rank]]</f>
        <v>0</v>
      </c>
      <c r="U2020" s="323"/>
    </row>
    <row r="2021" spans="1:21" ht="15" customHeight="1" thickBot="1">
      <c r="A2021" s="327"/>
      <c r="B2021" s="327"/>
      <c r="C2021" s="330"/>
      <c r="D2021" s="164">
        <f t="shared" si="418"/>
        <v>46190</v>
      </c>
      <c r="E2021" s="215" t="str">
        <f t="shared" si="419"/>
        <v>currydestroyer27</v>
      </c>
      <c r="F2021" s="165">
        <f>IFERROR(AVERAGE(Data[[#This Row],[alappatjoe]:[currydestroyer27]]), "TBD")</f>
        <v>2.2000000000000002</v>
      </c>
      <c r="G2021" s="256">
        <f>IFERROR(_xlfn.STDEV.P(Data[[#This Row],[alappatjoe]:[currydestroyer27]]), "TBD")</f>
        <v>1.1661903789690602</v>
      </c>
      <c r="H2021" s="227" t="s">
        <v>3833</v>
      </c>
      <c r="I2021" s="257" t="s">
        <v>324</v>
      </c>
      <c r="J2021" s="166">
        <v>4</v>
      </c>
      <c r="K2021" s="166">
        <v>3</v>
      </c>
      <c r="L2021" s="166">
        <v>1</v>
      </c>
      <c r="M2021" s="166">
        <v>2</v>
      </c>
      <c r="N2021" s="166">
        <v>1</v>
      </c>
      <c r="O2021" s="242">
        <v>18565893</v>
      </c>
      <c r="P2021" s="167"/>
      <c r="Q2021" s="167"/>
      <c r="R20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21" s="167">
        <v>1</v>
      </c>
      <c r="T2021" s="167" t="b">
        <f>Data[[#This Row],[Day Rank]]=Data[[#This Row],[W Rank]]</f>
        <v>1</v>
      </c>
      <c r="U2021" s="324"/>
    </row>
    <row r="2022" spans="1:21" ht="15" customHeight="1">
      <c r="A2022" s="325">
        <v>46191</v>
      </c>
      <c r="B2022" s="325"/>
      <c r="C2022" s="338" t="str" cm="1">
        <f t="array" ref="C2022">_xlfn.LET(_xlpm.matches, _xlfn._xlws.FILTER(Data[Poster], (Data[Date]=A2022)*(Data[Winner]=TRUE)), IF(ROWS(_xlpm.matches)&gt;1, "TIE", _xlpm.matches))</f>
        <v>samuelbattista</v>
      </c>
      <c r="D2022" s="147">
        <f t="shared" ref="D2022" si="426">A2022</f>
        <v>46191</v>
      </c>
      <c r="E2022" s="181" t="str">
        <f t="shared" si="411"/>
        <v>alappatjoe</v>
      </c>
      <c r="F2022" s="9">
        <f>IFERROR(AVERAGE(Data[[#This Row],[alappatjoe]:[currydestroyer27]]), "TBD")</f>
        <v>3.8</v>
      </c>
      <c r="G2022" s="178">
        <f>IFERROR(_xlfn.STDEV.P(Data[[#This Row],[alappatjoe]:[currydestroyer27]]), "TBD")</f>
        <v>1.4696938456699069</v>
      </c>
      <c r="H2022" s="160" t="s">
        <v>3834</v>
      </c>
      <c r="I2022" s="186" t="s">
        <v>3835</v>
      </c>
      <c r="J2022" s="3">
        <v>1</v>
      </c>
      <c r="K2022" s="3">
        <v>5</v>
      </c>
      <c r="L2022" s="3">
        <v>4</v>
      </c>
      <c r="M2022" s="3">
        <v>5</v>
      </c>
      <c r="N2022" s="3">
        <v>4</v>
      </c>
      <c r="O2022" s="238">
        <v>711656571</v>
      </c>
      <c r="P2022" s="93"/>
      <c r="Q2022" s="93"/>
      <c r="R20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22" s="93">
        <v>1</v>
      </c>
      <c r="T2022" s="93" t="b">
        <f>Data[[#This Row],[Day Rank]]=Data[[#This Row],[W Rank]]</f>
        <v>0</v>
      </c>
      <c r="U2022" s="322" t="s">
        <v>3836</v>
      </c>
    </row>
    <row r="2023" spans="1:21" ht="15" customHeight="1">
      <c r="A2023" s="326"/>
      <c r="B2023" s="326"/>
      <c r="C2023" s="339"/>
      <c r="D2023" s="81">
        <f t="shared" si="412"/>
        <v>46191</v>
      </c>
      <c r="E2023" s="140" t="str">
        <f t="shared" si="413"/>
        <v>danram</v>
      </c>
      <c r="F2023" s="8">
        <f>IFERROR(AVERAGE(Data[[#This Row],[alappatjoe]:[currydestroyer27]]), "TBD")</f>
        <v>4.2</v>
      </c>
      <c r="G2023" s="177">
        <f>IFERROR(_xlfn.STDEV.P(Data[[#This Row],[alappatjoe]:[currydestroyer27]]), "TBD")</f>
        <v>1.1661903789690602</v>
      </c>
      <c r="H2023" s="135" t="s">
        <v>3837</v>
      </c>
      <c r="I2023" s="229" t="s">
        <v>1823</v>
      </c>
      <c r="J2023" s="3">
        <v>5</v>
      </c>
      <c r="K2023" s="3">
        <v>4</v>
      </c>
      <c r="L2023" s="3">
        <v>5</v>
      </c>
      <c r="M2023" s="3">
        <v>2</v>
      </c>
      <c r="N2023" s="3">
        <v>5</v>
      </c>
      <c r="O2023" s="238"/>
      <c r="P2023" s="93"/>
      <c r="Q2023" s="93"/>
      <c r="R20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23" s="93">
        <v>1</v>
      </c>
      <c r="T2023" s="93" t="b">
        <f>Data[[#This Row],[Day Rank]]=Data[[#This Row],[W Rank]]</f>
        <v>0</v>
      </c>
      <c r="U2023" s="323"/>
    </row>
    <row r="2024" spans="1:21" ht="15" customHeight="1">
      <c r="A2024" s="326"/>
      <c r="B2024" s="326"/>
      <c r="C2024" s="339"/>
      <c r="D2024" s="81">
        <f t="shared" si="414"/>
        <v>46191</v>
      </c>
      <c r="E2024" s="140" t="str">
        <f t="shared" si="415"/>
        <v>loganworsdell</v>
      </c>
      <c r="F2024" s="8">
        <f>IFERROR(AVERAGE(Data[[#This Row],[alappatjoe]:[currydestroyer27]]), "TBD")</f>
        <v>2.6</v>
      </c>
      <c r="G2024" s="177">
        <f>IFERROR(_xlfn.STDEV.P(Data[[#This Row],[alappatjoe]:[currydestroyer27]]), "TBD")</f>
        <v>0.8</v>
      </c>
      <c r="H2024" s="135" t="s">
        <v>3838</v>
      </c>
      <c r="I2024" s="229" t="s">
        <v>3835</v>
      </c>
      <c r="J2024" s="3">
        <v>2</v>
      </c>
      <c r="K2024" s="3">
        <v>2</v>
      </c>
      <c r="L2024" s="3">
        <v>2</v>
      </c>
      <c r="M2024" s="3">
        <v>4</v>
      </c>
      <c r="N2024" s="3">
        <v>3</v>
      </c>
      <c r="O2024" s="238"/>
      <c r="P2024" s="93"/>
      <c r="Q2024" s="93"/>
      <c r="R20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24" s="93">
        <v>1</v>
      </c>
      <c r="T2024" s="93" t="b">
        <f>Data[[#This Row],[Day Rank]]=Data[[#This Row],[W Rank]]</f>
        <v>0</v>
      </c>
      <c r="U2024" s="323"/>
    </row>
    <row r="2025" spans="1:21" ht="15" customHeight="1">
      <c r="A2025" s="326"/>
      <c r="B2025" s="326"/>
      <c r="C2025" s="339"/>
      <c r="D2025" s="81">
        <f t="shared" si="416"/>
        <v>46191</v>
      </c>
      <c r="E2025" s="140" t="str">
        <f t="shared" si="417"/>
        <v>samuelbattista</v>
      </c>
      <c r="F2025" s="8">
        <f>IFERROR(AVERAGE(Data[[#This Row],[alappatjoe]:[currydestroyer27]]), "TBD")</f>
        <v>1.8</v>
      </c>
      <c r="G2025" s="177">
        <f>IFERROR(_xlfn.STDEV.P(Data[[#This Row],[alappatjoe]:[currydestroyer27]]), "TBD")</f>
        <v>1.1661903789690602</v>
      </c>
      <c r="H2025" s="135" t="s">
        <v>3839</v>
      </c>
      <c r="I2025" s="229" t="s">
        <v>1120</v>
      </c>
      <c r="J2025" s="3">
        <v>4</v>
      </c>
      <c r="K2025" s="3">
        <v>1</v>
      </c>
      <c r="L2025" s="3">
        <v>1</v>
      </c>
      <c r="M2025" s="3">
        <v>1</v>
      </c>
      <c r="N2025" s="3">
        <v>2</v>
      </c>
      <c r="O2025" s="238"/>
      <c r="P2025" s="93"/>
      <c r="Q2025" s="93"/>
      <c r="R20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25" s="93">
        <v>1</v>
      </c>
      <c r="T2025" s="93" t="b">
        <f>Data[[#This Row],[Day Rank]]=Data[[#This Row],[W Rank]]</f>
        <v>1</v>
      </c>
      <c r="U2025" s="323"/>
    </row>
    <row r="2026" spans="1:21" ht="15" customHeight="1" thickBot="1">
      <c r="A2026" s="327"/>
      <c r="B2026" s="327"/>
      <c r="C2026" s="340"/>
      <c r="D2026" s="164">
        <f t="shared" si="418"/>
        <v>46191</v>
      </c>
      <c r="E2026" s="215" t="str">
        <f t="shared" si="419"/>
        <v>currydestroyer27</v>
      </c>
      <c r="F2026" s="165">
        <f>IFERROR(AVERAGE(Data[[#This Row],[alappatjoe]:[currydestroyer27]]), "TBD")</f>
        <v>2.6</v>
      </c>
      <c r="G2026" s="256">
        <f>IFERROR(_xlfn.STDEV.P(Data[[#This Row],[alappatjoe]:[currydestroyer27]]), "TBD")</f>
        <v>0.8</v>
      </c>
      <c r="H2026" s="227" t="s">
        <v>3840</v>
      </c>
      <c r="I2026" s="257" t="s">
        <v>3841</v>
      </c>
      <c r="J2026" s="166">
        <v>3</v>
      </c>
      <c r="K2026" s="166">
        <v>3</v>
      </c>
      <c r="L2026" s="166">
        <v>3</v>
      </c>
      <c r="M2026" s="166">
        <v>3</v>
      </c>
      <c r="N2026" s="166">
        <v>1</v>
      </c>
      <c r="O2026" s="242">
        <v>1715089861</v>
      </c>
      <c r="P2026" s="167"/>
      <c r="Q2026" s="167"/>
      <c r="R20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26" s="167">
        <v>1</v>
      </c>
      <c r="T2026" s="167" t="b">
        <f>Data[[#This Row],[Day Rank]]=Data[[#This Row],[W Rank]]</f>
        <v>0</v>
      </c>
      <c r="U2026" s="324"/>
    </row>
    <row r="2027" spans="1:21" ht="15" customHeight="1">
      <c r="A2027" s="325">
        <v>46195</v>
      </c>
      <c r="B2027" s="325"/>
      <c r="C2027" s="328" t="str" cm="1">
        <f t="array" ref="C2027">_xlfn.LET(_xlpm.matches, _xlfn._xlws.FILTER(Data[Poster], (Data[Date]=A2027)*(Data[Winner]=TRUE)), IF(ROWS(_xlpm.matches)&gt;1, "TIE", _xlpm.matches))</f>
        <v>danram</v>
      </c>
      <c r="D2027" s="147">
        <f>A2027</f>
        <v>46195</v>
      </c>
      <c r="E2027" s="181" t="str">
        <f>$J$1</f>
        <v>alappatjoe</v>
      </c>
      <c r="F2027" s="8">
        <f>IFERROR(AVERAGE(Data[[#This Row],[alappatjoe]:[currydestroyer27]]), "TBD")</f>
        <v>3.2</v>
      </c>
      <c r="G2027" s="177">
        <f>IFERROR(_xlfn.STDEV.P(Data[[#This Row],[alappatjoe]:[currydestroyer27]]), "TBD")</f>
        <v>1.1661903789690602</v>
      </c>
      <c r="H2027" s="135" t="s">
        <v>3842</v>
      </c>
      <c r="I2027" s="229" t="s">
        <v>3843</v>
      </c>
      <c r="J2027" s="3">
        <v>2</v>
      </c>
      <c r="K2027" s="3">
        <v>2</v>
      </c>
      <c r="L2027" s="3">
        <v>5</v>
      </c>
      <c r="M2027" s="3">
        <v>3</v>
      </c>
      <c r="N2027" s="3">
        <v>4</v>
      </c>
      <c r="O2027" s="238">
        <v>737228563</v>
      </c>
      <c r="P2027" s="93"/>
      <c r="Q2027" s="93"/>
      <c r="R20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27" s="93">
        <v>1</v>
      </c>
      <c r="T2027" s="93" t="b">
        <f>Data[[#This Row],[Day Rank]]=Data[[#This Row],[W Rank]]</f>
        <v>0</v>
      </c>
      <c r="U2027" s="322"/>
    </row>
    <row r="2028" spans="1:21" ht="15" customHeight="1">
      <c r="A2028" s="326"/>
      <c r="B2028" s="326"/>
      <c r="C2028" s="329"/>
      <c r="D2028" s="81">
        <f>D2027</f>
        <v>46195</v>
      </c>
      <c r="E2028" s="140" t="str">
        <f>$K$1</f>
        <v>danram</v>
      </c>
      <c r="F2028" s="8">
        <f>IFERROR(AVERAGE(Data[[#This Row],[alappatjoe]:[currydestroyer27]]), "TBD")</f>
        <v>1.8</v>
      </c>
      <c r="G2028" s="177">
        <f>IFERROR(_xlfn.STDEV.P(Data[[#This Row],[alappatjoe]:[currydestroyer27]]), "TBD")</f>
        <v>0.74833147735478833</v>
      </c>
      <c r="H2028" s="135" t="s">
        <v>3844</v>
      </c>
      <c r="I2028" s="229" t="s">
        <v>3845</v>
      </c>
      <c r="J2028" s="3">
        <v>1</v>
      </c>
      <c r="K2028" s="3">
        <v>1</v>
      </c>
      <c r="L2028" s="3">
        <v>3</v>
      </c>
      <c r="M2028" s="3">
        <v>2</v>
      </c>
      <c r="N2028" s="3">
        <v>2</v>
      </c>
      <c r="O2028" s="238">
        <v>1057549137</v>
      </c>
      <c r="P2028" s="93"/>
      <c r="Q2028" s="93"/>
      <c r="R20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28" s="93">
        <v>1</v>
      </c>
      <c r="T2028" s="93" t="b">
        <f>Data[[#This Row],[Day Rank]]=Data[[#This Row],[W Rank]]</f>
        <v>1</v>
      </c>
      <c r="U2028" s="323"/>
    </row>
    <row r="2029" spans="1:21" ht="15" customHeight="1">
      <c r="A2029" s="326"/>
      <c r="B2029" s="326"/>
      <c r="C2029" s="329"/>
      <c r="D2029" s="81">
        <f>D2027</f>
        <v>46195</v>
      </c>
      <c r="E2029" s="140" t="str">
        <f>$L$1</f>
        <v>loganworsdell</v>
      </c>
      <c r="F2029" s="8">
        <f>IFERROR(AVERAGE(Data[[#This Row],[alappatjoe]:[currydestroyer27]]), "TBD")</f>
        <v>4.5999999999999996</v>
      </c>
      <c r="G2029" s="177">
        <f>IFERROR(_xlfn.STDEV.P(Data[[#This Row],[alappatjoe]:[currydestroyer27]]), "TBD")</f>
        <v>0.4898979485566356</v>
      </c>
      <c r="H2029" s="288" t="s">
        <v>3846</v>
      </c>
      <c r="I2029" s="229" t="s">
        <v>3847</v>
      </c>
      <c r="J2029" s="3">
        <v>5</v>
      </c>
      <c r="K2029" s="3">
        <v>4</v>
      </c>
      <c r="L2029" s="3">
        <v>4</v>
      </c>
      <c r="M2029" s="3">
        <v>5</v>
      </c>
      <c r="N2029" s="3">
        <v>5</v>
      </c>
      <c r="O2029" s="238">
        <v>9453</v>
      </c>
      <c r="P2029" s="93"/>
      <c r="Q2029" s="93"/>
      <c r="R20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29" s="93">
        <v>1</v>
      </c>
      <c r="T2029" s="93" t="b">
        <f>Data[[#This Row],[Day Rank]]=Data[[#This Row],[W Rank]]</f>
        <v>0</v>
      </c>
      <c r="U2029" s="323"/>
    </row>
    <row r="2030" spans="1:21" ht="15" customHeight="1">
      <c r="A2030" s="326"/>
      <c r="B2030" s="326"/>
      <c r="C2030" s="329"/>
      <c r="D2030" s="81">
        <f>D2027</f>
        <v>46195</v>
      </c>
      <c r="E2030" s="140" t="str">
        <f>$M$1</f>
        <v>samuelbattista</v>
      </c>
      <c r="F2030" s="8">
        <f>IFERROR(AVERAGE(Data[[#This Row],[alappatjoe]:[currydestroyer27]]), "TBD")</f>
        <v>2.4</v>
      </c>
      <c r="G2030" s="177">
        <f>IFERROR(_xlfn.STDEV.P(Data[[#This Row],[alappatjoe]:[currydestroyer27]]), "TBD")</f>
        <v>1.2</v>
      </c>
      <c r="H2030" s="135" t="s">
        <v>3848</v>
      </c>
      <c r="I2030" s="229" t="s">
        <v>965</v>
      </c>
      <c r="J2030" s="3">
        <v>4</v>
      </c>
      <c r="K2030" s="3">
        <v>3</v>
      </c>
      <c r="L2030" s="3">
        <v>1</v>
      </c>
      <c r="M2030" s="3">
        <v>1</v>
      </c>
      <c r="N2030" s="3">
        <v>3</v>
      </c>
      <c r="O2030" s="238">
        <v>1374755482</v>
      </c>
      <c r="P2030" s="93"/>
      <c r="Q2030" s="93"/>
      <c r="R20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30" s="93">
        <v>1</v>
      </c>
      <c r="T2030" s="93" t="b">
        <f>Data[[#This Row],[Day Rank]]=Data[[#This Row],[W Rank]]</f>
        <v>0</v>
      </c>
      <c r="U2030" s="323"/>
    </row>
    <row r="2031" spans="1:21" ht="15" customHeight="1" thickBot="1">
      <c r="A2031" s="327"/>
      <c r="B2031" s="327"/>
      <c r="C2031" s="330"/>
      <c r="D2031" s="164">
        <f>D2027</f>
        <v>46195</v>
      </c>
      <c r="E2031" s="215" t="str">
        <f>$N$1</f>
        <v>currydestroyer27</v>
      </c>
      <c r="F2031" s="165">
        <f>IFERROR(AVERAGE(Data[[#This Row],[alappatjoe]:[currydestroyer27]]), "TBD")</f>
        <v>3</v>
      </c>
      <c r="G2031" s="256">
        <f>IFERROR(_xlfn.STDEV.P(Data[[#This Row],[alappatjoe]:[currydestroyer27]]), "TBD")</f>
        <v>1.4142135623730951</v>
      </c>
      <c r="H2031" s="227" t="s">
        <v>603</v>
      </c>
      <c r="I2031" s="257" t="s">
        <v>3849</v>
      </c>
      <c r="J2031" s="166">
        <v>3</v>
      </c>
      <c r="K2031" s="166">
        <v>5</v>
      </c>
      <c r="L2031" s="166">
        <v>2</v>
      </c>
      <c r="M2031" s="166">
        <v>4</v>
      </c>
      <c r="N2031" s="166">
        <v>1</v>
      </c>
      <c r="O2031" s="242">
        <v>2339872</v>
      </c>
      <c r="P2031" s="167" t="s">
        <v>76</v>
      </c>
      <c r="Q2031" s="167" t="s">
        <v>99</v>
      </c>
      <c r="R203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31" s="167">
        <v>1</v>
      </c>
      <c r="T2031" s="167" t="b">
        <f>Data[[#This Row],[Day Rank]]=Data[[#This Row],[W Rank]]</f>
        <v>0</v>
      </c>
      <c r="U2031" s="324"/>
    </row>
    <row r="2032" spans="1:21" ht="15" customHeight="1">
      <c r="A2032" s="325">
        <v>46196</v>
      </c>
      <c r="B2032" s="325"/>
      <c r="C2032" s="338" t="str" cm="1">
        <f t="array" ref="C2032">_xlfn.LET(_xlpm.matches, _xlfn._xlws.FILTER(Data[Poster], (Data[Date]=A2032)*(Data[Winner]=TRUE)), IF(ROWS(_xlpm.matches)&gt;1, "TIE", _xlpm.matches))</f>
        <v>danram</v>
      </c>
      <c r="D2032" s="147">
        <f>A2032</f>
        <v>46196</v>
      </c>
      <c r="E2032" s="181" t="str">
        <f>$J$1</f>
        <v>alappatjoe</v>
      </c>
      <c r="F2032" s="9">
        <f>IFERROR(AVERAGE(Data[[#This Row],[alappatjoe]:[currydestroyer27]]), "TBD")</f>
        <v>2.6</v>
      </c>
      <c r="G2032" s="178">
        <f>IFERROR(_xlfn.STDEV.P(Data[[#This Row],[alappatjoe]:[currydestroyer27]]), "TBD")</f>
        <v>1.019803902718557</v>
      </c>
      <c r="H2032" s="160" t="s">
        <v>3850</v>
      </c>
      <c r="I2032" s="186" t="s">
        <v>2585</v>
      </c>
      <c r="J2032" s="3">
        <v>1</v>
      </c>
      <c r="K2032" s="3">
        <v>3</v>
      </c>
      <c r="L2032" s="3">
        <v>2</v>
      </c>
      <c r="M2032" s="3">
        <v>3</v>
      </c>
      <c r="N2032" s="3">
        <v>4</v>
      </c>
      <c r="O2032" s="238">
        <v>53747055</v>
      </c>
      <c r="P2032" s="93"/>
      <c r="Q2032" s="93"/>
      <c r="R20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32" s="93">
        <v>1</v>
      </c>
      <c r="T2032" s="93" t="b">
        <f>Data[[#This Row],[Day Rank]]=Data[[#This Row],[W Rank]]</f>
        <v>0</v>
      </c>
      <c r="U2032" s="322"/>
    </row>
    <row r="2033" spans="1:21" ht="15" customHeight="1">
      <c r="A2033" s="326"/>
      <c r="B2033" s="326"/>
      <c r="C2033" s="339"/>
      <c r="D2033" s="81">
        <f>D2032</f>
        <v>46196</v>
      </c>
      <c r="E2033" s="140" t="str">
        <f>$K$1</f>
        <v>danram</v>
      </c>
      <c r="F2033" s="8">
        <f>IFERROR(AVERAGE(Data[[#This Row],[alappatjoe]:[currydestroyer27]]), "TBD")</f>
        <v>2.2000000000000002</v>
      </c>
      <c r="G2033" s="177">
        <f>IFERROR(_xlfn.STDEV.P(Data[[#This Row],[alappatjoe]:[currydestroyer27]]), "TBD")</f>
        <v>0.74833147735478833</v>
      </c>
      <c r="H2033" s="135" t="s">
        <v>3851</v>
      </c>
      <c r="I2033" s="229" t="s">
        <v>3669</v>
      </c>
      <c r="J2033" s="3">
        <v>2</v>
      </c>
      <c r="K2033" s="3">
        <v>1</v>
      </c>
      <c r="L2033" s="3">
        <v>3</v>
      </c>
      <c r="M2033" s="3">
        <v>2</v>
      </c>
      <c r="N2033" s="3">
        <v>3</v>
      </c>
      <c r="O2033" s="238"/>
      <c r="P2033" s="93"/>
      <c r="Q2033" s="93"/>
      <c r="R20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33" s="93">
        <v>1</v>
      </c>
      <c r="T2033" s="93" t="b">
        <f>Data[[#This Row],[Day Rank]]=Data[[#This Row],[W Rank]]</f>
        <v>1</v>
      </c>
      <c r="U2033" s="323"/>
    </row>
    <row r="2034" spans="1:21" ht="15" customHeight="1">
      <c r="A2034" s="326"/>
      <c r="B2034" s="326"/>
      <c r="C2034" s="339"/>
      <c r="D2034" s="81">
        <f>D2032</f>
        <v>46196</v>
      </c>
      <c r="E2034" s="140" t="str">
        <f>$L$1</f>
        <v>loganworsdell</v>
      </c>
      <c r="F2034" s="8">
        <f>IFERROR(AVERAGE(Data[[#This Row],[alappatjoe]:[currydestroyer27]]), "TBD")</f>
        <v>2.8</v>
      </c>
      <c r="G2034" s="177">
        <f>IFERROR(_xlfn.STDEV.P(Data[[#This Row],[alappatjoe]:[currydestroyer27]]), "TBD")</f>
        <v>1.1661903789690602</v>
      </c>
      <c r="H2034" s="135" t="s">
        <v>3852</v>
      </c>
      <c r="I2034" s="229" t="s">
        <v>3853</v>
      </c>
      <c r="J2034" s="3">
        <v>3</v>
      </c>
      <c r="K2034" s="3">
        <v>4</v>
      </c>
      <c r="L2034" s="3">
        <v>1</v>
      </c>
      <c r="M2034" s="3">
        <v>4</v>
      </c>
      <c r="N2034" s="3">
        <v>2</v>
      </c>
      <c r="O2034" s="238">
        <v>5341292</v>
      </c>
      <c r="P2034" s="93"/>
      <c r="Q2034" s="93"/>
      <c r="R20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34" s="93">
        <v>1</v>
      </c>
      <c r="T2034" s="93" t="b">
        <f>Data[[#This Row],[Day Rank]]=Data[[#This Row],[W Rank]]</f>
        <v>0</v>
      </c>
      <c r="U2034" s="323"/>
    </row>
    <row r="2035" spans="1:21" ht="15" customHeight="1">
      <c r="A2035" s="326"/>
      <c r="B2035" s="326"/>
      <c r="C2035" s="339"/>
      <c r="D2035" s="81">
        <f>D2032</f>
        <v>46196</v>
      </c>
      <c r="E2035" s="140" t="str">
        <f>$M$1</f>
        <v>samuelbattista</v>
      </c>
      <c r="F2035" s="8">
        <f>IFERROR(AVERAGE(Data[[#This Row],[alappatjoe]:[currydestroyer27]]), "TBD")</f>
        <v>3.4</v>
      </c>
      <c r="G2035" s="177">
        <f>IFERROR(_xlfn.STDEV.P(Data[[#This Row],[alappatjoe]:[currydestroyer27]]), "TBD")</f>
        <v>1.6248076809271921</v>
      </c>
      <c r="H2035" s="135" t="s">
        <v>3854</v>
      </c>
      <c r="I2035" s="229" t="s">
        <v>1061</v>
      </c>
      <c r="J2035" s="3">
        <v>5</v>
      </c>
      <c r="K2035" s="3">
        <v>2</v>
      </c>
      <c r="L2035" s="3">
        <v>4</v>
      </c>
      <c r="M2035" s="3">
        <v>1</v>
      </c>
      <c r="N2035" s="3">
        <v>5</v>
      </c>
      <c r="O2035" s="238"/>
      <c r="P2035" s="93"/>
      <c r="Q2035" s="93"/>
      <c r="R20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35" s="93">
        <v>1</v>
      </c>
      <c r="T2035" s="93" t="b">
        <f>Data[[#This Row],[Day Rank]]=Data[[#This Row],[W Rank]]</f>
        <v>0</v>
      </c>
      <c r="U2035" s="323"/>
    </row>
    <row r="2036" spans="1:21" ht="15" customHeight="1" thickBot="1">
      <c r="A2036" s="327"/>
      <c r="B2036" s="327"/>
      <c r="C2036" s="340"/>
      <c r="D2036" s="164">
        <f>D2032</f>
        <v>46196</v>
      </c>
      <c r="E2036" s="215" t="str">
        <f>$N$1</f>
        <v>currydestroyer27</v>
      </c>
      <c r="F2036" s="165">
        <f>IFERROR(AVERAGE(Data[[#This Row],[alappatjoe]:[currydestroyer27]]), "TBD")</f>
        <v>4</v>
      </c>
      <c r="G2036" s="256">
        <f>IFERROR(_xlfn.STDEV.P(Data[[#This Row],[alappatjoe]:[currydestroyer27]]), "TBD")</f>
        <v>1.5491933384829668</v>
      </c>
      <c r="H2036" s="227" t="s">
        <v>3855</v>
      </c>
      <c r="I2036" s="257" t="s">
        <v>3856</v>
      </c>
      <c r="J2036" s="166">
        <v>4</v>
      </c>
      <c r="K2036" s="166">
        <v>5</v>
      </c>
      <c r="L2036" s="166">
        <v>5</v>
      </c>
      <c r="M2036" s="166">
        <v>5</v>
      </c>
      <c r="N2036" s="166">
        <v>1</v>
      </c>
      <c r="O2036" s="242">
        <v>18241540</v>
      </c>
      <c r="P2036" s="167"/>
      <c r="Q2036" s="167"/>
      <c r="R203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36" s="167">
        <v>1</v>
      </c>
      <c r="T2036" s="167" t="b">
        <f>Data[[#This Row],[Day Rank]]=Data[[#This Row],[W Rank]]</f>
        <v>0</v>
      </c>
      <c r="U2036" s="324"/>
    </row>
    <row r="2037" spans="1:21" ht="15" customHeight="1">
      <c r="A2037" s="325">
        <v>46197</v>
      </c>
      <c r="B2037" s="325"/>
      <c r="C2037" s="328" t="str" cm="1">
        <f t="array" ref="C2037">_xlfn.LET(_xlpm.matches, _xlfn._xlws.FILTER(Data[Poster], (Data[Date]=A2037)*(Data[Winner]=TRUE)), IF(ROWS(_xlpm.matches)&gt;1, "TIE", _xlpm.matches))</f>
        <v>alappatjoe</v>
      </c>
      <c r="D2037" s="147">
        <f>A2037</f>
        <v>46197</v>
      </c>
      <c r="E2037" s="181" t="str">
        <f>$J$1</f>
        <v>alappatjoe</v>
      </c>
      <c r="F2037" s="9">
        <f>IFERROR(AVERAGE(Data[[#This Row],[alappatjoe]:[currydestroyer27]]), "TBD")</f>
        <v>1.6</v>
      </c>
      <c r="G2037" s="178">
        <f>IFERROR(_xlfn.STDEV.P(Data[[#This Row],[alappatjoe]:[currydestroyer27]]), "TBD")</f>
        <v>0.4898979485566356</v>
      </c>
      <c r="H2037" s="160" t="s">
        <v>3857</v>
      </c>
      <c r="I2037" s="186" t="s">
        <v>3858</v>
      </c>
      <c r="J2037" s="3">
        <v>1</v>
      </c>
      <c r="K2037" s="3">
        <v>2</v>
      </c>
      <c r="L2037" s="3">
        <v>1</v>
      </c>
      <c r="M2037" s="3">
        <v>2</v>
      </c>
      <c r="N2037" s="3">
        <v>2</v>
      </c>
      <c r="O2037" s="238">
        <v>491871</v>
      </c>
      <c r="P2037" s="93"/>
      <c r="Q2037" s="93"/>
      <c r="R20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37" s="93">
        <v>1</v>
      </c>
      <c r="T2037" s="93" t="b">
        <f>Data[[#This Row],[Day Rank]]=Data[[#This Row],[W Rank]]</f>
        <v>1</v>
      </c>
      <c r="U2037" s="322"/>
    </row>
    <row r="2038" spans="1:21" ht="15" customHeight="1">
      <c r="A2038" s="326"/>
      <c r="B2038" s="326"/>
      <c r="C2038" s="329"/>
      <c r="D2038" s="81">
        <f>D2037</f>
        <v>46197</v>
      </c>
      <c r="E2038" s="140" t="str">
        <f>$K$1</f>
        <v>danram</v>
      </c>
      <c r="F2038" s="8">
        <f>IFERROR(AVERAGE(Data[[#This Row],[alappatjoe]:[currydestroyer27]]), "TBD")</f>
        <v>4.2</v>
      </c>
      <c r="G2038" s="177">
        <f>IFERROR(_xlfn.STDEV.P(Data[[#This Row],[alappatjoe]:[currydestroyer27]]), "TBD")</f>
        <v>0.74833147735478833</v>
      </c>
      <c r="H2038" s="135" t="s">
        <v>3859</v>
      </c>
      <c r="I2038" s="229" t="s">
        <v>3860</v>
      </c>
      <c r="J2038" s="3">
        <v>4</v>
      </c>
      <c r="K2038" s="3">
        <v>3</v>
      </c>
      <c r="L2038" s="3">
        <v>5</v>
      </c>
      <c r="M2038" s="3">
        <v>4</v>
      </c>
      <c r="N2038" s="3">
        <v>5</v>
      </c>
      <c r="O2038" s="238"/>
      <c r="P2038" s="93"/>
      <c r="Q2038" s="93"/>
      <c r="R20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38" s="93">
        <v>1</v>
      </c>
      <c r="T2038" s="93" t="b">
        <f>Data[[#This Row],[Day Rank]]=Data[[#This Row],[W Rank]]</f>
        <v>0</v>
      </c>
      <c r="U2038" s="323"/>
    </row>
    <row r="2039" spans="1:21" ht="15" customHeight="1">
      <c r="A2039" s="326"/>
      <c r="B2039" s="326"/>
      <c r="C2039" s="329"/>
      <c r="D2039" s="81">
        <f>D2037</f>
        <v>46197</v>
      </c>
      <c r="E2039" s="140" t="str">
        <f>$L$1</f>
        <v>loganworsdell</v>
      </c>
      <c r="F2039" s="8">
        <f>IFERROR(AVERAGE(Data[[#This Row],[alappatjoe]:[currydestroyer27]]), "TBD")</f>
        <v>3.2</v>
      </c>
      <c r="G2039" s="177">
        <f>IFERROR(_xlfn.STDEV.P(Data[[#This Row],[alappatjoe]:[currydestroyer27]]), "TBD")</f>
        <v>0.4</v>
      </c>
      <c r="H2039" s="135" t="s">
        <v>3861</v>
      </c>
      <c r="I2039" s="229" t="s">
        <v>3862</v>
      </c>
      <c r="J2039" s="3">
        <v>3</v>
      </c>
      <c r="K2039" s="3">
        <v>4</v>
      </c>
      <c r="L2039" s="3">
        <v>3</v>
      </c>
      <c r="M2039" s="3">
        <v>3</v>
      </c>
      <c r="N2039" s="3">
        <v>3</v>
      </c>
      <c r="O2039" s="238">
        <v>254694796</v>
      </c>
      <c r="P2039" s="93"/>
      <c r="Q2039" s="93"/>
      <c r="R20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39" s="93">
        <v>1</v>
      </c>
      <c r="T2039" s="93" t="b">
        <f>Data[[#This Row],[Day Rank]]=Data[[#This Row],[W Rank]]</f>
        <v>0</v>
      </c>
      <c r="U2039" s="323"/>
    </row>
    <row r="2040" spans="1:21" ht="15" customHeight="1">
      <c r="A2040" s="326"/>
      <c r="B2040" s="326"/>
      <c r="C2040" s="329"/>
      <c r="D2040" s="81">
        <f>D2037</f>
        <v>46197</v>
      </c>
      <c r="E2040" s="140" t="str">
        <f>$M$1</f>
        <v>samuelbattista</v>
      </c>
      <c r="F2040" s="8">
        <f>IFERROR(AVERAGE(Data[[#This Row],[alappatjoe]:[currydestroyer27]]), "TBD")</f>
        <v>2.4</v>
      </c>
      <c r="G2040" s="177">
        <f>IFERROR(_xlfn.STDEV.P(Data[[#This Row],[alappatjoe]:[currydestroyer27]]), "TBD")</f>
        <v>1.3564659966250536</v>
      </c>
      <c r="H2040" s="135" t="s">
        <v>3863</v>
      </c>
      <c r="I2040" s="229" t="s">
        <v>3864</v>
      </c>
      <c r="J2040" s="3">
        <v>2</v>
      </c>
      <c r="K2040" s="3">
        <v>1</v>
      </c>
      <c r="L2040" s="3">
        <v>4</v>
      </c>
      <c r="M2040" s="3">
        <v>1</v>
      </c>
      <c r="N2040" s="3">
        <v>4</v>
      </c>
      <c r="O2040" s="238"/>
      <c r="P2040" s="93"/>
      <c r="Q2040" s="93"/>
      <c r="R20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40" s="93">
        <v>1</v>
      </c>
      <c r="T2040" s="93" t="b">
        <f>Data[[#This Row],[Day Rank]]=Data[[#This Row],[W Rank]]</f>
        <v>0</v>
      </c>
      <c r="U2040" s="323"/>
    </row>
    <row r="2041" spans="1:21" ht="15" customHeight="1" thickBot="1">
      <c r="A2041" s="327"/>
      <c r="B2041" s="327"/>
      <c r="C2041" s="330"/>
      <c r="D2041" s="164">
        <f>D2037</f>
        <v>46197</v>
      </c>
      <c r="E2041" s="215" t="str">
        <f>$N$1</f>
        <v>currydestroyer27</v>
      </c>
      <c r="F2041" s="165">
        <f>IFERROR(AVERAGE(Data[[#This Row],[alappatjoe]:[currydestroyer27]]), "TBD")</f>
        <v>3.6</v>
      </c>
      <c r="G2041" s="256">
        <f>IFERROR(_xlfn.STDEV.P(Data[[#This Row],[alappatjoe]:[currydestroyer27]]), "TBD")</f>
        <v>1.7435595774162693</v>
      </c>
      <c r="H2041" s="227" t="s">
        <v>3865</v>
      </c>
      <c r="I2041" s="257" t="s">
        <v>3866</v>
      </c>
      <c r="J2041" s="166">
        <v>5</v>
      </c>
      <c r="K2041" s="166">
        <v>5</v>
      </c>
      <c r="L2041" s="166">
        <v>2</v>
      </c>
      <c r="M2041" s="166">
        <v>5</v>
      </c>
      <c r="N2041" s="166">
        <v>1</v>
      </c>
      <c r="O2041" s="242">
        <v>759626236</v>
      </c>
      <c r="P2041" s="167"/>
      <c r="Q2041" s="167"/>
      <c r="R204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41" s="167">
        <v>1</v>
      </c>
      <c r="T2041" s="167" t="b">
        <f>Data[[#This Row],[Day Rank]]=Data[[#This Row],[W Rank]]</f>
        <v>0</v>
      </c>
      <c r="U2041" s="324"/>
    </row>
    <row r="2042" spans="1:21" ht="15" customHeight="1">
      <c r="A2042" s="325">
        <v>46198</v>
      </c>
      <c r="B2042" s="325"/>
      <c r="C2042" s="338" t="str" cm="1">
        <f t="array" ref="C2042">_xlfn.LET(_xlpm.matches, _xlfn._xlws.FILTER(Data[Poster], (Data[Date]=A2042)*(Data[Winner]=TRUE)), IF(ROWS(_xlpm.matches)&gt;1, "TIE", _xlpm.matches))</f>
        <v>loganworsdell</v>
      </c>
      <c r="D2042" s="147">
        <f>A2042</f>
        <v>46198</v>
      </c>
      <c r="E2042" s="181" t="str">
        <f>$J$1</f>
        <v>alappatjoe</v>
      </c>
      <c r="F2042" s="9">
        <f>IFERROR(AVERAGE(Data[[#This Row],[alappatjoe]:[currydestroyer27]]), "TBD")</f>
        <v>3.4</v>
      </c>
      <c r="G2042" s="178">
        <f>IFERROR(_xlfn.STDEV.P(Data[[#This Row],[alappatjoe]:[currydestroyer27]]), "TBD")</f>
        <v>1.2</v>
      </c>
      <c r="H2042" s="160" t="s">
        <v>3867</v>
      </c>
      <c r="I2042" s="186" t="s">
        <v>3868</v>
      </c>
      <c r="J2042" s="3">
        <v>1</v>
      </c>
      <c r="K2042" s="3">
        <v>4</v>
      </c>
      <c r="L2042" s="3">
        <v>4</v>
      </c>
      <c r="M2042" s="3">
        <v>4</v>
      </c>
      <c r="N2042" s="3">
        <v>4</v>
      </c>
      <c r="O2042" s="238">
        <v>451528964</v>
      </c>
      <c r="P2042" s="93"/>
      <c r="Q2042" s="93"/>
      <c r="R20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42" s="93">
        <v>1</v>
      </c>
      <c r="T2042" s="93" t="b">
        <f>Data[[#This Row],[Day Rank]]=Data[[#This Row],[W Rank]]</f>
        <v>0</v>
      </c>
      <c r="U2042" s="322" t="s">
        <v>3869</v>
      </c>
    </row>
    <row r="2043" spans="1:21" ht="15" customHeight="1">
      <c r="A2043" s="326"/>
      <c r="B2043" s="326"/>
      <c r="C2043" s="339"/>
      <c r="D2043" s="81">
        <f>D2042</f>
        <v>46198</v>
      </c>
      <c r="E2043" s="140" t="str">
        <f>$K$1</f>
        <v>danram</v>
      </c>
      <c r="F2043" s="8">
        <f>IFERROR(AVERAGE(Data[[#This Row],[alappatjoe]:[currydestroyer27]]), "TBD")</f>
        <v>2.2000000000000002</v>
      </c>
      <c r="G2043" s="177">
        <f>IFERROR(_xlfn.STDEV.P(Data[[#This Row],[alappatjoe]:[currydestroyer27]]), "TBD")</f>
        <v>0.74833147735478833</v>
      </c>
      <c r="H2043" s="135" t="s">
        <v>3870</v>
      </c>
      <c r="I2043" s="229" t="s">
        <v>3871</v>
      </c>
      <c r="J2043" s="3">
        <v>3</v>
      </c>
      <c r="K2043" s="3">
        <v>2</v>
      </c>
      <c r="L2043" s="3">
        <v>2</v>
      </c>
      <c r="M2043" s="3">
        <v>1</v>
      </c>
      <c r="N2043" s="3">
        <v>3</v>
      </c>
      <c r="O2043" s="238"/>
      <c r="P2043" s="93"/>
      <c r="Q2043" s="93"/>
      <c r="R20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43" s="93">
        <v>1</v>
      </c>
      <c r="T2043" s="93" t="b">
        <f>Data[[#This Row],[Day Rank]]=Data[[#This Row],[W Rank]]</f>
        <v>0</v>
      </c>
      <c r="U2043" s="323"/>
    </row>
    <row r="2044" spans="1:21" ht="15" customHeight="1">
      <c r="A2044" s="326"/>
      <c r="B2044" s="326"/>
      <c r="C2044" s="339"/>
      <c r="D2044" s="81">
        <f>D2042</f>
        <v>46198</v>
      </c>
      <c r="E2044" s="140" t="str">
        <f>$L$1</f>
        <v>loganworsdell</v>
      </c>
      <c r="F2044" s="8">
        <f>IFERROR(AVERAGE(Data[[#This Row],[alappatjoe]:[currydestroyer27]]), "TBD")</f>
        <v>1.6</v>
      </c>
      <c r="G2044" s="177">
        <f>IFERROR(_xlfn.STDEV.P(Data[[#This Row],[alappatjoe]:[currydestroyer27]]), "TBD")</f>
        <v>0.4898979485566356</v>
      </c>
      <c r="H2044" s="135" t="s">
        <v>3872</v>
      </c>
      <c r="I2044" s="229" t="s">
        <v>3873</v>
      </c>
      <c r="J2044" s="3">
        <v>2</v>
      </c>
      <c r="K2044" s="3">
        <v>1</v>
      </c>
      <c r="L2044" s="3">
        <v>1</v>
      </c>
      <c r="M2044" s="3">
        <v>2</v>
      </c>
      <c r="N2044" s="3">
        <v>2</v>
      </c>
      <c r="O2044" s="238">
        <v>299763273</v>
      </c>
      <c r="P2044" s="93"/>
      <c r="Q2044" s="93"/>
      <c r="R20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44" s="93">
        <v>1</v>
      </c>
      <c r="T2044" s="93" t="b">
        <f>Data[[#This Row],[Day Rank]]=Data[[#This Row],[W Rank]]</f>
        <v>1</v>
      </c>
      <c r="U2044" s="323"/>
    </row>
    <row r="2045" spans="1:21" ht="15" customHeight="1">
      <c r="A2045" s="326"/>
      <c r="B2045" s="326"/>
      <c r="C2045" s="339"/>
      <c r="D2045" s="81">
        <f>D2042</f>
        <v>46198</v>
      </c>
      <c r="E2045" s="140" t="str">
        <f>$M$1</f>
        <v>samuelbattista</v>
      </c>
      <c r="F2045" s="8">
        <f>IFERROR(AVERAGE(Data[[#This Row],[alappatjoe]:[currydestroyer27]]), "TBD")</f>
        <v>4.5999999999999996</v>
      </c>
      <c r="G2045" s="177">
        <f>IFERROR(_xlfn.STDEV.P(Data[[#This Row],[alappatjoe]:[currydestroyer27]]), "TBD")</f>
        <v>0.8</v>
      </c>
      <c r="H2045" s="135" t="s">
        <v>3874</v>
      </c>
      <c r="I2045" s="229" t="s">
        <v>3875</v>
      </c>
      <c r="J2045" s="3">
        <v>5</v>
      </c>
      <c r="K2045" s="3">
        <v>3</v>
      </c>
      <c r="L2045" s="3">
        <v>5</v>
      </c>
      <c r="M2045" s="3">
        <v>5</v>
      </c>
      <c r="N2045" s="3">
        <v>5</v>
      </c>
      <c r="O2045" s="238"/>
      <c r="P2045" s="93"/>
      <c r="Q2045" s="93"/>
      <c r="R20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45" s="93">
        <v>1</v>
      </c>
      <c r="T2045" s="93" t="b">
        <f>Data[[#This Row],[Day Rank]]=Data[[#This Row],[W Rank]]</f>
        <v>0</v>
      </c>
      <c r="U2045" s="323"/>
    </row>
    <row r="2046" spans="1:21" ht="15" customHeight="1" thickBot="1">
      <c r="A2046" s="327"/>
      <c r="B2046" s="327"/>
      <c r="C2046" s="340"/>
      <c r="D2046" s="164">
        <f>D2042</f>
        <v>46198</v>
      </c>
      <c r="E2046" s="215" t="str">
        <f>$N$1</f>
        <v>currydestroyer27</v>
      </c>
      <c r="F2046" s="165">
        <f>IFERROR(AVERAGE(Data[[#This Row],[alappatjoe]:[currydestroyer27]]), "TBD")</f>
        <v>3.2</v>
      </c>
      <c r="G2046" s="256">
        <f>IFERROR(_xlfn.STDEV.P(Data[[#This Row],[alappatjoe]:[currydestroyer27]]), "TBD")</f>
        <v>1.3266499161421599</v>
      </c>
      <c r="H2046" s="227" t="s">
        <v>3876</v>
      </c>
      <c r="I2046" s="257" t="s">
        <v>3877</v>
      </c>
      <c r="J2046" s="166">
        <v>4</v>
      </c>
      <c r="K2046" s="166">
        <v>5</v>
      </c>
      <c r="L2046" s="166">
        <v>3</v>
      </c>
      <c r="M2046" s="166">
        <v>3</v>
      </c>
      <c r="N2046" s="166">
        <v>1</v>
      </c>
      <c r="O2046" s="242">
        <v>267337470</v>
      </c>
      <c r="P2046" s="167" t="s">
        <v>76</v>
      </c>
      <c r="Q2046" s="167" t="s">
        <v>3878</v>
      </c>
      <c r="R204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46" s="167">
        <v>1</v>
      </c>
      <c r="T2046" s="167" t="b">
        <f>Data[[#This Row],[Day Rank]]=Data[[#This Row],[W Rank]]</f>
        <v>0</v>
      </c>
      <c r="U2046" s="324"/>
    </row>
    <row r="2047" spans="1:21" ht="15" customHeight="1">
      <c r="A2047" s="325">
        <v>46202</v>
      </c>
      <c r="B2047" s="325"/>
      <c r="C2047" s="328" t="str" cm="1">
        <f t="array" ref="C2047">_xlfn.LET(_xlpm.matches, _xlfn._xlws.FILTER(Data[Poster], (Data[Date]=A2047)*(Data[Winner]=TRUE)), IF(ROWS(_xlpm.matches)&gt;1, "TIE", _xlpm.matches))</f>
        <v>samuelbattista</v>
      </c>
      <c r="D2047" s="147">
        <f>A2047</f>
        <v>46202</v>
      </c>
      <c r="E2047" s="181" t="str">
        <f>$J$1</f>
        <v>alappatjoe</v>
      </c>
      <c r="F2047" s="8">
        <f>IFERROR(AVERAGE(Data[[#This Row],[alappatjoe]:[currydestroyer27]]), "TBD")</f>
        <v>3.4</v>
      </c>
      <c r="G2047" s="177">
        <f>IFERROR(_xlfn.STDEV.P(Data[[#This Row],[alappatjoe]:[currydestroyer27]]), "TBD")</f>
        <v>1.4966629547095767</v>
      </c>
      <c r="H2047" s="135" t="s">
        <v>3879</v>
      </c>
      <c r="I2047" s="229" t="s">
        <v>3880</v>
      </c>
      <c r="J2047" s="3">
        <v>1</v>
      </c>
      <c r="K2047" s="3">
        <v>5</v>
      </c>
      <c r="L2047" s="3">
        <v>3</v>
      </c>
      <c r="M2047" s="3">
        <v>5</v>
      </c>
      <c r="N2047" s="3">
        <v>3</v>
      </c>
      <c r="O2047" s="238">
        <v>254574</v>
      </c>
      <c r="P2047" s="93"/>
      <c r="Q2047" s="93"/>
      <c r="R20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47" s="93">
        <v>1</v>
      </c>
      <c r="T2047" s="93" t="b">
        <f>Data[[#This Row],[Day Rank]]=Data[[#This Row],[W Rank]]</f>
        <v>0</v>
      </c>
      <c r="U2047" s="322"/>
    </row>
    <row r="2048" spans="1:21" ht="15" customHeight="1">
      <c r="A2048" s="326"/>
      <c r="B2048" s="326"/>
      <c r="C2048" s="329"/>
      <c r="D2048" s="81">
        <f>D2047</f>
        <v>46202</v>
      </c>
      <c r="E2048" s="140" t="str">
        <f>$K$1</f>
        <v>danram</v>
      </c>
      <c r="F2048" s="8">
        <f>IFERROR(AVERAGE(Data[[#This Row],[alappatjoe]:[currydestroyer27]]), "TBD")</f>
        <v>3</v>
      </c>
      <c r="G2048" s="177">
        <f>IFERROR(_xlfn.STDEV.P(Data[[#This Row],[alappatjoe]:[currydestroyer27]]), "TBD")</f>
        <v>1.2649110640673518</v>
      </c>
      <c r="H2048" s="135" t="s">
        <v>3881</v>
      </c>
      <c r="I2048" s="229" t="s">
        <v>2719</v>
      </c>
      <c r="J2048" s="3">
        <v>4</v>
      </c>
      <c r="K2048" s="3">
        <v>1</v>
      </c>
      <c r="L2048" s="3">
        <v>4</v>
      </c>
      <c r="M2048" s="3">
        <v>2</v>
      </c>
      <c r="N2048" s="3">
        <v>4</v>
      </c>
      <c r="O2048" s="238"/>
      <c r="P2048" s="93"/>
      <c r="Q2048" s="93"/>
      <c r="R20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48" s="93">
        <v>1</v>
      </c>
      <c r="T2048" s="93" t="b">
        <f>Data[[#This Row],[Day Rank]]=Data[[#This Row],[W Rank]]</f>
        <v>0</v>
      </c>
      <c r="U2048" s="323"/>
    </row>
    <row r="2049" spans="1:21" ht="15" customHeight="1">
      <c r="A2049" s="326"/>
      <c r="B2049" s="326"/>
      <c r="C2049" s="329"/>
      <c r="D2049" s="81">
        <f>D2047</f>
        <v>46202</v>
      </c>
      <c r="E2049" s="140" t="str">
        <f>$L$1</f>
        <v>loganworsdell</v>
      </c>
      <c r="F2049" s="8">
        <f>IFERROR(AVERAGE(Data[[#This Row],[alappatjoe]:[currydestroyer27]]), "TBD")</f>
        <v>2.6</v>
      </c>
      <c r="G2049" s="177">
        <f>IFERROR(_xlfn.STDEV.P(Data[[#This Row],[alappatjoe]:[currydestroyer27]]), "TBD")</f>
        <v>1.3564659966250536</v>
      </c>
      <c r="H2049" s="135" t="s">
        <v>3882</v>
      </c>
      <c r="I2049" s="229" t="s">
        <v>3883</v>
      </c>
      <c r="J2049" s="3">
        <v>2</v>
      </c>
      <c r="K2049" s="3">
        <v>2</v>
      </c>
      <c r="L2049" s="3">
        <v>1</v>
      </c>
      <c r="M2049" s="3">
        <v>3</v>
      </c>
      <c r="N2049" s="3">
        <v>5</v>
      </c>
      <c r="O2049" s="238">
        <v>11014629</v>
      </c>
      <c r="P2049" s="93"/>
      <c r="Q2049" s="93"/>
      <c r="R20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49" s="93">
        <v>1</v>
      </c>
      <c r="T2049" s="93" t="b">
        <f>Data[[#This Row],[Day Rank]]=Data[[#This Row],[W Rank]]</f>
        <v>0</v>
      </c>
      <c r="U2049" s="323"/>
    </row>
    <row r="2050" spans="1:21" ht="15" customHeight="1">
      <c r="A2050" s="326"/>
      <c r="B2050" s="326"/>
      <c r="C2050" s="329"/>
      <c r="D2050" s="81">
        <f>D2047</f>
        <v>46202</v>
      </c>
      <c r="E2050" s="140" t="str">
        <f>$M$1</f>
        <v>samuelbattista</v>
      </c>
      <c r="F2050" s="8">
        <f>IFERROR(AVERAGE(Data[[#This Row],[alappatjoe]:[currydestroyer27]]), "TBD")</f>
        <v>2.2000000000000002</v>
      </c>
      <c r="G2050" s="177">
        <f>IFERROR(_xlfn.STDEV.P(Data[[#This Row],[alappatjoe]:[currydestroyer27]]), "TBD")</f>
        <v>0.74833147735478833</v>
      </c>
      <c r="H2050" s="135" t="s">
        <v>3884</v>
      </c>
      <c r="I2050" s="229" t="s">
        <v>1108</v>
      </c>
      <c r="J2050" s="3">
        <v>3</v>
      </c>
      <c r="K2050" s="3">
        <v>3</v>
      </c>
      <c r="L2050" s="3">
        <v>2</v>
      </c>
      <c r="M2050" s="3">
        <v>1</v>
      </c>
      <c r="N2050" s="3">
        <v>2</v>
      </c>
      <c r="O2050" s="238"/>
      <c r="P2050" s="93"/>
      <c r="Q2050" s="93"/>
      <c r="R20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50" s="93">
        <v>1</v>
      </c>
      <c r="T2050" s="93" t="b">
        <f>Data[[#This Row],[Day Rank]]=Data[[#This Row],[W Rank]]</f>
        <v>1</v>
      </c>
      <c r="U2050" s="323"/>
    </row>
    <row r="2051" spans="1:21" ht="15" customHeight="1" thickBot="1">
      <c r="A2051" s="327"/>
      <c r="B2051" s="327"/>
      <c r="C2051" s="330"/>
      <c r="D2051" s="164">
        <f>D2047</f>
        <v>46202</v>
      </c>
      <c r="E2051" s="215" t="str">
        <f>$N$1</f>
        <v>currydestroyer27</v>
      </c>
      <c r="F2051" s="165">
        <f>IFERROR(AVERAGE(Data[[#This Row],[alappatjoe]:[currydestroyer27]]), "TBD")</f>
        <v>3.8</v>
      </c>
      <c r="G2051" s="256">
        <f>IFERROR(_xlfn.STDEV.P(Data[[#This Row],[alappatjoe]:[currydestroyer27]]), "TBD")</f>
        <v>1.4696938456699069</v>
      </c>
      <c r="H2051" s="227" t="s">
        <v>3885</v>
      </c>
      <c r="I2051" s="257" t="s">
        <v>3886</v>
      </c>
      <c r="J2051" s="166">
        <v>5</v>
      </c>
      <c r="K2051" s="166">
        <v>4</v>
      </c>
      <c r="L2051" s="166">
        <v>5</v>
      </c>
      <c r="M2051" s="166">
        <v>4</v>
      </c>
      <c r="N2051" s="166">
        <v>1</v>
      </c>
      <c r="O2051" s="242">
        <v>12515497</v>
      </c>
      <c r="P2051" s="167" t="s">
        <v>76</v>
      </c>
      <c r="Q2051" s="167" t="s">
        <v>99</v>
      </c>
      <c r="R205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51" s="167">
        <v>1</v>
      </c>
      <c r="T2051" s="167" t="b">
        <f>Data[[#This Row],[Day Rank]]=Data[[#This Row],[W Rank]]</f>
        <v>0</v>
      </c>
      <c r="U2051" s="324"/>
    </row>
    <row r="2052" spans="1:21" ht="15" customHeight="1">
      <c r="A2052" s="325">
        <v>46203</v>
      </c>
      <c r="B2052" s="325"/>
      <c r="C2052" s="338" t="str" cm="1">
        <f t="array" ref="C2052">_xlfn.LET(_xlpm.matches, _xlfn._xlws.FILTER(Data[Poster], (Data[Date]=A2052)*(Data[Winner]=TRUE)), IF(ROWS(_xlpm.matches)&gt;1, "TIE", _xlpm.matches))</f>
        <v>danram</v>
      </c>
      <c r="D2052" s="147">
        <f>A2052</f>
        <v>46203</v>
      </c>
      <c r="E2052" s="181" t="str">
        <f>$J$1</f>
        <v>alappatjoe</v>
      </c>
      <c r="F2052" s="9">
        <f>IFERROR(AVERAGE(Data[[#This Row],[alappatjoe]:[currydestroyer27]]), "TBD")</f>
        <v>3</v>
      </c>
      <c r="G2052" s="178">
        <f>IFERROR(_xlfn.STDEV.P(Data[[#This Row],[alappatjoe]:[currydestroyer27]]), "TBD")</f>
        <v>1.4142135623730951</v>
      </c>
      <c r="H2052" s="160" t="s">
        <v>3887</v>
      </c>
      <c r="I2052" s="186" t="s">
        <v>3888</v>
      </c>
      <c r="J2052" s="3">
        <v>1</v>
      </c>
      <c r="K2052" s="3">
        <v>4</v>
      </c>
      <c r="L2052" s="3">
        <v>2</v>
      </c>
      <c r="M2052" s="3">
        <v>5</v>
      </c>
      <c r="N2052" s="3">
        <v>3</v>
      </c>
      <c r="O2052" s="238"/>
      <c r="P2052" s="93"/>
      <c r="Q2052" s="93"/>
      <c r="R20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52" s="93">
        <v>1</v>
      </c>
      <c r="T2052" s="93" t="b">
        <f>Data[[#This Row],[Day Rank]]=Data[[#This Row],[W Rank]]</f>
        <v>0</v>
      </c>
      <c r="U2052" s="322"/>
    </row>
    <row r="2053" spans="1:21" ht="15" customHeight="1">
      <c r="A2053" s="326"/>
      <c r="B2053" s="326"/>
      <c r="C2053" s="339"/>
      <c r="D2053" s="81">
        <f>D2052</f>
        <v>46203</v>
      </c>
      <c r="E2053" s="140" t="str">
        <f>$K$1</f>
        <v>danram</v>
      </c>
      <c r="F2053" s="8">
        <f>IFERROR(AVERAGE(Data[[#This Row],[alappatjoe]:[currydestroyer27]]), "TBD")</f>
        <v>2.6</v>
      </c>
      <c r="G2053" s="177">
        <f>IFERROR(_xlfn.STDEV.P(Data[[#This Row],[alappatjoe]:[currydestroyer27]]), "TBD")</f>
        <v>1.019803902718557</v>
      </c>
      <c r="H2053" s="135" t="s">
        <v>3889</v>
      </c>
      <c r="I2053" s="229" t="s">
        <v>1263</v>
      </c>
      <c r="J2053" s="3">
        <v>4</v>
      </c>
      <c r="K2053" s="3">
        <v>1</v>
      </c>
      <c r="L2053" s="3">
        <v>3</v>
      </c>
      <c r="M2053" s="3">
        <v>3</v>
      </c>
      <c r="N2053" s="3">
        <v>2</v>
      </c>
      <c r="O2053" s="238"/>
      <c r="P2053" s="93"/>
      <c r="Q2053" s="93"/>
      <c r="R20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53" s="93">
        <v>1</v>
      </c>
      <c r="T2053" s="93" t="b">
        <f>Data[[#This Row],[Day Rank]]=Data[[#This Row],[W Rank]]</f>
        <v>1</v>
      </c>
      <c r="U2053" s="323"/>
    </row>
    <row r="2054" spans="1:21" ht="15" customHeight="1">
      <c r="A2054" s="326"/>
      <c r="B2054" s="326"/>
      <c r="C2054" s="339"/>
      <c r="D2054" s="81">
        <f>D2052</f>
        <v>46203</v>
      </c>
      <c r="E2054" s="140" t="str">
        <f>$L$1</f>
        <v>loganworsdell</v>
      </c>
      <c r="F2054" s="8">
        <f>IFERROR(AVERAGE(Data[[#This Row],[alappatjoe]:[currydestroyer27]]), "TBD")</f>
        <v>3.4</v>
      </c>
      <c r="G2054" s="177">
        <f>IFERROR(_xlfn.STDEV.P(Data[[#This Row],[alappatjoe]:[currydestroyer27]]), "TBD")</f>
        <v>1.3564659966250536</v>
      </c>
      <c r="H2054" s="135" t="s">
        <v>3890</v>
      </c>
      <c r="I2054" s="229" t="s">
        <v>3891</v>
      </c>
      <c r="J2054" s="3">
        <v>5</v>
      </c>
      <c r="K2054" s="3">
        <v>3</v>
      </c>
      <c r="L2054" s="3">
        <v>1</v>
      </c>
      <c r="M2054" s="3">
        <v>4</v>
      </c>
      <c r="N2054" s="3">
        <v>4</v>
      </c>
      <c r="O2054" s="238">
        <v>2969</v>
      </c>
      <c r="P2054" s="93"/>
      <c r="Q2054" s="93"/>
      <c r="R20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54" s="93">
        <v>1</v>
      </c>
      <c r="T2054" s="93" t="b">
        <f>Data[[#This Row],[Day Rank]]=Data[[#This Row],[W Rank]]</f>
        <v>0</v>
      </c>
      <c r="U2054" s="323"/>
    </row>
    <row r="2055" spans="1:21" ht="15" customHeight="1">
      <c r="A2055" s="326"/>
      <c r="B2055" s="326"/>
      <c r="C2055" s="339"/>
      <c r="D2055" s="81">
        <f>D2052</f>
        <v>46203</v>
      </c>
      <c r="E2055" s="140" t="str">
        <f>$M$1</f>
        <v>samuelbattista</v>
      </c>
      <c r="F2055" s="8">
        <f>IFERROR(AVERAGE(Data[[#This Row],[alappatjoe]:[currydestroyer27]]), "TBD")</f>
        <v>3</v>
      </c>
      <c r="G2055" s="177">
        <f>IFERROR(_xlfn.STDEV.P(Data[[#This Row],[alappatjoe]:[currydestroyer27]]), "TBD")</f>
        <v>1.6733200530681511</v>
      </c>
      <c r="H2055" s="135" t="s">
        <v>3892</v>
      </c>
      <c r="I2055" s="229" t="s">
        <v>3893</v>
      </c>
      <c r="J2055" s="3">
        <v>2</v>
      </c>
      <c r="K2055" s="3">
        <v>2</v>
      </c>
      <c r="L2055" s="3">
        <v>5</v>
      </c>
      <c r="M2055" s="3">
        <v>1</v>
      </c>
      <c r="N2055" s="3">
        <v>5</v>
      </c>
      <c r="O2055" s="238"/>
      <c r="P2055" s="93"/>
      <c r="Q2055" s="93"/>
      <c r="R20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55" s="93">
        <v>1</v>
      </c>
      <c r="T2055" s="93" t="b">
        <f>Data[[#This Row],[Day Rank]]=Data[[#This Row],[W Rank]]</f>
        <v>0</v>
      </c>
      <c r="U2055" s="323"/>
    </row>
    <row r="2056" spans="1:21" ht="15" customHeight="1" thickBot="1">
      <c r="A2056" s="327"/>
      <c r="B2056" s="327"/>
      <c r="C2056" s="340"/>
      <c r="D2056" s="164">
        <f>D2052</f>
        <v>46203</v>
      </c>
      <c r="E2056" s="215" t="str">
        <f>$N$1</f>
        <v>currydestroyer27</v>
      </c>
      <c r="F2056" s="165">
        <f>IFERROR(AVERAGE(Data[[#This Row],[alappatjoe]:[currydestroyer27]]), "TBD")</f>
        <v>3</v>
      </c>
      <c r="G2056" s="256">
        <f>IFERROR(_xlfn.STDEV.P(Data[[#This Row],[alappatjoe]:[currydestroyer27]]), "TBD")</f>
        <v>1.4142135623730951</v>
      </c>
      <c r="H2056" s="227" t="s">
        <v>3894</v>
      </c>
      <c r="I2056" s="257" t="s">
        <v>3895</v>
      </c>
      <c r="J2056" s="166">
        <v>3</v>
      </c>
      <c r="K2056" s="166">
        <v>5</v>
      </c>
      <c r="L2056" s="166">
        <v>4</v>
      </c>
      <c r="M2056" s="166">
        <v>2</v>
      </c>
      <c r="N2056" s="166">
        <v>1</v>
      </c>
      <c r="O2056" s="242">
        <v>584823529</v>
      </c>
      <c r="P2056" s="167"/>
      <c r="Q2056" s="167"/>
      <c r="R205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56" s="167">
        <v>1</v>
      </c>
      <c r="T2056" s="167" t="b">
        <f>Data[[#This Row],[Day Rank]]=Data[[#This Row],[W Rank]]</f>
        <v>0</v>
      </c>
      <c r="U2056" s="324"/>
    </row>
    <row r="2057" spans="1:21" ht="15" customHeight="1">
      <c r="A2057" s="325">
        <v>46204</v>
      </c>
      <c r="B2057" s="325"/>
      <c r="C2057" s="328" t="str" cm="1">
        <f t="array" ref="C2057">_xlfn.LET(_xlpm.matches, _xlfn._xlws.FILTER(Data[Poster], (Data[Date]=A2057)*(Data[Winner]=TRUE)), IF(ROWS(_xlpm.matches)&gt;1, "TIE", _xlpm.matches))</f>
        <v>loganworsdell</v>
      </c>
      <c r="D2057" s="147">
        <f>A2057</f>
        <v>46204</v>
      </c>
      <c r="E2057" s="181" t="str">
        <f>$J$1</f>
        <v>alappatjoe</v>
      </c>
      <c r="F2057" s="9">
        <f>IFERROR(AVERAGE(Data[[#This Row],[alappatjoe]:[currydestroyer27]]), "TBD")</f>
        <v>2.8</v>
      </c>
      <c r="G2057" s="178">
        <f>IFERROR(_xlfn.STDEV.P(Data[[#This Row],[alappatjoe]:[currydestroyer27]]), "TBD")</f>
        <v>1.3266499161421599</v>
      </c>
      <c r="H2057" s="160" t="s">
        <v>3896</v>
      </c>
      <c r="I2057" s="186" t="s">
        <v>3897</v>
      </c>
      <c r="J2057" s="3">
        <v>1</v>
      </c>
      <c r="K2057" s="3">
        <v>5</v>
      </c>
      <c r="L2057" s="3">
        <v>3</v>
      </c>
      <c r="M2057" s="3">
        <v>3</v>
      </c>
      <c r="N2057" s="3">
        <v>2</v>
      </c>
      <c r="O2057" s="238">
        <v>286765</v>
      </c>
      <c r="P2057" s="93"/>
      <c r="Q2057" s="93"/>
      <c r="R20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57" s="93">
        <v>1</v>
      </c>
      <c r="T2057" s="93" t="b">
        <f>Data[[#This Row],[Day Rank]]=Data[[#This Row],[W Rank]]</f>
        <v>0</v>
      </c>
      <c r="U2057" s="322"/>
    </row>
    <row r="2058" spans="1:21" ht="15" customHeight="1">
      <c r="A2058" s="326"/>
      <c r="B2058" s="326"/>
      <c r="C2058" s="329"/>
      <c r="D2058" s="81">
        <f>D2057</f>
        <v>46204</v>
      </c>
      <c r="E2058" s="140" t="str">
        <f>$K$1</f>
        <v>danram</v>
      </c>
      <c r="F2058" s="8">
        <f>IFERROR(AVERAGE(Data[[#This Row],[alappatjoe]:[currydestroyer27]]), "TBD")</f>
        <v>4.5999999999999996</v>
      </c>
      <c r="G2058" s="177">
        <f>IFERROR(_xlfn.STDEV.P(Data[[#This Row],[alappatjoe]:[currydestroyer27]]), "TBD")</f>
        <v>0.8</v>
      </c>
      <c r="H2058" s="135" t="s">
        <v>3898</v>
      </c>
      <c r="I2058" s="229" t="s">
        <v>3899</v>
      </c>
      <c r="J2058" s="3">
        <v>5</v>
      </c>
      <c r="K2058" s="3">
        <v>3</v>
      </c>
      <c r="L2058" s="3">
        <v>5</v>
      </c>
      <c r="M2058" s="3">
        <v>5</v>
      </c>
      <c r="N2058" s="3">
        <v>5</v>
      </c>
      <c r="O2058" s="238"/>
      <c r="P2058" s="93"/>
      <c r="Q2058" s="93"/>
      <c r="R20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58" s="93">
        <v>1</v>
      </c>
      <c r="T2058" s="93" t="b">
        <f>Data[[#This Row],[Day Rank]]=Data[[#This Row],[W Rank]]</f>
        <v>0</v>
      </c>
      <c r="U2058" s="323"/>
    </row>
    <row r="2059" spans="1:21" ht="15" customHeight="1">
      <c r="A2059" s="326"/>
      <c r="B2059" s="326"/>
      <c r="C2059" s="329"/>
      <c r="D2059" s="81">
        <f>D2057</f>
        <v>46204</v>
      </c>
      <c r="E2059" s="140" t="str">
        <f>$L$1</f>
        <v>loganworsdell</v>
      </c>
      <c r="F2059" s="8">
        <f>IFERROR(AVERAGE(Data[[#This Row],[alappatjoe]:[currydestroyer27]]), "TBD")</f>
        <v>2.4</v>
      </c>
      <c r="G2059" s="177">
        <f>IFERROR(_xlfn.STDEV.P(Data[[#This Row],[alappatjoe]:[currydestroyer27]]), "TBD")</f>
        <v>1.3564659966250536</v>
      </c>
      <c r="H2059" s="135" t="s">
        <v>3900</v>
      </c>
      <c r="I2059" s="229" t="s">
        <v>3901</v>
      </c>
      <c r="J2059" s="3">
        <v>2</v>
      </c>
      <c r="K2059" s="3">
        <v>1</v>
      </c>
      <c r="L2059" s="3">
        <v>1</v>
      </c>
      <c r="M2059" s="3">
        <v>4</v>
      </c>
      <c r="N2059" s="3">
        <v>4</v>
      </c>
      <c r="O2059" s="238">
        <v>1756731</v>
      </c>
      <c r="P2059" s="93"/>
      <c r="Q2059" s="93"/>
      <c r="R20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59" s="93">
        <v>1</v>
      </c>
      <c r="T2059" s="93" t="b">
        <f>Data[[#This Row],[Day Rank]]=Data[[#This Row],[W Rank]]</f>
        <v>1</v>
      </c>
      <c r="U2059" s="323"/>
    </row>
    <row r="2060" spans="1:21" ht="15" customHeight="1">
      <c r="A2060" s="326"/>
      <c r="B2060" s="326"/>
      <c r="C2060" s="329"/>
      <c r="D2060" s="81">
        <f>D2057</f>
        <v>46204</v>
      </c>
      <c r="E2060" s="140" t="str">
        <f>$M$1</f>
        <v>samuelbattista</v>
      </c>
      <c r="F2060" s="8">
        <f>IFERROR(AVERAGE(Data[[#This Row],[alappatjoe]:[currydestroyer27]]), "TBD")</f>
        <v>2.8</v>
      </c>
      <c r="G2060" s="177">
        <f>IFERROR(_xlfn.STDEV.P(Data[[#This Row],[alappatjoe]:[currydestroyer27]]), "TBD")</f>
        <v>0.74833147735478833</v>
      </c>
      <c r="H2060" s="135" t="s">
        <v>3902</v>
      </c>
      <c r="I2060" s="229" t="s">
        <v>3903</v>
      </c>
      <c r="J2060" s="3">
        <v>3</v>
      </c>
      <c r="K2060" s="3">
        <v>2</v>
      </c>
      <c r="L2060" s="3">
        <v>4</v>
      </c>
      <c r="M2060" s="3">
        <v>2</v>
      </c>
      <c r="N2060" s="3">
        <v>3</v>
      </c>
      <c r="O2060" s="238"/>
      <c r="P2060" s="93"/>
      <c r="Q2060" s="93"/>
      <c r="R20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60" s="93">
        <v>1</v>
      </c>
      <c r="T2060" s="93" t="b">
        <f>Data[[#This Row],[Day Rank]]=Data[[#This Row],[W Rank]]</f>
        <v>0</v>
      </c>
      <c r="U2060" s="323"/>
    </row>
    <row r="2061" spans="1:21" ht="15" customHeight="1" thickBot="1">
      <c r="A2061" s="327"/>
      <c r="B2061" s="327"/>
      <c r="C2061" s="330"/>
      <c r="D2061" s="164">
        <f>D2057</f>
        <v>46204</v>
      </c>
      <c r="E2061" s="215" t="str">
        <f>$N$1</f>
        <v>currydestroyer27</v>
      </c>
      <c r="F2061" s="165">
        <f>IFERROR(AVERAGE(Data[[#This Row],[alappatjoe]:[currydestroyer27]]), "TBD")</f>
        <v>2.4</v>
      </c>
      <c r="G2061" s="256">
        <f>IFERROR(_xlfn.STDEV.P(Data[[#This Row],[alappatjoe]:[currydestroyer27]]), "TBD")</f>
        <v>1.3564659966250536</v>
      </c>
      <c r="H2061" s="227" t="s">
        <v>3904</v>
      </c>
      <c r="I2061" s="257" t="s">
        <v>3905</v>
      </c>
      <c r="J2061" s="166">
        <v>4</v>
      </c>
      <c r="K2061" s="166">
        <v>4</v>
      </c>
      <c r="L2061" s="166">
        <v>2</v>
      </c>
      <c r="M2061" s="166">
        <v>1</v>
      </c>
      <c r="N2061" s="166">
        <v>1</v>
      </c>
      <c r="O2061" s="242">
        <v>711965964</v>
      </c>
      <c r="P2061" s="167"/>
      <c r="Q2061" s="167"/>
      <c r="R206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61" s="167">
        <v>2</v>
      </c>
      <c r="T2061" s="167" t="b">
        <f>Data[[#This Row],[Day Rank]]=Data[[#This Row],[W Rank]]</f>
        <v>0</v>
      </c>
      <c r="U2061" s="324"/>
    </row>
    <row r="2062" spans="1:21" ht="15" customHeight="1">
      <c r="A2062" s="325">
        <v>46205</v>
      </c>
      <c r="B2062" s="325"/>
      <c r="C2062" s="338" t="str" cm="1">
        <f t="array" ref="C2062">_xlfn.LET(_xlpm.matches, _xlfn._xlws.FILTER(Data[Poster], (Data[Date]=A2062)*(Data[Winner]=TRUE)), IF(ROWS(_xlpm.matches)&gt;1, "TIE", _xlpm.matches))</f>
        <v>danram</v>
      </c>
      <c r="D2062" s="147">
        <f>A2062</f>
        <v>46205</v>
      </c>
      <c r="E2062" s="181" t="str">
        <f>$J$1</f>
        <v>alappatjoe</v>
      </c>
      <c r="F2062" s="9">
        <f>IFERROR(AVERAGE(Data[[#This Row],[alappatjoe]:[currydestroyer27]]), "TBD")</f>
        <v>3.6</v>
      </c>
      <c r="G2062" s="178">
        <f>IFERROR(_xlfn.STDEV.P(Data[[#This Row],[alappatjoe]:[currydestroyer27]]), "TBD")</f>
        <v>1.4966629547095767</v>
      </c>
      <c r="H2062" s="160" t="s">
        <v>3906</v>
      </c>
      <c r="I2062" s="186" t="s">
        <v>3907</v>
      </c>
      <c r="J2062" s="3">
        <v>1</v>
      </c>
      <c r="K2062" s="3">
        <v>4</v>
      </c>
      <c r="L2062" s="3">
        <v>3</v>
      </c>
      <c r="M2062" s="3">
        <v>5</v>
      </c>
      <c r="N2062" s="3">
        <v>5</v>
      </c>
      <c r="O2062" s="238">
        <v>30386532</v>
      </c>
      <c r="P2062" s="93"/>
      <c r="Q2062" s="93"/>
      <c r="R20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62" s="93">
        <v>1</v>
      </c>
      <c r="T2062" s="93" t="b">
        <f>Data[[#This Row],[Day Rank]]=Data[[#This Row],[W Rank]]</f>
        <v>0</v>
      </c>
      <c r="U2062" s="322" t="s">
        <v>3908</v>
      </c>
    </row>
    <row r="2063" spans="1:21" ht="15" customHeight="1">
      <c r="A2063" s="326"/>
      <c r="B2063" s="326"/>
      <c r="C2063" s="339"/>
      <c r="D2063" s="81">
        <f>D2062</f>
        <v>46205</v>
      </c>
      <c r="E2063" s="140" t="str">
        <f>$K$1</f>
        <v>danram</v>
      </c>
      <c r="F2063" s="8">
        <f>IFERROR(AVERAGE(Data[[#This Row],[alappatjoe]:[currydestroyer27]]), "TBD")</f>
        <v>2</v>
      </c>
      <c r="G2063" s="177">
        <f>IFERROR(_xlfn.STDEV.P(Data[[#This Row],[alappatjoe]:[currydestroyer27]]), "TBD")</f>
        <v>0.63245553203367588</v>
      </c>
      <c r="H2063" s="135" t="s">
        <v>3909</v>
      </c>
      <c r="I2063" s="229" t="s">
        <v>3910</v>
      </c>
      <c r="J2063" s="3">
        <v>2</v>
      </c>
      <c r="K2063" s="3">
        <v>1</v>
      </c>
      <c r="L2063" s="3">
        <v>2</v>
      </c>
      <c r="M2063" s="3">
        <v>2</v>
      </c>
      <c r="N2063" s="3">
        <v>3</v>
      </c>
      <c r="O2063" s="238"/>
      <c r="P2063" s="93"/>
      <c r="Q2063" s="93"/>
      <c r="R20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63" s="93">
        <v>1</v>
      </c>
      <c r="T2063" s="93" t="b">
        <f>Data[[#This Row],[Day Rank]]=Data[[#This Row],[W Rank]]</f>
        <v>1</v>
      </c>
      <c r="U2063" s="323"/>
    </row>
    <row r="2064" spans="1:21" ht="15" customHeight="1">
      <c r="A2064" s="326"/>
      <c r="B2064" s="326"/>
      <c r="C2064" s="339"/>
      <c r="D2064" s="81">
        <f>D2062</f>
        <v>46205</v>
      </c>
      <c r="E2064" s="140" t="str">
        <f>$L$1</f>
        <v>loganworsdell</v>
      </c>
      <c r="F2064" s="8">
        <f>IFERROR(AVERAGE(Data[[#This Row],[alappatjoe]:[currydestroyer27]]), "TBD")</f>
        <v>2.6</v>
      </c>
      <c r="G2064" s="177">
        <f>IFERROR(_xlfn.STDEV.P(Data[[#This Row],[alappatjoe]:[currydestroyer27]]), "TBD")</f>
        <v>1.019803902718557</v>
      </c>
      <c r="H2064" s="135" t="s">
        <v>3911</v>
      </c>
      <c r="I2064" s="229" t="s">
        <v>3912</v>
      </c>
      <c r="J2064" s="3">
        <v>4</v>
      </c>
      <c r="K2064" s="3">
        <v>3</v>
      </c>
      <c r="L2064" s="3">
        <v>1</v>
      </c>
      <c r="M2064" s="3">
        <v>3</v>
      </c>
      <c r="N2064" s="3">
        <v>2</v>
      </c>
      <c r="O2064" s="238">
        <v>2519915</v>
      </c>
      <c r="P2064" s="93"/>
      <c r="Q2064" s="93"/>
      <c r="R20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64" s="93">
        <v>1</v>
      </c>
      <c r="T2064" s="93" t="b">
        <f>Data[[#This Row],[Day Rank]]=Data[[#This Row],[W Rank]]</f>
        <v>0</v>
      </c>
      <c r="U2064" s="323"/>
    </row>
    <row r="2065" spans="1:21" ht="15" customHeight="1">
      <c r="A2065" s="326"/>
      <c r="B2065" s="326"/>
      <c r="C2065" s="339"/>
      <c r="D2065" s="81">
        <f>D2062</f>
        <v>46205</v>
      </c>
      <c r="E2065" s="140" t="str">
        <f>$M$1</f>
        <v>samuelbattista</v>
      </c>
      <c r="F2065" s="8">
        <f>IFERROR(AVERAGE(Data[[#This Row],[alappatjoe]:[currydestroyer27]]), "TBD")</f>
        <v>2.8</v>
      </c>
      <c r="G2065" s="177">
        <f>IFERROR(_xlfn.STDEV.P(Data[[#This Row],[alappatjoe]:[currydestroyer27]]), "TBD")</f>
        <v>1.1661903789690602</v>
      </c>
      <c r="H2065" s="135" t="s">
        <v>3913</v>
      </c>
      <c r="I2065" s="229" t="s">
        <v>3914</v>
      </c>
      <c r="J2065" s="3">
        <v>3</v>
      </c>
      <c r="K2065" s="3">
        <v>2</v>
      </c>
      <c r="L2065" s="3">
        <v>4</v>
      </c>
      <c r="M2065" s="3">
        <v>1</v>
      </c>
      <c r="N2065" s="3">
        <v>4</v>
      </c>
      <c r="O2065" s="238"/>
      <c r="P2065" s="93"/>
      <c r="Q2065" s="93"/>
      <c r="R20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65" s="93">
        <v>1</v>
      </c>
      <c r="T2065" s="93" t="b">
        <f>Data[[#This Row],[Day Rank]]=Data[[#This Row],[W Rank]]</f>
        <v>0</v>
      </c>
      <c r="U2065" s="323"/>
    </row>
    <row r="2066" spans="1:21" ht="15" customHeight="1" thickBot="1">
      <c r="A2066" s="327"/>
      <c r="B2066" s="327"/>
      <c r="C2066" s="340"/>
      <c r="D2066" s="164">
        <f>D2062</f>
        <v>46205</v>
      </c>
      <c r="E2066" s="215" t="str">
        <f>$N$1</f>
        <v>currydestroyer27</v>
      </c>
      <c r="F2066" s="165">
        <f>IFERROR(AVERAGE(Data[[#This Row],[alappatjoe]:[currydestroyer27]]), "TBD")</f>
        <v>4</v>
      </c>
      <c r="G2066" s="256">
        <f>IFERROR(_xlfn.STDEV.P(Data[[#This Row],[alappatjoe]:[currydestroyer27]]), "TBD")</f>
        <v>1.5491933384829668</v>
      </c>
      <c r="H2066" s="227" t="s">
        <v>3915</v>
      </c>
      <c r="I2066" s="257" t="s">
        <v>3916</v>
      </c>
      <c r="J2066" s="166">
        <v>5</v>
      </c>
      <c r="K2066" s="166">
        <v>5</v>
      </c>
      <c r="L2066" s="166">
        <v>5</v>
      </c>
      <c r="M2066" s="166">
        <v>4</v>
      </c>
      <c r="N2066" s="166">
        <v>1</v>
      </c>
      <c r="O2066" s="242">
        <v>72357263</v>
      </c>
      <c r="P2066" s="167" t="s">
        <v>76</v>
      </c>
      <c r="Q2066" s="167" t="s">
        <v>99</v>
      </c>
      <c r="R206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66" s="167">
        <v>1</v>
      </c>
      <c r="T2066" s="167" t="b">
        <f>Data[[#This Row],[Day Rank]]=Data[[#This Row],[W Rank]]</f>
        <v>0</v>
      </c>
      <c r="U2066" s="324"/>
    </row>
    <row r="2067" spans="1:21" ht="15" customHeight="1">
      <c r="A2067" s="325">
        <v>46209</v>
      </c>
      <c r="B2067" s="325"/>
      <c r="C2067" s="328" t="str" cm="1">
        <f t="array" ref="C2067">_xlfn.LET(_xlpm.matches, _xlfn._xlws.FILTER(Data[Poster], (Data[Date]=A2067)*(Data[Winner]=TRUE)), IF(ROWS(_xlpm.matches)&gt;1, "TIE", _xlpm.matches))</f>
        <v>samuelbattista</v>
      </c>
      <c r="D2067" s="147">
        <f t="shared" ref="D2067" si="427">A2067</f>
        <v>46209</v>
      </c>
      <c r="E2067" s="181" t="str">
        <f t="shared" ref="E2067" si="428">$J$1</f>
        <v>alappatjoe</v>
      </c>
      <c r="F2067" s="8">
        <f>IFERROR(AVERAGE(Data[[#This Row],[alappatjoe]:[currydestroyer27]]), "TBD")</f>
        <v>3.2</v>
      </c>
      <c r="G2067" s="177">
        <f>IFERROR(_xlfn.STDEV.P(Data[[#This Row],[alappatjoe]:[currydestroyer27]]), "TBD")</f>
        <v>1.1661903789690602</v>
      </c>
      <c r="H2067" s="135" t="s">
        <v>3917</v>
      </c>
      <c r="I2067" s="229" t="s">
        <v>3918</v>
      </c>
      <c r="J2067" s="3">
        <v>1</v>
      </c>
      <c r="K2067" s="3">
        <v>4</v>
      </c>
      <c r="L2067" s="3">
        <v>4</v>
      </c>
      <c r="M2067" s="3">
        <v>4</v>
      </c>
      <c r="N2067" s="3">
        <v>3</v>
      </c>
      <c r="O2067" s="238">
        <v>135993</v>
      </c>
      <c r="P2067" s="93"/>
      <c r="Q2067" s="93"/>
      <c r="R20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67" s="93">
        <v>1</v>
      </c>
      <c r="T2067" s="93" t="b">
        <f>Data[[#This Row],[Day Rank]]=Data[[#This Row],[W Rank]]</f>
        <v>0</v>
      </c>
      <c r="U2067" s="322"/>
    </row>
    <row r="2068" spans="1:21" ht="15" customHeight="1">
      <c r="A2068" s="326"/>
      <c r="B2068" s="326"/>
      <c r="C2068" s="329"/>
      <c r="D2068" s="81">
        <f t="shared" ref="D2068" si="429">D2067</f>
        <v>46209</v>
      </c>
      <c r="E2068" s="140" t="str">
        <f t="shared" ref="E2068" si="430">$K$1</f>
        <v>danram</v>
      </c>
      <c r="F2068" s="8">
        <f>IFERROR(AVERAGE(Data[[#This Row],[alappatjoe]:[currydestroyer27]]), "TBD")</f>
        <v>5</v>
      </c>
      <c r="G2068" s="177">
        <f>IFERROR(_xlfn.STDEV.P(Data[[#This Row],[alappatjoe]:[currydestroyer27]]), "TBD")</f>
        <v>0</v>
      </c>
      <c r="H2068" s="135" t="s">
        <v>3919</v>
      </c>
      <c r="I2068" s="229" t="s">
        <v>3136</v>
      </c>
      <c r="J2068" s="3">
        <v>5</v>
      </c>
      <c r="K2068" s="3">
        <v>5</v>
      </c>
      <c r="L2068" s="3">
        <v>5</v>
      </c>
      <c r="M2068" s="3">
        <v>5</v>
      </c>
      <c r="N2068" s="3">
        <v>5</v>
      </c>
      <c r="O2068" s="238"/>
      <c r="P2068" s="93"/>
      <c r="Q2068" s="93"/>
      <c r="R20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68" s="93">
        <v>1</v>
      </c>
      <c r="T2068" s="93" t="b">
        <f>Data[[#This Row],[Day Rank]]=Data[[#This Row],[W Rank]]</f>
        <v>0</v>
      </c>
      <c r="U2068" s="323"/>
    </row>
    <row r="2069" spans="1:21" ht="15" customHeight="1">
      <c r="A2069" s="326"/>
      <c r="B2069" s="326"/>
      <c r="C2069" s="329"/>
      <c r="D2069" s="81">
        <f t="shared" ref="D2069" si="431">D2067</f>
        <v>46209</v>
      </c>
      <c r="E2069" s="140" t="str">
        <f t="shared" ref="E2069" si="432">$L$1</f>
        <v>loganworsdell</v>
      </c>
      <c r="F2069" s="8">
        <f>IFERROR(AVERAGE(Data[[#This Row],[alappatjoe]:[currydestroyer27]]), "TBD")</f>
        <v>2.6</v>
      </c>
      <c r="G2069" s="177">
        <f>IFERROR(_xlfn.STDEV.P(Data[[#This Row],[alappatjoe]:[currydestroyer27]]), "TBD")</f>
        <v>0.8</v>
      </c>
      <c r="H2069" s="135" t="s">
        <v>3920</v>
      </c>
      <c r="I2069" s="229" t="s">
        <v>3921</v>
      </c>
      <c r="J2069" s="3">
        <v>3</v>
      </c>
      <c r="K2069" s="3">
        <v>2</v>
      </c>
      <c r="L2069" s="3">
        <v>2</v>
      </c>
      <c r="M2069" s="3">
        <v>2</v>
      </c>
      <c r="N2069" s="3">
        <v>4</v>
      </c>
      <c r="O2069" s="238">
        <v>703746</v>
      </c>
      <c r="P2069" s="93"/>
      <c r="Q2069" s="93"/>
      <c r="R20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69" s="93">
        <v>1</v>
      </c>
      <c r="T2069" s="93" t="b">
        <f>Data[[#This Row],[Day Rank]]=Data[[#This Row],[W Rank]]</f>
        <v>0</v>
      </c>
      <c r="U2069" s="323"/>
    </row>
    <row r="2070" spans="1:21" ht="15" customHeight="1">
      <c r="A2070" s="326"/>
      <c r="B2070" s="326"/>
      <c r="C2070" s="329"/>
      <c r="D2070" s="81">
        <f t="shared" ref="D2070" si="433">D2067</f>
        <v>46209</v>
      </c>
      <c r="E2070" s="140" t="str">
        <f t="shared" ref="E2070" si="434">$M$1</f>
        <v>samuelbattista</v>
      </c>
      <c r="F2070" s="8">
        <f>IFERROR(AVERAGE(Data[[#This Row],[alappatjoe]:[currydestroyer27]]), "TBD")</f>
        <v>1.8</v>
      </c>
      <c r="G2070" s="177">
        <f>IFERROR(_xlfn.STDEV.P(Data[[#This Row],[alappatjoe]:[currydestroyer27]]), "TBD")</f>
        <v>1.1661903789690602</v>
      </c>
      <c r="H2070" s="135" t="s">
        <v>3922</v>
      </c>
      <c r="I2070" s="229" t="s">
        <v>3923</v>
      </c>
      <c r="J2070" s="3">
        <v>4</v>
      </c>
      <c r="K2070" s="3">
        <v>1</v>
      </c>
      <c r="L2070" s="3">
        <v>1</v>
      </c>
      <c r="M2070" s="3">
        <v>1</v>
      </c>
      <c r="N2070" s="3">
        <v>2</v>
      </c>
      <c r="O2070" s="238"/>
      <c r="P2070" s="93"/>
      <c r="Q2070" s="93"/>
      <c r="R20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70" s="93">
        <v>1</v>
      </c>
      <c r="T2070" s="93" t="b">
        <f>Data[[#This Row],[Day Rank]]=Data[[#This Row],[W Rank]]</f>
        <v>1</v>
      </c>
      <c r="U2070" s="323"/>
    </row>
    <row r="2071" spans="1:21" ht="15" customHeight="1" thickBot="1">
      <c r="A2071" s="327"/>
      <c r="B2071" s="327"/>
      <c r="C2071" s="330"/>
      <c r="D2071" s="164">
        <f t="shared" ref="D2071" si="435">D2067</f>
        <v>46209</v>
      </c>
      <c r="E2071" s="215" t="str">
        <f t="shared" ref="E2071" si="436">$N$1</f>
        <v>currydestroyer27</v>
      </c>
      <c r="F2071" s="165">
        <f>IFERROR(AVERAGE(Data[[#This Row],[alappatjoe]:[currydestroyer27]]), "TBD")</f>
        <v>2.4</v>
      </c>
      <c r="G2071" s="256">
        <f>IFERROR(_xlfn.STDEV.P(Data[[#This Row],[alappatjoe]:[currydestroyer27]]), "TBD")</f>
        <v>0.8</v>
      </c>
      <c r="H2071" s="227" t="s">
        <v>3924</v>
      </c>
      <c r="I2071" s="257" t="s">
        <v>3925</v>
      </c>
      <c r="J2071" s="166">
        <v>2</v>
      </c>
      <c r="K2071" s="166">
        <v>3</v>
      </c>
      <c r="L2071" s="166">
        <v>3</v>
      </c>
      <c r="M2071" s="166">
        <v>3</v>
      </c>
      <c r="N2071" s="166">
        <v>1</v>
      </c>
      <c r="O2071" s="242">
        <v>5681237</v>
      </c>
      <c r="P2071" s="167" t="s">
        <v>76</v>
      </c>
      <c r="Q2071" s="167" t="s">
        <v>99</v>
      </c>
      <c r="R207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71" s="167">
        <v>1</v>
      </c>
      <c r="T2071" s="167" t="b">
        <f>Data[[#This Row],[Day Rank]]=Data[[#This Row],[W Rank]]</f>
        <v>0</v>
      </c>
      <c r="U2071" s="324"/>
    </row>
    <row r="2072" spans="1:21" ht="15" customHeight="1">
      <c r="A2072" s="325">
        <v>46210</v>
      </c>
      <c r="B2072" s="325"/>
      <c r="C2072" s="338" t="str" cm="1">
        <f t="array" ref="C2072">_xlfn.LET(_xlpm.matches, _xlfn._xlws.FILTER(Data[Poster], (Data[Date]=A2072)*(Data[Winner]=TRUE)), IF(ROWS(_xlpm.matches)&gt;1, "TIE", _xlpm.matches))</f>
        <v>samuelbattista</v>
      </c>
      <c r="D2072" s="147">
        <f t="shared" ref="D2072" si="437">A2072</f>
        <v>46210</v>
      </c>
      <c r="E2072" s="181" t="str">
        <f t="shared" ref="E2072" si="438">$J$1</f>
        <v>alappatjoe</v>
      </c>
      <c r="F2072" s="9">
        <f>IFERROR(AVERAGE(Data[[#This Row],[alappatjoe]:[currydestroyer27]]), "TBD")</f>
        <v>2.6</v>
      </c>
      <c r="G2072" s="178">
        <f>IFERROR(_xlfn.STDEV.P(Data[[#This Row],[alappatjoe]:[currydestroyer27]]), "TBD")</f>
        <v>1.019803902718557</v>
      </c>
      <c r="H2072" s="160" t="s">
        <v>3926</v>
      </c>
      <c r="I2072" s="186" t="s">
        <v>3927</v>
      </c>
      <c r="J2072" s="3">
        <v>1</v>
      </c>
      <c r="K2072" s="3">
        <v>2</v>
      </c>
      <c r="L2072" s="3">
        <v>4</v>
      </c>
      <c r="M2072" s="3">
        <v>3</v>
      </c>
      <c r="N2072" s="3">
        <v>3</v>
      </c>
      <c r="O2072" s="238">
        <v>164398</v>
      </c>
      <c r="P2072" s="93"/>
      <c r="Q2072" s="93"/>
      <c r="R20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72" s="93">
        <v>1</v>
      </c>
      <c r="T2072" s="93" t="b">
        <f>Data[[#This Row],[Day Rank]]=Data[[#This Row],[W Rank]]</f>
        <v>0</v>
      </c>
      <c r="U2072" s="322"/>
    </row>
    <row r="2073" spans="1:21" ht="15" customHeight="1">
      <c r="A2073" s="326"/>
      <c r="B2073" s="326"/>
      <c r="C2073" s="339"/>
      <c r="D2073" s="81">
        <f t="shared" ref="D2073" si="439">D2072</f>
        <v>46210</v>
      </c>
      <c r="E2073" s="140" t="str">
        <f t="shared" ref="E2073" si="440">$K$1</f>
        <v>danram</v>
      </c>
      <c r="F2073" s="8">
        <f>IFERROR(AVERAGE(Data[[#This Row],[alappatjoe]:[currydestroyer27]]), "TBD")</f>
        <v>4.5999999999999996</v>
      </c>
      <c r="G2073" s="177">
        <f>IFERROR(_xlfn.STDEV.P(Data[[#This Row],[alappatjoe]:[currydestroyer27]]), "TBD")</f>
        <v>0.8</v>
      </c>
      <c r="H2073" s="135" t="s">
        <v>3928</v>
      </c>
      <c r="I2073" s="229" t="s">
        <v>3269</v>
      </c>
      <c r="J2073" s="3">
        <v>5</v>
      </c>
      <c r="K2073" s="3">
        <v>3</v>
      </c>
      <c r="L2073" s="3">
        <v>5</v>
      </c>
      <c r="M2073" s="3">
        <v>5</v>
      </c>
      <c r="N2073" s="3">
        <v>5</v>
      </c>
      <c r="O2073" s="238"/>
      <c r="P2073" s="93"/>
      <c r="Q2073" s="93"/>
      <c r="R20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73" s="93">
        <v>1</v>
      </c>
      <c r="T2073" s="93" t="b">
        <f>Data[[#This Row],[Day Rank]]=Data[[#This Row],[W Rank]]</f>
        <v>0</v>
      </c>
      <c r="U2073" s="323"/>
    </row>
    <row r="2074" spans="1:21" ht="15" customHeight="1">
      <c r="A2074" s="326"/>
      <c r="B2074" s="326"/>
      <c r="C2074" s="339"/>
      <c r="D2074" s="81">
        <f t="shared" ref="D2074" si="441">D2072</f>
        <v>46210</v>
      </c>
      <c r="E2074" s="140" t="str">
        <f t="shared" ref="E2074" si="442">$L$1</f>
        <v>loganworsdell</v>
      </c>
      <c r="F2074" s="8">
        <f>IFERROR(AVERAGE(Data[[#This Row],[alappatjoe]:[currydestroyer27]]), "TBD")</f>
        <v>3</v>
      </c>
      <c r="G2074" s="177">
        <f>IFERROR(_xlfn.STDEV.P(Data[[#This Row],[alappatjoe]:[currydestroyer27]]), "TBD")</f>
        <v>1.4142135623730951</v>
      </c>
      <c r="H2074" s="135" t="s">
        <v>3929</v>
      </c>
      <c r="I2074" s="229" t="s">
        <v>820</v>
      </c>
      <c r="J2074" s="3">
        <v>3</v>
      </c>
      <c r="K2074" s="3">
        <v>5</v>
      </c>
      <c r="L2074" s="3">
        <v>1</v>
      </c>
      <c r="M2074" s="3">
        <v>2</v>
      </c>
      <c r="N2074" s="3">
        <v>4</v>
      </c>
      <c r="O2074" s="238">
        <v>857963479</v>
      </c>
      <c r="P2074" s="93"/>
      <c r="Q2074" s="93"/>
      <c r="R20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74" s="93">
        <v>1</v>
      </c>
      <c r="T2074" s="93" t="b">
        <f>Data[[#This Row],[Day Rank]]=Data[[#This Row],[W Rank]]</f>
        <v>0</v>
      </c>
      <c r="U2074" s="323"/>
    </row>
    <row r="2075" spans="1:21" ht="15" customHeight="1">
      <c r="A2075" s="326"/>
      <c r="B2075" s="326"/>
      <c r="C2075" s="339"/>
      <c r="D2075" s="81">
        <f t="shared" ref="D2075" si="443">D2072</f>
        <v>46210</v>
      </c>
      <c r="E2075" s="140" t="str">
        <f t="shared" ref="E2075" si="444">$M$1</f>
        <v>samuelbattista</v>
      </c>
      <c r="F2075" s="8">
        <f>IFERROR(AVERAGE(Data[[#This Row],[alappatjoe]:[currydestroyer27]]), "TBD")</f>
        <v>1.6</v>
      </c>
      <c r="G2075" s="177">
        <f>IFERROR(_xlfn.STDEV.P(Data[[#This Row],[alappatjoe]:[currydestroyer27]]), "TBD")</f>
        <v>0.4898979485566356</v>
      </c>
      <c r="H2075" s="135" t="s">
        <v>3930</v>
      </c>
      <c r="I2075" s="229" t="s">
        <v>3931</v>
      </c>
      <c r="J2075" s="3">
        <v>2</v>
      </c>
      <c r="K2075" s="3">
        <v>1</v>
      </c>
      <c r="L2075" s="3">
        <v>2</v>
      </c>
      <c r="M2075" s="3">
        <v>1</v>
      </c>
      <c r="N2075" s="3">
        <v>2</v>
      </c>
      <c r="O2075" s="238"/>
      <c r="P2075" s="93"/>
      <c r="Q2075" s="93"/>
      <c r="R20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75" s="93">
        <v>1</v>
      </c>
      <c r="T2075" s="93" t="b">
        <f>Data[[#This Row],[Day Rank]]=Data[[#This Row],[W Rank]]</f>
        <v>1</v>
      </c>
      <c r="U2075" s="323"/>
    </row>
    <row r="2076" spans="1:21" ht="15" customHeight="1" thickBot="1">
      <c r="A2076" s="327"/>
      <c r="B2076" s="327"/>
      <c r="C2076" s="340"/>
      <c r="D2076" s="164">
        <f t="shared" ref="D2076" si="445">D2072</f>
        <v>46210</v>
      </c>
      <c r="E2076" s="215" t="str">
        <f t="shared" ref="E2076" si="446">$N$1</f>
        <v>currydestroyer27</v>
      </c>
      <c r="F2076" s="165">
        <f>IFERROR(AVERAGE(Data[[#This Row],[alappatjoe]:[currydestroyer27]]), "TBD")</f>
        <v>3.2</v>
      </c>
      <c r="G2076" s="256">
        <f>IFERROR(_xlfn.STDEV.P(Data[[#This Row],[alappatjoe]:[currydestroyer27]]), "TBD")</f>
        <v>1.1661903789690602</v>
      </c>
      <c r="H2076" s="227" t="s">
        <v>3932</v>
      </c>
      <c r="I2076" s="257" t="s">
        <v>3933</v>
      </c>
      <c r="J2076" s="166">
        <v>4</v>
      </c>
      <c r="K2076" s="166">
        <v>4</v>
      </c>
      <c r="L2076" s="166">
        <v>3</v>
      </c>
      <c r="M2076" s="166">
        <v>4</v>
      </c>
      <c r="N2076" s="166">
        <v>1</v>
      </c>
      <c r="O2076" s="242">
        <v>315407496</v>
      </c>
      <c r="P2076" s="167" t="s">
        <v>76</v>
      </c>
      <c r="Q2076" s="167" t="s">
        <v>96</v>
      </c>
      <c r="R207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76" s="167">
        <v>1</v>
      </c>
      <c r="T2076" s="167" t="b">
        <f>Data[[#This Row],[Day Rank]]=Data[[#This Row],[W Rank]]</f>
        <v>0</v>
      </c>
      <c r="U2076" s="324"/>
    </row>
    <row r="2077" spans="1:21" ht="15" customHeight="1">
      <c r="A2077" s="325">
        <v>46211</v>
      </c>
      <c r="B2077" s="325"/>
      <c r="C2077" s="328" t="str" cm="1">
        <f t="array" ref="C2077">_xlfn.LET(_xlpm.matches, _xlfn._xlws.FILTER(Data[Poster], (Data[Date]=A2077)*(Data[Winner]=TRUE)), IF(ROWS(_xlpm.matches)&gt;1, "TIE", _xlpm.matches))</f>
        <v>samuelbattista</v>
      </c>
      <c r="D2077" s="147">
        <f t="shared" ref="D2077" si="447">A2077</f>
        <v>46211</v>
      </c>
      <c r="E2077" s="181" t="str">
        <f t="shared" ref="E2077" si="448">$J$1</f>
        <v>alappatjoe</v>
      </c>
      <c r="F2077" s="9">
        <f>IFERROR(AVERAGE(Data[[#This Row],[alappatjoe]:[currydestroyer27]]), "TBD")</f>
        <v>4</v>
      </c>
      <c r="G2077" s="178">
        <f>IFERROR(_xlfn.STDEV.P(Data[[#This Row],[alappatjoe]:[currydestroyer27]]), "TBD")</f>
        <v>1.5491933384829668</v>
      </c>
      <c r="H2077" s="160" t="s">
        <v>3934</v>
      </c>
      <c r="I2077" s="186" t="s">
        <v>3935</v>
      </c>
      <c r="J2077" s="3">
        <v>1</v>
      </c>
      <c r="K2077" s="3">
        <v>5</v>
      </c>
      <c r="L2077" s="3">
        <v>5</v>
      </c>
      <c r="M2077" s="3">
        <v>4</v>
      </c>
      <c r="N2077" s="3">
        <v>5</v>
      </c>
      <c r="O2077" s="238">
        <v>972079</v>
      </c>
      <c r="P2077" s="93"/>
      <c r="Q2077" s="93"/>
      <c r="R20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77" s="93">
        <v>1</v>
      </c>
      <c r="T2077" s="93" t="b">
        <f>Data[[#This Row],[Day Rank]]=Data[[#This Row],[W Rank]]</f>
        <v>0</v>
      </c>
      <c r="U2077" s="322"/>
    </row>
    <row r="2078" spans="1:21" ht="15" customHeight="1">
      <c r="A2078" s="326"/>
      <c r="B2078" s="326"/>
      <c r="C2078" s="329"/>
      <c r="D2078" s="81">
        <f t="shared" ref="D2078" si="449">D2077</f>
        <v>46211</v>
      </c>
      <c r="E2078" s="140" t="str">
        <f t="shared" ref="E2078" si="450">$K$1</f>
        <v>danram</v>
      </c>
      <c r="F2078" s="8">
        <f>IFERROR(AVERAGE(Data[[#This Row],[alappatjoe]:[currydestroyer27]]), "TBD")</f>
        <v>4.2</v>
      </c>
      <c r="G2078" s="177">
        <f>IFERROR(_xlfn.STDEV.P(Data[[#This Row],[alappatjoe]:[currydestroyer27]]), "TBD")</f>
        <v>0.74833147735478833</v>
      </c>
      <c r="H2078" s="135" t="s">
        <v>3936</v>
      </c>
      <c r="I2078" s="229" t="s">
        <v>3937</v>
      </c>
      <c r="J2078" s="3">
        <v>5</v>
      </c>
      <c r="K2078" s="3">
        <v>4</v>
      </c>
      <c r="L2078" s="3">
        <v>4</v>
      </c>
      <c r="M2078" s="3">
        <v>5</v>
      </c>
      <c r="N2078" s="3">
        <v>3</v>
      </c>
      <c r="O2078" s="238"/>
      <c r="P2078" s="93"/>
      <c r="Q2078" s="93"/>
      <c r="R20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78" s="93">
        <v>1</v>
      </c>
      <c r="T2078" s="93" t="b">
        <f>Data[[#This Row],[Day Rank]]=Data[[#This Row],[W Rank]]</f>
        <v>0</v>
      </c>
      <c r="U2078" s="323"/>
    </row>
    <row r="2079" spans="1:21" ht="15" customHeight="1">
      <c r="A2079" s="326"/>
      <c r="B2079" s="326"/>
      <c r="C2079" s="329"/>
      <c r="D2079" s="81">
        <f t="shared" ref="D2079" si="451">D2077</f>
        <v>46211</v>
      </c>
      <c r="E2079" s="140" t="str">
        <f t="shared" ref="E2079" si="452">$L$1</f>
        <v>loganworsdell</v>
      </c>
      <c r="F2079" s="8">
        <f>IFERROR(AVERAGE(Data[[#This Row],[alappatjoe]:[currydestroyer27]]), "TBD")</f>
        <v>2.8</v>
      </c>
      <c r="G2079" s="177">
        <f>IFERROR(_xlfn.STDEV.P(Data[[#This Row],[alappatjoe]:[currydestroyer27]]), "TBD")</f>
        <v>0.74833147735478833</v>
      </c>
      <c r="H2079" s="135" t="s">
        <v>3938</v>
      </c>
      <c r="I2079" s="229" t="s">
        <v>3939</v>
      </c>
      <c r="J2079" s="3">
        <v>3</v>
      </c>
      <c r="K2079" s="3">
        <v>2</v>
      </c>
      <c r="L2079" s="3">
        <v>2</v>
      </c>
      <c r="M2079" s="3">
        <v>3</v>
      </c>
      <c r="N2079" s="3">
        <v>4</v>
      </c>
      <c r="O2079" s="238">
        <v>11618730</v>
      </c>
      <c r="P2079" s="93"/>
      <c r="Q2079" s="93"/>
      <c r="R20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79" s="93">
        <v>1</v>
      </c>
      <c r="T2079" s="93" t="b">
        <f>Data[[#This Row],[Day Rank]]=Data[[#This Row],[W Rank]]</f>
        <v>0</v>
      </c>
      <c r="U2079" s="323"/>
    </row>
    <row r="2080" spans="1:21" ht="15" customHeight="1">
      <c r="A2080" s="326"/>
      <c r="B2080" s="326"/>
      <c r="C2080" s="329"/>
      <c r="D2080" s="81">
        <f t="shared" ref="D2080" si="453">D2077</f>
        <v>46211</v>
      </c>
      <c r="E2080" s="140" t="str">
        <f t="shared" ref="E2080" si="454">$M$1</f>
        <v>samuelbattista</v>
      </c>
      <c r="F2080" s="8">
        <f>IFERROR(AVERAGE(Data[[#This Row],[alappatjoe]:[currydestroyer27]]), "TBD")</f>
        <v>1.6</v>
      </c>
      <c r="G2080" s="177">
        <f>IFERROR(_xlfn.STDEV.P(Data[[#This Row],[alappatjoe]:[currydestroyer27]]), "TBD")</f>
        <v>1.2</v>
      </c>
      <c r="H2080" s="135" t="s">
        <v>3940</v>
      </c>
      <c r="I2080" s="229" t="s">
        <v>745</v>
      </c>
      <c r="J2080" s="3">
        <v>4</v>
      </c>
      <c r="K2080" s="3">
        <v>1</v>
      </c>
      <c r="L2080" s="3">
        <v>1</v>
      </c>
      <c r="M2080" s="3">
        <v>1</v>
      </c>
      <c r="N2080" s="3">
        <v>1</v>
      </c>
      <c r="O2080" s="238"/>
      <c r="P2080" s="93"/>
      <c r="Q2080" s="93"/>
      <c r="R20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80" s="93">
        <v>1</v>
      </c>
      <c r="T2080" s="93" t="b">
        <f>Data[[#This Row],[Day Rank]]=Data[[#This Row],[W Rank]]</f>
        <v>1</v>
      </c>
      <c r="U2080" s="323"/>
    </row>
    <row r="2081" spans="1:21" ht="15" customHeight="1" thickBot="1">
      <c r="A2081" s="327"/>
      <c r="B2081" s="327"/>
      <c r="C2081" s="330"/>
      <c r="D2081" s="164">
        <f t="shared" ref="D2081" si="455">D2077</f>
        <v>46211</v>
      </c>
      <c r="E2081" s="215" t="str">
        <f t="shared" ref="E2081" si="456">$N$1</f>
        <v>currydestroyer27</v>
      </c>
      <c r="F2081" s="165">
        <f>IFERROR(AVERAGE(Data[[#This Row],[alappatjoe]:[currydestroyer27]]), "TBD")</f>
        <v>2.4</v>
      </c>
      <c r="G2081" s="256">
        <f>IFERROR(_xlfn.STDEV.P(Data[[#This Row],[alappatjoe]:[currydestroyer27]]), "TBD")</f>
        <v>0.4898979485566356</v>
      </c>
      <c r="H2081" s="227" t="s">
        <v>3941</v>
      </c>
      <c r="I2081" s="257" t="s">
        <v>3942</v>
      </c>
      <c r="J2081" s="166">
        <v>2</v>
      </c>
      <c r="K2081" s="166">
        <v>3</v>
      </c>
      <c r="L2081" s="166">
        <v>3</v>
      </c>
      <c r="M2081" s="166">
        <v>2</v>
      </c>
      <c r="N2081" s="166">
        <v>2</v>
      </c>
      <c r="O2081" s="242">
        <v>1363947617</v>
      </c>
      <c r="P2081" s="167"/>
      <c r="Q2081" s="167"/>
      <c r="R208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81" s="167">
        <v>1</v>
      </c>
      <c r="T2081" s="167" t="b">
        <f>Data[[#This Row],[Day Rank]]=Data[[#This Row],[W Rank]]</f>
        <v>0</v>
      </c>
      <c r="U2081" s="324"/>
    </row>
    <row r="2082" spans="1:21" ht="15" customHeight="1">
      <c r="A2082" s="325">
        <v>46212</v>
      </c>
      <c r="B2082" s="325"/>
      <c r="C2082" s="338" t="str" cm="1">
        <f t="array" ref="C2082">_xlfn.LET(_xlpm.matches, _xlfn._xlws.FILTER(Data[Poster], (Data[Date]=A2082)*(Data[Winner]=TRUE)), IF(ROWS(_xlpm.matches)&gt;1, "TIE", _xlpm.matches))</f>
        <v>currydestroyer27</v>
      </c>
      <c r="D2082" s="147">
        <f t="shared" ref="D2082" si="457">A2082</f>
        <v>46212</v>
      </c>
      <c r="E2082" s="181" t="str">
        <f t="shared" ref="E2082" si="458">$J$1</f>
        <v>alappatjoe</v>
      </c>
      <c r="F2082" s="9">
        <f>IFERROR(AVERAGE(Data[[#This Row],[alappatjoe]:[currydestroyer27]]), "TBD")</f>
        <v>3.2</v>
      </c>
      <c r="G2082" s="178">
        <f>IFERROR(_xlfn.STDEV.P(Data[[#This Row],[alappatjoe]:[currydestroyer27]]), "TBD")</f>
        <v>1.4696938456699069</v>
      </c>
      <c r="H2082" s="160" t="s">
        <v>3943</v>
      </c>
      <c r="I2082" s="186" t="s">
        <v>2210</v>
      </c>
      <c r="J2082" s="3">
        <v>1</v>
      </c>
      <c r="K2082" s="3">
        <v>4</v>
      </c>
      <c r="L2082" s="3">
        <v>5</v>
      </c>
      <c r="M2082" s="3">
        <v>2</v>
      </c>
      <c r="N2082" s="3">
        <v>4</v>
      </c>
      <c r="O2082" s="238">
        <v>657300879</v>
      </c>
      <c r="P2082" s="93"/>
      <c r="Q2082" s="93"/>
      <c r="R20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82" s="93">
        <v>1</v>
      </c>
      <c r="T2082" s="93" t="b">
        <f>Data[[#This Row],[Day Rank]]=Data[[#This Row],[W Rank]]</f>
        <v>0</v>
      </c>
      <c r="U2082" s="322" t="s">
        <v>3944</v>
      </c>
    </row>
    <row r="2083" spans="1:21" ht="15" customHeight="1">
      <c r="A2083" s="326"/>
      <c r="B2083" s="326"/>
      <c r="C2083" s="339"/>
      <c r="D2083" s="81">
        <f t="shared" ref="D2083" si="459">D2082</f>
        <v>46212</v>
      </c>
      <c r="E2083" s="140" t="str">
        <f t="shared" ref="E2083" si="460">$K$1</f>
        <v>danram</v>
      </c>
      <c r="F2083" s="8">
        <f>IFERROR(AVERAGE(Data[[#This Row],[alappatjoe]:[currydestroyer27]]), "TBD")</f>
        <v>3</v>
      </c>
      <c r="G2083" s="177">
        <f>IFERROR(_xlfn.STDEV.P(Data[[#This Row],[alappatjoe]:[currydestroyer27]]), "TBD")</f>
        <v>1.4142135623730951</v>
      </c>
      <c r="H2083" s="135" t="s">
        <v>3945</v>
      </c>
      <c r="I2083" s="229" t="s">
        <v>3946</v>
      </c>
      <c r="J2083" s="3">
        <v>3</v>
      </c>
      <c r="K2083" s="3">
        <v>1</v>
      </c>
      <c r="L2083" s="3">
        <v>2</v>
      </c>
      <c r="M2083" s="3">
        <v>4</v>
      </c>
      <c r="N2083" s="3">
        <v>5</v>
      </c>
      <c r="O2083" s="238"/>
      <c r="P2083" s="93"/>
      <c r="Q2083" s="93"/>
      <c r="R20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83" s="93">
        <v>1</v>
      </c>
      <c r="T2083" s="93" t="b">
        <f>Data[[#This Row],[Day Rank]]=Data[[#This Row],[W Rank]]</f>
        <v>0</v>
      </c>
      <c r="U2083" s="323"/>
    </row>
    <row r="2084" spans="1:21" ht="15" customHeight="1">
      <c r="A2084" s="326"/>
      <c r="B2084" s="326"/>
      <c r="C2084" s="339"/>
      <c r="D2084" s="81">
        <f t="shared" ref="D2084" si="461">D2082</f>
        <v>46212</v>
      </c>
      <c r="E2084" s="140" t="str">
        <f t="shared" ref="E2084" si="462">$L$1</f>
        <v>loganworsdell</v>
      </c>
      <c r="F2084" s="8">
        <f>IFERROR(AVERAGE(Data[[#This Row],[alappatjoe]:[currydestroyer27]]), "TBD")</f>
        <v>3</v>
      </c>
      <c r="G2084" s="177">
        <f>IFERROR(_xlfn.STDEV.P(Data[[#This Row],[alappatjoe]:[currydestroyer27]]), "TBD")</f>
        <v>0.63245553203367588</v>
      </c>
      <c r="H2084" s="135" t="s">
        <v>3947</v>
      </c>
      <c r="I2084" s="229" t="s">
        <v>2466</v>
      </c>
      <c r="J2084" s="3">
        <v>4</v>
      </c>
      <c r="K2084" s="3">
        <v>2</v>
      </c>
      <c r="L2084" s="3">
        <v>3</v>
      </c>
      <c r="M2084" s="3">
        <v>3</v>
      </c>
      <c r="N2084" s="3">
        <v>3</v>
      </c>
      <c r="O2084" s="238">
        <v>1859896589</v>
      </c>
      <c r="P2084" s="93"/>
      <c r="Q2084" s="93"/>
      <c r="R20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84" s="93">
        <v>1</v>
      </c>
      <c r="T2084" s="93" t="b">
        <f>Data[[#This Row],[Day Rank]]=Data[[#This Row],[W Rank]]</f>
        <v>0</v>
      </c>
      <c r="U2084" s="323"/>
    </row>
    <row r="2085" spans="1:21" ht="15" customHeight="1">
      <c r="A2085" s="326"/>
      <c r="B2085" s="326"/>
      <c r="C2085" s="339"/>
      <c r="D2085" s="81">
        <f t="shared" ref="D2085" si="463">D2082</f>
        <v>46212</v>
      </c>
      <c r="E2085" s="140" t="str">
        <f t="shared" ref="E2085" si="464">$M$1</f>
        <v>samuelbattista</v>
      </c>
      <c r="F2085" s="8">
        <f>IFERROR(AVERAGE(Data[[#This Row],[alappatjoe]:[currydestroyer27]]), "TBD")</f>
        <v>3</v>
      </c>
      <c r="G2085" s="177">
        <f>IFERROR(_xlfn.STDEV.P(Data[[#This Row],[alappatjoe]:[currydestroyer27]]), "TBD")</f>
        <v>1.4142135623730951</v>
      </c>
      <c r="H2085" s="135" t="s">
        <v>3948</v>
      </c>
      <c r="I2085" s="229" t="s">
        <v>1459</v>
      </c>
      <c r="J2085" s="3">
        <v>5</v>
      </c>
      <c r="K2085" s="3">
        <v>3</v>
      </c>
      <c r="L2085" s="3">
        <v>4</v>
      </c>
      <c r="M2085" s="3">
        <v>1</v>
      </c>
      <c r="N2085" s="3">
        <v>2</v>
      </c>
      <c r="O2085" s="238"/>
      <c r="P2085" s="93"/>
      <c r="Q2085" s="93"/>
      <c r="R20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85" s="93">
        <v>1</v>
      </c>
      <c r="T2085" s="93" t="b">
        <f>Data[[#This Row],[Day Rank]]=Data[[#This Row],[W Rank]]</f>
        <v>0</v>
      </c>
      <c r="U2085" s="323"/>
    </row>
    <row r="2086" spans="1:21" ht="15" customHeight="1" thickBot="1">
      <c r="A2086" s="327"/>
      <c r="B2086" s="327"/>
      <c r="C2086" s="340"/>
      <c r="D2086" s="164">
        <f t="shared" ref="D2086" si="465">D2082</f>
        <v>46212</v>
      </c>
      <c r="E2086" s="215" t="str">
        <f t="shared" ref="E2086" si="466">$N$1</f>
        <v>currydestroyer27</v>
      </c>
      <c r="F2086" s="165">
        <f>IFERROR(AVERAGE(Data[[#This Row],[alappatjoe]:[currydestroyer27]]), "TBD")</f>
        <v>2.8</v>
      </c>
      <c r="G2086" s="256">
        <f>IFERROR(_xlfn.STDEV.P(Data[[#This Row],[alappatjoe]:[currydestroyer27]]), "TBD")</f>
        <v>1.833030277982336</v>
      </c>
      <c r="H2086" s="227" t="s">
        <v>3949</v>
      </c>
      <c r="I2086" s="257" t="s">
        <v>3950</v>
      </c>
      <c r="J2086" s="166">
        <v>2</v>
      </c>
      <c r="K2086" s="166">
        <v>5</v>
      </c>
      <c r="L2086" s="166">
        <v>1</v>
      </c>
      <c r="M2086" s="166">
        <v>5</v>
      </c>
      <c r="N2086" s="166">
        <v>1</v>
      </c>
      <c r="O2086" s="242">
        <v>158003614</v>
      </c>
      <c r="P2086" s="167" t="s">
        <v>76</v>
      </c>
      <c r="Q2086" s="167" t="s">
        <v>99</v>
      </c>
      <c r="R208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86" s="167">
        <v>1</v>
      </c>
      <c r="T2086" s="167" t="b">
        <f>Data[[#This Row],[Day Rank]]=Data[[#This Row],[W Rank]]</f>
        <v>1</v>
      </c>
      <c r="U2086" s="324"/>
    </row>
    <row r="2087" spans="1:21" ht="15" customHeight="1">
      <c r="A2087" s="325">
        <v>46216</v>
      </c>
      <c r="B2087" s="325"/>
      <c r="C2087" s="328" t="str" cm="1">
        <f t="array" ref="C2087">_xlfn.LET(_xlpm.matches, _xlfn._xlws.FILTER(Data[Poster], (Data[Date]=A2087)*(Data[Winner]=TRUE)), IF(ROWS(_xlpm.matches)&gt;1, "TIE", _xlpm.matches))</f>
        <v>samuelbattista</v>
      </c>
      <c r="D2087" s="147">
        <f t="shared" ref="D2087" si="467">A2087</f>
        <v>46216</v>
      </c>
      <c r="E2087" s="181" t="str">
        <f t="shared" ref="E2087" si="468">$J$1</f>
        <v>alappatjoe</v>
      </c>
      <c r="F2087" s="8">
        <f>IFERROR(AVERAGE(Data[[#This Row],[alappatjoe]:[currydestroyer27]]), "TBD")</f>
        <v>2.8</v>
      </c>
      <c r="G2087" s="177">
        <f>IFERROR(_xlfn.STDEV.P(Data[[#This Row],[alappatjoe]:[currydestroyer27]]), "TBD")</f>
        <v>1.1661903789690602</v>
      </c>
      <c r="H2087" s="135" t="s">
        <v>3951</v>
      </c>
      <c r="I2087" s="229" t="s">
        <v>781</v>
      </c>
      <c r="J2087" s="3">
        <v>1</v>
      </c>
      <c r="K2087" s="3">
        <v>4</v>
      </c>
      <c r="L2087" s="3">
        <v>4</v>
      </c>
      <c r="M2087" s="3">
        <v>3</v>
      </c>
      <c r="N2087" s="3">
        <v>2</v>
      </c>
      <c r="O2087" s="238">
        <v>84736</v>
      </c>
      <c r="P2087" s="93"/>
      <c r="Q2087" s="93"/>
      <c r="R20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87" s="93">
        <v>1</v>
      </c>
      <c r="T2087" s="93" t="b">
        <f>Data[[#This Row],[Day Rank]]=Data[[#This Row],[W Rank]]</f>
        <v>0</v>
      </c>
      <c r="U2087" s="322"/>
    </row>
    <row r="2088" spans="1:21" ht="15" customHeight="1">
      <c r="A2088" s="326"/>
      <c r="B2088" s="326"/>
      <c r="C2088" s="329"/>
      <c r="D2088" s="81">
        <f t="shared" ref="D2088" si="469">D2087</f>
        <v>46216</v>
      </c>
      <c r="E2088" s="140" t="str">
        <f t="shared" ref="E2088" si="470">$K$1</f>
        <v>danram</v>
      </c>
      <c r="F2088" s="8">
        <f>IFERROR(AVERAGE(Data[[#This Row],[alappatjoe]:[currydestroyer27]]), "TBD")</f>
        <v>3.6</v>
      </c>
      <c r="G2088" s="177">
        <f>IFERROR(_xlfn.STDEV.P(Data[[#This Row],[alappatjoe]:[currydestroyer27]]), "TBD")</f>
        <v>1.2</v>
      </c>
      <c r="H2088" s="135" t="s">
        <v>3952</v>
      </c>
      <c r="I2088" s="229" t="s">
        <v>781</v>
      </c>
      <c r="J2088" s="3">
        <v>3</v>
      </c>
      <c r="K2088" s="3">
        <v>3</v>
      </c>
      <c r="L2088" s="3">
        <v>5</v>
      </c>
      <c r="M2088" s="3">
        <v>2</v>
      </c>
      <c r="N2088" s="3">
        <v>5</v>
      </c>
      <c r="O2088" s="238"/>
      <c r="P2088" s="93"/>
      <c r="Q2088" s="93"/>
      <c r="R20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88" s="93">
        <v>1</v>
      </c>
      <c r="T2088" s="93" t="b">
        <f>Data[[#This Row],[Day Rank]]=Data[[#This Row],[W Rank]]</f>
        <v>0</v>
      </c>
      <c r="U2088" s="323"/>
    </row>
    <row r="2089" spans="1:21" ht="15" customHeight="1">
      <c r="A2089" s="326"/>
      <c r="B2089" s="326"/>
      <c r="C2089" s="329"/>
      <c r="D2089" s="81">
        <f t="shared" ref="D2089" si="471">D2087</f>
        <v>46216</v>
      </c>
      <c r="E2089" s="140" t="str">
        <f t="shared" ref="E2089" si="472">$L$1</f>
        <v>loganworsdell</v>
      </c>
      <c r="F2089" s="8">
        <f>IFERROR(AVERAGE(Data[[#This Row],[alappatjoe]:[currydestroyer27]]), "TBD")</f>
        <v>3.8</v>
      </c>
      <c r="G2089" s="177">
        <f>IFERROR(_xlfn.STDEV.P(Data[[#This Row],[alappatjoe]:[currydestroyer27]]), "TBD")</f>
        <v>1.1661903789690602</v>
      </c>
      <c r="H2089" s="135" t="s">
        <v>3953</v>
      </c>
      <c r="I2089" s="229" t="s">
        <v>3954</v>
      </c>
      <c r="J2089" s="3">
        <v>5</v>
      </c>
      <c r="K2089" s="3">
        <v>5</v>
      </c>
      <c r="L2089" s="3">
        <v>2</v>
      </c>
      <c r="M2089" s="3">
        <v>4</v>
      </c>
      <c r="N2089" s="3">
        <v>3</v>
      </c>
      <c r="O2089" s="238">
        <v>4164805</v>
      </c>
      <c r="P2089" s="93"/>
      <c r="Q2089" s="93"/>
      <c r="R20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89" s="93">
        <v>1</v>
      </c>
      <c r="T2089" s="93" t="b">
        <f>Data[[#This Row],[Day Rank]]=Data[[#This Row],[W Rank]]</f>
        <v>0</v>
      </c>
      <c r="U2089" s="323"/>
    </row>
    <row r="2090" spans="1:21" ht="15" customHeight="1">
      <c r="A2090" s="326"/>
      <c r="B2090" s="326"/>
      <c r="C2090" s="329"/>
      <c r="D2090" s="81">
        <f t="shared" ref="D2090" si="473">D2087</f>
        <v>46216</v>
      </c>
      <c r="E2090" s="140" t="str">
        <f t="shared" ref="E2090" si="474">$M$1</f>
        <v>samuelbattista</v>
      </c>
      <c r="F2090" s="8">
        <f>IFERROR(AVERAGE(Data[[#This Row],[alappatjoe]:[currydestroyer27]]), "TBD")</f>
        <v>2.4</v>
      </c>
      <c r="G2090" s="177">
        <f>IFERROR(_xlfn.STDEV.P(Data[[#This Row],[alappatjoe]:[currydestroyer27]]), "TBD")</f>
        <v>1.019803902718557</v>
      </c>
      <c r="H2090" s="135" t="s">
        <v>3955</v>
      </c>
      <c r="I2090" s="229" t="s">
        <v>1110</v>
      </c>
      <c r="J2090" s="3">
        <v>2</v>
      </c>
      <c r="K2090" s="3">
        <v>2</v>
      </c>
      <c r="L2090" s="3">
        <v>3</v>
      </c>
      <c r="M2090" s="3">
        <v>1</v>
      </c>
      <c r="N2090" s="3">
        <v>4</v>
      </c>
      <c r="O2090" s="238"/>
      <c r="P2090" s="93"/>
      <c r="Q2090" s="93"/>
      <c r="R20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90" s="93">
        <v>1</v>
      </c>
      <c r="T2090" s="93" t="b">
        <f>Data[[#This Row],[Day Rank]]=Data[[#This Row],[W Rank]]</f>
        <v>1</v>
      </c>
      <c r="U2090" s="323"/>
    </row>
    <row r="2091" spans="1:21" ht="15" customHeight="1" thickBot="1">
      <c r="A2091" s="327"/>
      <c r="B2091" s="327"/>
      <c r="C2091" s="330"/>
      <c r="D2091" s="164">
        <f t="shared" ref="D2091" si="475">D2087</f>
        <v>46216</v>
      </c>
      <c r="E2091" s="215" t="str">
        <f t="shared" ref="E2091" si="476">$N$1</f>
        <v>currydestroyer27</v>
      </c>
      <c r="F2091" s="165">
        <f>IFERROR(AVERAGE(Data[[#This Row],[alappatjoe]:[currydestroyer27]]), "TBD")</f>
        <v>2.4</v>
      </c>
      <c r="G2091" s="256">
        <f>IFERROR(_xlfn.STDEV.P(Data[[#This Row],[alappatjoe]:[currydestroyer27]]), "TBD")</f>
        <v>1.7435595774162693</v>
      </c>
      <c r="H2091" s="227" t="s">
        <v>3956</v>
      </c>
      <c r="I2091" s="257" t="s">
        <v>3957</v>
      </c>
      <c r="J2091" s="166">
        <v>4</v>
      </c>
      <c r="K2091" s="166">
        <v>1</v>
      </c>
      <c r="L2091" s="166">
        <v>1</v>
      </c>
      <c r="M2091" s="166">
        <v>5</v>
      </c>
      <c r="N2091" s="166">
        <v>1</v>
      </c>
      <c r="O2091" s="242">
        <v>19244281</v>
      </c>
      <c r="P2091" s="167" t="s">
        <v>76</v>
      </c>
      <c r="Q2091" s="167" t="s">
        <v>99</v>
      </c>
      <c r="R209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91" s="167">
        <v>1</v>
      </c>
      <c r="T2091" s="167" t="b">
        <f>Data[[#This Row],[Day Rank]]=Data[[#This Row],[W Rank]]</f>
        <v>0</v>
      </c>
      <c r="U2091" s="324"/>
    </row>
    <row r="2092" spans="1:21" ht="15" customHeight="1">
      <c r="A2092" s="325">
        <v>46217</v>
      </c>
      <c r="B2092" s="325"/>
      <c r="C2092" s="338" t="str" cm="1">
        <f t="array" ref="C2092">_xlfn.LET(_xlpm.matches, _xlfn._xlws.FILTER(Data[Poster], (Data[Date]=A2092)*(Data[Winner]=TRUE)), IF(ROWS(_xlpm.matches)&gt;1, "TIE", _xlpm.matches))</f>
        <v>samuelbattista</v>
      </c>
      <c r="D2092" s="147">
        <f t="shared" ref="D2092" si="477">A2092</f>
        <v>46217</v>
      </c>
      <c r="E2092" s="181" t="str">
        <f t="shared" ref="E2092" si="478">$J$1</f>
        <v>alappatjoe</v>
      </c>
      <c r="F2092" s="9">
        <f>IFERROR(AVERAGE(Data[[#This Row],[alappatjoe]:[currydestroyer27]]), "TBD")</f>
        <v>2.4</v>
      </c>
      <c r="G2092" s="178">
        <f>IFERROR(_xlfn.STDEV.P(Data[[#This Row],[alappatjoe]:[currydestroyer27]]), "TBD")</f>
        <v>1.3564659966250536</v>
      </c>
      <c r="H2092" s="160" t="s">
        <v>3958</v>
      </c>
      <c r="I2092" s="186" t="s">
        <v>3959</v>
      </c>
      <c r="J2092" s="3">
        <v>1</v>
      </c>
      <c r="K2092" s="3">
        <v>4</v>
      </c>
      <c r="L2092" s="3">
        <v>2</v>
      </c>
      <c r="M2092" s="3">
        <v>4</v>
      </c>
      <c r="N2092" s="3">
        <v>1</v>
      </c>
      <c r="O2092" s="238">
        <v>1921016</v>
      </c>
      <c r="P2092" s="93"/>
      <c r="Q2092" s="93"/>
      <c r="R20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92" s="93">
        <v>1</v>
      </c>
      <c r="T2092" s="93" t="b">
        <f>Data[[#This Row],[Day Rank]]=Data[[#This Row],[W Rank]]</f>
        <v>0</v>
      </c>
      <c r="U2092" s="322"/>
    </row>
    <row r="2093" spans="1:21" ht="15" customHeight="1">
      <c r="A2093" s="326"/>
      <c r="B2093" s="326"/>
      <c r="C2093" s="339"/>
      <c r="D2093" s="81">
        <f t="shared" ref="D2093" si="479">D2092</f>
        <v>46217</v>
      </c>
      <c r="E2093" s="140" t="str">
        <f t="shared" ref="E2093" si="480">$K$1</f>
        <v>danram</v>
      </c>
      <c r="F2093" s="8">
        <f>IFERROR(AVERAGE(Data[[#This Row],[alappatjoe]:[currydestroyer27]]), "TBD")</f>
        <v>3</v>
      </c>
      <c r="G2093" s="177">
        <f>IFERROR(_xlfn.STDEV.P(Data[[#This Row],[alappatjoe]:[currydestroyer27]]), "TBD")</f>
        <v>0.89442719099991586</v>
      </c>
      <c r="H2093" s="135" t="s">
        <v>3960</v>
      </c>
      <c r="I2093" s="229" t="s">
        <v>3961</v>
      </c>
      <c r="J2093" s="3">
        <v>3</v>
      </c>
      <c r="K2093" s="3">
        <v>2</v>
      </c>
      <c r="L2093" s="3">
        <v>4</v>
      </c>
      <c r="M2093" s="3">
        <v>2</v>
      </c>
      <c r="N2093" s="3">
        <v>4</v>
      </c>
      <c r="O2093" s="238"/>
      <c r="P2093" s="93"/>
      <c r="Q2093" s="93"/>
      <c r="R20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093" s="93">
        <v>1</v>
      </c>
      <c r="T2093" s="93" t="b">
        <f>Data[[#This Row],[Day Rank]]=Data[[#This Row],[W Rank]]</f>
        <v>0</v>
      </c>
      <c r="U2093" s="323"/>
    </row>
    <row r="2094" spans="1:21" ht="15" customHeight="1">
      <c r="A2094" s="326"/>
      <c r="B2094" s="326"/>
      <c r="C2094" s="339"/>
      <c r="D2094" s="81">
        <f t="shared" ref="D2094" si="481">D2092</f>
        <v>46217</v>
      </c>
      <c r="E2094" s="140" t="str">
        <f t="shared" ref="E2094" si="482">$L$1</f>
        <v>loganworsdell</v>
      </c>
      <c r="F2094" s="8">
        <f>IFERROR(AVERAGE(Data[[#This Row],[alappatjoe]:[currydestroyer27]]), "TBD")</f>
        <v>4.5999999999999996</v>
      </c>
      <c r="G2094" s="177">
        <f>IFERROR(_xlfn.STDEV.P(Data[[#This Row],[alappatjoe]:[currydestroyer27]]), "TBD")</f>
        <v>0.8</v>
      </c>
      <c r="H2094" s="135" t="s">
        <v>3962</v>
      </c>
      <c r="I2094" s="229" t="s">
        <v>827</v>
      </c>
      <c r="J2094" s="3">
        <v>5</v>
      </c>
      <c r="K2094" s="3">
        <v>5</v>
      </c>
      <c r="L2094" s="3">
        <v>3</v>
      </c>
      <c r="M2094" s="3">
        <v>5</v>
      </c>
      <c r="N2094" s="3">
        <v>5</v>
      </c>
      <c r="O2094" s="238">
        <v>2555235</v>
      </c>
      <c r="P2094" s="93"/>
      <c r="Q2094" s="93"/>
      <c r="R20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94" s="93">
        <v>1</v>
      </c>
      <c r="T2094" s="93" t="b">
        <f>Data[[#This Row],[Day Rank]]=Data[[#This Row],[W Rank]]</f>
        <v>0</v>
      </c>
      <c r="U2094" s="323"/>
    </row>
    <row r="2095" spans="1:21" ht="15" customHeight="1">
      <c r="A2095" s="326"/>
      <c r="B2095" s="326"/>
      <c r="C2095" s="339"/>
      <c r="D2095" s="81">
        <f t="shared" ref="D2095" si="483">D2092</f>
        <v>46217</v>
      </c>
      <c r="E2095" s="140" t="str">
        <f t="shared" ref="E2095" si="484">$M$1</f>
        <v>samuelbattista</v>
      </c>
      <c r="F2095" s="8">
        <f>IFERROR(AVERAGE(Data[[#This Row],[alappatjoe]:[currydestroyer27]]), "TBD")</f>
        <v>1.8</v>
      </c>
      <c r="G2095" s="177">
        <f>IFERROR(_xlfn.STDEV.P(Data[[#This Row],[alappatjoe]:[currydestroyer27]]), "TBD")</f>
        <v>1.1661903789690602</v>
      </c>
      <c r="H2095" s="135" t="s">
        <v>3963</v>
      </c>
      <c r="I2095" s="229" t="s">
        <v>3964</v>
      </c>
      <c r="J2095" s="3">
        <v>4</v>
      </c>
      <c r="K2095" s="3">
        <v>1</v>
      </c>
      <c r="L2095" s="3">
        <v>1</v>
      </c>
      <c r="M2095" s="3">
        <v>1</v>
      </c>
      <c r="N2095" s="3">
        <v>2</v>
      </c>
      <c r="O2095" s="238"/>
      <c r="P2095" s="93"/>
      <c r="Q2095" s="93"/>
      <c r="R20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95" s="93">
        <v>1</v>
      </c>
      <c r="T2095" s="93" t="b">
        <f>Data[[#This Row],[Day Rank]]=Data[[#This Row],[W Rank]]</f>
        <v>1</v>
      </c>
      <c r="U2095" s="323"/>
    </row>
    <row r="2096" spans="1:21" ht="15" customHeight="1" thickBot="1">
      <c r="A2096" s="327"/>
      <c r="B2096" s="327"/>
      <c r="C2096" s="340"/>
      <c r="D2096" s="164">
        <f t="shared" ref="D2096" si="485">D2092</f>
        <v>46217</v>
      </c>
      <c r="E2096" s="215" t="str">
        <f t="shared" ref="E2096" si="486">$N$1</f>
        <v>currydestroyer27</v>
      </c>
      <c r="F2096" s="165">
        <f>IFERROR(AVERAGE(Data[[#This Row],[alappatjoe]:[currydestroyer27]]), "TBD")</f>
        <v>3.2</v>
      </c>
      <c r="G2096" s="256">
        <f>IFERROR(_xlfn.STDEV.P(Data[[#This Row],[alappatjoe]:[currydestroyer27]]), "TBD")</f>
        <v>0.9797958971132712</v>
      </c>
      <c r="H2096" s="227" t="s">
        <v>3965</v>
      </c>
      <c r="I2096" s="257" t="s">
        <v>3966</v>
      </c>
      <c r="J2096" s="166">
        <v>2</v>
      </c>
      <c r="K2096" s="166">
        <v>3</v>
      </c>
      <c r="L2096" s="166">
        <v>5</v>
      </c>
      <c r="M2096" s="166">
        <v>3</v>
      </c>
      <c r="N2096" s="166">
        <v>3</v>
      </c>
      <c r="O2096" s="242">
        <v>54711774</v>
      </c>
      <c r="P2096" s="167"/>
      <c r="Q2096" s="167"/>
      <c r="R209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096" s="167">
        <v>1</v>
      </c>
      <c r="T2096" s="167" t="b">
        <f>Data[[#This Row],[Day Rank]]=Data[[#This Row],[W Rank]]</f>
        <v>0</v>
      </c>
      <c r="U2096" s="324"/>
    </row>
    <row r="2097" spans="1:21" ht="15" customHeight="1">
      <c r="A2097" s="325">
        <v>46218</v>
      </c>
      <c r="B2097" s="325"/>
      <c r="C2097" s="328" t="str" cm="1">
        <f t="array" ref="C2097">_xlfn.LET(_xlpm.matches, _xlfn._xlws.FILTER(Data[Poster], (Data[Date]=A2097)*(Data[Winner]=TRUE)), IF(ROWS(_xlpm.matches)&gt;1, "TIE", _xlpm.matches))</f>
        <v>alappatjoe</v>
      </c>
      <c r="D2097" s="147">
        <f t="shared" ref="D2097" si="487">A2097</f>
        <v>46218</v>
      </c>
      <c r="E2097" s="181" t="str">
        <f t="shared" ref="E2097" si="488">$J$1</f>
        <v>alappatjoe</v>
      </c>
      <c r="F2097" s="9">
        <f>IFERROR(AVERAGE(Data[[#This Row],[alappatjoe]:[currydestroyer27]]), "TBD")</f>
        <v>2.6</v>
      </c>
      <c r="G2097" s="178">
        <f>IFERROR(_xlfn.STDEV.P(Data[[#This Row],[alappatjoe]:[currydestroyer27]]), "TBD")</f>
        <v>1.019803902718557</v>
      </c>
      <c r="H2097" s="160" t="s">
        <v>3967</v>
      </c>
      <c r="I2097" s="186" t="s">
        <v>3968</v>
      </c>
      <c r="J2097" s="3">
        <v>1</v>
      </c>
      <c r="K2097" s="3">
        <v>4</v>
      </c>
      <c r="L2097" s="3">
        <v>3</v>
      </c>
      <c r="M2097" s="3">
        <v>2</v>
      </c>
      <c r="N2097" s="3">
        <v>3</v>
      </c>
      <c r="O2097" s="238">
        <v>2083551</v>
      </c>
      <c r="P2097" s="93"/>
      <c r="Q2097" s="93"/>
      <c r="R20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097" s="93">
        <v>1</v>
      </c>
      <c r="T2097" s="93" t="b">
        <f>Data[[#This Row],[Day Rank]]=Data[[#This Row],[W Rank]]</f>
        <v>1</v>
      </c>
      <c r="U2097" s="322"/>
    </row>
    <row r="2098" spans="1:21" ht="15" customHeight="1">
      <c r="A2098" s="326"/>
      <c r="B2098" s="326"/>
      <c r="C2098" s="329"/>
      <c r="D2098" s="81">
        <f t="shared" ref="D2098" si="489">D2097</f>
        <v>46218</v>
      </c>
      <c r="E2098" s="140" t="str">
        <f t="shared" ref="E2098" si="490">$K$1</f>
        <v>danram</v>
      </c>
      <c r="F2098" s="8">
        <f>IFERROR(AVERAGE(Data[[#This Row],[alappatjoe]:[currydestroyer27]]), "TBD")</f>
        <v>2.8</v>
      </c>
      <c r="G2098" s="177">
        <f>IFERROR(_xlfn.STDEV.P(Data[[#This Row],[alappatjoe]:[currydestroyer27]]), "TBD")</f>
        <v>1.4696938456699069</v>
      </c>
      <c r="H2098" s="135" t="s">
        <v>3969</v>
      </c>
      <c r="I2098" s="229" t="s">
        <v>3970</v>
      </c>
      <c r="J2098" s="3">
        <v>4</v>
      </c>
      <c r="K2098" s="3">
        <v>1</v>
      </c>
      <c r="L2098" s="3">
        <v>2</v>
      </c>
      <c r="M2098" s="3">
        <v>5</v>
      </c>
      <c r="N2098" s="3">
        <v>2</v>
      </c>
      <c r="O2098" s="238"/>
      <c r="P2098" s="93"/>
      <c r="Q2098" s="93"/>
      <c r="R20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098" s="93">
        <v>1</v>
      </c>
      <c r="T2098" s="93" t="b">
        <f>Data[[#This Row],[Day Rank]]=Data[[#This Row],[W Rank]]</f>
        <v>0</v>
      </c>
      <c r="U2098" s="323"/>
    </row>
    <row r="2099" spans="1:21" ht="15" customHeight="1">
      <c r="A2099" s="326"/>
      <c r="B2099" s="326"/>
      <c r="C2099" s="329"/>
      <c r="D2099" s="81">
        <f t="shared" ref="D2099" si="491">D2097</f>
        <v>46218</v>
      </c>
      <c r="E2099" s="140" t="str">
        <f t="shared" ref="E2099" si="492">$L$1</f>
        <v>loganworsdell</v>
      </c>
      <c r="F2099" s="8">
        <f>IFERROR(AVERAGE(Data[[#This Row],[alappatjoe]:[currydestroyer27]]), "TBD")</f>
        <v>3.4</v>
      </c>
      <c r="G2099" s="177">
        <f>IFERROR(_xlfn.STDEV.P(Data[[#This Row],[alappatjoe]:[currydestroyer27]]), "TBD")</f>
        <v>1.4966629547095767</v>
      </c>
      <c r="H2099" s="135" t="s">
        <v>3971</v>
      </c>
      <c r="I2099" s="229" t="s">
        <v>3972</v>
      </c>
      <c r="J2099" s="3">
        <v>5</v>
      </c>
      <c r="K2099" s="3">
        <v>3</v>
      </c>
      <c r="L2099" s="3">
        <v>1</v>
      </c>
      <c r="M2099" s="3">
        <v>3</v>
      </c>
      <c r="N2099" s="3">
        <v>5</v>
      </c>
      <c r="O2099" s="238">
        <v>689590</v>
      </c>
      <c r="P2099" s="93"/>
      <c r="Q2099" s="93"/>
      <c r="R20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099" s="93">
        <v>1</v>
      </c>
      <c r="T2099" s="93" t="b">
        <f>Data[[#This Row],[Day Rank]]=Data[[#This Row],[W Rank]]</f>
        <v>0</v>
      </c>
      <c r="U2099" s="323"/>
    </row>
    <row r="2100" spans="1:21" ht="15" customHeight="1">
      <c r="A2100" s="326"/>
      <c r="B2100" s="326"/>
      <c r="C2100" s="329"/>
      <c r="D2100" s="81">
        <f t="shared" ref="D2100" si="493">D2097</f>
        <v>46218</v>
      </c>
      <c r="E2100" s="140" t="str">
        <f t="shared" ref="E2100" si="494">$M$1</f>
        <v>samuelbattista</v>
      </c>
      <c r="F2100" s="8">
        <f>IFERROR(AVERAGE(Data[[#This Row],[alappatjoe]:[currydestroyer27]]), "TBD")</f>
        <v>2.8</v>
      </c>
      <c r="G2100" s="177">
        <f>IFERROR(_xlfn.STDEV.P(Data[[#This Row],[alappatjoe]:[currydestroyer27]]), "TBD")</f>
        <v>1.4696938456699069</v>
      </c>
      <c r="H2100" s="135" t="s">
        <v>3973</v>
      </c>
      <c r="I2100" s="229" t="s">
        <v>3974</v>
      </c>
      <c r="J2100" s="3">
        <v>2</v>
      </c>
      <c r="K2100" s="3">
        <v>2</v>
      </c>
      <c r="L2100" s="3">
        <v>5</v>
      </c>
      <c r="M2100" s="3">
        <v>1</v>
      </c>
      <c r="N2100" s="3">
        <v>4</v>
      </c>
      <c r="O2100" s="238"/>
      <c r="P2100" s="93"/>
      <c r="Q2100" s="93"/>
      <c r="R21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00" s="93">
        <v>1</v>
      </c>
      <c r="T2100" s="93" t="b">
        <f>Data[[#This Row],[Day Rank]]=Data[[#This Row],[W Rank]]</f>
        <v>0</v>
      </c>
      <c r="U2100" s="323"/>
    </row>
    <row r="2101" spans="1:21" ht="15" customHeight="1" thickBot="1">
      <c r="A2101" s="327"/>
      <c r="B2101" s="327"/>
      <c r="C2101" s="330"/>
      <c r="D2101" s="164">
        <f t="shared" ref="D2101" si="495">D2097</f>
        <v>46218</v>
      </c>
      <c r="E2101" s="215" t="str">
        <f t="shared" ref="E2101" si="496">$N$1</f>
        <v>currydestroyer27</v>
      </c>
      <c r="F2101" s="165">
        <f>IFERROR(AVERAGE(Data[[#This Row],[alappatjoe]:[currydestroyer27]]), "TBD")</f>
        <v>3.4</v>
      </c>
      <c r="G2101" s="256">
        <f>IFERROR(_xlfn.STDEV.P(Data[[#This Row],[alappatjoe]:[currydestroyer27]]), "TBD")</f>
        <v>1.3564659966250536</v>
      </c>
      <c r="H2101" s="227" t="s">
        <v>3975</v>
      </c>
      <c r="I2101" s="257" t="s">
        <v>3976</v>
      </c>
      <c r="J2101" s="166">
        <v>3</v>
      </c>
      <c r="K2101" s="166">
        <v>5</v>
      </c>
      <c r="L2101" s="166">
        <v>4</v>
      </c>
      <c r="M2101" s="166">
        <v>4</v>
      </c>
      <c r="N2101" s="166">
        <v>1</v>
      </c>
      <c r="O2101" s="242">
        <v>45068478</v>
      </c>
      <c r="P2101" s="167" t="s">
        <v>76</v>
      </c>
      <c r="Q2101" s="167" t="s">
        <v>99</v>
      </c>
      <c r="R210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01" s="167">
        <v>1</v>
      </c>
      <c r="T2101" s="167" t="b">
        <f>Data[[#This Row],[Day Rank]]=Data[[#This Row],[W Rank]]</f>
        <v>0</v>
      </c>
      <c r="U2101" s="324"/>
    </row>
    <row r="2102" spans="1:21" ht="15" customHeight="1">
      <c r="A2102" s="325">
        <v>46219</v>
      </c>
      <c r="B2102" s="325"/>
      <c r="C2102" s="338" t="str" cm="1">
        <f t="array" ref="C2102">_xlfn.LET(_xlpm.matches, _xlfn._xlws.FILTER(Data[Poster], (Data[Date]=A2102)*(Data[Winner]=TRUE)), IF(ROWS(_xlpm.matches)&gt;1, "TIE", _xlpm.matches))</f>
        <v>currydestroyer27</v>
      </c>
      <c r="D2102" s="147">
        <f t="shared" ref="D2102" si="497">A2102</f>
        <v>46219</v>
      </c>
      <c r="E2102" s="181" t="str">
        <f t="shared" ref="E2102" si="498">$J$1</f>
        <v>alappatjoe</v>
      </c>
      <c r="F2102" s="9">
        <f>IFERROR(AVERAGE(Data[[#This Row],[alappatjoe]:[currydestroyer27]]), "TBD")</f>
        <v>3.4</v>
      </c>
      <c r="G2102" s="178">
        <f>IFERROR(_xlfn.STDEV.P(Data[[#This Row],[alappatjoe]:[currydestroyer27]]), "TBD")</f>
        <v>1.3564659966250536</v>
      </c>
      <c r="H2102" s="160" t="s">
        <v>3977</v>
      </c>
      <c r="I2102" s="186" t="s">
        <v>3978</v>
      </c>
      <c r="J2102" s="3">
        <v>1</v>
      </c>
      <c r="K2102" s="3">
        <v>3</v>
      </c>
      <c r="L2102" s="3">
        <v>4</v>
      </c>
      <c r="M2102" s="3">
        <v>5</v>
      </c>
      <c r="N2102" s="3">
        <v>4</v>
      </c>
      <c r="O2102" s="238">
        <v>2589186054</v>
      </c>
      <c r="P2102" s="93"/>
      <c r="Q2102" s="93"/>
      <c r="R21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02" s="93">
        <v>1</v>
      </c>
      <c r="T2102" s="93" t="b">
        <f>Data[[#This Row],[Day Rank]]=Data[[#This Row],[W Rank]]</f>
        <v>0</v>
      </c>
      <c r="U2102" s="322" t="s">
        <v>3979</v>
      </c>
    </row>
    <row r="2103" spans="1:21" ht="15" customHeight="1">
      <c r="A2103" s="326"/>
      <c r="B2103" s="326"/>
      <c r="C2103" s="339"/>
      <c r="D2103" s="81">
        <f t="shared" ref="D2103" si="499">D2102</f>
        <v>46219</v>
      </c>
      <c r="E2103" s="140" t="str">
        <f t="shared" ref="E2103" si="500">$K$1</f>
        <v>danram</v>
      </c>
      <c r="F2103" s="8">
        <f>IFERROR(AVERAGE(Data[[#This Row],[alappatjoe]:[currydestroyer27]]), "TBD")</f>
        <v>2.2000000000000002</v>
      </c>
      <c r="G2103" s="177">
        <f>IFERROR(_xlfn.STDEV.P(Data[[#This Row],[alappatjoe]:[currydestroyer27]]), "TBD")</f>
        <v>0.9797958971132712</v>
      </c>
      <c r="H2103" s="135" t="s">
        <v>3980</v>
      </c>
      <c r="I2103" s="229" t="s">
        <v>3981</v>
      </c>
      <c r="J2103" s="3">
        <v>2</v>
      </c>
      <c r="K2103" s="3">
        <v>1</v>
      </c>
      <c r="L2103" s="3">
        <v>2</v>
      </c>
      <c r="M2103" s="3">
        <v>4</v>
      </c>
      <c r="N2103" s="3">
        <v>2</v>
      </c>
      <c r="O2103" s="238">
        <v>2191073427</v>
      </c>
      <c r="P2103" s="93"/>
      <c r="Q2103" s="93"/>
      <c r="R21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03" s="93">
        <v>1</v>
      </c>
      <c r="T2103" s="93" t="b">
        <f>Data[[#This Row],[Day Rank]]=Data[[#This Row],[W Rank]]</f>
        <v>0</v>
      </c>
      <c r="U2103" s="323"/>
    </row>
    <row r="2104" spans="1:21" ht="15" customHeight="1">
      <c r="A2104" s="326"/>
      <c r="B2104" s="326"/>
      <c r="C2104" s="339"/>
      <c r="D2104" s="81">
        <f t="shared" ref="D2104" si="501">D2102</f>
        <v>46219</v>
      </c>
      <c r="E2104" s="140" t="str">
        <f t="shared" ref="E2104" si="502">$L$1</f>
        <v>loganworsdell</v>
      </c>
      <c r="F2104" s="8">
        <f>IFERROR(AVERAGE(Data[[#This Row],[alappatjoe]:[currydestroyer27]]), "TBD")</f>
        <v>3.2</v>
      </c>
      <c r="G2104" s="177">
        <f>IFERROR(_xlfn.STDEV.P(Data[[#This Row],[alappatjoe]:[currydestroyer27]]), "TBD")</f>
        <v>0.74833147735478833</v>
      </c>
      <c r="H2104" s="135" t="s">
        <v>3982</v>
      </c>
      <c r="I2104" s="229" t="s">
        <v>3983</v>
      </c>
      <c r="J2104" s="3">
        <v>4</v>
      </c>
      <c r="K2104" s="3">
        <v>4</v>
      </c>
      <c r="L2104" s="3">
        <v>3</v>
      </c>
      <c r="M2104" s="3">
        <v>2</v>
      </c>
      <c r="N2104" s="3">
        <v>3</v>
      </c>
      <c r="O2104" s="238">
        <v>937936511</v>
      </c>
      <c r="P2104" s="93"/>
      <c r="Q2104" s="93"/>
      <c r="R21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04" s="93">
        <v>1</v>
      </c>
      <c r="T2104" s="93" t="b">
        <f>Data[[#This Row],[Day Rank]]=Data[[#This Row],[W Rank]]</f>
        <v>0</v>
      </c>
      <c r="U2104" s="323"/>
    </row>
    <row r="2105" spans="1:21" ht="15" customHeight="1">
      <c r="A2105" s="326"/>
      <c r="B2105" s="326"/>
      <c r="C2105" s="339"/>
      <c r="D2105" s="81">
        <f t="shared" ref="D2105" si="503">D2102</f>
        <v>46219</v>
      </c>
      <c r="E2105" s="140" t="str">
        <f t="shared" ref="E2105" si="504">$M$1</f>
        <v>samuelbattista</v>
      </c>
      <c r="F2105" s="8">
        <f>IFERROR(AVERAGE(Data[[#This Row],[alappatjoe]:[currydestroyer27]]), "TBD")</f>
        <v>4.5999999999999996</v>
      </c>
      <c r="G2105" s="177">
        <f>IFERROR(_xlfn.STDEV.P(Data[[#This Row],[alappatjoe]:[currydestroyer27]]), "TBD")</f>
        <v>0.8</v>
      </c>
      <c r="H2105" s="135" t="s">
        <v>3984</v>
      </c>
      <c r="I2105" s="229" t="s">
        <v>130</v>
      </c>
      <c r="J2105" s="3">
        <v>5</v>
      </c>
      <c r="K2105" s="3">
        <v>5</v>
      </c>
      <c r="L2105" s="3">
        <v>5</v>
      </c>
      <c r="M2105" s="3">
        <v>3</v>
      </c>
      <c r="N2105" s="3">
        <v>5</v>
      </c>
      <c r="O2105" s="238">
        <v>242681734</v>
      </c>
      <c r="P2105" s="93"/>
      <c r="Q2105" s="93"/>
      <c r="R21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05" s="93">
        <v>1</v>
      </c>
      <c r="T2105" s="93" t="b">
        <f>Data[[#This Row],[Day Rank]]=Data[[#This Row],[W Rank]]</f>
        <v>0</v>
      </c>
      <c r="U2105" s="323"/>
    </row>
    <row r="2106" spans="1:21" ht="15" customHeight="1" thickBot="1">
      <c r="A2106" s="327"/>
      <c r="B2106" s="327"/>
      <c r="C2106" s="340"/>
      <c r="D2106" s="164">
        <f t="shared" ref="D2106" si="505">D2102</f>
        <v>46219</v>
      </c>
      <c r="E2106" s="215" t="str">
        <f t="shared" ref="E2106" si="506">$N$1</f>
        <v>currydestroyer27</v>
      </c>
      <c r="F2106" s="165">
        <f>IFERROR(AVERAGE(Data[[#This Row],[alappatjoe]:[currydestroyer27]]), "TBD")</f>
        <v>1.6</v>
      </c>
      <c r="G2106" s="256">
        <f>IFERROR(_xlfn.STDEV.P(Data[[#This Row],[alappatjoe]:[currydestroyer27]]), "TBD")</f>
        <v>0.8</v>
      </c>
      <c r="H2106" s="227" t="s">
        <v>3985</v>
      </c>
      <c r="I2106" s="257" t="s">
        <v>969</v>
      </c>
      <c r="J2106" s="166">
        <v>3</v>
      </c>
      <c r="K2106" s="166">
        <v>2</v>
      </c>
      <c r="L2106" s="166">
        <v>1</v>
      </c>
      <c r="M2106" s="166">
        <v>1</v>
      </c>
      <c r="N2106" s="166">
        <v>1</v>
      </c>
      <c r="O2106" s="242">
        <v>1833535794</v>
      </c>
      <c r="P2106" s="167"/>
      <c r="Q2106" s="167"/>
      <c r="R210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06" s="167">
        <v>1</v>
      </c>
      <c r="T2106" s="167" t="b">
        <f>Data[[#This Row],[Day Rank]]=Data[[#This Row],[W Rank]]</f>
        <v>1</v>
      </c>
      <c r="U2106" s="324"/>
    </row>
    <row r="2107" spans="1:21" ht="15" customHeight="1">
      <c r="A2107" s="325">
        <v>46223</v>
      </c>
      <c r="B2107" s="325"/>
      <c r="C2107" s="328" t="str" cm="1">
        <f t="array" ref="C2107">_xlfn.LET(_xlpm.matches, _xlfn._xlws.FILTER(Data[Poster], (Data[Date]=A2107)*(Data[Winner]=TRUE)), IF(ROWS(_xlpm.matches)&gt;1, "TIE", _xlpm.matches))</f>
        <v>currydestroyer27</v>
      </c>
      <c r="D2107" s="147">
        <f>A2107</f>
        <v>46223</v>
      </c>
      <c r="E2107" s="181" t="str">
        <f>$J$1</f>
        <v>alappatjoe</v>
      </c>
      <c r="F2107" s="8">
        <f>IFERROR(AVERAGE(Data[[#This Row],[alappatjoe]:[currydestroyer27]]), "TBD")</f>
        <v>3.2</v>
      </c>
      <c r="G2107" s="177">
        <f>IFERROR(_xlfn.STDEV.P(Data[[#This Row],[alappatjoe]:[currydestroyer27]]), "TBD")</f>
        <v>1.833030277982336</v>
      </c>
      <c r="H2107" s="135" t="s">
        <v>3986</v>
      </c>
      <c r="I2107" s="229" t="s">
        <v>3987</v>
      </c>
      <c r="J2107" s="3">
        <v>1</v>
      </c>
      <c r="K2107" s="3">
        <v>5</v>
      </c>
      <c r="L2107" s="3">
        <v>4</v>
      </c>
      <c r="M2107" s="3">
        <v>5</v>
      </c>
      <c r="N2107" s="3">
        <v>1</v>
      </c>
      <c r="O2107" s="238">
        <v>202735429</v>
      </c>
      <c r="P2107" s="93"/>
      <c r="Q2107" s="93"/>
      <c r="R21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07" s="93">
        <v>1</v>
      </c>
      <c r="T2107" s="93" t="b">
        <f>Data[[#This Row],[Day Rank]]=Data[[#This Row],[W Rank]]</f>
        <v>0</v>
      </c>
      <c r="U2107" s="322"/>
    </row>
    <row r="2108" spans="1:21" ht="15" customHeight="1">
      <c r="A2108" s="326"/>
      <c r="B2108" s="326"/>
      <c r="C2108" s="329"/>
      <c r="D2108" s="81">
        <f>D2107</f>
        <v>46223</v>
      </c>
      <c r="E2108" s="140" t="str">
        <f>$K$1</f>
        <v>danram</v>
      </c>
      <c r="F2108" s="8">
        <f>IFERROR(AVERAGE(Data[[#This Row],[alappatjoe]:[currydestroyer27]]), "TBD")</f>
        <v>3.2</v>
      </c>
      <c r="G2108" s="177">
        <f>IFERROR(_xlfn.STDEV.P(Data[[#This Row],[alappatjoe]:[currydestroyer27]]), "TBD")</f>
        <v>1.6</v>
      </c>
      <c r="H2108" s="135" t="s">
        <v>3988</v>
      </c>
      <c r="I2108" s="229" t="s">
        <v>3989</v>
      </c>
      <c r="J2108" s="3">
        <v>2</v>
      </c>
      <c r="K2108" s="3">
        <v>1</v>
      </c>
      <c r="L2108" s="3">
        <v>5</v>
      </c>
      <c r="M2108" s="3">
        <v>3</v>
      </c>
      <c r="N2108" s="3">
        <v>5</v>
      </c>
      <c r="O2108" s="238"/>
      <c r="P2108" s="93"/>
      <c r="Q2108" s="93"/>
      <c r="R21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08" s="93">
        <v>1</v>
      </c>
      <c r="T2108" s="93" t="b">
        <f>Data[[#This Row],[Day Rank]]=Data[[#This Row],[W Rank]]</f>
        <v>0</v>
      </c>
      <c r="U2108" s="323"/>
    </row>
    <row r="2109" spans="1:21" ht="15" customHeight="1">
      <c r="A2109" s="326"/>
      <c r="B2109" s="326"/>
      <c r="C2109" s="329"/>
      <c r="D2109" s="81">
        <f>D2107</f>
        <v>46223</v>
      </c>
      <c r="E2109" s="140" t="str">
        <f>$L$1</f>
        <v>loganworsdell</v>
      </c>
      <c r="F2109" s="8">
        <f>IFERROR(AVERAGE(Data[[#This Row],[alappatjoe]:[currydestroyer27]]), "TBD")</f>
        <v>3</v>
      </c>
      <c r="G2109" s="177">
        <f>IFERROR(_xlfn.STDEV.P(Data[[#This Row],[alappatjoe]:[currydestroyer27]]), "TBD")</f>
        <v>1.0954451150103321</v>
      </c>
      <c r="H2109" s="135" t="s">
        <v>3990</v>
      </c>
      <c r="I2109" s="229" t="s">
        <v>2400</v>
      </c>
      <c r="J2109" s="3">
        <v>3</v>
      </c>
      <c r="K2109" s="3">
        <v>4</v>
      </c>
      <c r="L2109" s="3">
        <v>1</v>
      </c>
      <c r="M2109" s="3">
        <v>4</v>
      </c>
      <c r="N2109" s="3">
        <v>3</v>
      </c>
      <c r="O2109" s="238">
        <v>633501</v>
      </c>
      <c r="P2109" s="93"/>
      <c r="Q2109" s="93"/>
      <c r="R21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09" s="93">
        <v>1</v>
      </c>
      <c r="T2109" s="93" t="b">
        <f>Data[[#This Row],[Day Rank]]=Data[[#This Row],[W Rank]]</f>
        <v>0</v>
      </c>
      <c r="U2109" s="323"/>
    </row>
    <row r="2110" spans="1:21" ht="15" customHeight="1">
      <c r="A2110" s="326"/>
      <c r="B2110" s="326"/>
      <c r="C2110" s="329"/>
      <c r="D2110" s="81">
        <f>D2107</f>
        <v>46223</v>
      </c>
      <c r="E2110" s="140" t="str">
        <f>$M$1</f>
        <v>samuelbattista</v>
      </c>
      <c r="F2110" s="8">
        <f>IFERROR(AVERAGE(Data[[#This Row],[alappatjoe]:[currydestroyer27]]), "TBD")</f>
        <v>3</v>
      </c>
      <c r="G2110" s="177">
        <f>IFERROR(_xlfn.STDEV.P(Data[[#This Row],[alappatjoe]:[currydestroyer27]]), "TBD")</f>
        <v>1.4142135623730951</v>
      </c>
      <c r="H2110" s="135" t="s">
        <v>3991</v>
      </c>
      <c r="I2110" s="229" t="s">
        <v>3992</v>
      </c>
      <c r="J2110" s="3">
        <v>5</v>
      </c>
      <c r="K2110" s="3">
        <v>2</v>
      </c>
      <c r="L2110" s="3">
        <v>3</v>
      </c>
      <c r="M2110" s="3">
        <v>1</v>
      </c>
      <c r="N2110" s="3">
        <v>4</v>
      </c>
      <c r="O2110" s="238"/>
      <c r="P2110" s="93"/>
      <c r="Q2110" s="93"/>
      <c r="R21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10" s="93">
        <v>1</v>
      </c>
      <c r="T2110" s="93" t="b">
        <f>Data[[#This Row],[Day Rank]]=Data[[#This Row],[W Rank]]</f>
        <v>0</v>
      </c>
      <c r="U2110" s="323"/>
    </row>
    <row r="2111" spans="1:21" ht="15" customHeight="1" thickBot="1">
      <c r="A2111" s="327"/>
      <c r="B2111" s="327"/>
      <c r="C2111" s="330"/>
      <c r="D2111" s="164">
        <f>D2107</f>
        <v>46223</v>
      </c>
      <c r="E2111" s="215" t="str">
        <f>$N$1</f>
        <v>currydestroyer27</v>
      </c>
      <c r="F2111" s="165">
        <f>IFERROR(AVERAGE(Data[[#This Row],[alappatjoe]:[currydestroyer27]]), "TBD")</f>
        <v>2.6</v>
      </c>
      <c r="G2111" s="256">
        <f>IFERROR(_xlfn.STDEV.P(Data[[#This Row],[alappatjoe]:[currydestroyer27]]), "TBD")</f>
        <v>0.8</v>
      </c>
      <c r="H2111" s="227" t="s">
        <v>1314</v>
      </c>
      <c r="I2111" s="257" t="s">
        <v>3993</v>
      </c>
      <c r="J2111" s="166">
        <v>4</v>
      </c>
      <c r="K2111" s="166">
        <v>3</v>
      </c>
      <c r="L2111" s="166">
        <v>2</v>
      </c>
      <c r="M2111" s="166">
        <v>2</v>
      </c>
      <c r="N2111" s="166">
        <v>2</v>
      </c>
      <c r="O2111" s="242">
        <v>9651631</v>
      </c>
      <c r="P2111" s="167"/>
      <c r="Q2111" s="167"/>
      <c r="R21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11" s="167">
        <v>1</v>
      </c>
      <c r="T2111" s="167" t="b">
        <f>Data[[#This Row],[Day Rank]]=Data[[#This Row],[W Rank]]</f>
        <v>1</v>
      </c>
      <c r="U2111" s="324"/>
    </row>
    <row r="2112" spans="1:21" ht="15" customHeight="1">
      <c r="A2112" s="325">
        <v>46224</v>
      </c>
      <c r="B2112" s="325"/>
      <c r="C2112" s="338" t="str" cm="1">
        <f t="array" ref="C2112">_xlfn.LET(_xlpm.matches, _xlfn._xlws.FILTER(Data[Poster], (Data[Date]=A2112)*(Data[Winner]=TRUE)), IF(ROWS(_xlpm.matches)&gt;1, "TIE", _xlpm.matches))</f>
        <v>alappatjoe</v>
      </c>
      <c r="D2112" s="147">
        <f>A2112</f>
        <v>46224</v>
      </c>
      <c r="E2112" s="181" t="str">
        <f>$J$1</f>
        <v>alappatjoe</v>
      </c>
      <c r="F2112" s="9">
        <f>IFERROR(AVERAGE(Data[[#This Row],[alappatjoe]:[currydestroyer27]]), "TBD")</f>
        <v>2.2000000000000002</v>
      </c>
      <c r="G2112" s="178">
        <f>IFERROR(_xlfn.STDEV.P(Data[[#This Row],[alappatjoe]:[currydestroyer27]]), "TBD")</f>
        <v>1.1661903789690602</v>
      </c>
      <c r="H2112" s="135" t="s">
        <v>3994</v>
      </c>
      <c r="I2112" s="229" t="s">
        <v>2637</v>
      </c>
      <c r="J2112" s="3">
        <v>1</v>
      </c>
      <c r="K2112" s="3">
        <v>3</v>
      </c>
      <c r="L2112" s="3">
        <v>1</v>
      </c>
      <c r="M2112" s="3">
        <v>2</v>
      </c>
      <c r="N2112" s="3">
        <v>4</v>
      </c>
      <c r="O2112" s="238">
        <v>545059</v>
      </c>
      <c r="P2112" s="93"/>
      <c r="Q2112" s="93"/>
      <c r="R21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12" s="93">
        <v>1</v>
      </c>
      <c r="T2112" s="93" t="b">
        <f>Data[[#This Row],[Day Rank]]=Data[[#This Row],[W Rank]]</f>
        <v>1</v>
      </c>
      <c r="U2112" s="322"/>
    </row>
    <row r="2113" spans="1:21" ht="15" customHeight="1">
      <c r="A2113" s="326"/>
      <c r="B2113" s="326"/>
      <c r="C2113" s="339"/>
      <c r="D2113" s="81">
        <f>D2112</f>
        <v>46224</v>
      </c>
      <c r="E2113" s="140" t="str">
        <f>$K$1</f>
        <v>danram</v>
      </c>
      <c r="F2113" s="8">
        <f>IFERROR(AVERAGE(Data[[#This Row],[alappatjoe]:[currydestroyer27]]), "TBD")</f>
        <v>3.8</v>
      </c>
      <c r="G2113" s="177">
        <f>IFERROR(_xlfn.STDEV.P(Data[[#This Row],[alappatjoe]:[currydestroyer27]]), "TBD")</f>
        <v>1.1661903789690602</v>
      </c>
      <c r="H2113" s="135" t="s">
        <v>3995</v>
      </c>
      <c r="I2113" s="229" t="s">
        <v>1798</v>
      </c>
      <c r="J2113" s="3">
        <v>5</v>
      </c>
      <c r="K2113" s="3">
        <v>4</v>
      </c>
      <c r="L2113" s="3">
        <v>5</v>
      </c>
      <c r="M2113" s="3">
        <v>3</v>
      </c>
      <c r="N2113" s="3">
        <v>2</v>
      </c>
      <c r="O2113" s="238"/>
      <c r="P2113" s="93"/>
      <c r="Q2113" s="93"/>
      <c r="R21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13" s="93">
        <v>1</v>
      </c>
      <c r="T2113" s="93" t="b">
        <f>Data[[#This Row],[Day Rank]]=Data[[#This Row],[W Rank]]</f>
        <v>0</v>
      </c>
      <c r="U2113" s="323"/>
    </row>
    <row r="2114" spans="1:21" ht="15" customHeight="1">
      <c r="A2114" s="326"/>
      <c r="B2114" s="326"/>
      <c r="C2114" s="339"/>
      <c r="D2114" s="81">
        <f>D2112</f>
        <v>46224</v>
      </c>
      <c r="E2114" s="140" t="str">
        <f>$L$1</f>
        <v>loganworsdell</v>
      </c>
      <c r="F2114" s="8">
        <f>IFERROR(AVERAGE(Data[[#This Row],[alappatjoe]:[currydestroyer27]]), "TBD")</f>
        <v>3.8</v>
      </c>
      <c r="G2114" s="177">
        <f>IFERROR(_xlfn.STDEV.P(Data[[#This Row],[alappatjoe]:[currydestroyer27]]), "TBD")</f>
        <v>1.1661903789690602</v>
      </c>
      <c r="H2114" s="135" t="s">
        <v>3996</v>
      </c>
      <c r="I2114" s="229" t="s">
        <v>3997</v>
      </c>
      <c r="J2114" s="3">
        <v>4</v>
      </c>
      <c r="K2114" s="3">
        <v>5</v>
      </c>
      <c r="L2114" s="3">
        <v>2</v>
      </c>
      <c r="M2114" s="3">
        <v>5</v>
      </c>
      <c r="N2114" s="3">
        <v>3</v>
      </c>
      <c r="O2114" s="238">
        <v>7319059</v>
      </c>
      <c r="P2114" s="93"/>
      <c r="Q2114" s="93"/>
      <c r="R21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14" s="93">
        <v>1</v>
      </c>
      <c r="T2114" s="93" t="b">
        <f>Data[[#This Row],[Day Rank]]=Data[[#This Row],[W Rank]]</f>
        <v>0</v>
      </c>
      <c r="U2114" s="323"/>
    </row>
    <row r="2115" spans="1:21" ht="15" customHeight="1">
      <c r="A2115" s="326"/>
      <c r="B2115" s="326"/>
      <c r="C2115" s="339"/>
      <c r="D2115" s="81">
        <f>D2112</f>
        <v>46224</v>
      </c>
      <c r="E2115" s="140" t="str">
        <f>$M$1</f>
        <v>samuelbattista</v>
      </c>
      <c r="F2115" s="8">
        <f>IFERROR(AVERAGE(Data[[#This Row],[alappatjoe]:[currydestroyer27]]), "TBD")</f>
        <v>3</v>
      </c>
      <c r="G2115" s="177">
        <f>IFERROR(_xlfn.STDEV.P(Data[[#This Row],[alappatjoe]:[currydestroyer27]]), "TBD")</f>
        <v>1.4142135623730951</v>
      </c>
      <c r="H2115" s="135" t="s">
        <v>3998</v>
      </c>
      <c r="I2115" s="229" t="s">
        <v>365</v>
      </c>
      <c r="J2115" s="3">
        <v>3</v>
      </c>
      <c r="K2115" s="3">
        <v>2</v>
      </c>
      <c r="L2115" s="3">
        <v>4</v>
      </c>
      <c r="M2115" s="3">
        <v>1</v>
      </c>
      <c r="N2115" s="3">
        <v>5</v>
      </c>
      <c r="O2115" s="238"/>
      <c r="P2115" s="93"/>
      <c r="Q2115" s="93"/>
      <c r="R21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15" s="93">
        <v>1</v>
      </c>
      <c r="T2115" s="93" t="b">
        <f>Data[[#This Row],[Day Rank]]=Data[[#This Row],[W Rank]]</f>
        <v>0</v>
      </c>
      <c r="U2115" s="323"/>
    </row>
    <row r="2116" spans="1:21" ht="15" customHeight="1" thickBot="1">
      <c r="A2116" s="327"/>
      <c r="B2116" s="327"/>
      <c r="C2116" s="340"/>
      <c r="D2116" s="164">
        <f>D2112</f>
        <v>46224</v>
      </c>
      <c r="E2116" s="215" t="str">
        <f>$N$1</f>
        <v>currydestroyer27</v>
      </c>
      <c r="F2116" s="165">
        <f>IFERROR(AVERAGE(Data[[#This Row],[alappatjoe]:[currydestroyer27]]), "TBD")</f>
        <v>2.2000000000000002</v>
      </c>
      <c r="G2116" s="256">
        <f>IFERROR(_xlfn.STDEV.P(Data[[#This Row],[alappatjoe]:[currydestroyer27]]), "TBD")</f>
        <v>1.1661903789690602</v>
      </c>
      <c r="H2116" s="227" t="s">
        <v>3999</v>
      </c>
      <c r="I2116" s="257" t="s">
        <v>3362</v>
      </c>
      <c r="J2116" s="166">
        <v>2</v>
      </c>
      <c r="K2116" s="166">
        <v>1</v>
      </c>
      <c r="L2116" s="166">
        <v>3</v>
      </c>
      <c r="M2116" s="166">
        <v>4</v>
      </c>
      <c r="N2116" s="166">
        <v>1</v>
      </c>
      <c r="O2116" s="242">
        <v>6967805</v>
      </c>
      <c r="P2116" s="167"/>
      <c r="Q2116" s="167"/>
      <c r="R21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16" s="167">
        <v>2</v>
      </c>
      <c r="T2116" s="167" t="b">
        <f>Data[[#This Row],[Day Rank]]=Data[[#This Row],[W Rank]]</f>
        <v>0</v>
      </c>
      <c r="U2116" s="324"/>
    </row>
    <row r="2117" spans="1:21" ht="15" customHeight="1">
      <c r="A2117" s="325">
        <v>46225</v>
      </c>
      <c r="B2117" s="325"/>
      <c r="C2117" s="328" t="str" cm="1">
        <f t="array" ref="C2117">_xlfn.LET(_xlpm.matches, _xlfn._xlws.FILTER(Data[Poster], (Data[Date]=A2117)*(Data[Winner]=TRUE)), IF(ROWS(_xlpm.matches)&gt;1, "TIE", _xlpm.matches))</f>
        <v>currydestroyer27</v>
      </c>
      <c r="D2117" s="147">
        <f>A2117</f>
        <v>46225</v>
      </c>
      <c r="E2117" s="181" t="str">
        <f>$J$1</f>
        <v>alappatjoe</v>
      </c>
      <c r="F2117" s="9">
        <f>IFERROR(AVERAGE(Data[[#This Row],[alappatjoe]:[currydestroyer27]]), "TBD")</f>
        <v>3.4</v>
      </c>
      <c r="G2117" s="178">
        <f>IFERROR(_xlfn.STDEV.P(Data[[#This Row],[alappatjoe]:[currydestroyer27]]), "TBD")</f>
        <v>0.8</v>
      </c>
      <c r="H2117" s="160" t="s">
        <v>4000</v>
      </c>
      <c r="I2117" s="186" t="s">
        <v>4001</v>
      </c>
      <c r="J2117" s="3">
        <v>2</v>
      </c>
      <c r="K2117" s="3">
        <v>4</v>
      </c>
      <c r="L2117" s="3">
        <v>3</v>
      </c>
      <c r="M2117" s="3">
        <v>4</v>
      </c>
      <c r="N2117" s="3">
        <v>4</v>
      </c>
      <c r="O2117" s="238">
        <v>581384</v>
      </c>
      <c r="P2117" s="93"/>
      <c r="Q2117" s="93"/>
      <c r="R21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17" s="93">
        <v>1</v>
      </c>
      <c r="T2117" s="93" t="b">
        <f>Data[[#This Row],[Day Rank]]=Data[[#This Row],[W Rank]]</f>
        <v>0</v>
      </c>
      <c r="U2117" s="322"/>
    </row>
    <row r="2118" spans="1:21" ht="15" customHeight="1">
      <c r="A2118" s="326"/>
      <c r="B2118" s="326"/>
      <c r="C2118" s="329"/>
      <c r="D2118" s="81">
        <f>D2117</f>
        <v>46225</v>
      </c>
      <c r="E2118" s="140" t="str">
        <f>$K$1</f>
        <v>danram</v>
      </c>
      <c r="F2118" s="8">
        <f>IFERROR(AVERAGE(Data[[#This Row],[alappatjoe]:[currydestroyer27]]), "TBD")</f>
        <v>2.4</v>
      </c>
      <c r="G2118" s="177">
        <f>IFERROR(_xlfn.STDEV.P(Data[[#This Row],[alappatjoe]:[currydestroyer27]]), "TBD")</f>
        <v>1.4966629547095767</v>
      </c>
      <c r="H2118" s="135" t="s">
        <v>4002</v>
      </c>
      <c r="I2118" s="229" t="s">
        <v>4003</v>
      </c>
      <c r="J2118" s="3">
        <v>1</v>
      </c>
      <c r="K2118" s="3">
        <v>1</v>
      </c>
      <c r="L2118" s="3">
        <v>5</v>
      </c>
      <c r="M2118" s="3">
        <v>2</v>
      </c>
      <c r="N2118" s="3">
        <v>3</v>
      </c>
      <c r="O2118" s="238">
        <v>1207723829</v>
      </c>
      <c r="P2118" s="93"/>
      <c r="Q2118" s="93"/>
      <c r="R21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18" s="93">
        <v>1</v>
      </c>
      <c r="T2118" s="93" t="b">
        <f>Data[[#This Row],[Day Rank]]=Data[[#This Row],[W Rank]]</f>
        <v>0</v>
      </c>
      <c r="U2118" s="323"/>
    </row>
    <row r="2119" spans="1:21" ht="15" customHeight="1">
      <c r="A2119" s="326"/>
      <c r="B2119" s="326"/>
      <c r="C2119" s="329"/>
      <c r="D2119" s="81">
        <f>D2117</f>
        <v>46225</v>
      </c>
      <c r="E2119" s="140" t="str">
        <f>$L$1</f>
        <v>loganworsdell</v>
      </c>
      <c r="F2119" s="8">
        <f>IFERROR(AVERAGE(Data[[#This Row],[alappatjoe]:[currydestroyer27]]), "TBD")</f>
        <v>3</v>
      </c>
      <c r="G2119" s="177">
        <f>IFERROR(_xlfn.STDEV.P(Data[[#This Row],[alappatjoe]:[currydestroyer27]]), "TBD")</f>
        <v>1.0954451150103321</v>
      </c>
      <c r="H2119" s="135" t="s">
        <v>4004</v>
      </c>
      <c r="I2119" s="229" t="s">
        <v>4005</v>
      </c>
      <c r="J2119" s="3">
        <v>3</v>
      </c>
      <c r="K2119" s="3">
        <v>3</v>
      </c>
      <c r="L2119" s="3">
        <v>2</v>
      </c>
      <c r="M2119" s="3">
        <v>5</v>
      </c>
      <c r="N2119" s="3">
        <v>2</v>
      </c>
      <c r="O2119" s="238">
        <v>390260074</v>
      </c>
      <c r="P2119" s="93"/>
      <c r="Q2119" s="93"/>
      <c r="R21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19" s="93">
        <v>1</v>
      </c>
      <c r="T2119" s="93" t="b">
        <f>Data[[#This Row],[Day Rank]]=Data[[#This Row],[W Rank]]</f>
        <v>0</v>
      </c>
      <c r="U2119" s="323"/>
    </row>
    <row r="2120" spans="1:21" ht="15" customHeight="1">
      <c r="A2120" s="326"/>
      <c r="B2120" s="326"/>
      <c r="C2120" s="329"/>
      <c r="D2120" s="81">
        <f>D2117</f>
        <v>46225</v>
      </c>
      <c r="E2120" s="140" t="str">
        <f>$M$1</f>
        <v>samuelbattista</v>
      </c>
      <c r="F2120" s="8">
        <f>IFERROR(AVERAGE(Data[[#This Row],[alappatjoe]:[currydestroyer27]]), "TBD")</f>
        <v>4</v>
      </c>
      <c r="G2120" s="177">
        <f>IFERROR(_xlfn.STDEV.P(Data[[#This Row],[alappatjoe]:[currydestroyer27]]), "TBD")</f>
        <v>1.5491933384829668</v>
      </c>
      <c r="H2120" s="135" t="s">
        <v>4006</v>
      </c>
      <c r="I2120" s="229" t="s">
        <v>326</v>
      </c>
      <c r="J2120" s="3">
        <v>5</v>
      </c>
      <c r="K2120" s="3">
        <v>5</v>
      </c>
      <c r="L2120" s="3">
        <v>4</v>
      </c>
      <c r="M2120" s="3">
        <v>1</v>
      </c>
      <c r="N2120" s="3">
        <v>5</v>
      </c>
      <c r="O2120" s="238"/>
      <c r="P2120" s="93"/>
      <c r="Q2120" s="93"/>
      <c r="R21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20" s="93">
        <v>1</v>
      </c>
      <c r="T2120" s="93" t="b">
        <f>Data[[#This Row],[Day Rank]]=Data[[#This Row],[W Rank]]</f>
        <v>0</v>
      </c>
      <c r="U2120" s="323"/>
    </row>
    <row r="2121" spans="1:21" ht="15" customHeight="1" thickBot="1">
      <c r="A2121" s="327"/>
      <c r="B2121" s="327"/>
      <c r="C2121" s="330"/>
      <c r="D2121" s="164">
        <f>D2117</f>
        <v>46225</v>
      </c>
      <c r="E2121" s="215" t="str">
        <f>$N$1</f>
        <v>currydestroyer27</v>
      </c>
      <c r="F2121" s="165">
        <f>IFERROR(AVERAGE(Data[[#This Row],[alappatjoe]:[currydestroyer27]]), "TBD")</f>
        <v>2.2000000000000002</v>
      </c>
      <c r="G2121" s="256">
        <f>IFERROR(_xlfn.STDEV.P(Data[[#This Row],[alappatjoe]:[currydestroyer27]]), "TBD")</f>
        <v>1.1661903789690602</v>
      </c>
      <c r="H2121" s="227" t="s">
        <v>4007</v>
      </c>
      <c r="I2121" s="257" t="s">
        <v>4008</v>
      </c>
      <c r="J2121" s="166">
        <v>4</v>
      </c>
      <c r="K2121" s="166">
        <v>2</v>
      </c>
      <c r="L2121" s="166">
        <v>1</v>
      </c>
      <c r="M2121" s="166">
        <v>3</v>
      </c>
      <c r="N2121" s="166">
        <v>1</v>
      </c>
      <c r="O2121" s="242">
        <v>1838178</v>
      </c>
      <c r="P2121" s="167"/>
      <c r="Q2121" s="167"/>
      <c r="R21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21" s="167">
        <v>1</v>
      </c>
      <c r="T2121" s="167" t="b">
        <f>Data[[#This Row],[Day Rank]]=Data[[#This Row],[W Rank]]</f>
        <v>1</v>
      </c>
      <c r="U2121" s="324"/>
    </row>
    <row r="2122" spans="1:21" ht="15" customHeight="1">
      <c r="A2122" s="325">
        <v>46226</v>
      </c>
      <c r="B2122" s="325"/>
      <c r="C2122" s="338" t="str" cm="1">
        <f t="array" ref="C2122">_xlfn.LET(_xlpm.matches, _xlfn._xlws.FILTER(Data[Poster], (Data[Date]=A2122)*(Data[Winner]=TRUE)), IF(ROWS(_xlpm.matches)&gt;1, "TIE", _xlpm.matches))</f>
        <v>loganworsdell</v>
      </c>
      <c r="D2122" s="147">
        <f>A2122</f>
        <v>46226</v>
      </c>
      <c r="E2122" s="181" t="str">
        <f>$J$1</f>
        <v>alappatjoe</v>
      </c>
      <c r="F2122" s="9">
        <f>IFERROR(AVERAGE(Data[[#This Row],[alappatjoe]:[currydestroyer27]]), "TBD")</f>
        <v>2.2000000000000002</v>
      </c>
      <c r="G2122" s="178">
        <f>IFERROR(_xlfn.STDEV.P(Data[[#This Row],[alappatjoe]:[currydestroyer27]]), "TBD")</f>
        <v>1.1661903789690602</v>
      </c>
      <c r="H2122" s="160" t="s">
        <v>4009</v>
      </c>
      <c r="I2122" s="186" t="s">
        <v>1718</v>
      </c>
      <c r="J2122" s="3">
        <v>1</v>
      </c>
      <c r="K2122" s="3">
        <v>2</v>
      </c>
      <c r="L2122" s="3">
        <v>3</v>
      </c>
      <c r="M2122" s="3">
        <v>4</v>
      </c>
      <c r="N2122" s="3">
        <v>1</v>
      </c>
      <c r="O2122" s="238">
        <v>978995585</v>
      </c>
      <c r="P2122" s="93"/>
      <c r="Q2122" s="93"/>
      <c r="R21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22" s="93">
        <v>2</v>
      </c>
      <c r="T2122" s="93" t="b">
        <f>Data[[#This Row],[Day Rank]]=Data[[#This Row],[W Rank]]</f>
        <v>0</v>
      </c>
      <c r="U2122" s="322" t="s">
        <v>4010</v>
      </c>
    </row>
    <row r="2123" spans="1:21" ht="15" customHeight="1">
      <c r="A2123" s="326"/>
      <c r="B2123" s="326"/>
      <c r="C2123" s="339"/>
      <c r="D2123" s="81">
        <f>D2122</f>
        <v>46226</v>
      </c>
      <c r="E2123" s="140" t="str">
        <f>$K$1</f>
        <v>danram</v>
      </c>
      <c r="F2123" s="8">
        <f>IFERROR(AVERAGE(Data[[#This Row],[alappatjoe]:[currydestroyer27]]), "TBD")</f>
        <v>4.4000000000000004</v>
      </c>
      <c r="G2123" s="177">
        <f>IFERROR(_xlfn.STDEV.P(Data[[#This Row],[alappatjoe]:[currydestroyer27]]), "TBD")</f>
        <v>0.8</v>
      </c>
      <c r="H2123" s="135" t="s">
        <v>4011</v>
      </c>
      <c r="I2123" s="229" t="s">
        <v>909</v>
      </c>
      <c r="J2123" s="3">
        <v>5</v>
      </c>
      <c r="K2123" s="3">
        <v>4</v>
      </c>
      <c r="L2123" s="3">
        <v>5</v>
      </c>
      <c r="M2123" s="3">
        <v>3</v>
      </c>
      <c r="N2123" s="3">
        <v>5</v>
      </c>
      <c r="O2123" s="238">
        <v>881749097</v>
      </c>
      <c r="P2123" s="93"/>
      <c r="Q2123" s="93"/>
      <c r="R21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23" s="93">
        <v>1</v>
      </c>
      <c r="T2123" s="93" t="b">
        <f>Data[[#This Row],[Day Rank]]=Data[[#This Row],[W Rank]]</f>
        <v>0</v>
      </c>
      <c r="U2123" s="323"/>
    </row>
    <row r="2124" spans="1:21" ht="15" customHeight="1">
      <c r="A2124" s="326"/>
      <c r="B2124" s="326"/>
      <c r="C2124" s="339"/>
      <c r="D2124" s="81">
        <f>D2122</f>
        <v>46226</v>
      </c>
      <c r="E2124" s="140" t="str">
        <f>$L$1</f>
        <v>loganworsdell</v>
      </c>
      <c r="F2124" s="8">
        <f>IFERROR(AVERAGE(Data[[#This Row],[alappatjoe]:[currydestroyer27]]), "TBD")</f>
        <v>2.2000000000000002</v>
      </c>
      <c r="G2124" s="177">
        <f>IFERROR(_xlfn.STDEV.P(Data[[#This Row],[alappatjoe]:[currydestroyer27]]), "TBD")</f>
        <v>1.1661903789690602</v>
      </c>
      <c r="H2124" s="135" t="s">
        <v>4012</v>
      </c>
      <c r="I2124" s="229" t="s">
        <v>4013</v>
      </c>
      <c r="J2124" s="3">
        <v>3</v>
      </c>
      <c r="K2124" s="3">
        <v>1</v>
      </c>
      <c r="L2124" s="3">
        <v>1</v>
      </c>
      <c r="M2124" s="3">
        <v>2</v>
      </c>
      <c r="N2124" s="3">
        <v>4</v>
      </c>
      <c r="O2124" s="238">
        <v>989497481</v>
      </c>
      <c r="P2124" s="93"/>
      <c r="Q2124" s="93"/>
      <c r="R21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24" s="93">
        <v>1</v>
      </c>
      <c r="T2124" s="93" t="b">
        <f>Data[[#This Row],[Day Rank]]=Data[[#This Row],[W Rank]]</f>
        <v>1</v>
      </c>
      <c r="U2124" s="323"/>
    </row>
    <row r="2125" spans="1:21" ht="15" customHeight="1">
      <c r="A2125" s="326"/>
      <c r="B2125" s="326"/>
      <c r="C2125" s="339"/>
      <c r="D2125" s="81">
        <f>D2122</f>
        <v>46226</v>
      </c>
      <c r="E2125" s="140" t="str">
        <f>$M$1</f>
        <v>samuelbattista</v>
      </c>
      <c r="F2125" s="8">
        <f>IFERROR(AVERAGE(Data[[#This Row],[alappatjoe]:[currydestroyer27]]), "TBD")</f>
        <v>2.4</v>
      </c>
      <c r="G2125" s="177">
        <f>IFERROR(_xlfn.STDEV.P(Data[[#This Row],[alappatjoe]:[currydestroyer27]]), "TBD")</f>
        <v>1.019803902718557</v>
      </c>
      <c r="H2125" s="135" t="s">
        <v>4014</v>
      </c>
      <c r="I2125" s="229" t="s">
        <v>367</v>
      </c>
      <c r="J2125" s="3">
        <v>4</v>
      </c>
      <c r="K2125" s="3">
        <v>3</v>
      </c>
      <c r="L2125" s="3">
        <v>2</v>
      </c>
      <c r="M2125" s="3">
        <v>1</v>
      </c>
      <c r="N2125" s="3">
        <v>2</v>
      </c>
      <c r="O2125" s="238">
        <v>815617910</v>
      </c>
      <c r="P2125" s="93"/>
      <c r="Q2125" s="93"/>
      <c r="R21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25" s="93">
        <v>1</v>
      </c>
      <c r="T2125" s="93" t="b">
        <f>Data[[#This Row],[Day Rank]]=Data[[#This Row],[W Rank]]</f>
        <v>0</v>
      </c>
      <c r="U2125" s="323"/>
    </row>
    <row r="2126" spans="1:21" ht="15" customHeight="1" thickBot="1">
      <c r="A2126" s="327"/>
      <c r="B2126" s="327"/>
      <c r="C2126" s="340"/>
      <c r="D2126" s="164">
        <f>D2122</f>
        <v>46226</v>
      </c>
      <c r="E2126" s="215" t="str">
        <f>$N$1</f>
        <v>currydestroyer27</v>
      </c>
      <c r="F2126" s="165">
        <f>IFERROR(AVERAGE(Data[[#This Row],[alappatjoe]:[currydestroyer27]]), "TBD")</f>
        <v>3.8</v>
      </c>
      <c r="G2126" s="256">
        <f>IFERROR(_xlfn.STDEV.P(Data[[#This Row],[alappatjoe]:[currydestroyer27]]), "TBD")</f>
        <v>1.1661903789690602</v>
      </c>
      <c r="H2126" s="227" t="s">
        <v>4015</v>
      </c>
      <c r="I2126" s="257" t="s">
        <v>4016</v>
      </c>
      <c r="J2126" s="166">
        <v>2</v>
      </c>
      <c r="K2126" s="166">
        <v>5</v>
      </c>
      <c r="L2126" s="166">
        <v>4</v>
      </c>
      <c r="M2126" s="166">
        <v>5</v>
      </c>
      <c r="N2126" s="166">
        <v>3</v>
      </c>
      <c r="O2126" s="242">
        <v>895663023</v>
      </c>
      <c r="P2126" s="167"/>
      <c r="Q2126" s="167"/>
      <c r="R21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26" s="167">
        <v>1</v>
      </c>
      <c r="T2126" s="167" t="b">
        <f>Data[[#This Row],[Day Rank]]=Data[[#This Row],[W Rank]]</f>
        <v>0</v>
      </c>
      <c r="U2126" s="324"/>
    </row>
    <row r="2127" spans="1:21" ht="15" customHeight="1">
      <c r="A2127" s="325">
        <v>46230</v>
      </c>
      <c r="B2127" s="325"/>
      <c r="C2127" s="328" t="str" cm="1">
        <f t="array" ref="C2127">_xlfn.LET(_xlpm.matches, _xlfn._xlws.FILTER(Data[Poster], (Data[Date]=A2127)*(Data[Winner]=TRUE)), IF(ROWS(_xlpm.matches)&gt;1, "TIE", _xlpm.matches))</f>
        <v>loganworsdell</v>
      </c>
      <c r="D2127" s="147">
        <f>A2127</f>
        <v>46230</v>
      </c>
      <c r="E2127" s="181" t="str">
        <f>$J$1</f>
        <v>alappatjoe</v>
      </c>
      <c r="F2127" s="8">
        <f>IFERROR(AVERAGE(Data[[#This Row],[alappatjoe]:[currydestroyer27]]), "TBD")</f>
        <v>4.2</v>
      </c>
      <c r="G2127" s="177">
        <f>IFERROR(_xlfn.STDEV.P(Data[[#This Row],[alappatjoe]:[currydestroyer27]]), "TBD")</f>
        <v>1.1661903789690602</v>
      </c>
      <c r="H2127" s="135" t="s">
        <v>4017</v>
      </c>
      <c r="I2127" s="229" t="s">
        <v>4018</v>
      </c>
      <c r="J2127" s="3">
        <v>2</v>
      </c>
      <c r="K2127" s="3">
        <v>5</v>
      </c>
      <c r="L2127" s="3">
        <v>5</v>
      </c>
      <c r="M2127" s="3">
        <v>4</v>
      </c>
      <c r="N2127" s="3">
        <v>5</v>
      </c>
      <c r="O2127" s="238">
        <v>648781</v>
      </c>
      <c r="P2127" s="93"/>
      <c r="Q2127" s="93"/>
      <c r="R212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27" s="93">
        <v>1</v>
      </c>
      <c r="T2127" s="93" t="b">
        <f>Data[[#This Row],[Day Rank]]=Data[[#This Row],[W Rank]]</f>
        <v>0</v>
      </c>
      <c r="U2127" s="322"/>
    </row>
    <row r="2128" spans="1:21" ht="15" customHeight="1">
      <c r="A2128" s="326"/>
      <c r="B2128" s="326"/>
      <c r="C2128" s="329"/>
      <c r="D2128" s="81">
        <f>D2127</f>
        <v>46230</v>
      </c>
      <c r="E2128" s="140" t="str">
        <f>$K$1</f>
        <v>danram</v>
      </c>
      <c r="F2128" s="8">
        <f>IFERROR(AVERAGE(Data[[#This Row],[alappatjoe]:[currydestroyer27]]), "TBD")</f>
        <v>3.4</v>
      </c>
      <c r="G2128" s="177">
        <f>IFERROR(_xlfn.STDEV.P(Data[[#This Row],[alappatjoe]:[currydestroyer27]]), "TBD")</f>
        <v>0.4898979485566356</v>
      </c>
      <c r="H2128" s="135" t="s">
        <v>4019</v>
      </c>
      <c r="I2128" s="229" t="s">
        <v>4020</v>
      </c>
      <c r="J2128" s="3">
        <v>4</v>
      </c>
      <c r="K2128" s="3">
        <v>3</v>
      </c>
      <c r="L2128" s="3">
        <v>3</v>
      </c>
      <c r="M2128" s="3">
        <v>3</v>
      </c>
      <c r="N2128" s="3">
        <v>4</v>
      </c>
      <c r="O2128" s="238"/>
      <c r="P2128" s="93"/>
      <c r="Q2128" s="93"/>
      <c r="R212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28" s="93">
        <v>1</v>
      </c>
      <c r="T2128" s="93" t="b">
        <f>Data[[#This Row],[Day Rank]]=Data[[#This Row],[W Rank]]</f>
        <v>0</v>
      </c>
      <c r="U2128" s="323"/>
    </row>
    <row r="2129" spans="1:21" ht="15" customHeight="1">
      <c r="A2129" s="326"/>
      <c r="B2129" s="326"/>
      <c r="C2129" s="329"/>
      <c r="D2129" s="81">
        <f>D2127</f>
        <v>46230</v>
      </c>
      <c r="E2129" s="140" t="str">
        <f>$L$1</f>
        <v>loganworsdell</v>
      </c>
      <c r="F2129" s="8">
        <f>IFERROR(AVERAGE(Data[[#This Row],[alappatjoe]:[currydestroyer27]]), "TBD")</f>
        <v>2.2000000000000002</v>
      </c>
      <c r="G2129" s="177">
        <f>IFERROR(_xlfn.STDEV.P(Data[[#This Row],[alappatjoe]:[currydestroyer27]]), "TBD")</f>
        <v>1.1661903789690602</v>
      </c>
      <c r="H2129" s="135" t="s">
        <v>1599</v>
      </c>
      <c r="I2129" s="229" t="s">
        <v>284</v>
      </c>
      <c r="J2129" s="3">
        <v>1</v>
      </c>
      <c r="K2129" s="3">
        <v>4</v>
      </c>
      <c r="L2129" s="3">
        <v>1</v>
      </c>
      <c r="M2129" s="3">
        <v>2</v>
      </c>
      <c r="N2129" s="3">
        <v>3</v>
      </c>
      <c r="O2129" s="238">
        <v>193163225</v>
      </c>
      <c r="P2129" s="93"/>
      <c r="Q2129" s="93"/>
      <c r="R212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29" s="93">
        <v>1</v>
      </c>
      <c r="T2129" s="93" t="b">
        <f>Data[[#This Row],[Day Rank]]=Data[[#This Row],[W Rank]]</f>
        <v>1</v>
      </c>
      <c r="U2129" s="323"/>
    </row>
    <row r="2130" spans="1:21" ht="15" customHeight="1">
      <c r="A2130" s="326"/>
      <c r="B2130" s="326"/>
      <c r="C2130" s="329"/>
      <c r="D2130" s="81">
        <f>D2127</f>
        <v>46230</v>
      </c>
      <c r="E2130" s="140" t="str">
        <f>$M$1</f>
        <v>samuelbattista</v>
      </c>
      <c r="F2130" s="8">
        <f>IFERROR(AVERAGE(Data[[#This Row],[alappatjoe]:[currydestroyer27]]), "TBD")</f>
        <v>2.2000000000000002</v>
      </c>
      <c r="G2130" s="177">
        <f>IFERROR(_xlfn.STDEV.P(Data[[#This Row],[alappatjoe]:[currydestroyer27]]), "TBD")</f>
        <v>1.4696938456699069</v>
      </c>
      <c r="H2130" s="135" t="s">
        <v>4021</v>
      </c>
      <c r="I2130" s="229" t="s">
        <v>948</v>
      </c>
      <c r="J2130" s="3">
        <v>5</v>
      </c>
      <c r="K2130" s="3">
        <v>1</v>
      </c>
      <c r="L2130" s="3">
        <v>2</v>
      </c>
      <c r="M2130" s="3">
        <v>1</v>
      </c>
      <c r="N2130" s="3">
        <v>2</v>
      </c>
      <c r="O2130" s="238"/>
      <c r="P2130" s="93"/>
      <c r="Q2130" s="93"/>
      <c r="R213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30" s="93">
        <v>1</v>
      </c>
      <c r="T2130" s="93" t="b">
        <f>Data[[#This Row],[Day Rank]]=Data[[#This Row],[W Rank]]</f>
        <v>0</v>
      </c>
      <c r="U2130" s="323"/>
    </row>
    <row r="2131" spans="1:21" ht="15" customHeight="1" thickBot="1">
      <c r="A2131" s="327"/>
      <c r="B2131" s="327"/>
      <c r="C2131" s="330"/>
      <c r="D2131" s="164">
        <f>D2127</f>
        <v>46230</v>
      </c>
      <c r="E2131" s="215" t="str">
        <f>$N$1</f>
        <v>currydestroyer27</v>
      </c>
      <c r="F2131" s="165">
        <f>IFERROR(AVERAGE(Data[[#This Row],[alappatjoe]:[currydestroyer27]]), "TBD")</f>
        <v>3</v>
      </c>
      <c r="G2131" s="256">
        <f>IFERROR(_xlfn.STDEV.P(Data[[#This Row],[alappatjoe]:[currydestroyer27]]), "TBD")</f>
        <v>1.4142135623730951</v>
      </c>
      <c r="H2131" s="227" t="s">
        <v>4022</v>
      </c>
      <c r="I2131" s="257" t="s">
        <v>1554</v>
      </c>
      <c r="J2131" s="166">
        <v>3</v>
      </c>
      <c r="K2131" s="166">
        <v>2</v>
      </c>
      <c r="L2131" s="166">
        <v>4</v>
      </c>
      <c r="M2131" s="166">
        <v>5</v>
      </c>
      <c r="N2131" s="166">
        <v>1</v>
      </c>
      <c r="O2131" s="242">
        <v>44229572</v>
      </c>
      <c r="P2131" s="167"/>
      <c r="Q2131" s="167"/>
      <c r="R213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31" s="167">
        <v>1</v>
      </c>
      <c r="T2131" s="167" t="b">
        <f>Data[[#This Row],[Day Rank]]=Data[[#This Row],[W Rank]]</f>
        <v>0</v>
      </c>
      <c r="U2131" s="324"/>
    </row>
    <row r="2132" spans="1:21" ht="15" customHeight="1">
      <c r="A2132" s="325">
        <v>46231</v>
      </c>
      <c r="B2132" s="325"/>
      <c r="C2132" s="338" t="str" cm="1">
        <f t="array" ref="C2132">_xlfn.LET(_xlpm.matches, _xlfn._xlws.FILTER(Data[Poster], (Data[Date]=A2132)*(Data[Winner]=TRUE)), IF(ROWS(_xlpm.matches)&gt;1, "TIE", _xlpm.matches))</f>
        <v>alappatjoe</v>
      </c>
      <c r="D2132" s="147">
        <f>A2132</f>
        <v>46231</v>
      </c>
      <c r="E2132" s="181" t="str">
        <f>$J$1</f>
        <v>alappatjoe</v>
      </c>
      <c r="F2132" s="9">
        <f>IFERROR(AVERAGE(Data[[#This Row],[alappatjoe]:[currydestroyer27]]), "TBD")</f>
        <v>2.8</v>
      </c>
      <c r="G2132" s="178">
        <f>IFERROR(_xlfn.STDEV.P(Data[[#This Row],[alappatjoe]:[currydestroyer27]]), "TBD")</f>
        <v>1.1661903789690602</v>
      </c>
      <c r="H2132" s="160" t="s">
        <v>4023</v>
      </c>
      <c r="I2132" s="186" t="s">
        <v>4024</v>
      </c>
      <c r="J2132" s="3">
        <v>1</v>
      </c>
      <c r="K2132" s="3">
        <v>4</v>
      </c>
      <c r="L2132" s="3">
        <v>3</v>
      </c>
      <c r="M2132" s="3">
        <v>4</v>
      </c>
      <c r="N2132" s="3">
        <v>2</v>
      </c>
      <c r="O2132" s="238">
        <v>1799573</v>
      </c>
      <c r="P2132" s="93"/>
      <c r="Q2132" s="93"/>
      <c r="R213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32" s="93">
        <v>1</v>
      </c>
      <c r="T2132" s="93" t="b">
        <f>Data[[#This Row],[Day Rank]]=Data[[#This Row],[W Rank]]</f>
        <v>1</v>
      </c>
      <c r="U2132" s="322"/>
    </row>
    <row r="2133" spans="1:21" ht="15" customHeight="1">
      <c r="A2133" s="326"/>
      <c r="B2133" s="326"/>
      <c r="C2133" s="339"/>
      <c r="D2133" s="81">
        <f>D2132</f>
        <v>46231</v>
      </c>
      <c r="E2133" s="140" t="str">
        <f>$K$1</f>
        <v>danram</v>
      </c>
      <c r="F2133" s="8">
        <f>IFERROR(AVERAGE(Data[[#This Row],[alappatjoe]:[currydestroyer27]]), "TBD")</f>
        <v>3</v>
      </c>
      <c r="G2133" s="177">
        <f>IFERROR(_xlfn.STDEV.P(Data[[#This Row],[alappatjoe]:[currydestroyer27]]), "TBD")</f>
        <v>1.0954451150103321</v>
      </c>
      <c r="H2133" s="135" t="s">
        <v>4025</v>
      </c>
      <c r="I2133" s="229" t="s">
        <v>4026</v>
      </c>
      <c r="J2133" s="3">
        <v>4</v>
      </c>
      <c r="K2133" s="3">
        <v>1</v>
      </c>
      <c r="L2133" s="3">
        <v>4</v>
      </c>
      <c r="M2133" s="3">
        <v>3</v>
      </c>
      <c r="N2133" s="3">
        <v>3</v>
      </c>
      <c r="O2133" s="238"/>
      <c r="P2133" s="93"/>
      <c r="Q2133" s="93"/>
      <c r="R213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33" s="93">
        <v>1</v>
      </c>
      <c r="T2133" s="93" t="b">
        <f>Data[[#This Row],[Day Rank]]=Data[[#This Row],[W Rank]]</f>
        <v>0</v>
      </c>
      <c r="U2133" s="323"/>
    </row>
    <row r="2134" spans="1:21" ht="15" customHeight="1">
      <c r="A2134" s="326"/>
      <c r="B2134" s="326"/>
      <c r="C2134" s="339"/>
      <c r="D2134" s="81">
        <f>D2132</f>
        <v>46231</v>
      </c>
      <c r="E2134" s="140" t="str">
        <f>$L$1</f>
        <v>loganworsdell</v>
      </c>
      <c r="F2134" s="8">
        <f>IFERROR(AVERAGE(Data[[#This Row],[alappatjoe]:[currydestroyer27]]), "TBD")</f>
        <v>2.8</v>
      </c>
      <c r="G2134" s="177">
        <f>IFERROR(_xlfn.STDEV.P(Data[[#This Row],[alappatjoe]:[currydestroyer27]]), "TBD")</f>
        <v>1.3266499161421599</v>
      </c>
      <c r="H2134" s="135" t="s">
        <v>4027</v>
      </c>
      <c r="I2134" s="229" t="s">
        <v>4028</v>
      </c>
      <c r="J2134" s="3">
        <v>3</v>
      </c>
      <c r="K2134" s="3">
        <v>3</v>
      </c>
      <c r="L2134" s="3">
        <v>2</v>
      </c>
      <c r="M2134" s="3">
        <v>5</v>
      </c>
      <c r="N2134" s="3">
        <v>1</v>
      </c>
      <c r="O2134" s="238">
        <v>23864549</v>
      </c>
      <c r="P2134" s="93"/>
      <c r="Q2134" s="93"/>
      <c r="R213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34" s="93">
        <v>1</v>
      </c>
      <c r="T2134" s="93" t="b">
        <f>Data[[#This Row],[Day Rank]]=Data[[#This Row],[W Rank]]</f>
        <v>0</v>
      </c>
      <c r="U2134" s="323"/>
    </row>
    <row r="2135" spans="1:21" ht="15" customHeight="1">
      <c r="A2135" s="326"/>
      <c r="B2135" s="326"/>
      <c r="C2135" s="339"/>
      <c r="D2135" s="81">
        <f>D2132</f>
        <v>46231</v>
      </c>
      <c r="E2135" s="140" t="str">
        <f>$M$1</f>
        <v>samuelbattista</v>
      </c>
      <c r="F2135" s="8">
        <f>IFERROR(AVERAGE(Data[[#This Row],[alappatjoe]:[currydestroyer27]]), "TBD")</f>
        <v>2.8</v>
      </c>
      <c r="G2135" s="177">
        <f>IFERROR(_xlfn.STDEV.P(Data[[#This Row],[alappatjoe]:[currydestroyer27]]), "TBD")</f>
        <v>1.833030277982336</v>
      </c>
      <c r="H2135" s="135" t="s">
        <v>4029</v>
      </c>
      <c r="I2135" s="229" t="s">
        <v>4030</v>
      </c>
      <c r="J2135" s="3">
        <v>5</v>
      </c>
      <c r="K2135" s="3">
        <v>2</v>
      </c>
      <c r="L2135" s="3">
        <v>1</v>
      </c>
      <c r="M2135" s="3">
        <v>1</v>
      </c>
      <c r="N2135" s="3">
        <v>5</v>
      </c>
      <c r="O2135" s="238"/>
      <c r="P2135" s="93"/>
      <c r="Q2135" s="93"/>
      <c r="R213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35" s="93">
        <v>1</v>
      </c>
      <c r="T2135" s="93" t="b">
        <f>Data[[#This Row],[Day Rank]]=Data[[#This Row],[W Rank]]</f>
        <v>0</v>
      </c>
      <c r="U2135" s="323"/>
    </row>
    <row r="2136" spans="1:21" ht="15" customHeight="1" thickBot="1">
      <c r="A2136" s="327"/>
      <c r="B2136" s="327"/>
      <c r="C2136" s="340"/>
      <c r="D2136" s="164">
        <f>D2132</f>
        <v>46231</v>
      </c>
      <c r="E2136" s="215" t="str">
        <f>$N$1</f>
        <v>currydestroyer27</v>
      </c>
      <c r="F2136" s="165">
        <f>IFERROR(AVERAGE(Data[[#This Row],[alappatjoe]:[currydestroyer27]]), "TBD")</f>
        <v>3.6</v>
      </c>
      <c r="G2136" s="256">
        <f>IFERROR(_xlfn.STDEV.P(Data[[#This Row],[alappatjoe]:[currydestroyer27]]), "TBD")</f>
        <v>1.3564659966250536</v>
      </c>
      <c r="H2136" s="227" t="s">
        <v>4031</v>
      </c>
      <c r="I2136" s="257" t="s">
        <v>4032</v>
      </c>
      <c r="J2136" s="166">
        <v>2</v>
      </c>
      <c r="K2136" s="166">
        <v>5</v>
      </c>
      <c r="L2136" s="166">
        <v>5</v>
      </c>
      <c r="M2136" s="166">
        <v>2</v>
      </c>
      <c r="N2136" s="166">
        <v>4</v>
      </c>
      <c r="O2136" s="242">
        <v>8550204</v>
      </c>
      <c r="P2136" s="167"/>
      <c r="Q2136" s="167"/>
      <c r="R213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36" s="167">
        <v>1</v>
      </c>
      <c r="T2136" s="167" t="b">
        <f>Data[[#This Row],[Day Rank]]=Data[[#This Row],[W Rank]]</f>
        <v>0</v>
      </c>
      <c r="U2136" s="324"/>
    </row>
    <row r="2137" spans="1:21" ht="15" customHeight="1">
      <c r="A2137" s="325">
        <v>46232</v>
      </c>
      <c r="B2137" s="325"/>
      <c r="C2137" s="328" t="str" cm="1">
        <f t="array" ref="C2137">_xlfn.LET(_xlpm.matches, _xlfn._xlws.FILTER(Data[Poster], (Data[Date]=A2137)*(Data[Winner]=TRUE)), IF(ROWS(_xlpm.matches)&gt;1, "TIE", _xlpm.matches))</f>
        <v>loganworsdell</v>
      </c>
      <c r="D2137" s="147">
        <f>A2137</f>
        <v>46232</v>
      </c>
      <c r="E2137" s="181" t="str">
        <f>$J$1</f>
        <v>alappatjoe</v>
      </c>
      <c r="F2137" s="9">
        <f>IFERROR(AVERAGE(Data[[#This Row],[alappatjoe]:[currydestroyer27]]), "TBD")</f>
        <v>3</v>
      </c>
      <c r="G2137" s="178">
        <f>IFERROR(_xlfn.STDEV.P(Data[[#This Row],[alappatjoe]:[currydestroyer27]]), "TBD")</f>
        <v>1.2649110640673518</v>
      </c>
      <c r="H2137" s="160" t="s">
        <v>4033</v>
      </c>
      <c r="I2137" s="186" t="s">
        <v>4034</v>
      </c>
      <c r="J2137" s="3">
        <v>1</v>
      </c>
      <c r="K2137" s="3">
        <v>4</v>
      </c>
      <c r="L2137" s="3">
        <v>4</v>
      </c>
      <c r="M2137" s="3">
        <v>4</v>
      </c>
      <c r="N2137" s="3">
        <v>2</v>
      </c>
      <c r="O2137" s="238">
        <v>310686</v>
      </c>
      <c r="P2137" s="93"/>
      <c r="Q2137" s="93"/>
      <c r="R213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37" s="93">
        <v>1</v>
      </c>
      <c r="T2137" s="93" t="b">
        <f>Data[[#This Row],[Day Rank]]=Data[[#This Row],[W Rank]]</f>
        <v>0</v>
      </c>
      <c r="U2137" s="322"/>
    </row>
    <row r="2138" spans="1:21" ht="15" customHeight="1">
      <c r="A2138" s="326"/>
      <c r="B2138" s="326"/>
      <c r="C2138" s="329"/>
      <c r="D2138" s="81">
        <f>D2137</f>
        <v>46232</v>
      </c>
      <c r="E2138" s="140" t="str">
        <f>$K$1</f>
        <v>danram</v>
      </c>
      <c r="F2138" s="8">
        <f>IFERROR(AVERAGE(Data[[#This Row],[alappatjoe]:[currydestroyer27]]), "TBD")</f>
        <v>3.2</v>
      </c>
      <c r="G2138" s="177">
        <f>IFERROR(_xlfn.STDEV.P(Data[[#This Row],[alappatjoe]:[currydestroyer27]]), "TBD")</f>
        <v>1.4696938456699069</v>
      </c>
      <c r="H2138" s="135" t="s">
        <v>4035</v>
      </c>
      <c r="I2138" s="229" t="s">
        <v>4036</v>
      </c>
      <c r="J2138" s="3">
        <v>2</v>
      </c>
      <c r="K2138" s="3">
        <v>2</v>
      </c>
      <c r="L2138" s="3">
        <v>5</v>
      </c>
      <c r="M2138" s="3">
        <v>2</v>
      </c>
      <c r="N2138" s="3">
        <v>5</v>
      </c>
      <c r="O2138" s="238"/>
      <c r="P2138" s="93"/>
      <c r="Q2138" s="93"/>
      <c r="R213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38" s="93">
        <v>1</v>
      </c>
      <c r="T2138" s="93" t="b">
        <f>Data[[#This Row],[Day Rank]]=Data[[#This Row],[W Rank]]</f>
        <v>0</v>
      </c>
      <c r="U2138" s="323"/>
    </row>
    <row r="2139" spans="1:21" ht="15" customHeight="1">
      <c r="A2139" s="326"/>
      <c r="B2139" s="326"/>
      <c r="C2139" s="329"/>
      <c r="D2139" s="81">
        <f>D2137</f>
        <v>46232</v>
      </c>
      <c r="E2139" s="140" t="str">
        <f>$L$1</f>
        <v>loganworsdell</v>
      </c>
      <c r="F2139" s="8">
        <f>IFERROR(AVERAGE(Data[[#This Row],[alappatjoe]:[currydestroyer27]]), "TBD")</f>
        <v>1.8</v>
      </c>
      <c r="G2139" s="177">
        <f>IFERROR(_xlfn.STDEV.P(Data[[#This Row],[alappatjoe]:[currydestroyer27]]), "TBD")</f>
        <v>0.9797958971132712</v>
      </c>
      <c r="H2139" s="135" t="s">
        <v>4037</v>
      </c>
      <c r="I2139" s="229" t="s">
        <v>4038</v>
      </c>
      <c r="J2139" s="3">
        <v>3</v>
      </c>
      <c r="K2139" s="3">
        <v>1</v>
      </c>
      <c r="L2139" s="3">
        <v>1</v>
      </c>
      <c r="M2139" s="3">
        <v>1</v>
      </c>
      <c r="N2139" s="3">
        <v>3</v>
      </c>
      <c r="O2139" s="238">
        <v>386378</v>
      </c>
      <c r="P2139" s="93"/>
      <c r="Q2139" s="93"/>
      <c r="R213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39" s="93">
        <v>1</v>
      </c>
      <c r="T2139" s="93" t="b">
        <f>Data[[#This Row],[Day Rank]]=Data[[#This Row],[W Rank]]</f>
        <v>1</v>
      </c>
      <c r="U2139" s="323"/>
    </row>
    <row r="2140" spans="1:21" ht="15" customHeight="1">
      <c r="A2140" s="326"/>
      <c r="B2140" s="326"/>
      <c r="C2140" s="329"/>
      <c r="D2140" s="81">
        <f>D2137</f>
        <v>46232</v>
      </c>
      <c r="E2140" s="140" t="str">
        <f>$M$1</f>
        <v>samuelbattista</v>
      </c>
      <c r="F2140" s="8">
        <f>IFERROR(AVERAGE(Data[[#This Row],[alappatjoe]:[currydestroyer27]]), "TBD")</f>
        <v>4</v>
      </c>
      <c r="G2140" s="177">
        <f>IFERROR(_xlfn.STDEV.P(Data[[#This Row],[alappatjoe]:[currydestroyer27]]), "TBD")</f>
        <v>0.89442719099991586</v>
      </c>
      <c r="H2140" s="135" t="s">
        <v>4039</v>
      </c>
      <c r="I2140" s="229" t="s">
        <v>2772</v>
      </c>
      <c r="J2140" s="3">
        <v>5</v>
      </c>
      <c r="K2140" s="3">
        <v>5</v>
      </c>
      <c r="L2140" s="3">
        <v>3</v>
      </c>
      <c r="M2140" s="3">
        <v>3</v>
      </c>
      <c r="N2140" s="3">
        <v>4</v>
      </c>
      <c r="O2140" s="238"/>
      <c r="P2140" s="93"/>
      <c r="Q2140" s="93"/>
      <c r="R214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40" s="93">
        <v>1</v>
      </c>
      <c r="T2140" s="93" t="b">
        <f>Data[[#This Row],[Day Rank]]=Data[[#This Row],[W Rank]]</f>
        <v>0</v>
      </c>
      <c r="U2140" s="323"/>
    </row>
    <row r="2141" spans="1:21" ht="15" customHeight="1" thickBot="1">
      <c r="A2141" s="327"/>
      <c r="B2141" s="327"/>
      <c r="C2141" s="330"/>
      <c r="D2141" s="164">
        <f>D2137</f>
        <v>46232</v>
      </c>
      <c r="E2141" s="215" t="str">
        <f>$N$1</f>
        <v>currydestroyer27</v>
      </c>
      <c r="F2141" s="165">
        <f>IFERROR(AVERAGE(Data[[#This Row],[alappatjoe]:[currydestroyer27]]), "TBD")</f>
        <v>3</v>
      </c>
      <c r="G2141" s="256">
        <f>IFERROR(_xlfn.STDEV.P(Data[[#This Row],[alappatjoe]:[currydestroyer27]]), "TBD")</f>
        <v>1.4142135623730951</v>
      </c>
      <c r="H2141" s="227" t="s">
        <v>4040</v>
      </c>
      <c r="I2141" s="257" t="s">
        <v>4041</v>
      </c>
      <c r="J2141" s="166">
        <v>4</v>
      </c>
      <c r="K2141" s="166">
        <v>3</v>
      </c>
      <c r="L2141" s="166">
        <v>2</v>
      </c>
      <c r="M2141" s="166">
        <v>5</v>
      </c>
      <c r="N2141" s="166">
        <v>1</v>
      </c>
      <c r="O2141" s="242">
        <v>52587455</v>
      </c>
      <c r="P2141" s="167" t="s">
        <v>76</v>
      </c>
      <c r="Q2141" s="167" t="s">
        <v>99</v>
      </c>
      <c r="R214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41" s="167">
        <v>1</v>
      </c>
      <c r="T2141" s="167" t="b">
        <f>Data[[#This Row],[Day Rank]]=Data[[#This Row],[W Rank]]</f>
        <v>0</v>
      </c>
      <c r="U2141" s="324"/>
    </row>
    <row r="2142" spans="1:21" ht="15" customHeight="1">
      <c r="A2142" s="325">
        <v>46233</v>
      </c>
      <c r="B2142" s="325"/>
      <c r="C2142" s="338" t="str" cm="1">
        <f t="array" ref="C2142">_xlfn.LET(_xlpm.matches, _xlfn._xlws.FILTER(Data[Poster], (Data[Date]=A2142)*(Data[Winner]=TRUE)), IF(ROWS(_xlpm.matches)&gt;1, "TIE", _xlpm.matches))</f>
        <v>danram</v>
      </c>
      <c r="D2142" s="147">
        <f>A2142</f>
        <v>46233</v>
      </c>
      <c r="E2142" s="181" t="str">
        <f>$J$1</f>
        <v>alappatjoe</v>
      </c>
      <c r="F2142" s="9">
        <f>IFERROR(AVERAGE(Data[[#This Row],[alappatjoe]:[currydestroyer27]]), "TBD")</f>
        <v>2.8</v>
      </c>
      <c r="G2142" s="178">
        <f>IFERROR(_xlfn.STDEV.P(Data[[#This Row],[alappatjoe]:[currydestroyer27]]), "TBD")</f>
        <v>1.4696938456699069</v>
      </c>
      <c r="H2142" s="160" t="s">
        <v>4042</v>
      </c>
      <c r="I2142" s="186" t="s">
        <v>4043</v>
      </c>
      <c r="J2142" s="3">
        <v>1</v>
      </c>
      <c r="K2142" s="3">
        <v>4</v>
      </c>
      <c r="L2142" s="3">
        <v>1</v>
      </c>
      <c r="M2142" s="3">
        <v>4</v>
      </c>
      <c r="N2142" s="3">
        <v>4</v>
      </c>
      <c r="O2142" s="238">
        <v>772996134</v>
      </c>
      <c r="P2142" s="93"/>
      <c r="Q2142" s="93"/>
      <c r="R214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42" s="93">
        <v>1</v>
      </c>
      <c r="T2142" s="93" t="b">
        <f>Data[[#This Row],[Day Rank]]=Data[[#This Row],[W Rank]]</f>
        <v>0</v>
      </c>
      <c r="U2142" s="322" t="s">
        <v>4044</v>
      </c>
    </row>
    <row r="2143" spans="1:21" ht="15" customHeight="1">
      <c r="A2143" s="326"/>
      <c r="B2143" s="326"/>
      <c r="C2143" s="339"/>
      <c r="D2143" s="81">
        <f>D2142</f>
        <v>46233</v>
      </c>
      <c r="E2143" s="140" t="str">
        <f>$K$1</f>
        <v>danram</v>
      </c>
      <c r="F2143" s="8">
        <f>IFERROR(AVERAGE(Data[[#This Row],[alappatjoe]:[currydestroyer27]]), "TBD")</f>
        <v>2.2000000000000002</v>
      </c>
      <c r="G2143" s="177">
        <f>IFERROR(_xlfn.STDEV.P(Data[[#This Row],[alappatjoe]:[currydestroyer27]]), "TBD")</f>
        <v>1.1661903789690602</v>
      </c>
      <c r="H2143" s="135" t="s">
        <v>4045</v>
      </c>
      <c r="I2143" s="229" t="s">
        <v>4046</v>
      </c>
      <c r="J2143" s="3">
        <v>4</v>
      </c>
      <c r="K2143" s="3">
        <v>1</v>
      </c>
      <c r="L2143" s="3">
        <v>3</v>
      </c>
      <c r="M2143" s="3">
        <v>1</v>
      </c>
      <c r="N2143" s="3">
        <v>2</v>
      </c>
      <c r="O2143" s="238"/>
      <c r="P2143" s="93"/>
      <c r="Q2143" s="93"/>
      <c r="R214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43" s="93">
        <v>1</v>
      </c>
      <c r="T2143" s="93" t="b">
        <f>Data[[#This Row],[Day Rank]]=Data[[#This Row],[W Rank]]</f>
        <v>1</v>
      </c>
      <c r="U2143" s="323"/>
    </row>
    <row r="2144" spans="1:21" ht="15" customHeight="1">
      <c r="A2144" s="326"/>
      <c r="B2144" s="326"/>
      <c r="C2144" s="339"/>
      <c r="D2144" s="81">
        <f>D2142</f>
        <v>46233</v>
      </c>
      <c r="E2144" s="140" t="str">
        <f>$L$1</f>
        <v>loganworsdell</v>
      </c>
      <c r="F2144" s="8">
        <f>IFERROR(AVERAGE(Data[[#This Row],[alappatjoe]:[currydestroyer27]]), "TBD")</f>
        <v>3.6</v>
      </c>
      <c r="G2144" s="177">
        <f>IFERROR(_xlfn.STDEV.P(Data[[#This Row],[alappatjoe]:[currydestroyer27]]), "TBD")</f>
        <v>1.4966629547095767</v>
      </c>
      <c r="H2144" s="135" t="s">
        <v>4047</v>
      </c>
      <c r="I2144" s="229" t="s">
        <v>4048</v>
      </c>
      <c r="J2144" s="3">
        <v>3</v>
      </c>
      <c r="K2144" s="3">
        <v>5</v>
      </c>
      <c r="L2144" s="3">
        <v>4</v>
      </c>
      <c r="M2144" s="3">
        <v>5</v>
      </c>
      <c r="N2144" s="3">
        <v>1</v>
      </c>
      <c r="O2144" s="238">
        <v>3869670265</v>
      </c>
      <c r="P2144" s="93"/>
      <c r="Q2144" s="93"/>
      <c r="R214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44" s="93">
        <v>1</v>
      </c>
      <c r="T2144" s="93" t="b">
        <f>Data[[#This Row],[Day Rank]]=Data[[#This Row],[W Rank]]</f>
        <v>0</v>
      </c>
      <c r="U2144" s="323"/>
    </row>
    <row r="2145" spans="1:21" ht="15" customHeight="1">
      <c r="A2145" s="326"/>
      <c r="B2145" s="326"/>
      <c r="C2145" s="339"/>
      <c r="D2145" s="81">
        <f>D2142</f>
        <v>46233</v>
      </c>
      <c r="E2145" s="140" t="str">
        <f>$M$1</f>
        <v>samuelbattista</v>
      </c>
      <c r="F2145" s="8">
        <f>IFERROR(AVERAGE(Data[[#This Row],[alappatjoe]:[currydestroyer27]]), "TBD")</f>
        <v>3.2</v>
      </c>
      <c r="G2145" s="177">
        <f>IFERROR(_xlfn.STDEV.P(Data[[#This Row],[alappatjoe]:[currydestroyer27]]), "TBD")</f>
        <v>1.4696938456699069</v>
      </c>
      <c r="H2145" s="135" t="s">
        <v>4049</v>
      </c>
      <c r="I2145" s="229" t="s">
        <v>4050</v>
      </c>
      <c r="J2145" s="3">
        <v>5</v>
      </c>
      <c r="K2145" s="3">
        <v>2</v>
      </c>
      <c r="L2145" s="3">
        <v>2</v>
      </c>
      <c r="M2145" s="3">
        <v>2</v>
      </c>
      <c r="N2145" s="3">
        <v>5</v>
      </c>
      <c r="O2145" s="238"/>
      <c r="P2145" s="93"/>
      <c r="Q2145" s="93"/>
      <c r="R214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45" s="93">
        <v>1</v>
      </c>
      <c r="T2145" s="93" t="b">
        <f>Data[[#This Row],[Day Rank]]=Data[[#This Row],[W Rank]]</f>
        <v>0</v>
      </c>
      <c r="U2145" s="323"/>
    </row>
    <row r="2146" spans="1:21" ht="15" customHeight="1" thickBot="1">
      <c r="A2146" s="327"/>
      <c r="B2146" s="327"/>
      <c r="C2146" s="340"/>
      <c r="D2146" s="164">
        <f>D2142</f>
        <v>46233</v>
      </c>
      <c r="E2146" s="215" t="str">
        <f>$N$1</f>
        <v>currydestroyer27</v>
      </c>
      <c r="F2146" s="165">
        <f>IFERROR(AVERAGE(Data[[#This Row],[alappatjoe]:[currydestroyer27]]), "TBD")</f>
        <v>3.2</v>
      </c>
      <c r="G2146" s="256">
        <f>IFERROR(_xlfn.STDEV.P(Data[[#This Row],[alappatjoe]:[currydestroyer27]]), "TBD")</f>
        <v>0.9797958971132712</v>
      </c>
      <c r="H2146" s="227" t="s">
        <v>4051</v>
      </c>
      <c r="I2146" s="257" t="s">
        <v>1171</v>
      </c>
      <c r="J2146" s="166">
        <v>2</v>
      </c>
      <c r="K2146" s="166">
        <v>3</v>
      </c>
      <c r="L2146" s="166">
        <v>5</v>
      </c>
      <c r="M2146" s="166">
        <v>3</v>
      </c>
      <c r="N2146" s="166">
        <v>3</v>
      </c>
      <c r="O2146" s="242">
        <v>183832266</v>
      </c>
      <c r="P2146" s="167" t="s">
        <v>76</v>
      </c>
      <c r="Q2146" s="167" t="s">
        <v>96</v>
      </c>
      <c r="R214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46" s="167">
        <v>1</v>
      </c>
      <c r="T2146" s="167" t="b">
        <f>Data[[#This Row],[Day Rank]]=Data[[#This Row],[W Rank]]</f>
        <v>0</v>
      </c>
      <c r="U2146" s="324"/>
    </row>
    <row r="2147" spans="1:21" ht="15" customHeight="1">
      <c r="A2147" s="325">
        <v>46237</v>
      </c>
      <c r="B2147" s="325"/>
      <c r="C2147" s="328" t="str" cm="1">
        <f t="array" ref="C2147">_xlfn.LET(_xlpm.matches, _xlfn._xlws.FILTER(Data[Poster], (Data[Date]=A2147)*(Data[Winner]=TRUE)), IF(ROWS(_xlpm.matches)&gt;1, "TIE", _xlpm.matches))</f>
        <v>loganworsdell</v>
      </c>
      <c r="D2147" s="147">
        <f>A2147</f>
        <v>46237</v>
      </c>
      <c r="E2147" s="181" t="str">
        <f>$J$1</f>
        <v>alappatjoe</v>
      </c>
      <c r="F2147" s="8">
        <f>IFERROR(AVERAGE(Data[[#This Row],[alappatjoe]:[currydestroyer27]]), "TBD")</f>
        <v>3.4</v>
      </c>
      <c r="G2147" s="177">
        <f>IFERROR(_xlfn.STDEV.P(Data[[#This Row],[alappatjoe]:[currydestroyer27]]), "TBD")</f>
        <v>0.8</v>
      </c>
      <c r="H2147" s="135" t="s">
        <v>4052</v>
      </c>
      <c r="I2147" s="229" t="s">
        <v>3468</v>
      </c>
      <c r="J2147" s="3">
        <v>2</v>
      </c>
      <c r="K2147" s="3">
        <v>3</v>
      </c>
      <c r="L2147" s="3">
        <v>4</v>
      </c>
      <c r="M2147" s="3">
        <v>4</v>
      </c>
      <c r="N2147" s="3">
        <v>4</v>
      </c>
      <c r="O2147" s="238">
        <v>2703373</v>
      </c>
      <c r="P2147" s="93"/>
      <c r="Q2147" s="93"/>
      <c r="R214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47" s="93">
        <v>1</v>
      </c>
      <c r="T2147" s="93" t="b">
        <f>Data[[#This Row],[Day Rank]]=Data[[#This Row],[W Rank]]</f>
        <v>0</v>
      </c>
      <c r="U2147" s="322"/>
    </row>
    <row r="2148" spans="1:21" ht="15" customHeight="1">
      <c r="A2148" s="326"/>
      <c r="B2148" s="326"/>
      <c r="C2148" s="329"/>
      <c r="D2148" s="81">
        <f>D2147</f>
        <v>46237</v>
      </c>
      <c r="E2148" s="140" t="str">
        <f>$K$1</f>
        <v>danram</v>
      </c>
      <c r="F2148" s="8">
        <f>IFERROR(AVERAGE(Data[[#This Row],[alappatjoe]:[currydestroyer27]]), "TBD")</f>
        <v>4.8</v>
      </c>
      <c r="G2148" s="177">
        <f>IFERROR(_xlfn.STDEV.P(Data[[#This Row],[alappatjoe]:[currydestroyer27]]), "TBD")</f>
        <v>0.39999999999999997</v>
      </c>
      <c r="H2148" s="288" t="s">
        <v>4053</v>
      </c>
      <c r="I2148" s="229" t="s">
        <v>4054</v>
      </c>
      <c r="J2148" s="3">
        <v>5</v>
      </c>
      <c r="K2148" s="3">
        <v>4</v>
      </c>
      <c r="L2148" s="3">
        <v>5</v>
      </c>
      <c r="M2148" s="3">
        <v>5</v>
      </c>
      <c r="N2148" s="3">
        <v>5</v>
      </c>
      <c r="O2148" s="238"/>
      <c r="P2148" s="93"/>
      <c r="Q2148" s="93"/>
      <c r="R214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48" s="93">
        <v>1</v>
      </c>
      <c r="T2148" s="93" t="b">
        <f>Data[[#This Row],[Day Rank]]=Data[[#This Row],[W Rank]]</f>
        <v>0</v>
      </c>
      <c r="U2148" s="323"/>
    </row>
    <row r="2149" spans="1:21" ht="15" customHeight="1">
      <c r="A2149" s="326"/>
      <c r="B2149" s="326"/>
      <c r="C2149" s="329"/>
      <c r="D2149" s="81">
        <f>D2147</f>
        <v>46237</v>
      </c>
      <c r="E2149" s="140" t="str">
        <f>$L$1</f>
        <v>loganworsdell</v>
      </c>
      <c r="F2149" s="8">
        <f>IFERROR(AVERAGE(Data[[#This Row],[alappatjoe]:[currydestroyer27]]), "TBD")</f>
        <v>1.8</v>
      </c>
      <c r="G2149" s="177">
        <f>IFERROR(_xlfn.STDEV.P(Data[[#This Row],[alappatjoe]:[currydestroyer27]]), "TBD")</f>
        <v>0.74833147735478833</v>
      </c>
      <c r="H2149" s="135" t="s">
        <v>4055</v>
      </c>
      <c r="I2149" s="229" t="s">
        <v>3689</v>
      </c>
      <c r="J2149" s="3">
        <v>1</v>
      </c>
      <c r="K2149" s="3">
        <v>2</v>
      </c>
      <c r="L2149" s="3">
        <v>1</v>
      </c>
      <c r="M2149" s="3">
        <v>3</v>
      </c>
      <c r="N2149" s="3">
        <v>2</v>
      </c>
      <c r="O2149" s="238">
        <v>918673</v>
      </c>
      <c r="P2149" s="93"/>
      <c r="Q2149" s="93"/>
      <c r="R214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49" s="93">
        <v>1</v>
      </c>
      <c r="T2149" s="93" t="b">
        <f>Data[[#This Row],[Day Rank]]=Data[[#This Row],[W Rank]]</f>
        <v>1</v>
      </c>
      <c r="U2149" s="323"/>
    </row>
    <row r="2150" spans="1:21" ht="15" customHeight="1">
      <c r="A2150" s="326"/>
      <c r="B2150" s="326"/>
      <c r="C2150" s="329"/>
      <c r="D2150" s="81">
        <f>D2147</f>
        <v>46237</v>
      </c>
      <c r="E2150" s="140" t="str">
        <f>$M$1</f>
        <v>samuelbattista</v>
      </c>
      <c r="F2150" s="8">
        <f>IFERROR(AVERAGE(Data[[#This Row],[alappatjoe]:[currydestroyer27]]), "TBD")</f>
        <v>2.8</v>
      </c>
      <c r="G2150" s="177">
        <f>IFERROR(_xlfn.STDEV.P(Data[[#This Row],[alappatjoe]:[currydestroyer27]]), "TBD")</f>
        <v>1.6</v>
      </c>
      <c r="H2150" s="135" t="s">
        <v>4056</v>
      </c>
      <c r="I2150" s="229" t="s">
        <v>4057</v>
      </c>
      <c r="J2150" s="3">
        <v>4</v>
      </c>
      <c r="K2150" s="3">
        <v>5</v>
      </c>
      <c r="L2150" s="3">
        <v>3</v>
      </c>
      <c r="M2150" s="3">
        <v>1</v>
      </c>
      <c r="N2150" s="3">
        <v>1</v>
      </c>
      <c r="O2150" s="238"/>
      <c r="P2150" s="93"/>
      <c r="Q2150" s="93"/>
      <c r="R215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50" s="93">
        <v>1</v>
      </c>
      <c r="T2150" s="93" t="b">
        <f>Data[[#This Row],[Day Rank]]=Data[[#This Row],[W Rank]]</f>
        <v>0</v>
      </c>
      <c r="U2150" s="323"/>
    </row>
    <row r="2151" spans="1:21" ht="15" customHeight="1" thickBot="1">
      <c r="A2151" s="327"/>
      <c r="B2151" s="327"/>
      <c r="C2151" s="330"/>
      <c r="D2151" s="164">
        <f>D2147</f>
        <v>46237</v>
      </c>
      <c r="E2151" s="215" t="str">
        <f>$N$1</f>
        <v>currydestroyer27</v>
      </c>
      <c r="F2151" s="165">
        <f>IFERROR(AVERAGE(Data[[#This Row],[alappatjoe]:[currydestroyer27]]), "TBD")</f>
        <v>2.2000000000000002</v>
      </c>
      <c r="G2151" s="256">
        <f>IFERROR(_xlfn.STDEV.P(Data[[#This Row],[alappatjoe]:[currydestroyer27]]), "TBD")</f>
        <v>0.74833147735478833</v>
      </c>
      <c r="H2151" s="227" t="s">
        <v>4058</v>
      </c>
      <c r="I2151" s="257" t="s">
        <v>4059</v>
      </c>
      <c r="J2151" s="166">
        <v>3</v>
      </c>
      <c r="K2151" s="166">
        <v>1</v>
      </c>
      <c r="L2151" s="166">
        <v>2</v>
      </c>
      <c r="M2151" s="166">
        <v>2</v>
      </c>
      <c r="N2151" s="166">
        <v>3</v>
      </c>
      <c r="O2151" s="242">
        <v>214861397</v>
      </c>
      <c r="P2151" s="167"/>
      <c r="Q2151" s="167"/>
      <c r="R215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51" s="167">
        <v>1</v>
      </c>
      <c r="T2151" s="167" t="b">
        <f>Data[[#This Row],[Day Rank]]=Data[[#This Row],[W Rank]]</f>
        <v>0</v>
      </c>
      <c r="U2151" s="324"/>
    </row>
    <row r="2152" spans="1:21" ht="15" customHeight="1">
      <c r="A2152" s="325">
        <v>46238</v>
      </c>
      <c r="B2152" s="325"/>
      <c r="C2152" s="338" t="str" cm="1">
        <f t="array" ref="C2152">_xlfn.LET(_xlpm.matches, _xlfn._xlws.FILTER(Data[Poster], (Data[Date]=A2152)*(Data[Winner]=TRUE)), IF(ROWS(_xlpm.matches)&gt;1, "TIE", _xlpm.matches))</f>
        <v>danram</v>
      </c>
      <c r="D2152" s="147">
        <f>A2152</f>
        <v>46238</v>
      </c>
      <c r="E2152" s="181" t="str">
        <f>$J$1</f>
        <v>alappatjoe</v>
      </c>
      <c r="F2152" s="9">
        <f>IFERROR(AVERAGE(Data[[#This Row],[alappatjoe]:[currydestroyer27]]), "TBD")</f>
        <v>3.2</v>
      </c>
      <c r="G2152" s="178">
        <f>IFERROR(_xlfn.STDEV.P(Data[[#This Row],[alappatjoe]:[currydestroyer27]]), "TBD")</f>
        <v>1.4696938456699069</v>
      </c>
      <c r="H2152" s="160" t="s">
        <v>4060</v>
      </c>
      <c r="I2152" s="186" t="s">
        <v>504</v>
      </c>
      <c r="J2152" s="3">
        <v>1</v>
      </c>
      <c r="K2152" s="3">
        <v>4</v>
      </c>
      <c r="L2152" s="3">
        <v>5</v>
      </c>
      <c r="M2152" s="3">
        <v>4</v>
      </c>
      <c r="N2152" s="3">
        <v>2</v>
      </c>
      <c r="O2152" s="238">
        <v>22667441</v>
      </c>
      <c r="P2152" s="93"/>
      <c r="Q2152" s="93"/>
      <c r="R215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52" s="93">
        <v>1</v>
      </c>
      <c r="T2152" s="93" t="b">
        <f>Data[[#This Row],[Day Rank]]=Data[[#This Row],[W Rank]]</f>
        <v>0</v>
      </c>
      <c r="U2152" s="322"/>
    </row>
    <row r="2153" spans="1:21" ht="15" customHeight="1">
      <c r="A2153" s="326"/>
      <c r="B2153" s="326"/>
      <c r="C2153" s="339"/>
      <c r="D2153" s="81">
        <f>D2152</f>
        <v>46238</v>
      </c>
      <c r="E2153" s="140" t="str">
        <f>$K$1</f>
        <v>danram</v>
      </c>
      <c r="F2153" s="8">
        <f>IFERROR(AVERAGE(Data[[#This Row],[alappatjoe]:[currydestroyer27]]), "TBD")</f>
        <v>2.2000000000000002</v>
      </c>
      <c r="G2153" s="177">
        <f>IFERROR(_xlfn.STDEV.P(Data[[#This Row],[alappatjoe]:[currydestroyer27]]), "TBD")</f>
        <v>1.1661903789690602</v>
      </c>
      <c r="H2153" s="135" t="s">
        <v>4061</v>
      </c>
      <c r="I2153" s="229" t="s">
        <v>4062</v>
      </c>
      <c r="J2153" s="3">
        <v>4</v>
      </c>
      <c r="K2153" s="3">
        <v>1</v>
      </c>
      <c r="L2153" s="3">
        <v>2</v>
      </c>
      <c r="M2153" s="3">
        <v>1</v>
      </c>
      <c r="N2153" s="3">
        <v>3</v>
      </c>
      <c r="O2153" s="238"/>
      <c r="P2153" s="93"/>
      <c r="Q2153" s="93"/>
      <c r="R215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53" s="93">
        <v>1</v>
      </c>
      <c r="T2153" s="93" t="b">
        <f>Data[[#This Row],[Day Rank]]=Data[[#This Row],[W Rank]]</f>
        <v>1</v>
      </c>
      <c r="U2153" s="323"/>
    </row>
    <row r="2154" spans="1:21" ht="15" customHeight="1">
      <c r="A2154" s="326"/>
      <c r="B2154" s="326"/>
      <c r="C2154" s="339"/>
      <c r="D2154" s="81">
        <f>D2152</f>
        <v>46238</v>
      </c>
      <c r="E2154" s="140" t="str">
        <f>$L$1</f>
        <v>loganworsdell</v>
      </c>
      <c r="F2154" s="8">
        <f>IFERROR(AVERAGE(Data[[#This Row],[alappatjoe]:[currydestroyer27]]), "TBD")</f>
        <v>2.6</v>
      </c>
      <c r="G2154" s="177">
        <f>IFERROR(_xlfn.STDEV.P(Data[[#This Row],[alappatjoe]:[currydestroyer27]]), "TBD")</f>
        <v>1.019803902718557</v>
      </c>
      <c r="H2154" s="135" t="s">
        <v>4063</v>
      </c>
      <c r="I2154" s="229" t="s">
        <v>4064</v>
      </c>
      <c r="J2154" s="3">
        <v>3</v>
      </c>
      <c r="K2154" s="3">
        <v>2</v>
      </c>
      <c r="L2154" s="3">
        <v>1</v>
      </c>
      <c r="M2154" s="3">
        <v>3</v>
      </c>
      <c r="N2154" s="3">
        <v>4</v>
      </c>
      <c r="O2154" s="238"/>
      <c r="P2154" s="93"/>
      <c r="Q2154" s="93"/>
      <c r="R215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54" s="93">
        <v>1</v>
      </c>
      <c r="T2154" s="93" t="b">
        <f>Data[[#This Row],[Day Rank]]=Data[[#This Row],[W Rank]]</f>
        <v>0</v>
      </c>
      <c r="U2154" s="323"/>
    </row>
    <row r="2155" spans="1:21" ht="15" customHeight="1">
      <c r="A2155" s="326"/>
      <c r="B2155" s="326"/>
      <c r="C2155" s="339"/>
      <c r="D2155" s="81">
        <f>D2152</f>
        <v>46238</v>
      </c>
      <c r="E2155" s="140" t="str">
        <f>$M$1</f>
        <v>samuelbattista</v>
      </c>
      <c r="F2155" s="8">
        <f>IFERROR(AVERAGE(Data[[#This Row],[alappatjoe]:[currydestroyer27]]), "TBD")</f>
        <v>3.6</v>
      </c>
      <c r="G2155" s="177">
        <f>IFERROR(_xlfn.STDEV.P(Data[[#This Row],[alappatjoe]:[currydestroyer27]]), "TBD")</f>
        <v>1.3564659966250536</v>
      </c>
      <c r="H2155" s="135" t="s">
        <v>4065</v>
      </c>
      <c r="I2155" s="229" t="s">
        <v>4066</v>
      </c>
      <c r="J2155" s="3">
        <v>2</v>
      </c>
      <c r="K2155" s="3">
        <v>5</v>
      </c>
      <c r="L2155" s="3">
        <v>4</v>
      </c>
      <c r="M2155" s="3">
        <v>2</v>
      </c>
      <c r="N2155" s="3">
        <v>5</v>
      </c>
      <c r="O2155" s="238"/>
      <c r="P2155" s="93"/>
      <c r="Q2155" s="93"/>
      <c r="R215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55" s="93">
        <v>1</v>
      </c>
      <c r="T2155" s="93" t="b">
        <f>Data[[#This Row],[Day Rank]]=Data[[#This Row],[W Rank]]</f>
        <v>0</v>
      </c>
      <c r="U2155" s="323"/>
    </row>
    <row r="2156" spans="1:21" ht="15" customHeight="1" thickBot="1">
      <c r="A2156" s="327"/>
      <c r="B2156" s="327"/>
      <c r="C2156" s="340"/>
      <c r="D2156" s="164">
        <f>D2152</f>
        <v>46238</v>
      </c>
      <c r="E2156" s="215" t="str">
        <f>$N$1</f>
        <v>currydestroyer27</v>
      </c>
      <c r="F2156" s="165">
        <f>IFERROR(AVERAGE(Data[[#This Row],[alappatjoe]:[currydestroyer27]]), "TBD")</f>
        <v>3.4</v>
      </c>
      <c r="G2156" s="256">
        <f>IFERROR(_xlfn.STDEV.P(Data[[#This Row],[alappatjoe]:[currydestroyer27]]), "TBD")</f>
        <v>1.4966629547095767</v>
      </c>
      <c r="H2156" s="227" t="s">
        <v>4067</v>
      </c>
      <c r="I2156" s="257" t="s">
        <v>2234</v>
      </c>
      <c r="J2156" s="166">
        <v>5</v>
      </c>
      <c r="K2156" s="166">
        <v>3</v>
      </c>
      <c r="L2156" s="166">
        <v>3</v>
      </c>
      <c r="M2156" s="166">
        <v>5</v>
      </c>
      <c r="N2156" s="166">
        <v>1</v>
      </c>
      <c r="O2156" s="242">
        <v>402735387</v>
      </c>
      <c r="P2156" s="167"/>
      <c r="Q2156" s="167"/>
      <c r="R215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56" s="167">
        <v>1</v>
      </c>
      <c r="T2156" s="167" t="b">
        <f>Data[[#This Row],[Day Rank]]=Data[[#This Row],[W Rank]]</f>
        <v>0</v>
      </c>
      <c r="U2156" s="324"/>
    </row>
    <row r="2157" spans="1:21" ht="15" customHeight="1">
      <c r="A2157" s="325">
        <v>46239</v>
      </c>
      <c r="B2157" s="325"/>
      <c r="C2157" s="328" t="str" cm="1">
        <f t="array" ref="C2157">_xlfn.LET(_xlpm.matches, _xlfn._xlws.FILTER(Data[Poster], (Data[Date]=A2157)*(Data[Winner]=TRUE)), IF(ROWS(_xlpm.matches)&gt;1, "TIE", _xlpm.matches))</f>
        <v>currydestroyer27</v>
      </c>
      <c r="D2157" s="147">
        <f>A2157</f>
        <v>46239</v>
      </c>
      <c r="E2157" s="181" t="str">
        <f>$J$1</f>
        <v>alappatjoe</v>
      </c>
      <c r="F2157" s="9">
        <f>IFERROR(AVERAGE(Data[[#This Row],[alappatjoe]:[currydestroyer27]]), "TBD")</f>
        <v>2.6</v>
      </c>
      <c r="G2157" s="178">
        <f>IFERROR(_xlfn.STDEV.P(Data[[#This Row],[alappatjoe]:[currydestroyer27]]), "TBD")</f>
        <v>1.019803902718557</v>
      </c>
      <c r="H2157" s="160" t="s">
        <v>4068</v>
      </c>
      <c r="I2157" s="186" t="s">
        <v>3056</v>
      </c>
      <c r="J2157" s="3">
        <v>1</v>
      </c>
      <c r="K2157" s="3">
        <v>4</v>
      </c>
      <c r="L2157" s="3">
        <v>2</v>
      </c>
      <c r="M2157" s="3">
        <v>3</v>
      </c>
      <c r="N2157" s="3">
        <v>3</v>
      </c>
      <c r="O2157" s="238">
        <v>76931</v>
      </c>
      <c r="P2157" s="93"/>
      <c r="Q2157" s="93"/>
      <c r="R215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57" s="93">
        <v>1</v>
      </c>
      <c r="T2157" s="93" t="b">
        <f>Data[[#This Row],[Day Rank]]=Data[[#This Row],[W Rank]]</f>
        <v>0</v>
      </c>
      <c r="U2157" s="322"/>
    </row>
    <row r="2158" spans="1:21" ht="15" customHeight="1">
      <c r="A2158" s="326"/>
      <c r="B2158" s="326"/>
      <c r="C2158" s="329"/>
      <c r="D2158" s="81">
        <f>D2157</f>
        <v>46239</v>
      </c>
      <c r="E2158" s="140" t="str">
        <f>$K$1</f>
        <v>danram</v>
      </c>
      <c r="F2158" s="8">
        <f>IFERROR(AVERAGE(Data[[#This Row],[alappatjoe]:[currydestroyer27]]), "TBD")</f>
        <v>5</v>
      </c>
      <c r="G2158" s="177">
        <f>IFERROR(_xlfn.STDEV.P(Data[[#This Row],[alappatjoe]:[currydestroyer27]]), "TBD")</f>
        <v>0</v>
      </c>
      <c r="H2158" s="135" t="s">
        <v>4069</v>
      </c>
      <c r="I2158" s="229" t="s">
        <v>1530</v>
      </c>
      <c r="J2158" s="3">
        <v>5</v>
      </c>
      <c r="K2158" s="3">
        <v>5</v>
      </c>
      <c r="L2158" s="3">
        <v>5</v>
      </c>
      <c r="M2158" s="3">
        <v>5</v>
      </c>
      <c r="N2158" s="3">
        <v>5</v>
      </c>
      <c r="O2158" s="238"/>
      <c r="P2158" s="93"/>
      <c r="Q2158" s="93"/>
      <c r="R215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58" s="93">
        <v>1</v>
      </c>
      <c r="T2158" s="93" t="b">
        <f>Data[[#This Row],[Day Rank]]=Data[[#This Row],[W Rank]]</f>
        <v>0</v>
      </c>
      <c r="U2158" s="323"/>
    </row>
    <row r="2159" spans="1:21" ht="15" customHeight="1">
      <c r="A2159" s="326"/>
      <c r="B2159" s="326"/>
      <c r="C2159" s="329"/>
      <c r="D2159" s="81">
        <f>D2157</f>
        <v>46239</v>
      </c>
      <c r="E2159" s="140" t="str">
        <f>$L$1</f>
        <v>loganworsdell</v>
      </c>
      <c r="F2159" s="8">
        <f>IFERROR(AVERAGE(Data[[#This Row],[alappatjoe]:[currydestroyer27]]), "TBD")</f>
        <v>3</v>
      </c>
      <c r="G2159" s="177">
        <f>IFERROR(_xlfn.STDEV.P(Data[[#This Row],[alappatjoe]:[currydestroyer27]]), "TBD")</f>
        <v>1.2649110640673518</v>
      </c>
      <c r="H2159" s="135" t="s">
        <v>4070</v>
      </c>
      <c r="I2159" s="229" t="s">
        <v>4071</v>
      </c>
      <c r="J2159" s="3">
        <v>4</v>
      </c>
      <c r="K2159" s="3">
        <v>2</v>
      </c>
      <c r="L2159" s="3">
        <v>1</v>
      </c>
      <c r="M2159" s="3">
        <v>4</v>
      </c>
      <c r="N2159" s="3">
        <v>4</v>
      </c>
      <c r="O2159" s="238">
        <v>39112976</v>
      </c>
      <c r="P2159" s="93"/>
      <c r="Q2159" s="93"/>
      <c r="R215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59" s="93">
        <v>1</v>
      </c>
      <c r="T2159" s="93" t="b">
        <f>Data[[#This Row],[Day Rank]]=Data[[#This Row],[W Rank]]</f>
        <v>0</v>
      </c>
      <c r="U2159" s="323"/>
    </row>
    <row r="2160" spans="1:21" ht="15" customHeight="1">
      <c r="A2160" s="326"/>
      <c r="B2160" s="326"/>
      <c r="C2160" s="329"/>
      <c r="D2160" s="81">
        <f>D2157</f>
        <v>46239</v>
      </c>
      <c r="E2160" s="140" t="str">
        <f>$M$1</f>
        <v>samuelbattista</v>
      </c>
      <c r="F2160" s="8">
        <f>IFERROR(AVERAGE(Data[[#This Row],[alappatjoe]:[currydestroyer27]]), "TBD")</f>
        <v>2.4</v>
      </c>
      <c r="G2160" s="177">
        <f>IFERROR(_xlfn.STDEV.P(Data[[#This Row],[alappatjoe]:[currydestroyer27]]), "TBD")</f>
        <v>1.019803902718557</v>
      </c>
      <c r="H2160" s="135" t="s">
        <v>4072</v>
      </c>
      <c r="I2160" s="229" t="s">
        <v>1106</v>
      </c>
      <c r="J2160" s="3">
        <v>2</v>
      </c>
      <c r="K2160" s="3">
        <v>3</v>
      </c>
      <c r="L2160" s="3">
        <v>4</v>
      </c>
      <c r="M2160" s="3">
        <v>1</v>
      </c>
      <c r="N2160" s="3">
        <v>2</v>
      </c>
      <c r="O2160" s="238"/>
      <c r="P2160" s="93"/>
      <c r="Q2160" s="93"/>
      <c r="R216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60" s="93">
        <v>1</v>
      </c>
      <c r="T2160" s="93" t="b">
        <f>Data[[#This Row],[Day Rank]]=Data[[#This Row],[W Rank]]</f>
        <v>0</v>
      </c>
      <c r="U2160" s="323"/>
    </row>
    <row r="2161" spans="1:21" ht="15" customHeight="1" thickBot="1">
      <c r="A2161" s="327"/>
      <c r="B2161" s="327"/>
      <c r="C2161" s="330"/>
      <c r="D2161" s="164">
        <f>D2157</f>
        <v>46239</v>
      </c>
      <c r="E2161" s="215" t="str">
        <f>$N$1</f>
        <v>currydestroyer27</v>
      </c>
      <c r="F2161" s="165">
        <f>IFERROR(AVERAGE(Data[[#This Row],[alappatjoe]:[currydestroyer27]]), "TBD")</f>
        <v>2</v>
      </c>
      <c r="G2161" s="256">
        <f>IFERROR(_xlfn.STDEV.P(Data[[#This Row],[alappatjoe]:[currydestroyer27]]), "TBD")</f>
        <v>0.89442719099991586</v>
      </c>
      <c r="H2161" s="227" t="s">
        <v>4073</v>
      </c>
      <c r="I2161" s="257" t="s">
        <v>4074</v>
      </c>
      <c r="J2161" s="166">
        <v>3</v>
      </c>
      <c r="K2161" s="166">
        <v>1</v>
      </c>
      <c r="L2161" s="166">
        <v>3</v>
      </c>
      <c r="M2161" s="166">
        <v>2</v>
      </c>
      <c r="N2161" s="166">
        <v>1</v>
      </c>
      <c r="O2161" s="242">
        <v>103468167</v>
      </c>
      <c r="P2161" s="167"/>
      <c r="Q2161" s="167"/>
      <c r="R216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61" s="167">
        <v>1</v>
      </c>
      <c r="T2161" s="167" t="b">
        <f>Data[[#This Row],[Day Rank]]=Data[[#This Row],[W Rank]]</f>
        <v>1</v>
      </c>
      <c r="U2161" s="324"/>
    </row>
    <row r="2162" spans="1:21" ht="15" customHeight="1">
      <c r="A2162" s="325">
        <v>46240</v>
      </c>
      <c r="B2162" s="325"/>
      <c r="C2162" s="338" t="str" cm="1">
        <f t="array" ref="C2162">_xlfn.LET(_xlpm.matches, _xlfn._xlws.FILTER(Data[Poster], (Data[Date]=A2162)*(Data[Winner]=TRUE)), IF(ROWS(_xlpm.matches)&gt;1, "TIE", _xlpm.matches))</f>
        <v>danram</v>
      </c>
      <c r="D2162" s="147">
        <f>A2162</f>
        <v>46240</v>
      </c>
      <c r="E2162" s="181" t="str">
        <f>$J$1</f>
        <v>alappatjoe</v>
      </c>
      <c r="F2162" s="9">
        <f>IFERROR(AVERAGE(Data[[#This Row],[alappatjoe]:[currydestroyer27]]), "TBD")</f>
        <v>2</v>
      </c>
      <c r="G2162" s="178">
        <f>IFERROR(_xlfn.STDEV.P(Data[[#This Row],[alappatjoe]:[currydestroyer27]]), "TBD")</f>
        <v>0.89442719099991586</v>
      </c>
      <c r="H2162" s="160" t="s">
        <v>4075</v>
      </c>
      <c r="I2162" s="186" t="s">
        <v>4076</v>
      </c>
      <c r="J2162" s="3">
        <v>1</v>
      </c>
      <c r="K2162" s="3">
        <v>3</v>
      </c>
      <c r="L2162" s="3">
        <v>1</v>
      </c>
      <c r="M2162" s="3">
        <v>3</v>
      </c>
      <c r="N2162" s="3">
        <v>2</v>
      </c>
      <c r="O2162" s="238">
        <v>311700573</v>
      </c>
      <c r="P2162" s="93"/>
      <c r="Q2162" s="93"/>
      <c r="R216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62" s="93">
        <v>1</v>
      </c>
      <c r="T2162" s="93" t="b">
        <f>Data[[#This Row],[Day Rank]]=Data[[#This Row],[W Rank]]</f>
        <v>0</v>
      </c>
      <c r="U2162" s="322" t="s">
        <v>4077</v>
      </c>
    </row>
    <row r="2163" spans="1:21" ht="15" customHeight="1">
      <c r="A2163" s="326"/>
      <c r="B2163" s="326"/>
      <c r="C2163" s="339"/>
      <c r="D2163" s="81">
        <f>D2162</f>
        <v>46240</v>
      </c>
      <c r="E2163" s="140" t="str">
        <f>$K$1</f>
        <v>danram</v>
      </c>
      <c r="F2163" s="8">
        <f>IFERROR(AVERAGE(Data[[#This Row],[alappatjoe]:[currydestroyer27]]), "TBD")</f>
        <v>1.6</v>
      </c>
      <c r="G2163" s="177">
        <f>IFERROR(_xlfn.STDEV.P(Data[[#This Row],[alappatjoe]:[currydestroyer27]]), "TBD")</f>
        <v>0.8</v>
      </c>
      <c r="H2163" s="135" t="s">
        <v>4078</v>
      </c>
      <c r="I2163" s="229" t="s">
        <v>1573</v>
      </c>
      <c r="J2163" s="3">
        <v>3</v>
      </c>
      <c r="K2163" s="3">
        <v>1</v>
      </c>
      <c r="L2163" s="3">
        <v>2</v>
      </c>
      <c r="M2163" s="3">
        <v>1</v>
      </c>
      <c r="N2163" s="3">
        <v>1</v>
      </c>
      <c r="O2163" s="238"/>
      <c r="P2163" s="93"/>
      <c r="Q2163" s="93"/>
      <c r="R216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63" s="93">
        <v>1</v>
      </c>
      <c r="T2163" s="93" t="b">
        <f>Data[[#This Row],[Day Rank]]=Data[[#This Row],[W Rank]]</f>
        <v>1</v>
      </c>
      <c r="U2163" s="323"/>
    </row>
    <row r="2164" spans="1:21" ht="15" customHeight="1">
      <c r="A2164" s="326"/>
      <c r="B2164" s="326"/>
      <c r="C2164" s="339"/>
      <c r="D2164" s="81">
        <f>D2162</f>
        <v>46240</v>
      </c>
      <c r="E2164" s="140" t="str">
        <f>$L$1</f>
        <v>loganworsdell</v>
      </c>
      <c r="F2164" s="8">
        <f>IFERROR(AVERAGE(Data[[#This Row],[alappatjoe]:[currydestroyer27]]), "TBD")</f>
        <v>3.6</v>
      </c>
      <c r="G2164" s="177">
        <f>IFERROR(_xlfn.STDEV.P(Data[[#This Row],[alappatjoe]:[currydestroyer27]]), "TBD")</f>
        <v>1.2</v>
      </c>
      <c r="H2164" s="135" t="s">
        <v>4079</v>
      </c>
      <c r="I2164" s="229" t="s">
        <v>1658</v>
      </c>
      <c r="J2164" s="3">
        <v>2</v>
      </c>
      <c r="K2164" s="3">
        <v>5</v>
      </c>
      <c r="L2164" s="3">
        <v>3</v>
      </c>
      <c r="M2164" s="3">
        <v>5</v>
      </c>
      <c r="N2164" s="3">
        <v>3</v>
      </c>
      <c r="O2164" s="238">
        <v>882703275</v>
      </c>
      <c r="P2164" s="93"/>
      <c r="Q2164" s="93"/>
      <c r="R216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64" s="93">
        <v>1</v>
      </c>
      <c r="T2164" s="93" t="b">
        <f>Data[[#This Row],[Day Rank]]=Data[[#This Row],[W Rank]]</f>
        <v>0</v>
      </c>
      <c r="U2164" s="323"/>
    </row>
    <row r="2165" spans="1:21" ht="15" customHeight="1">
      <c r="A2165" s="326"/>
      <c r="B2165" s="326"/>
      <c r="C2165" s="339"/>
      <c r="D2165" s="81">
        <f>D2162</f>
        <v>46240</v>
      </c>
      <c r="E2165" s="140" t="str">
        <f>$M$1</f>
        <v>samuelbattista</v>
      </c>
      <c r="F2165" s="8">
        <f>IFERROR(AVERAGE(Data[[#This Row],[alappatjoe]:[currydestroyer27]]), "TBD")</f>
        <v>4</v>
      </c>
      <c r="G2165" s="177">
        <f>IFERROR(_xlfn.STDEV.P(Data[[#This Row],[alappatjoe]:[currydestroyer27]]), "TBD")</f>
        <v>1.0954451150103321</v>
      </c>
      <c r="H2165" s="135" t="s">
        <v>4080</v>
      </c>
      <c r="I2165" s="229" t="s">
        <v>3352</v>
      </c>
      <c r="J2165" s="3">
        <v>5</v>
      </c>
      <c r="K2165" s="3">
        <v>4</v>
      </c>
      <c r="L2165" s="3">
        <v>4</v>
      </c>
      <c r="M2165" s="3">
        <v>2</v>
      </c>
      <c r="N2165" s="3">
        <v>5</v>
      </c>
      <c r="O2165" s="238"/>
      <c r="P2165" s="93"/>
      <c r="Q2165" s="93"/>
      <c r="R216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65" s="93">
        <v>1</v>
      </c>
      <c r="T2165" s="93" t="b">
        <f>Data[[#This Row],[Day Rank]]=Data[[#This Row],[W Rank]]</f>
        <v>0</v>
      </c>
      <c r="U2165" s="323"/>
    </row>
    <row r="2166" spans="1:21" ht="15" customHeight="1" thickBot="1">
      <c r="A2166" s="327"/>
      <c r="B2166" s="327"/>
      <c r="C2166" s="340"/>
      <c r="D2166" s="164">
        <f>D2162</f>
        <v>46240</v>
      </c>
      <c r="E2166" s="215" t="str">
        <f>$N$1</f>
        <v>currydestroyer27</v>
      </c>
      <c r="F2166" s="165">
        <f>IFERROR(AVERAGE(Data[[#This Row],[alappatjoe]:[currydestroyer27]]), "TBD")</f>
        <v>3.8</v>
      </c>
      <c r="G2166" s="256">
        <f>IFERROR(_xlfn.STDEV.P(Data[[#This Row],[alappatjoe]:[currydestroyer27]]), "TBD")</f>
        <v>0.9797958971132712</v>
      </c>
      <c r="H2166" s="227" t="s">
        <v>4081</v>
      </c>
      <c r="I2166" s="257" t="s">
        <v>4054</v>
      </c>
      <c r="J2166" s="166">
        <v>4</v>
      </c>
      <c r="K2166" s="166">
        <v>2</v>
      </c>
      <c r="L2166" s="166">
        <v>5</v>
      </c>
      <c r="M2166" s="166">
        <v>4</v>
      </c>
      <c r="N2166" s="166">
        <v>4</v>
      </c>
      <c r="O2166" s="242">
        <v>222759200</v>
      </c>
      <c r="P2166" s="167" t="s">
        <v>76</v>
      </c>
      <c r="Q2166" s="167" t="s">
        <v>96</v>
      </c>
      <c r="R216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66" s="167">
        <v>1</v>
      </c>
      <c r="T2166" s="167" t="b">
        <f>Data[[#This Row],[Day Rank]]=Data[[#This Row],[W Rank]]</f>
        <v>0</v>
      </c>
      <c r="U2166" s="324"/>
    </row>
    <row r="2167" spans="1:21" ht="15" customHeight="1">
      <c r="A2167" s="325">
        <v>46244</v>
      </c>
      <c r="B2167" s="325"/>
      <c r="C2167" s="328" t="str" cm="1">
        <f t="array" ref="C2167">_xlfn.LET(_xlpm.matches, _xlfn._xlws.FILTER(Data[Poster], (Data[Date]=A2167)*(Data[Winner]=TRUE)), IF(ROWS(_xlpm.matches)&gt;1, "TIE", _xlpm.matches))</f>
        <v>loganworsdell</v>
      </c>
      <c r="D2167" s="147">
        <f>A2167</f>
        <v>46244</v>
      </c>
      <c r="E2167" s="181" t="str">
        <f>$J$1</f>
        <v>alappatjoe</v>
      </c>
      <c r="F2167" s="8">
        <f>IFERROR(AVERAGE(Data[[#This Row],[alappatjoe]:[currydestroyer27]]), "TBD")</f>
        <v>3.8</v>
      </c>
      <c r="G2167" s="177">
        <f>IFERROR(_xlfn.STDEV.P(Data[[#This Row],[alappatjoe]:[currydestroyer27]]), "TBD")</f>
        <v>1.6</v>
      </c>
      <c r="H2167" s="135" t="s">
        <v>4082</v>
      </c>
      <c r="I2167" s="229" t="s">
        <v>4083</v>
      </c>
      <c r="J2167" s="3">
        <v>3</v>
      </c>
      <c r="K2167" s="3">
        <v>5</v>
      </c>
      <c r="L2167" s="3">
        <v>5</v>
      </c>
      <c r="M2167" s="3">
        <v>5</v>
      </c>
      <c r="N2167" s="3">
        <v>1</v>
      </c>
      <c r="O2167" s="238">
        <v>173999592</v>
      </c>
      <c r="P2167" s="93"/>
      <c r="Q2167" s="93"/>
      <c r="R216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67" s="93">
        <v>1</v>
      </c>
      <c r="T2167" s="93" t="b">
        <f>Data[[#This Row],[Day Rank]]=Data[[#This Row],[W Rank]]</f>
        <v>0</v>
      </c>
      <c r="U2167" s="322"/>
    </row>
    <row r="2168" spans="1:21" ht="15" customHeight="1">
      <c r="A2168" s="326"/>
      <c r="B2168" s="326"/>
      <c r="C2168" s="329"/>
      <c r="D2168" s="81">
        <f>D2167</f>
        <v>46244</v>
      </c>
      <c r="E2168" s="140" t="str">
        <f>$K$1</f>
        <v>danram</v>
      </c>
      <c r="F2168" s="8">
        <f>IFERROR(AVERAGE(Data[[#This Row],[alappatjoe]:[currydestroyer27]]), "TBD")</f>
        <v>3.8</v>
      </c>
      <c r="G2168" s="177">
        <f>IFERROR(_xlfn.STDEV.P(Data[[#This Row],[alappatjoe]:[currydestroyer27]]), "TBD")</f>
        <v>0.9797958971132712</v>
      </c>
      <c r="H2168" s="135" t="s">
        <v>4084</v>
      </c>
      <c r="I2168" s="229" t="s">
        <v>4085</v>
      </c>
      <c r="J2168" s="3">
        <v>4</v>
      </c>
      <c r="K2168" s="3">
        <v>2</v>
      </c>
      <c r="L2168" s="3">
        <v>4</v>
      </c>
      <c r="M2168" s="3">
        <v>4</v>
      </c>
      <c r="N2168" s="3">
        <v>5</v>
      </c>
      <c r="O2168" s="238"/>
      <c r="P2168" s="93"/>
      <c r="Q2168" s="93"/>
      <c r="R216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68" s="93">
        <v>1</v>
      </c>
      <c r="T2168" s="93" t="b">
        <f>Data[[#This Row],[Day Rank]]=Data[[#This Row],[W Rank]]</f>
        <v>0</v>
      </c>
      <c r="U2168" s="323"/>
    </row>
    <row r="2169" spans="1:21" ht="15" customHeight="1">
      <c r="A2169" s="326"/>
      <c r="B2169" s="326"/>
      <c r="C2169" s="329"/>
      <c r="D2169" s="81">
        <f>D2167</f>
        <v>46244</v>
      </c>
      <c r="E2169" s="140" t="str">
        <f>$L$1</f>
        <v>loganworsdell</v>
      </c>
      <c r="F2169" s="8">
        <f>IFERROR(AVERAGE(Data[[#This Row],[alappatjoe]:[currydestroyer27]]), "TBD")</f>
        <v>2</v>
      </c>
      <c r="G2169" s="177">
        <f>IFERROR(_xlfn.STDEV.P(Data[[#This Row],[alappatjoe]:[currydestroyer27]]), "TBD")</f>
        <v>0.89442719099991586</v>
      </c>
      <c r="H2169" s="135" t="s">
        <v>400</v>
      </c>
      <c r="I2169" s="229" t="s">
        <v>4086</v>
      </c>
      <c r="J2169" s="3">
        <v>2</v>
      </c>
      <c r="K2169" s="3">
        <v>1</v>
      </c>
      <c r="L2169" s="3">
        <v>1</v>
      </c>
      <c r="M2169" s="3">
        <v>3</v>
      </c>
      <c r="N2169" s="3">
        <v>3</v>
      </c>
      <c r="O2169" s="238">
        <v>470097127</v>
      </c>
      <c r="P2169" s="93"/>
      <c r="Q2169" s="93"/>
      <c r="R216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69" s="93">
        <v>1</v>
      </c>
      <c r="T2169" s="93" t="b">
        <f>Data[[#This Row],[Day Rank]]=Data[[#This Row],[W Rank]]</f>
        <v>1</v>
      </c>
      <c r="U2169" s="323"/>
    </row>
    <row r="2170" spans="1:21" ht="15" customHeight="1">
      <c r="A2170" s="326"/>
      <c r="B2170" s="326"/>
      <c r="C2170" s="329"/>
      <c r="D2170" s="81">
        <f>D2167</f>
        <v>46244</v>
      </c>
      <c r="E2170" s="140" t="str">
        <f>$M$1</f>
        <v>samuelbattista</v>
      </c>
      <c r="F2170" s="8">
        <f>IFERROR(AVERAGE(Data[[#This Row],[alappatjoe]:[currydestroyer27]]), "TBD")</f>
        <v>3</v>
      </c>
      <c r="G2170" s="177">
        <f>IFERROR(_xlfn.STDEV.P(Data[[#This Row],[alappatjoe]:[currydestroyer27]]), "TBD")</f>
        <v>1.4142135623730951</v>
      </c>
      <c r="H2170" s="135" t="s">
        <v>4087</v>
      </c>
      <c r="I2170" s="229" t="s">
        <v>1450</v>
      </c>
      <c r="J2170" s="3">
        <v>5</v>
      </c>
      <c r="K2170" s="3">
        <v>3</v>
      </c>
      <c r="L2170" s="3">
        <v>2</v>
      </c>
      <c r="M2170" s="3">
        <v>1</v>
      </c>
      <c r="N2170" s="3">
        <v>4</v>
      </c>
      <c r="O2170" s="238"/>
      <c r="P2170" s="93"/>
      <c r="Q2170" s="93"/>
      <c r="R217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70" s="93">
        <v>1</v>
      </c>
      <c r="T2170" s="93" t="b">
        <f>Data[[#This Row],[Day Rank]]=Data[[#This Row],[W Rank]]</f>
        <v>0</v>
      </c>
      <c r="U2170" s="323"/>
    </row>
    <row r="2171" spans="1:21" ht="15" customHeight="1" thickBot="1">
      <c r="A2171" s="327"/>
      <c r="B2171" s="327"/>
      <c r="C2171" s="330"/>
      <c r="D2171" s="164">
        <f>D2167</f>
        <v>46244</v>
      </c>
      <c r="E2171" s="215" t="str">
        <f>$N$1</f>
        <v>currydestroyer27</v>
      </c>
      <c r="F2171" s="165">
        <f>IFERROR(AVERAGE(Data[[#This Row],[alappatjoe]:[currydestroyer27]]), "TBD")</f>
        <v>2.4</v>
      </c>
      <c r="G2171" s="256">
        <f>IFERROR(_xlfn.STDEV.P(Data[[#This Row],[alappatjoe]:[currydestroyer27]]), "TBD")</f>
        <v>1.019803902718557</v>
      </c>
      <c r="H2171" s="227" t="s">
        <v>2419</v>
      </c>
      <c r="I2171" s="257" t="s">
        <v>4088</v>
      </c>
      <c r="J2171" s="166">
        <v>1</v>
      </c>
      <c r="K2171" s="166">
        <v>4</v>
      </c>
      <c r="L2171" s="166">
        <v>3</v>
      </c>
      <c r="M2171" s="166">
        <v>2</v>
      </c>
      <c r="N2171" s="166">
        <v>2</v>
      </c>
      <c r="O2171" s="242">
        <v>146790147</v>
      </c>
      <c r="P2171" s="167"/>
      <c r="Q2171" s="167"/>
      <c r="R217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71" s="167">
        <v>1</v>
      </c>
      <c r="T2171" s="167" t="b">
        <f>Data[[#This Row],[Day Rank]]=Data[[#This Row],[W Rank]]</f>
        <v>0</v>
      </c>
      <c r="U2171" s="324"/>
    </row>
    <row r="2172" spans="1:21" ht="15" customHeight="1">
      <c r="A2172" s="325">
        <v>46245</v>
      </c>
      <c r="B2172" s="325"/>
      <c r="C2172" s="338" t="str" cm="1">
        <f t="array" ref="C2172">_xlfn.LET(_xlpm.matches, _xlfn._xlws.FILTER(Data[Poster], (Data[Date]=A2172)*(Data[Winner]=TRUE)), IF(ROWS(_xlpm.matches)&gt;1, "TIE", _xlpm.matches))</f>
        <v>danram</v>
      </c>
      <c r="D2172" s="147">
        <f>A2172</f>
        <v>46245</v>
      </c>
      <c r="E2172" s="181" t="str">
        <f>$J$1</f>
        <v>alappatjoe</v>
      </c>
      <c r="F2172" s="9">
        <f>IFERROR(AVERAGE(Data[[#This Row],[alappatjoe]:[currydestroyer27]]), "TBD")</f>
        <v>2.4</v>
      </c>
      <c r="G2172" s="178">
        <f>IFERROR(_xlfn.STDEV.P(Data[[#This Row],[alappatjoe]:[currydestroyer27]]), "TBD")</f>
        <v>1.4966629547095767</v>
      </c>
      <c r="H2172" s="160" t="s">
        <v>4089</v>
      </c>
      <c r="I2172" s="186" t="s">
        <v>4090</v>
      </c>
      <c r="J2172" s="3">
        <v>1</v>
      </c>
      <c r="K2172" s="3">
        <v>2</v>
      </c>
      <c r="L2172" s="3">
        <v>1</v>
      </c>
      <c r="M2172" s="3">
        <v>3</v>
      </c>
      <c r="N2172" s="3">
        <v>5</v>
      </c>
      <c r="O2172" s="238">
        <v>772679</v>
      </c>
      <c r="P2172" s="93"/>
      <c r="Q2172" s="93"/>
      <c r="R217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72" s="93">
        <v>2</v>
      </c>
      <c r="T2172" s="93" t="b">
        <f>Data[[#This Row],[Day Rank]]=Data[[#This Row],[W Rank]]</f>
        <v>0</v>
      </c>
      <c r="U2172" s="322"/>
    </row>
    <row r="2173" spans="1:21" ht="15" customHeight="1">
      <c r="A2173" s="326"/>
      <c r="B2173" s="326"/>
      <c r="C2173" s="339"/>
      <c r="D2173" s="81">
        <f>D2172</f>
        <v>46245</v>
      </c>
      <c r="E2173" s="140" t="str">
        <f>$K$1</f>
        <v>danram</v>
      </c>
      <c r="F2173" s="8">
        <f>IFERROR(AVERAGE(Data[[#This Row],[alappatjoe]:[currydestroyer27]]), "TBD")</f>
        <v>2.4</v>
      </c>
      <c r="G2173" s="177">
        <f>IFERROR(_xlfn.STDEV.P(Data[[#This Row],[alappatjoe]:[currydestroyer27]]), "TBD")</f>
        <v>1.4966629547095767</v>
      </c>
      <c r="H2173" s="135" t="s">
        <v>4091</v>
      </c>
      <c r="I2173" s="229" t="s">
        <v>1110</v>
      </c>
      <c r="J2173" s="3">
        <v>3</v>
      </c>
      <c r="K2173" s="3">
        <v>1</v>
      </c>
      <c r="L2173" s="3">
        <v>5</v>
      </c>
      <c r="M2173" s="3">
        <v>1</v>
      </c>
      <c r="N2173" s="3">
        <v>2</v>
      </c>
      <c r="O2173" s="238"/>
      <c r="P2173" s="93"/>
      <c r="Q2173" s="93"/>
      <c r="R217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73" s="93">
        <v>1</v>
      </c>
      <c r="T2173" s="93" t="b">
        <f>Data[[#This Row],[Day Rank]]=Data[[#This Row],[W Rank]]</f>
        <v>1</v>
      </c>
      <c r="U2173" s="323"/>
    </row>
    <row r="2174" spans="1:21" ht="15" customHeight="1">
      <c r="A2174" s="326"/>
      <c r="B2174" s="326"/>
      <c r="C2174" s="339"/>
      <c r="D2174" s="81">
        <f>D2172</f>
        <v>46245</v>
      </c>
      <c r="E2174" s="140" t="str">
        <f>$L$1</f>
        <v>loganworsdell</v>
      </c>
      <c r="F2174" s="8">
        <f>IFERROR(AVERAGE(Data[[#This Row],[alappatjoe]:[currydestroyer27]]), "TBD")</f>
        <v>4</v>
      </c>
      <c r="G2174" s="177">
        <f>IFERROR(_xlfn.STDEV.P(Data[[#This Row],[alappatjoe]:[currydestroyer27]]), "TBD")</f>
        <v>0.89442719099991586</v>
      </c>
      <c r="H2174" s="135" t="s">
        <v>4092</v>
      </c>
      <c r="I2174" s="229" t="s">
        <v>4093</v>
      </c>
      <c r="J2174" s="3">
        <v>5</v>
      </c>
      <c r="K2174" s="3">
        <v>4</v>
      </c>
      <c r="L2174" s="3">
        <v>3</v>
      </c>
      <c r="M2174" s="3">
        <v>5</v>
      </c>
      <c r="N2174" s="3">
        <v>3</v>
      </c>
      <c r="O2174" s="238">
        <v>4963946</v>
      </c>
      <c r="P2174" s="93"/>
      <c r="Q2174" s="93"/>
      <c r="R217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74" s="93">
        <v>1</v>
      </c>
      <c r="T2174" s="93" t="b">
        <f>Data[[#This Row],[Day Rank]]=Data[[#This Row],[W Rank]]</f>
        <v>0</v>
      </c>
      <c r="U2174" s="323"/>
    </row>
    <row r="2175" spans="1:21" ht="15" customHeight="1">
      <c r="A2175" s="326"/>
      <c r="B2175" s="326"/>
      <c r="C2175" s="339"/>
      <c r="D2175" s="81">
        <f>D2172</f>
        <v>46245</v>
      </c>
      <c r="E2175" s="140" t="str">
        <f>$M$1</f>
        <v>samuelbattista</v>
      </c>
      <c r="F2175" s="8">
        <f>IFERROR(AVERAGE(Data[[#This Row],[alappatjoe]:[currydestroyer27]]), "TBD")</f>
        <v>3</v>
      </c>
      <c r="G2175" s="177">
        <f>IFERROR(_xlfn.STDEV.P(Data[[#This Row],[alappatjoe]:[currydestroyer27]]), "TBD")</f>
        <v>0.89442719099991586</v>
      </c>
      <c r="H2175" s="135" t="s">
        <v>4094</v>
      </c>
      <c r="I2175" s="229" t="s">
        <v>2182</v>
      </c>
      <c r="J2175" s="3">
        <v>4</v>
      </c>
      <c r="K2175" s="3">
        <v>3</v>
      </c>
      <c r="L2175" s="3">
        <v>2</v>
      </c>
      <c r="M2175" s="3">
        <v>2</v>
      </c>
      <c r="N2175" s="3">
        <v>4</v>
      </c>
      <c r="O2175" s="238"/>
      <c r="P2175" s="93"/>
      <c r="Q2175" s="93"/>
      <c r="R217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75" s="93">
        <v>1</v>
      </c>
      <c r="T2175" s="93" t="b">
        <f>Data[[#This Row],[Day Rank]]=Data[[#This Row],[W Rank]]</f>
        <v>0</v>
      </c>
      <c r="U2175" s="323"/>
    </row>
    <row r="2176" spans="1:21" ht="15" customHeight="1" thickBot="1">
      <c r="A2176" s="327"/>
      <c r="B2176" s="327"/>
      <c r="C2176" s="340"/>
      <c r="D2176" s="164">
        <f>D2172</f>
        <v>46245</v>
      </c>
      <c r="E2176" s="215" t="str">
        <f>$N$1</f>
        <v>currydestroyer27</v>
      </c>
      <c r="F2176" s="165">
        <f>IFERROR(AVERAGE(Data[[#This Row],[alappatjoe]:[currydestroyer27]]), "TBD")</f>
        <v>3.2</v>
      </c>
      <c r="G2176" s="256">
        <f>IFERROR(_xlfn.STDEV.P(Data[[#This Row],[alappatjoe]:[currydestroyer27]]), "TBD")</f>
        <v>1.4696938456699069</v>
      </c>
      <c r="H2176" s="227" t="s">
        <v>4095</v>
      </c>
      <c r="I2176" s="257" t="s">
        <v>4096</v>
      </c>
      <c r="J2176" s="166">
        <v>2</v>
      </c>
      <c r="K2176" s="166">
        <v>5</v>
      </c>
      <c r="L2176" s="166">
        <v>4</v>
      </c>
      <c r="M2176" s="166">
        <v>4</v>
      </c>
      <c r="N2176" s="166">
        <v>1</v>
      </c>
      <c r="O2176" s="242">
        <v>85372987</v>
      </c>
      <c r="P2176" s="167"/>
      <c r="Q2176" s="167"/>
      <c r="R217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76" s="167">
        <v>1</v>
      </c>
      <c r="T2176" s="167" t="b">
        <f>Data[[#This Row],[Day Rank]]=Data[[#This Row],[W Rank]]</f>
        <v>0</v>
      </c>
      <c r="U2176" s="324"/>
    </row>
    <row r="2177" spans="1:21" ht="15" customHeight="1">
      <c r="A2177" s="325">
        <v>46246</v>
      </c>
      <c r="B2177" s="325"/>
      <c r="C2177" s="328" t="str" cm="1">
        <f t="array" ref="C2177">_xlfn.LET(_xlpm.matches, _xlfn._xlws.FILTER(Data[Poster], (Data[Date]=A2177)*(Data[Winner]=TRUE)), IF(ROWS(_xlpm.matches)&gt;1, "TIE", _xlpm.matches))</f>
        <v>samuelbattista</v>
      </c>
      <c r="D2177" s="147">
        <f>A2177</f>
        <v>46246</v>
      </c>
      <c r="E2177" s="181" t="str">
        <f>$J$1</f>
        <v>alappatjoe</v>
      </c>
      <c r="F2177" s="9">
        <f>IFERROR(AVERAGE(Data[[#This Row],[alappatjoe]:[currydestroyer27]]), "TBD")</f>
        <v>3.6</v>
      </c>
      <c r="G2177" s="178">
        <f>IFERROR(_xlfn.STDEV.P(Data[[#This Row],[alappatjoe]:[currydestroyer27]]), "TBD")</f>
        <v>1.4966629547095767</v>
      </c>
      <c r="H2177" s="160" t="s">
        <v>4097</v>
      </c>
      <c r="I2177" s="186" t="s">
        <v>4098</v>
      </c>
      <c r="J2177" s="3">
        <v>1</v>
      </c>
      <c r="K2177" s="3">
        <v>5</v>
      </c>
      <c r="L2177" s="3">
        <v>3</v>
      </c>
      <c r="M2177" s="3">
        <v>5</v>
      </c>
      <c r="N2177" s="3">
        <v>4</v>
      </c>
      <c r="O2177" s="238">
        <v>2643655</v>
      </c>
      <c r="P2177" s="93"/>
      <c r="Q2177" s="93"/>
      <c r="R217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77" s="93">
        <v>1</v>
      </c>
      <c r="T2177" s="93" t="b">
        <f>Data[[#This Row],[Day Rank]]=Data[[#This Row],[W Rank]]</f>
        <v>0</v>
      </c>
      <c r="U2177" s="322"/>
    </row>
    <row r="2178" spans="1:21" ht="15" customHeight="1">
      <c r="A2178" s="326"/>
      <c r="B2178" s="326"/>
      <c r="C2178" s="329"/>
      <c r="D2178" s="81">
        <f>D2177</f>
        <v>46246</v>
      </c>
      <c r="E2178" s="140" t="str">
        <f>$K$1</f>
        <v>danram</v>
      </c>
      <c r="F2178" s="8">
        <f>IFERROR(AVERAGE(Data[[#This Row],[alappatjoe]:[currydestroyer27]]), "TBD")</f>
        <v>3</v>
      </c>
      <c r="G2178" s="177">
        <f>IFERROR(_xlfn.STDEV.P(Data[[#This Row],[alappatjoe]:[currydestroyer27]]), "TBD")</f>
        <v>1.0954451150103321</v>
      </c>
      <c r="H2178" s="135" t="s">
        <v>4099</v>
      </c>
      <c r="I2178" s="229" t="s">
        <v>4100</v>
      </c>
      <c r="J2178" s="3">
        <v>2</v>
      </c>
      <c r="K2178" s="3">
        <v>3</v>
      </c>
      <c r="L2178" s="3">
        <v>5</v>
      </c>
      <c r="M2178" s="3">
        <v>2</v>
      </c>
      <c r="N2178" s="3">
        <v>3</v>
      </c>
      <c r="O2178" s="238"/>
      <c r="P2178" s="93"/>
      <c r="Q2178" s="93"/>
      <c r="R217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78" s="93">
        <v>1</v>
      </c>
      <c r="T2178" s="93" t="b">
        <f>Data[[#This Row],[Day Rank]]=Data[[#This Row],[W Rank]]</f>
        <v>0</v>
      </c>
      <c r="U2178" s="323"/>
    </row>
    <row r="2179" spans="1:21" ht="15" customHeight="1">
      <c r="A2179" s="326"/>
      <c r="B2179" s="326"/>
      <c r="C2179" s="329"/>
      <c r="D2179" s="81">
        <f>D2177</f>
        <v>46246</v>
      </c>
      <c r="E2179" s="140" t="str">
        <f>$L$1</f>
        <v>loganworsdell</v>
      </c>
      <c r="F2179" s="8">
        <f>IFERROR(AVERAGE(Data[[#This Row],[alappatjoe]:[currydestroyer27]]), "TBD")</f>
        <v>3.2</v>
      </c>
      <c r="G2179" s="177">
        <f>IFERROR(_xlfn.STDEV.P(Data[[#This Row],[alappatjoe]:[currydestroyer27]]), "TBD")</f>
        <v>1.6</v>
      </c>
      <c r="H2179" s="135" t="s">
        <v>4101</v>
      </c>
      <c r="I2179" s="229" t="s">
        <v>54</v>
      </c>
      <c r="J2179" s="3">
        <v>5</v>
      </c>
      <c r="K2179" s="3">
        <v>1</v>
      </c>
      <c r="L2179" s="3">
        <v>2</v>
      </c>
      <c r="M2179" s="3">
        <v>3</v>
      </c>
      <c r="N2179" s="3">
        <v>5</v>
      </c>
      <c r="O2179" s="238">
        <v>55247440</v>
      </c>
      <c r="P2179" s="93"/>
      <c r="Q2179" s="93"/>
      <c r="R217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79" s="93">
        <v>1</v>
      </c>
      <c r="T2179" s="93" t="b">
        <f>Data[[#This Row],[Day Rank]]=Data[[#This Row],[W Rank]]</f>
        <v>0</v>
      </c>
      <c r="U2179" s="323"/>
    </row>
    <row r="2180" spans="1:21" ht="15" customHeight="1">
      <c r="A2180" s="326"/>
      <c r="B2180" s="326"/>
      <c r="C2180" s="329"/>
      <c r="D2180" s="81">
        <f>D2177</f>
        <v>46246</v>
      </c>
      <c r="E2180" s="140" t="str">
        <f>$M$1</f>
        <v>samuelbattista</v>
      </c>
      <c r="F2180" s="8">
        <f>IFERROR(AVERAGE(Data[[#This Row],[alappatjoe]:[currydestroyer27]]), "TBD")</f>
        <v>1.8</v>
      </c>
      <c r="G2180" s="177">
        <f>IFERROR(_xlfn.STDEV.P(Data[[#This Row],[alappatjoe]:[currydestroyer27]]), "TBD")</f>
        <v>0.74833147735478833</v>
      </c>
      <c r="H2180" s="135" t="s">
        <v>4102</v>
      </c>
      <c r="I2180" s="229" t="s">
        <v>4103</v>
      </c>
      <c r="J2180" s="3">
        <v>3</v>
      </c>
      <c r="K2180" s="3">
        <v>2</v>
      </c>
      <c r="L2180" s="3">
        <v>1</v>
      </c>
      <c r="M2180" s="3">
        <v>1</v>
      </c>
      <c r="N2180" s="3">
        <v>2</v>
      </c>
      <c r="O2180" s="238"/>
      <c r="P2180" s="93"/>
      <c r="Q2180" s="93"/>
      <c r="R218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80" s="93">
        <v>1</v>
      </c>
      <c r="T2180" s="93" t="b">
        <f>Data[[#This Row],[Day Rank]]=Data[[#This Row],[W Rank]]</f>
        <v>1</v>
      </c>
      <c r="U2180" s="323"/>
    </row>
    <row r="2181" spans="1:21" ht="15" customHeight="1" thickBot="1">
      <c r="A2181" s="327"/>
      <c r="B2181" s="327"/>
      <c r="C2181" s="330"/>
      <c r="D2181" s="164">
        <f>D2177</f>
        <v>46246</v>
      </c>
      <c r="E2181" s="215" t="str">
        <f>$N$1</f>
        <v>currydestroyer27</v>
      </c>
      <c r="F2181" s="165">
        <f>IFERROR(AVERAGE(Data[[#This Row],[alappatjoe]:[currydestroyer27]]), "TBD")</f>
        <v>3.4</v>
      </c>
      <c r="G2181" s="256">
        <f>IFERROR(_xlfn.STDEV.P(Data[[#This Row],[alappatjoe]:[currydestroyer27]]), "TBD")</f>
        <v>1.2</v>
      </c>
      <c r="H2181" s="227" t="s">
        <v>4104</v>
      </c>
      <c r="I2181" s="257" t="s">
        <v>3014</v>
      </c>
      <c r="J2181" s="166">
        <v>4</v>
      </c>
      <c r="K2181" s="166">
        <v>4</v>
      </c>
      <c r="L2181" s="166">
        <v>4</v>
      </c>
      <c r="M2181" s="166">
        <v>4</v>
      </c>
      <c r="N2181" s="166">
        <v>1</v>
      </c>
      <c r="O2181" s="242">
        <v>39612473</v>
      </c>
      <c r="P2181" s="167"/>
      <c r="Q2181" s="167"/>
      <c r="R218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81" s="167">
        <v>1</v>
      </c>
      <c r="T2181" s="167" t="b">
        <f>Data[[#This Row],[Day Rank]]=Data[[#This Row],[W Rank]]</f>
        <v>0</v>
      </c>
      <c r="U2181" s="324"/>
    </row>
    <row r="2182" spans="1:21" ht="15" customHeight="1">
      <c r="A2182" s="325">
        <v>46247</v>
      </c>
      <c r="B2182" s="325"/>
      <c r="C2182" s="338" t="str" cm="1">
        <f t="array" ref="C2182">_xlfn.LET(_xlpm.matches, _xlfn._xlws.FILTER(Data[Poster], (Data[Date]=A2182)*(Data[Winner]=TRUE)), IF(ROWS(_xlpm.matches)&gt;1, "TIE", _xlpm.matches))</f>
        <v>alappatjoe</v>
      </c>
      <c r="D2182" s="147">
        <f>A2182</f>
        <v>46247</v>
      </c>
      <c r="E2182" s="181" t="str">
        <f>$J$1</f>
        <v>alappatjoe</v>
      </c>
      <c r="F2182" s="9">
        <f>IFERROR(AVERAGE(Data[[#This Row],[alappatjoe]:[currydestroyer27]]), "TBD")</f>
        <v>2.6</v>
      </c>
      <c r="G2182" s="178">
        <f>IFERROR(_xlfn.STDEV.P(Data[[#This Row],[alappatjoe]:[currydestroyer27]]), "TBD")</f>
        <v>1.019803902718557</v>
      </c>
      <c r="H2182" s="160" t="s">
        <v>4105</v>
      </c>
      <c r="I2182" s="186" t="s">
        <v>4106</v>
      </c>
      <c r="J2182" s="3">
        <v>1</v>
      </c>
      <c r="K2182" s="3">
        <v>3</v>
      </c>
      <c r="L2182" s="3">
        <v>4</v>
      </c>
      <c r="M2182" s="3">
        <v>3</v>
      </c>
      <c r="N2182" s="3">
        <v>2</v>
      </c>
      <c r="O2182" s="238">
        <v>3405096</v>
      </c>
      <c r="P2182" s="93"/>
      <c r="Q2182" s="93"/>
      <c r="R218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82" s="93">
        <v>1</v>
      </c>
      <c r="T2182" s="93" t="b">
        <f>Data[[#This Row],[Day Rank]]=Data[[#This Row],[W Rank]]</f>
        <v>1</v>
      </c>
      <c r="U2182" s="322" t="s">
        <v>4107</v>
      </c>
    </row>
    <row r="2183" spans="1:21" ht="15" customHeight="1">
      <c r="A2183" s="326"/>
      <c r="B2183" s="326"/>
      <c r="C2183" s="339"/>
      <c r="D2183" s="81">
        <f>D2182</f>
        <v>46247</v>
      </c>
      <c r="E2183" s="140" t="str">
        <f>$K$1</f>
        <v>danram</v>
      </c>
      <c r="F2183" s="8">
        <f>IFERROR(AVERAGE(Data[[#This Row],[alappatjoe]:[currydestroyer27]]), "TBD")</f>
        <v>3.4</v>
      </c>
      <c r="G2183" s="177">
        <f>IFERROR(_xlfn.STDEV.P(Data[[#This Row],[alappatjoe]:[currydestroyer27]]), "TBD")</f>
        <v>1.6248076809271921</v>
      </c>
      <c r="H2183" s="135" t="s">
        <v>4108</v>
      </c>
      <c r="I2183" s="229" t="s">
        <v>4109</v>
      </c>
      <c r="J2183" s="3">
        <v>5</v>
      </c>
      <c r="K2183" s="3">
        <v>1</v>
      </c>
      <c r="L2183" s="3">
        <v>5</v>
      </c>
      <c r="M2183" s="3">
        <v>2</v>
      </c>
      <c r="N2183" s="3">
        <v>4</v>
      </c>
      <c r="O2183" s="238"/>
      <c r="P2183" s="93"/>
      <c r="Q2183" s="93"/>
      <c r="R218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83" s="93">
        <v>1</v>
      </c>
      <c r="T2183" s="93" t="b">
        <f>Data[[#This Row],[Day Rank]]=Data[[#This Row],[W Rank]]</f>
        <v>0</v>
      </c>
      <c r="U2183" s="323"/>
    </row>
    <row r="2184" spans="1:21" ht="15" customHeight="1">
      <c r="A2184" s="326"/>
      <c r="B2184" s="326"/>
      <c r="C2184" s="339"/>
      <c r="D2184" s="81">
        <f>D2182</f>
        <v>46247</v>
      </c>
      <c r="E2184" s="140" t="str">
        <f>$L$1</f>
        <v>loganworsdell</v>
      </c>
      <c r="F2184" s="8">
        <f>IFERROR(AVERAGE(Data[[#This Row],[alappatjoe]:[currydestroyer27]]), "TBD")</f>
        <v>3.4</v>
      </c>
      <c r="G2184" s="177">
        <f>IFERROR(_xlfn.STDEV.P(Data[[#This Row],[alappatjoe]:[currydestroyer27]]), "TBD")</f>
        <v>1.4966629547095767</v>
      </c>
      <c r="H2184" s="135" t="s">
        <v>4110</v>
      </c>
      <c r="I2184" s="229" t="s">
        <v>4111</v>
      </c>
      <c r="J2184" s="3">
        <v>3</v>
      </c>
      <c r="K2184" s="3">
        <v>5</v>
      </c>
      <c r="L2184" s="3">
        <v>1</v>
      </c>
      <c r="M2184" s="3">
        <v>5</v>
      </c>
      <c r="N2184" s="3">
        <v>3</v>
      </c>
      <c r="O2184" s="238">
        <v>30581805</v>
      </c>
      <c r="P2184" s="93"/>
      <c r="Q2184" s="93"/>
      <c r="R218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84" s="93">
        <v>1</v>
      </c>
      <c r="T2184" s="93" t="b">
        <f>Data[[#This Row],[Day Rank]]=Data[[#This Row],[W Rank]]</f>
        <v>0</v>
      </c>
      <c r="U2184" s="323"/>
    </row>
    <row r="2185" spans="1:21" ht="15" customHeight="1">
      <c r="A2185" s="326"/>
      <c r="B2185" s="326"/>
      <c r="C2185" s="339"/>
      <c r="D2185" s="81">
        <f>D2182</f>
        <v>46247</v>
      </c>
      <c r="E2185" s="140" t="str">
        <f>$M$1</f>
        <v>samuelbattista</v>
      </c>
      <c r="F2185" s="8">
        <f>IFERROR(AVERAGE(Data[[#This Row],[alappatjoe]:[currydestroyer27]]), "TBD")</f>
        <v>2.8</v>
      </c>
      <c r="G2185" s="177">
        <f>IFERROR(_xlfn.STDEV.P(Data[[#This Row],[alappatjoe]:[currydestroyer27]]), "TBD")</f>
        <v>1.4696938456699069</v>
      </c>
      <c r="H2185" s="135" t="s">
        <v>4112</v>
      </c>
      <c r="I2185" s="229" t="s">
        <v>4113</v>
      </c>
      <c r="J2185" s="3">
        <v>2</v>
      </c>
      <c r="K2185" s="3">
        <v>4</v>
      </c>
      <c r="L2185" s="3">
        <v>2</v>
      </c>
      <c r="M2185" s="3">
        <v>1</v>
      </c>
      <c r="N2185" s="3">
        <v>5</v>
      </c>
      <c r="O2185" s="238"/>
      <c r="P2185" s="93"/>
      <c r="Q2185" s="93"/>
      <c r="R218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85" s="93">
        <v>1</v>
      </c>
      <c r="T2185" s="93" t="b">
        <f>Data[[#This Row],[Day Rank]]=Data[[#This Row],[W Rank]]</f>
        <v>0</v>
      </c>
      <c r="U2185" s="323"/>
    </row>
    <row r="2186" spans="1:21" ht="15" customHeight="1" thickBot="1">
      <c r="A2186" s="327"/>
      <c r="B2186" s="327"/>
      <c r="C2186" s="340"/>
      <c r="D2186" s="164">
        <f>D2182</f>
        <v>46247</v>
      </c>
      <c r="E2186" s="215" t="str">
        <f>$N$1</f>
        <v>currydestroyer27</v>
      </c>
      <c r="F2186" s="165">
        <f>IFERROR(AVERAGE(Data[[#This Row],[alappatjoe]:[currydestroyer27]]), "TBD")</f>
        <v>2.8</v>
      </c>
      <c r="G2186" s="256">
        <f>IFERROR(_xlfn.STDEV.P(Data[[#This Row],[alappatjoe]:[currydestroyer27]]), "TBD")</f>
        <v>1.1661903789690602</v>
      </c>
      <c r="H2186" s="227" t="s">
        <v>4114</v>
      </c>
      <c r="I2186" s="257" t="s">
        <v>4115</v>
      </c>
      <c r="J2186" s="166">
        <v>4</v>
      </c>
      <c r="K2186" s="166">
        <v>2</v>
      </c>
      <c r="L2186" s="166">
        <v>3</v>
      </c>
      <c r="M2186" s="166">
        <v>4</v>
      </c>
      <c r="N2186" s="166">
        <v>1</v>
      </c>
      <c r="O2186" s="242">
        <v>13569706</v>
      </c>
      <c r="P2186" s="167"/>
      <c r="Q2186" s="167"/>
      <c r="R218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86" s="167">
        <v>1</v>
      </c>
      <c r="T2186" s="167" t="b">
        <f>Data[[#This Row],[Day Rank]]=Data[[#This Row],[W Rank]]</f>
        <v>0</v>
      </c>
      <c r="U2186" s="324"/>
    </row>
    <row r="2187" spans="1:21" ht="15" customHeight="1">
      <c r="A2187" s="325">
        <v>46251</v>
      </c>
      <c r="B2187" s="325"/>
      <c r="C2187" s="328" t="str" cm="1">
        <f t="array" ref="C2187">_xlfn.LET(_xlpm.matches, _xlfn._xlws.FILTER(Data[Poster], (Data[Date]=A2187)*(Data[Winner]=TRUE)), IF(ROWS(_xlpm.matches)&gt;1, "TIE", _xlpm.matches))</f>
        <v>danram</v>
      </c>
      <c r="D2187" s="147">
        <f>A2187</f>
        <v>46251</v>
      </c>
      <c r="E2187" s="181" t="str">
        <f>$J$1</f>
        <v>alappatjoe</v>
      </c>
      <c r="F2187" s="8">
        <f>IFERROR(AVERAGE(Data[[#This Row],[alappatjoe]:[currydestroyer27]]), "TBD")</f>
        <v>2.6</v>
      </c>
      <c r="G2187" s="177">
        <f>IFERROR(_xlfn.STDEV.P(Data[[#This Row],[alappatjoe]:[currydestroyer27]]), "TBD")</f>
        <v>1.3564659966250536</v>
      </c>
      <c r="H2187" s="135" t="s">
        <v>4116</v>
      </c>
      <c r="I2187" s="229" t="s">
        <v>4117</v>
      </c>
      <c r="J2187" s="3">
        <v>1</v>
      </c>
      <c r="K2187" s="3">
        <v>4</v>
      </c>
      <c r="L2187" s="3">
        <v>1</v>
      </c>
      <c r="M2187" s="3">
        <v>4</v>
      </c>
      <c r="N2187" s="3">
        <v>3</v>
      </c>
      <c r="O2187" s="238">
        <v>769233</v>
      </c>
      <c r="P2187" s="93"/>
      <c r="Q2187" s="93"/>
      <c r="R218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87" s="93">
        <v>1</v>
      </c>
      <c r="T2187" s="93" t="b">
        <f>Data[[#This Row],[Day Rank]]=Data[[#This Row],[W Rank]]</f>
        <v>0</v>
      </c>
      <c r="U2187" s="322"/>
    </row>
    <row r="2188" spans="1:21" ht="15" customHeight="1">
      <c r="A2188" s="326"/>
      <c r="B2188" s="326"/>
      <c r="C2188" s="329"/>
      <c r="D2188" s="81">
        <f>D2187</f>
        <v>46251</v>
      </c>
      <c r="E2188" s="140" t="str">
        <f>$K$1</f>
        <v>danram</v>
      </c>
      <c r="F2188" s="8">
        <f>IFERROR(AVERAGE(Data[[#This Row],[alappatjoe]:[currydestroyer27]]), "TBD")</f>
        <v>2.6</v>
      </c>
      <c r="G2188" s="177">
        <f>IFERROR(_xlfn.STDEV.P(Data[[#This Row],[alappatjoe]:[currydestroyer27]]), "TBD")</f>
        <v>1.2</v>
      </c>
      <c r="H2188" s="135" t="s">
        <v>4118</v>
      </c>
      <c r="I2188" s="229" t="s">
        <v>4119</v>
      </c>
      <c r="J2188" s="3">
        <v>2</v>
      </c>
      <c r="K2188" s="3">
        <v>1</v>
      </c>
      <c r="L2188" s="3">
        <v>4</v>
      </c>
      <c r="M2188" s="3">
        <v>2</v>
      </c>
      <c r="N2188" s="3">
        <v>4</v>
      </c>
      <c r="O2188" s="238"/>
      <c r="P2188" s="93"/>
      <c r="Q2188" s="93"/>
      <c r="R218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88" s="93">
        <v>1</v>
      </c>
      <c r="T2188" s="93" t="b">
        <f>Data[[#This Row],[Day Rank]]=Data[[#This Row],[W Rank]]</f>
        <v>1</v>
      </c>
      <c r="U2188" s="323"/>
    </row>
    <row r="2189" spans="1:21" ht="15" customHeight="1">
      <c r="A2189" s="326"/>
      <c r="B2189" s="326"/>
      <c r="C2189" s="329"/>
      <c r="D2189" s="81">
        <f>D2187</f>
        <v>46251</v>
      </c>
      <c r="E2189" s="140" t="str">
        <f>$L$1</f>
        <v>loganworsdell</v>
      </c>
      <c r="F2189" s="8">
        <f>IFERROR(AVERAGE(Data[[#This Row],[alappatjoe]:[currydestroyer27]]), "TBD")</f>
        <v>3.6</v>
      </c>
      <c r="G2189" s="177">
        <f>IFERROR(_xlfn.STDEV.P(Data[[#This Row],[alappatjoe]:[currydestroyer27]]), "TBD")</f>
        <v>1.2</v>
      </c>
      <c r="H2189" s="135" t="s">
        <v>4120</v>
      </c>
      <c r="I2189" s="229" t="s">
        <v>2227</v>
      </c>
      <c r="J2189" s="3">
        <v>5</v>
      </c>
      <c r="K2189" s="3">
        <v>2</v>
      </c>
      <c r="L2189" s="3">
        <v>3</v>
      </c>
      <c r="M2189" s="3">
        <v>3</v>
      </c>
      <c r="N2189" s="3">
        <v>5</v>
      </c>
      <c r="O2189" s="238">
        <v>120960</v>
      </c>
      <c r="P2189" s="93"/>
      <c r="Q2189" s="93"/>
      <c r="R218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89" s="93">
        <v>1</v>
      </c>
      <c r="T2189" s="93" t="b">
        <f>Data[[#This Row],[Day Rank]]=Data[[#This Row],[W Rank]]</f>
        <v>0</v>
      </c>
      <c r="U2189" s="323"/>
    </row>
    <row r="2190" spans="1:21" ht="15" customHeight="1">
      <c r="A2190" s="326"/>
      <c r="B2190" s="326"/>
      <c r="C2190" s="329"/>
      <c r="D2190" s="81">
        <f>D2187</f>
        <v>46251</v>
      </c>
      <c r="E2190" s="140" t="str">
        <f>$M$1</f>
        <v>samuelbattista</v>
      </c>
      <c r="F2190" s="8">
        <f>IFERROR(AVERAGE(Data[[#This Row],[alappatjoe]:[currydestroyer27]]), "TBD")</f>
        <v>3.4</v>
      </c>
      <c r="G2190" s="177">
        <f>IFERROR(_xlfn.STDEV.P(Data[[#This Row],[alappatjoe]:[currydestroyer27]]), "TBD")</f>
        <v>1.6248076809271921</v>
      </c>
      <c r="H2190" s="135" t="s">
        <v>4121</v>
      </c>
      <c r="I2190" s="229" t="s">
        <v>3258</v>
      </c>
      <c r="J2190" s="3">
        <v>4</v>
      </c>
      <c r="K2190" s="3">
        <v>5</v>
      </c>
      <c r="L2190" s="3">
        <v>5</v>
      </c>
      <c r="M2190" s="3">
        <v>1</v>
      </c>
      <c r="N2190" s="3">
        <v>2</v>
      </c>
      <c r="O2190" s="238"/>
      <c r="P2190" s="93"/>
      <c r="Q2190" s="93"/>
      <c r="R219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90" s="93">
        <v>1</v>
      </c>
      <c r="T2190" s="93" t="b">
        <f>Data[[#This Row],[Day Rank]]=Data[[#This Row],[W Rank]]</f>
        <v>0</v>
      </c>
      <c r="U2190" s="323"/>
    </row>
    <row r="2191" spans="1:21" ht="15" customHeight="1" thickBot="1">
      <c r="A2191" s="327"/>
      <c r="B2191" s="327"/>
      <c r="C2191" s="330"/>
      <c r="D2191" s="164">
        <f>D2187</f>
        <v>46251</v>
      </c>
      <c r="E2191" s="215" t="str">
        <f>$N$1</f>
        <v>currydestroyer27</v>
      </c>
      <c r="F2191" s="165">
        <f>IFERROR(AVERAGE(Data[[#This Row],[alappatjoe]:[currydestroyer27]]), "TBD")</f>
        <v>2.8</v>
      </c>
      <c r="G2191" s="256">
        <f>IFERROR(_xlfn.STDEV.P(Data[[#This Row],[alappatjoe]:[currydestroyer27]]), "TBD")</f>
        <v>1.3266499161421599</v>
      </c>
      <c r="H2191" s="227" t="s">
        <v>4122</v>
      </c>
      <c r="I2191" s="257" t="s">
        <v>4123</v>
      </c>
      <c r="J2191" s="166">
        <v>3</v>
      </c>
      <c r="K2191" s="166">
        <v>3</v>
      </c>
      <c r="L2191" s="166">
        <v>2</v>
      </c>
      <c r="M2191" s="166">
        <v>5</v>
      </c>
      <c r="N2191" s="166">
        <v>1</v>
      </c>
      <c r="O2191" s="242">
        <v>81127769</v>
      </c>
      <c r="P2191" s="167" t="s">
        <v>76</v>
      </c>
      <c r="Q2191" s="167" t="s">
        <v>96</v>
      </c>
      <c r="R219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91" s="167">
        <v>1</v>
      </c>
      <c r="T2191" s="167" t="b">
        <f>Data[[#This Row],[Day Rank]]=Data[[#This Row],[W Rank]]</f>
        <v>0</v>
      </c>
      <c r="U2191" s="324"/>
    </row>
    <row r="2192" spans="1:21" ht="15" customHeight="1">
      <c r="A2192" s="325">
        <v>46252</v>
      </c>
      <c r="B2192" s="325"/>
      <c r="C2192" s="338" t="str" cm="1">
        <f t="array" ref="C2192">_xlfn.LET(_xlpm.matches, _xlfn._xlws.FILTER(Data[Poster], (Data[Date]=A2192)*(Data[Winner]=TRUE)), IF(ROWS(_xlpm.matches)&gt;1, "TIE", _xlpm.matches))</f>
        <v>loganworsdell</v>
      </c>
      <c r="D2192" s="147">
        <f>A2192</f>
        <v>46252</v>
      </c>
      <c r="E2192" s="181" t="str">
        <f>$J$1</f>
        <v>alappatjoe</v>
      </c>
      <c r="F2192" s="9">
        <f>IFERROR(AVERAGE(Data[[#This Row],[alappatjoe]:[currydestroyer27]]), "TBD")</f>
        <v>2.8</v>
      </c>
      <c r="G2192" s="178">
        <f>IFERROR(_xlfn.STDEV.P(Data[[#This Row],[alappatjoe]:[currydestroyer27]]), "TBD")</f>
        <v>1.1661903789690602</v>
      </c>
      <c r="H2192" s="160" t="s">
        <v>4124</v>
      </c>
      <c r="I2192" s="186" t="s">
        <v>4125</v>
      </c>
      <c r="J2192" s="3">
        <v>1</v>
      </c>
      <c r="K2192" s="3">
        <v>4</v>
      </c>
      <c r="L2192" s="3">
        <v>4</v>
      </c>
      <c r="M2192" s="3">
        <v>3</v>
      </c>
      <c r="N2192" s="3">
        <v>2</v>
      </c>
      <c r="O2192" s="238">
        <v>99508</v>
      </c>
      <c r="P2192" s="93"/>
      <c r="Q2192" s="93"/>
      <c r="R219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92" s="93">
        <v>1</v>
      </c>
      <c r="T2192" s="93" t="b">
        <f>Data[[#This Row],[Day Rank]]=Data[[#This Row],[W Rank]]</f>
        <v>0</v>
      </c>
      <c r="U2192" s="322"/>
    </row>
    <row r="2193" spans="1:21" ht="15" customHeight="1">
      <c r="A2193" s="326"/>
      <c r="B2193" s="326"/>
      <c r="C2193" s="339"/>
      <c r="D2193" s="81">
        <f>D2192</f>
        <v>46252</v>
      </c>
      <c r="E2193" s="140" t="str">
        <f>$K$1</f>
        <v>danram</v>
      </c>
      <c r="F2193" s="8">
        <f>IFERROR(AVERAGE(Data[[#This Row],[alappatjoe]:[currydestroyer27]]), "TBD")</f>
        <v>3.4</v>
      </c>
      <c r="G2193" s="177">
        <f>IFERROR(_xlfn.STDEV.P(Data[[#This Row],[alappatjoe]:[currydestroyer27]]), "TBD")</f>
        <v>1.4966629547095767</v>
      </c>
      <c r="H2193" s="135" t="s">
        <v>4126</v>
      </c>
      <c r="I2193" s="229" t="s">
        <v>4127</v>
      </c>
      <c r="J2193" s="3">
        <v>3</v>
      </c>
      <c r="K2193" s="3">
        <v>1</v>
      </c>
      <c r="L2193" s="3">
        <v>3</v>
      </c>
      <c r="M2193" s="3">
        <v>5</v>
      </c>
      <c r="N2193" s="3">
        <v>5</v>
      </c>
      <c r="O2193" s="238"/>
      <c r="P2193" s="93"/>
      <c r="Q2193" s="93"/>
      <c r="R219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193" s="93">
        <v>1</v>
      </c>
      <c r="T2193" s="93" t="b">
        <f>Data[[#This Row],[Day Rank]]=Data[[#This Row],[W Rank]]</f>
        <v>0</v>
      </c>
      <c r="U2193" s="323"/>
    </row>
    <row r="2194" spans="1:21" ht="15" customHeight="1">
      <c r="A2194" s="326"/>
      <c r="B2194" s="326"/>
      <c r="C2194" s="339"/>
      <c r="D2194" s="81">
        <f>D2192</f>
        <v>46252</v>
      </c>
      <c r="E2194" s="140" t="str">
        <f>$L$1</f>
        <v>loganworsdell</v>
      </c>
      <c r="F2194" s="8">
        <f>IFERROR(AVERAGE(Data[[#This Row],[alappatjoe]:[currydestroyer27]]), "TBD")</f>
        <v>2.2000000000000002</v>
      </c>
      <c r="G2194" s="177">
        <f>IFERROR(_xlfn.STDEV.P(Data[[#This Row],[alappatjoe]:[currydestroyer27]]), "TBD")</f>
        <v>1.1661903789690602</v>
      </c>
      <c r="H2194" s="135" t="s">
        <v>4459</v>
      </c>
      <c r="I2194" s="229" t="s">
        <v>166</v>
      </c>
      <c r="J2194" s="3">
        <v>4</v>
      </c>
      <c r="K2194" s="3">
        <v>3</v>
      </c>
      <c r="L2194" s="3">
        <v>1</v>
      </c>
      <c r="M2194" s="3">
        <v>2</v>
      </c>
      <c r="N2194" s="3">
        <v>1</v>
      </c>
      <c r="O2194" s="238">
        <v>3675045</v>
      </c>
      <c r="P2194" s="93"/>
      <c r="Q2194" s="93"/>
      <c r="R219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94" s="93">
        <v>1</v>
      </c>
      <c r="T2194" s="93" t="b">
        <f>Data[[#This Row],[Day Rank]]=Data[[#This Row],[W Rank]]</f>
        <v>1</v>
      </c>
      <c r="U2194" s="323"/>
    </row>
    <row r="2195" spans="1:21" ht="15" customHeight="1">
      <c r="A2195" s="326"/>
      <c r="B2195" s="326"/>
      <c r="C2195" s="339"/>
      <c r="D2195" s="81">
        <f>D2192</f>
        <v>46252</v>
      </c>
      <c r="E2195" s="140" t="str">
        <f>$M$1</f>
        <v>samuelbattista</v>
      </c>
      <c r="F2195" s="8">
        <f>IFERROR(AVERAGE(Data[[#This Row],[alappatjoe]:[currydestroyer27]]), "TBD")</f>
        <v>2.6</v>
      </c>
      <c r="G2195" s="177">
        <f>IFERROR(_xlfn.STDEV.P(Data[[#This Row],[alappatjoe]:[currydestroyer27]]), "TBD")</f>
        <v>1.3564659966250536</v>
      </c>
      <c r="H2195" s="135" t="s">
        <v>4464</v>
      </c>
      <c r="I2195" s="229" t="s">
        <v>4465</v>
      </c>
      <c r="J2195" s="3">
        <v>2</v>
      </c>
      <c r="K2195" s="3">
        <v>2</v>
      </c>
      <c r="L2195" s="3">
        <v>5</v>
      </c>
      <c r="M2195" s="3">
        <v>1</v>
      </c>
      <c r="N2195" s="3">
        <v>3</v>
      </c>
      <c r="O2195" s="238"/>
      <c r="P2195" s="93"/>
      <c r="Q2195" s="93"/>
      <c r="R219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195" s="93">
        <v>1</v>
      </c>
      <c r="T2195" s="93" t="b">
        <f>Data[[#This Row],[Day Rank]]=Data[[#This Row],[W Rank]]</f>
        <v>0</v>
      </c>
      <c r="U2195" s="323"/>
    </row>
    <row r="2196" spans="1:21" ht="15" customHeight="1" thickBot="1">
      <c r="A2196" s="327"/>
      <c r="B2196" s="327"/>
      <c r="C2196" s="340"/>
      <c r="D2196" s="164">
        <f>D2192</f>
        <v>46252</v>
      </c>
      <c r="E2196" s="215" t="str">
        <f>$N$1</f>
        <v>currydestroyer27</v>
      </c>
      <c r="F2196" s="165">
        <f>IFERROR(AVERAGE(Data[[#This Row],[alappatjoe]:[currydestroyer27]]), "TBD")</f>
        <v>4</v>
      </c>
      <c r="G2196" s="256">
        <f>IFERROR(_xlfn.STDEV.P(Data[[#This Row],[alappatjoe]:[currydestroyer27]]), "TBD")</f>
        <v>1.0954451150103321</v>
      </c>
      <c r="H2196" s="227" t="s">
        <v>4128</v>
      </c>
      <c r="I2196" s="257" t="s">
        <v>4129</v>
      </c>
      <c r="J2196" s="166">
        <v>5</v>
      </c>
      <c r="K2196" s="166">
        <v>5</v>
      </c>
      <c r="L2196" s="166">
        <v>2</v>
      </c>
      <c r="M2196" s="166">
        <v>4</v>
      </c>
      <c r="N2196" s="166">
        <v>4</v>
      </c>
      <c r="O2196" s="242">
        <v>367680824</v>
      </c>
      <c r="P2196" s="167"/>
      <c r="Q2196" s="167"/>
      <c r="R219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96" s="167">
        <v>1</v>
      </c>
      <c r="T2196" s="167" t="b">
        <f>Data[[#This Row],[Day Rank]]=Data[[#This Row],[W Rank]]</f>
        <v>0</v>
      </c>
      <c r="U2196" s="324"/>
    </row>
    <row r="2197" spans="1:21" ht="15" customHeight="1">
      <c r="A2197" s="325">
        <v>46253</v>
      </c>
      <c r="B2197" s="325"/>
      <c r="C2197" s="328" t="str" cm="1">
        <f t="array" ref="C2197">_xlfn.LET(_xlpm.matches, _xlfn._xlws.FILTER(Data[Poster], (Data[Date]=A2197)*(Data[Winner]=TRUE)), IF(ROWS(_xlpm.matches)&gt;1, "TIE", _xlpm.matches))</f>
        <v>alappatjoe</v>
      </c>
      <c r="D2197" s="147">
        <f>A2197</f>
        <v>46253</v>
      </c>
      <c r="E2197" s="181" t="str">
        <f>$J$1</f>
        <v>alappatjoe</v>
      </c>
      <c r="F2197" s="9">
        <f>IFERROR(AVERAGE(Data[[#This Row],[alappatjoe]:[currydestroyer27]]), "TBD")</f>
        <v>2.2000000000000002</v>
      </c>
      <c r="G2197" s="178">
        <f>IFERROR(_xlfn.STDEV.P(Data[[#This Row],[alappatjoe]:[currydestroyer27]]), "TBD")</f>
        <v>0.74833147735478833</v>
      </c>
      <c r="H2197" s="160" t="s">
        <v>4462</v>
      </c>
      <c r="I2197" s="186" t="s">
        <v>4463</v>
      </c>
      <c r="J2197" s="3">
        <v>1</v>
      </c>
      <c r="K2197" s="3">
        <v>2</v>
      </c>
      <c r="L2197" s="3">
        <v>3</v>
      </c>
      <c r="M2197" s="3">
        <v>2</v>
      </c>
      <c r="N2197" s="3">
        <v>3</v>
      </c>
      <c r="O2197" s="238">
        <v>11213504</v>
      </c>
      <c r="P2197" s="93"/>
      <c r="Q2197" s="93"/>
      <c r="R219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197" s="93">
        <v>1</v>
      </c>
      <c r="T2197" s="93" t="b">
        <f>Data[[#This Row],[Day Rank]]=Data[[#This Row],[W Rank]]</f>
        <v>1</v>
      </c>
      <c r="U2197" s="322"/>
    </row>
    <row r="2198" spans="1:21" ht="15" customHeight="1">
      <c r="A2198" s="326"/>
      <c r="B2198" s="326"/>
      <c r="C2198" s="329"/>
      <c r="D2198" s="81">
        <f>D2197</f>
        <v>46253</v>
      </c>
      <c r="E2198" s="140" t="str">
        <f>$K$1</f>
        <v>danram</v>
      </c>
      <c r="F2198" s="8">
        <f>IFERROR(AVERAGE(Data[[#This Row],[alappatjoe]:[currydestroyer27]]), "TBD")</f>
        <v>4.4000000000000004</v>
      </c>
      <c r="G2198" s="177">
        <f>IFERROR(_xlfn.STDEV.P(Data[[#This Row],[alappatjoe]:[currydestroyer27]]), "TBD")</f>
        <v>1.2</v>
      </c>
      <c r="H2198" s="135" t="s">
        <v>4130</v>
      </c>
      <c r="I2198" s="229" t="s">
        <v>4131</v>
      </c>
      <c r="J2198" s="3">
        <v>5</v>
      </c>
      <c r="K2198" s="3">
        <v>5</v>
      </c>
      <c r="L2198" s="3">
        <v>5</v>
      </c>
      <c r="M2198" s="3">
        <v>5</v>
      </c>
      <c r="N2198" s="3">
        <v>2</v>
      </c>
      <c r="O2198" s="238"/>
      <c r="P2198" s="93"/>
      <c r="Q2198" s="93"/>
      <c r="R219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198" s="93">
        <v>1</v>
      </c>
      <c r="T2198" s="93" t="b">
        <f>Data[[#This Row],[Day Rank]]=Data[[#This Row],[W Rank]]</f>
        <v>0</v>
      </c>
      <c r="U2198" s="323"/>
    </row>
    <row r="2199" spans="1:21" ht="15" customHeight="1">
      <c r="A2199" s="326"/>
      <c r="B2199" s="326"/>
      <c r="C2199" s="329"/>
      <c r="D2199" s="81">
        <f>D2197</f>
        <v>46253</v>
      </c>
      <c r="E2199" s="140" t="str">
        <f>$L$1</f>
        <v>loganworsdell</v>
      </c>
      <c r="F2199" s="8">
        <f>IFERROR(AVERAGE(Data[[#This Row],[alappatjoe]:[currydestroyer27]]), "TBD")</f>
        <v>2.8</v>
      </c>
      <c r="G2199" s="177">
        <f>IFERROR(_xlfn.STDEV.P(Data[[#This Row],[alappatjoe]:[currydestroyer27]]), "TBD")</f>
        <v>0.74833147735478833</v>
      </c>
      <c r="H2199" s="288" t="s">
        <v>4461</v>
      </c>
      <c r="I2199" s="229" t="s">
        <v>4460</v>
      </c>
      <c r="J2199" s="3">
        <v>2</v>
      </c>
      <c r="K2199" s="3">
        <v>3</v>
      </c>
      <c r="L2199" s="3">
        <v>2</v>
      </c>
      <c r="M2199" s="3">
        <v>3</v>
      </c>
      <c r="N2199" s="3">
        <v>4</v>
      </c>
      <c r="O2199" s="238">
        <v>2653904</v>
      </c>
      <c r="P2199" s="93"/>
      <c r="Q2199" s="93"/>
      <c r="R219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199" s="93">
        <v>1</v>
      </c>
      <c r="T2199" s="93" t="b">
        <f>Data[[#This Row],[Day Rank]]=Data[[#This Row],[W Rank]]</f>
        <v>0</v>
      </c>
      <c r="U2199" s="323"/>
    </row>
    <row r="2200" spans="1:21" ht="15" customHeight="1">
      <c r="A2200" s="326"/>
      <c r="B2200" s="326"/>
      <c r="C2200" s="329"/>
      <c r="D2200" s="81">
        <f>D2197</f>
        <v>46253</v>
      </c>
      <c r="E2200" s="140" t="str">
        <f>$M$1</f>
        <v>samuelbattista</v>
      </c>
      <c r="F2200" s="8">
        <f>IFERROR(AVERAGE(Data[[#This Row],[alappatjoe]:[currydestroyer27]]), "TBD")</f>
        <v>3</v>
      </c>
      <c r="G2200" s="177">
        <f>IFERROR(_xlfn.STDEV.P(Data[[#This Row],[alappatjoe]:[currydestroyer27]]), "TBD")</f>
        <v>1.6733200530681511</v>
      </c>
      <c r="H2200" s="135" t="s">
        <v>4466</v>
      </c>
      <c r="I2200" s="229" t="s">
        <v>3324</v>
      </c>
      <c r="J2200" s="3">
        <v>4</v>
      </c>
      <c r="K2200" s="3">
        <v>4</v>
      </c>
      <c r="L2200" s="3">
        <v>1</v>
      </c>
      <c r="M2200" s="3">
        <v>1</v>
      </c>
      <c r="N2200" s="3">
        <v>5</v>
      </c>
      <c r="O2200" s="238"/>
      <c r="P2200" s="93"/>
      <c r="Q2200" s="93"/>
      <c r="R220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200" s="93">
        <v>1</v>
      </c>
      <c r="T2200" s="93" t="b">
        <f>Data[[#This Row],[Day Rank]]=Data[[#This Row],[W Rank]]</f>
        <v>0</v>
      </c>
      <c r="U2200" s="323"/>
    </row>
    <row r="2201" spans="1:21" ht="15" customHeight="1" thickBot="1">
      <c r="A2201" s="327"/>
      <c r="B2201" s="327"/>
      <c r="C2201" s="330"/>
      <c r="D2201" s="164">
        <f>D2197</f>
        <v>46253</v>
      </c>
      <c r="E2201" s="215" t="str">
        <f>$N$1</f>
        <v>currydestroyer27</v>
      </c>
      <c r="F2201" s="165">
        <f>IFERROR(AVERAGE(Data[[#This Row],[alappatjoe]:[currydestroyer27]]), "TBD")</f>
        <v>2.6</v>
      </c>
      <c r="G2201" s="256">
        <f>IFERROR(_xlfn.STDEV.P(Data[[#This Row],[alappatjoe]:[currydestroyer27]]), "TBD")</f>
        <v>1.3564659966250536</v>
      </c>
      <c r="H2201" s="227" t="s">
        <v>4132</v>
      </c>
      <c r="I2201" s="257" t="s">
        <v>4133</v>
      </c>
      <c r="J2201" s="166">
        <v>3</v>
      </c>
      <c r="K2201" s="166">
        <v>1</v>
      </c>
      <c r="L2201" s="166">
        <v>4</v>
      </c>
      <c r="M2201" s="166">
        <v>4</v>
      </c>
      <c r="N2201" s="166">
        <v>1</v>
      </c>
      <c r="O2201" s="242">
        <v>202452</v>
      </c>
      <c r="P2201" s="167" t="s">
        <v>58</v>
      </c>
      <c r="Q2201" s="167"/>
      <c r="R220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201" s="167">
        <v>1</v>
      </c>
      <c r="T2201" s="167" t="b">
        <f>Data[[#This Row],[Day Rank]]=Data[[#This Row],[W Rank]]</f>
        <v>0</v>
      </c>
      <c r="U2201" s="324"/>
    </row>
    <row r="2202" spans="1:21" ht="15" customHeight="1">
      <c r="A2202" s="325">
        <v>46254</v>
      </c>
      <c r="B2202" s="325"/>
      <c r="C2202" s="338" t="str" cm="1">
        <f t="array" ref="C2202">_xlfn.LET(_xlpm.matches, _xlfn._xlws.FILTER(Data[Poster], (Data[Date]=A2202)*(Data[Winner]=TRUE)), IF(ROWS(_xlpm.matches)&gt;1, "TIE", _xlpm.matches))</f>
        <v>alappatjoe</v>
      </c>
      <c r="D2202" s="147">
        <f>A2202</f>
        <v>46254</v>
      </c>
      <c r="E2202" s="181" t="str">
        <f>$J$1</f>
        <v>alappatjoe</v>
      </c>
      <c r="F2202" s="9">
        <f>IFERROR(AVERAGE(Data[[#This Row],[alappatjoe]:[currydestroyer27]]), "TBD")</f>
        <v>2.2000000000000002</v>
      </c>
      <c r="G2202" s="178">
        <f>IFERROR(_xlfn.STDEV.P(Data[[#This Row],[alappatjoe]:[currydestroyer27]]), "TBD")</f>
        <v>1.1661903789690602</v>
      </c>
      <c r="H2202" s="160" t="s">
        <v>4472</v>
      </c>
      <c r="I2202" s="186" t="s">
        <v>4473</v>
      </c>
      <c r="J2202" s="3">
        <v>1</v>
      </c>
      <c r="K2202" s="3">
        <v>1</v>
      </c>
      <c r="L2202" s="3">
        <v>3</v>
      </c>
      <c r="M2202" s="3">
        <v>4</v>
      </c>
      <c r="N2202" s="3">
        <v>2</v>
      </c>
      <c r="O2202" s="238">
        <v>1083200643</v>
      </c>
      <c r="P2202" s="93"/>
      <c r="Q2202" s="93"/>
      <c r="R220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202" s="93">
        <v>1</v>
      </c>
      <c r="T2202" s="93" t="b">
        <f>Data[[#This Row],[Day Rank]]=Data[[#This Row],[W Rank]]</f>
        <v>1</v>
      </c>
      <c r="U2202" s="322" t="s">
        <v>4134</v>
      </c>
    </row>
    <row r="2203" spans="1:21" ht="15" customHeight="1">
      <c r="A2203" s="326"/>
      <c r="B2203" s="326"/>
      <c r="C2203" s="339"/>
      <c r="D2203" s="81">
        <f>D2202</f>
        <v>46254</v>
      </c>
      <c r="E2203" s="140" t="str">
        <f>$K$1</f>
        <v>danram</v>
      </c>
      <c r="F2203" s="8">
        <f>IFERROR(AVERAGE(Data[[#This Row],[alappatjoe]:[currydestroyer27]]), "TBD")</f>
        <v>3</v>
      </c>
      <c r="G2203" s="177">
        <f>IFERROR(_xlfn.STDEV.P(Data[[#This Row],[alappatjoe]:[currydestroyer27]]), "TBD")</f>
        <v>1.2649110640673518</v>
      </c>
      <c r="H2203" s="135" t="s">
        <v>4480</v>
      </c>
      <c r="I2203" s="229" t="s">
        <v>4481</v>
      </c>
      <c r="J2203" s="3">
        <v>2</v>
      </c>
      <c r="K2203" s="3">
        <v>2</v>
      </c>
      <c r="L2203" s="3">
        <v>5</v>
      </c>
      <c r="M2203" s="3">
        <v>2</v>
      </c>
      <c r="N2203" s="3">
        <v>4</v>
      </c>
      <c r="O2203" s="238">
        <v>887992050</v>
      </c>
      <c r="P2203" s="93"/>
      <c r="Q2203" s="93"/>
      <c r="R220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203" s="93">
        <v>1</v>
      </c>
      <c r="T2203" s="93" t="b">
        <f>Data[[#This Row],[Day Rank]]=Data[[#This Row],[W Rank]]</f>
        <v>0</v>
      </c>
      <c r="U2203" s="323"/>
    </row>
    <row r="2204" spans="1:21" ht="15" customHeight="1">
      <c r="A2204" s="326"/>
      <c r="B2204" s="326"/>
      <c r="C2204" s="339"/>
      <c r="D2204" s="81">
        <f>D2202</f>
        <v>46254</v>
      </c>
      <c r="E2204" s="140" t="str">
        <f>$L$1</f>
        <v>loganworsdell</v>
      </c>
      <c r="F2204" s="8">
        <f>IFERROR(AVERAGE(Data[[#This Row],[alappatjoe]:[currydestroyer27]]), "TBD")</f>
        <v>4.2</v>
      </c>
      <c r="G2204" s="177">
        <f>IFERROR(_xlfn.STDEV.P(Data[[#This Row],[alappatjoe]:[currydestroyer27]]), "TBD")</f>
        <v>1.6</v>
      </c>
      <c r="H2204" s="135" t="s">
        <v>4470</v>
      </c>
      <c r="I2204" s="229" t="s">
        <v>4471</v>
      </c>
      <c r="J2204" s="3">
        <v>5</v>
      </c>
      <c r="K2204" s="3">
        <v>5</v>
      </c>
      <c r="L2204" s="3">
        <v>1</v>
      </c>
      <c r="M2204" s="3">
        <v>5</v>
      </c>
      <c r="N2204" s="3">
        <v>5</v>
      </c>
      <c r="O2204" s="238">
        <v>1611249962</v>
      </c>
      <c r="P2204" s="93"/>
      <c r="Q2204" s="93"/>
      <c r="R220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204" s="93">
        <v>1</v>
      </c>
      <c r="T2204" s="93" t="b">
        <f>Data[[#This Row],[Day Rank]]=Data[[#This Row],[W Rank]]</f>
        <v>0</v>
      </c>
      <c r="U2204" s="323"/>
    </row>
    <row r="2205" spans="1:21" ht="15" customHeight="1">
      <c r="A2205" s="326"/>
      <c r="B2205" s="326"/>
      <c r="C2205" s="339"/>
      <c r="D2205" s="81">
        <f>D2202</f>
        <v>46254</v>
      </c>
      <c r="E2205" s="140" t="str">
        <f>$M$1</f>
        <v>samuelbattista</v>
      </c>
      <c r="F2205" s="8">
        <f>IFERROR(AVERAGE(Data[[#This Row],[alappatjoe]:[currydestroyer27]]), "TBD")</f>
        <v>2.6</v>
      </c>
      <c r="G2205" s="177">
        <f>IFERROR(_xlfn.STDEV.P(Data[[#This Row],[alappatjoe]:[currydestroyer27]]), "TBD")</f>
        <v>1.019803902718557</v>
      </c>
      <c r="H2205" s="135" t="s">
        <v>4490</v>
      </c>
      <c r="I2205" s="229" t="s">
        <v>767</v>
      </c>
      <c r="J2205" s="3">
        <v>3</v>
      </c>
      <c r="K2205" s="3">
        <v>4</v>
      </c>
      <c r="L2205" s="3">
        <v>2</v>
      </c>
      <c r="M2205" s="3">
        <v>1</v>
      </c>
      <c r="N2205" s="3">
        <v>3</v>
      </c>
      <c r="O2205" s="238">
        <v>1416242681</v>
      </c>
      <c r="P2205" s="93"/>
      <c r="Q2205" s="93"/>
      <c r="R220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205" s="93">
        <v>1</v>
      </c>
      <c r="T2205" s="93" t="b">
        <f>Data[[#This Row],[Day Rank]]=Data[[#This Row],[W Rank]]</f>
        <v>0</v>
      </c>
      <c r="U2205" s="323"/>
    </row>
    <row r="2206" spans="1:21" ht="15" customHeight="1" thickBot="1">
      <c r="A2206" s="327"/>
      <c r="B2206" s="327"/>
      <c r="C2206" s="340"/>
      <c r="D2206" s="164">
        <f>D2202</f>
        <v>46254</v>
      </c>
      <c r="E2206" s="215" t="str">
        <f>$N$1</f>
        <v>currydestroyer27</v>
      </c>
      <c r="F2206" s="165">
        <f>IFERROR(AVERAGE(Data[[#This Row],[alappatjoe]:[currydestroyer27]]), "TBD")</f>
        <v>3</v>
      </c>
      <c r="G2206" s="256">
        <f>IFERROR(_xlfn.STDEV.P(Data[[#This Row],[alappatjoe]:[currydestroyer27]]), "TBD")</f>
        <v>1.0954451150103321</v>
      </c>
      <c r="H2206" s="227" t="s">
        <v>4467</v>
      </c>
      <c r="I2206" s="257" t="s">
        <v>440</v>
      </c>
      <c r="J2206" s="166">
        <v>4</v>
      </c>
      <c r="K2206" s="166">
        <v>3</v>
      </c>
      <c r="L2206" s="166">
        <v>4</v>
      </c>
      <c r="M2206" s="166">
        <v>3</v>
      </c>
      <c r="N2206" s="166">
        <v>1</v>
      </c>
      <c r="O2206" s="242">
        <v>2016211915</v>
      </c>
      <c r="P2206" s="167"/>
      <c r="Q2206" s="167"/>
      <c r="R220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206" s="167">
        <v>1</v>
      </c>
      <c r="T2206" s="167" t="b">
        <f>Data[[#This Row],[Day Rank]]=Data[[#This Row],[W Rank]]</f>
        <v>0</v>
      </c>
      <c r="U2206" s="324"/>
    </row>
    <row r="2207" spans="1:21" ht="15" customHeight="1">
      <c r="A2207" s="325">
        <v>46258</v>
      </c>
      <c r="B2207" s="325"/>
      <c r="C2207" s="328" t="str" cm="1">
        <f t="array" ref="C2207">_xlfn.LET(_xlpm.matches, _xlfn._xlws.FILTER(Data[Poster], (Data[Date]=A2207)*(Data[Winner]=TRUE)), IF(ROWS(_xlpm.matches)&gt;1, "TIE", _xlpm.matches))</f>
        <v>samuelbattista</v>
      </c>
      <c r="D2207" s="147">
        <f>A2207</f>
        <v>46258</v>
      </c>
      <c r="E2207" s="181" t="str">
        <f>$J$1</f>
        <v>alappatjoe</v>
      </c>
      <c r="F2207" s="8">
        <f>IFERROR(AVERAGE(Data[[#This Row],[alappatjoe]:[currydestroyer27]]), "TBD")</f>
        <v>2.4</v>
      </c>
      <c r="G2207" s="177">
        <f>IFERROR(_xlfn.STDEV.P(Data[[#This Row],[alappatjoe]:[currydestroyer27]]), "TBD")</f>
        <v>1.2</v>
      </c>
      <c r="H2207" s="135" t="s">
        <v>4476</v>
      </c>
      <c r="I2207" s="229" t="s">
        <v>4477</v>
      </c>
      <c r="J2207" s="3">
        <v>1</v>
      </c>
      <c r="K2207" s="3">
        <v>3</v>
      </c>
      <c r="L2207" s="3">
        <v>1</v>
      </c>
      <c r="M2207" s="3">
        <v>4</v>
      </c>
      <c r="N2207" s="3">
        <v>3</v>
      </c>
      <c r="O2207" s="238">
        <v>298986</v>
      </c>
      <c r="P2207" s="93"/>
      <c r="Q2207" s="93"/>
      <c r="R220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207" s="93">
        <v>1</v>
      </c>
      <c r="T2207" s="93" t="b">
        <f>Data[[#This Row],[Day Rank]]=Data[[#This Row],[W Rank]]</f>
        <v>0</v>
      </c>
      <c r="U2207" s="322"/>
    </row>
    <row r="2208" spans="1:21" ht="15" customHeight="1">
      <c r="A2208" s="326"/>
      <c r="B2208" s="326"/>
      <c r="C2208" s="329"/>
      <c r="D2208" s="81">
        <f>D2207</f>
        <v>46258</v>
      </c>
      <c r="E2208" s="140" t="str">
        <f>$K$1</f>
        <v>danram</v>
      </c>
      <c r="F2208" s="8">
        <f>IFERROR(AVERAGE(Data[[#This Row],[alappatjoe]:[currydestroyer27]]), "TBD")</f>
        <v>5</v>
      </c>
      <c r="G2208" s="177">
        <f>IFERROR(_xlfn.STDEV.P(Data[[#This Row],[alappatjoe]:[currydestroyer27]]), "TBD")</f>
        <v>0</v>
      </c>
      <c r="H2208" s="135" t="s">
        <v>4482</v>
      </c>
      <c r="I2208" s="229" t="s">
        <v>659</v>
      </c>
      <c r="J2208" s="3">
        <v>5</v>
      </c>
      <c r="K2208" s="3">
        <v>5</v>
      </c>
      <c r="L2208" s="3">
        <v>5</v>
      </c>
      <c r="M2208" s="3">
        <v>5</v>
      </c>
      <c r="N2208" s="3">
        <v>5</v>
      </c>
      <c r="O2208" s="238"/>
      <c r="P2208" s="93"/>
      <c r="Q2208" s="93"/>
      <c r="R220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208" s="93">
        <v>1</v>
      </c>
      <c r="T2208" s="93" t="b">
        <f>Data[[#This Row],[Day Rank]]=Data[[#This Row],[W Rank]]</f>
        <v>0</v>
      </c>
      <c r="U2208" s="323"/>
    </row>
    <row r="2209" spans="1:21" ht="15" customHeight="1">
      <c r="A2209" s="326"/>
      <c r="B2209" s="326"/>
      <c r="C2209" s="329"/>
      <c r="D2209" s="81">
        <f>D2207</f>
        <v>46258</v>
      </c>
      <c r="E2209" s="140" t="str">
        <f>$L$1</f>
        <v>loganworsdell</v>
      </c>
      <c r="F2209" s="8">
        <f>IFERROR(AVERAGE(Data[[#This Row],[alappatjoe]:[currydestroyer27]]), "TBD")</f>
        <v>2.8</v>
      </c>
      <c r="G2209" s="177">
        <f>IFERROR(_xlfn.STDEV.P(Data[[#This Row],[alappatjoe]:[currydestroyer27]]), "TBD")</f>
        <v>0.9797958971132712</v>
      </c>
      <c r="H2209" s="135" t="s">
        <v>4468</v>
      </c>
      <c r="I2209" s="229" t="s">
        <v>4469</v>
      </c>
      <c r="J2209" s="3">
        <v>2</v>
      </c>
      <c r="K2209" s="3">
        <v>4</v>
      </c>
      <c r="L2209" s="3">
        <v>2</v>
      </c>
      <c r="M2209" s="3">
        <v>2</v>
      </c>
      <c r="N2209" s="3">
        <v>4</v>
      </c>
      <c r="O2209" s="238">
        <v>74671108</v>
      </c>
      <c r="P2209" s="93"/>
      <c r="Q2209" s="93"/>
      <c r="R220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209" s="93">
        <v>1</v>
      </c>
      <c r="T2209" s="93" t="b">
        <f>Data[[#This Row],[Day Rank]]=Data[[#This Row],[W Rank]]</f>
        <v>0</v>
      </c>
      <c r="U2209" s="323"/>
    </row>
    <row r="2210" spans="1:21" ht="15" customHeight="1">
      <c r="A2210" s="326"/>
      <c r="B2210" s="326"/>
      <c r="C2210" s="329"/>
      <c r="D2210" s="81">
        <f>D2207</f>
        <v>46258</v>
      </c>
      <c r="E2210" s="140" t="str">
        <f>$M$1</f>
        <v>samuelbattista</v>
      </c>
      <c r="F2210" s="8">
        <f>IFERROR(AVERAGE(Data[[#This Row],[alappatjoe]:[currydestroyer27]]), "TBD")</f>
        <v>2.2000000000000002</v>
      </c>
      <c r="G2210" s="177">
        <f>IFERROR(_xlfn.STDEV.P(Data[[#This Row],[alappatjoe]:[currydestroyer27]]), "TBD")</f>
        <v>1.1661903789690602</v>
      </c>
      <c r="H2210" s="135" t="s">
        <v>4491</v>
      </c>
      <c r="I2210" s="229" t="s">
        <v>787</v>
      </c>
      <c r="J2210" s="3">
        <v>3</v>
      </c>
      <c r="K2210" s="3">
        <v>1</v>
      </c>
      <c r="L2210" s="3">
        <v>4</v>
      </c>
      <c r="M2210" s="3">
        <v>1</v>
      </c>
      <c r="N2210" s="3">
        <v>2</v>
      </c>
      <c r="O2210" s="238"/>
      <c r="P2210" s="93"/>
      <c r="Q2210" s="93"/>
      <c r="R221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210" s="93">
        <v>1</v>
      </c>
      <c r="T2210" s="93" t="b">
        <f>Data[[#This Row],[Day Rank]]=Data[[#This Row],[W Rank]]</f>
        <v>1</v>
      </c>
      <c r="U2210" s="323"/>
    </row>
    <row r="2211" spans="1:21" ht="15" customHeight="1" thickBot="1">
      <c r="A2211" s="327"/>
      <c r="B2211" s="327"/>
      <c r="C2211" s="330"/>
      <c r="D2211" s="164">
        <f>D2207</f>
        <v>46258</v>
      </c>
      <c r="E2211" s="215" t="str">
        <f>$N$1</f>
        <v>currydestroyer27</v>
      </c>
      <c r="F2211" s="165">
        <f>IFERROR(AVERAGE(Data[[#This Row],[alappatjoe]:[currydestroyer27]]), "TBD")</f>
        <v>2.6</v>
      </c>
      <c r="G2211" s="256">
        <f>IFERROR(_xlfn.STDEV.P(Data[[#This Row],[alappatjoe]:[currydestroyer27]]), "TBD")</f>
        <v>1.019803902718557</v>
      </c>
      <c r="H2211" s="227" t="s">
        <v>4474</v>
      </c>
      <c r="I2211" s="257" t="s">
        <v>4475</v>
      </c>
      <c r="J2211" s="166">
        <v>4</v>
      </c>
      <c r="K2211" s="166">
        <v>2</v>
      </c>
      <c r="L2211" s="166">
        <v>3</v>
      </c>
      <c r="M2211" s="166">
        <v>3</v>
      </c>
      <c r="N2211" s="166">
        <v>1</v>
      </c>
      <c r="O2211" s="242">
        <v>6916733</v>
      </c>
      <c r="P2211" s="167"/>
      <c r="Q2211" s="167"/>
      <c r="R221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211" s="167">
        <v>1</v>
      </c>
      <c r="T2211" s="167" t="b">
        <f>Data[[#This Row],[Day Rank]]=Data[[#This Row],[W Rank]]</f>
        <v>0</v>
      </c>
      <c r="U2211" s="324"/>
    </row>
    <row r="2212" spans="1:21" ht="15" customHeight="1">
      <c r="A2212" s="325">
        <v>46259</v>
      </c>
      <c r="B2212" s="325"/>
      <c r="C2212" s="338" t="str" cm="1">
        <f t="array" ref="C2212">_xlfn.LET(_xlpm.matches, _xlfn._xlws.FILTER(Data[Poster], (Data[Date]=A2212)*(Data[Winner]=TRUE)), IF(ROWS(_xlpm.matches)&gt;1, "TIE", _xlpm.matches))</f>
        <v>loganworsdell</v>
      </c>
      <c r="D2212" s="147">
        <f>A2212</f>
        <v>46259</v>
      </c>
      <c r="E2212" s="181" t="str">
        <f>$J$1</f>
        <v>alappatjoe</v>
      </c>
      <c r="F2212" s="9">
        <f>IFERROR(AVERAGE(Data[[#This Row],[alappatjoe]:[currydestroyer27]]), "TBD")</f>
        <v>3.4</v>
      </c>
      <c r="G2212" s="178">
        <f>IFERROR(_xlfn.STDEV.P(Data[[#This Row],[alappatjoe]:[currydestroyer27]]), "TBD")</f>
        <v>1.6248076809271921</v>
      </c>
      <c r="H2212" s="160" t="s">
        <v>4496</v>
      </c>
      <c r="I2212" s="186" t="s">
        <v>4497</v>
      </c>
      <c r="J2212" s="3">
        <v>1</v>
      </c>
      <c r="K2212" s="3">
        <v>5</v>
      </c>
      <c r="L2212" s="3">
        <v>2</v>
      </c>
      <c r="M2212" s="3">
        <v>4</v>
      </c>
      <c r="N2212" s="3">
        <v>5</v>
      </c>
      <c r="O2212" s="238">
        <v>989867</v>
      </c>
      <c r="P2212" s="93"/>
      <c r="Q2212" s="93"/>
      <c r="R221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212" s="93">
        <v>1</v>
      </c>
      <c r="T2212" s="93" t="b">
        <f>Data[[#This Row],[Day Rank]]=Data[[#This Row],[W Rank]]</f>
        <v>0</v>
      </c>
      <c r="U2212" s="322"/>
    </row>
    <row r="2213" spans="1:21" ht="15" customHeight="1">
      <c r="A2213" s="326"/>
      <c r="B2213" s="326"/>
      <c r="C2213" s="339"/>
      <c r="D2213" s="81">
        <f>D2212</f>
        <v>46259</v>
      </c>
      <c r="E2213" s="140" t="str">
        <f>$K$1</f>
        <v>danram</v>
      </c>
      <c r="F2213" s="8">
        <f>IFERROR(AVERAGE(Data[[#This Row],[alappatjoe]:[currydestroyer27]]), "TBD")</f>
        <v>2.8</v>
      </c>
      <c r="G2213" s="177">
        <f>IFERROR(_xlfn.STDEV.P(Data[[#This Row],[alappatjoe]:[currydestroyer27]]), "TBD")</f>
        <v>1.4696938456699069</v>
      </c>
      <c r="H2213" s="135" t="s">
        <v>4483</v>
      </c>
      <c r="I2213" s="229" t="s">
        <v>4484</v>
      </c>
      <c r="J2213" s="3">
        <v>4</v>
      </c>
      <c r="K2213" s="3">
        <v>1</v>
      </c>
      <c r="L2213" s="3">
        <v>5</v>
      </c>
      <c r="M2213" s="3">
        <v>2</v>
      </c>
      <c r="N2213" s="3">
        <v>2</v>
      </c>
      <c r="O2213" s="238"/>
      <c r="P2213" s="93"/>
      <c r="Q2213" s="93"/>
      <c r="R221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213" s="93">
        <v>1</v>
      </c>
      <c r="T2213" s="93" t="b">
        <f>Data[[#This Row],[Day Rank]]=Data[[#This Row],[W Rank]]</f>
        <v>0</v>
      </c>
      <c r="U2213" s="323"/>
    </row>
    <row r="2214" spans="1:21" ht="15" customHeight="1">
      <c r="A2214" s="326"/>
      <c r="B2214" s="326"/>
      <c r="C2214" s="339"/>
      <c r="D2214" s="81">
        <f>D2212</f>
        <v>46259</v>
      </c>
      <c r="E2214" s="140" t="str">
        <f>$L$1</f>
        <v>loganworsdell</v>
      </c>
      <c r="F2214" s="8">
        <f>IFERROR(AVERAGE(Data[[#This Row],[alappatjoe]:[currydestroyer27]]), "TBD")</f>
        <v>2.6</v>
      </c>
      <c r="G2214" s="177">
        <f>IFERROR(_xlfn.STDEV.P(Data[[#This Row],[alappatjoe]:[currydestroyer27]]), "TBD")</f>
        <v>1.019803902718557</v>
      </c>
      <c r="H2214" s="135" t="s">
        <v>2146</v>
      </c>
      <c r="I2214" s="229" t="s">
        <v>4479</v>
      </c>
      <c r="J2214" s="3">
        <v>2</v>
      </c>
      <c r="K2214" s="3">
        <v>4</v>
      </c>
      <c r="L2214" s="3">
        <v>1</v>
      </c>
      <c r="M2214" s="3">
        <v>3</v>
      </c>
      <c r="N2214" s="3">
        <v>3</v>
      </c>
      <c r="O2214" s="238">
        <v>205129855</v>
      </c>
      <c r="P2214" s="93"/>
      <c r="Q2214" s="93"/>
      <c r="R221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214" s="93">
        <v>1</v>
      </c>
      <c r="T2214" s="93" t="b">
        <f>Data[[#This Row],[Day Rank]]=Data[[#This Row],[W Rank]]</f>
        <v>1</v>
      </c>
      <c r="U2214" s="323"/>
    </row>
    <row r="2215" spans="1:21" ht="15" customHeight="1">
      <c r="A2215" s="326"/>
      <c r="B2215" s="326"/>
      <c r="C2215" s="339"/>
      <c r="D2215" s="81">
        <f>D2212</f>
        <v>46259</v>
      </c>
      <c r="E2215" s="140" t="str">
        <f>$M$1</f>
        <v>samuelbattista</v>
      </c>
      <c r="F2215" s="8">
        <f>IFERROR(AVERAGE(Data[[#This Row],[alappatjoe]:[currydestroyer27]]), "TBD")</f>
        <v>3.4</v>
      </c>
      <c r="G2215" s="177">
        <f>IFERROR(_xlfn.STDEV.P(Data[[#This Row],[alappatjoe]:[currydestroyer27]]), "TBD")</f>
        <v>1.3564659966250536</v>
      </c>
      <c r="H2215" s="135" t="s">
        <v>4494</v>
      </c>
      <c r="I2215" s="229" t="s">
        <v>4495</v>
      </c>
      <c r="J2215" s="3">
        <v>5</v>
      </c>
      <c r="K2215" s="3">
        <v>3</v>
      </c>
      <c r="L2215" s="3">
        <v>4</v>
      </c>
      <c r="M2215" s="3">
        <v>1</v>
      </c>
      <c r="N2215" s="3">
        <v>4</v>
      </c>
      <c r="O2215" s="238"/>
      <c r="P2215" s="93"/>
      <c r="Q2215" s="93"/>
      <c r="R221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215" s="93">
        <v>1</v>
      </c>
      <c r="T2215" s="93" t="b">
        <f>Data[[#This Row],[Day Rank]]=Data[[#This Row],[W Rank]]</f>
        <v>0</v>
      </c>
      <c r="U2215" s="323"/>
    </row>
    <row r="2216" spans="1:21" ht="15" customHeight="1" thickBot="1">
      <c r="A2216" s="327"/>
      <c r="B2216" s="327"/>
      <c r="C2216" s="340"/>
      <c r="D2216" s="164">
        <f>D2212</f>
        <v>46259</v>
      </c>
      <c r="E2216" s="215" t="str">
        <f>$N$1</f>
        <v>currydestroyer27</v>
      </c>
      <c r="F2216" s="165">
        <f>IFERROR(AVERAGE(Data[[#This Row],[alappatjoe]:[currydestroyer27]]), "TBD")</f>
        <v>2.8</v>
      </c>
      <c r="G2216" s="256">
        <f>IFERROR(_xlfn.STDEV.P(Data[[#This Row],[alappatjoe]:[currydestroyer27]]), "TBD")</f>
        <v>1.3266499161421599</v>
      </c>
      <c r="H2216" s="227" t="s">
        <v>4485</v>
      </c>
      <c r="I2216" s="257" t="s">
        <v>4486</v>
      </c>
      <c r="J2216" s="166">
        <v>3</v>
      </c>
      <c r="K2216" s="166">
        <v>2</v>
      </c>
      <c r="L2216" s="166">
        <v>3</v>
      </c>
      <c r="M2216" s="166">
        <v>5</v>
      </c>
      <c r="N2216" s="166">
        <v>1</v>
      </c>
      <c r="O2216" s="242">
        <v>41487299</v>
      </c>
      <c r="P2216" s="167" t="s">
        <v>76</v>
      </c>
      <c r="Q2216" s="167" t="s">
        <v>99</v>
      </c>
      <c r="R221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216" s="167">
        <v>1</v>
      </c>
      <c r="T2216" s="167" t="b">
        <f>Data[[#This Row],[Day Rank]]=Data[[#This Row],[W Rank]]</f>
        <v>0</v>
      </c>
      <c r="U2216" s="324"/>
    </row>
    <row r="2217" spans="1:21" ht="15" customHeight="1">
      <c r="A2217" s="325">
        <v>46260</v>
      </c>
      <c r="B2217" s="325"/>
      <c r="C2217" s="328" t="str" cm="1">
        <f t="array" ref="C2217">_xlfn.LET(_xlpm.matches, _xlfn._xlws.FILTER(Data[Poster], (Data[Date]=A2217)*(Data[Winner]=TRUE)), IF(ROWS(_xlpm.matches)&gt;1, "TIE", _xlpm.matches))</f>
        <v>danram</v>
      </c>
      <c r="D2217" s="147">
        <f>A2217</f>
        <v>46260</v>
      </c>
      <c r="E2217" s="181" t="str">
        <f>$J$1</f>
        <v>alappatjoe</v>
      </c>
      <c r="F2217" s="9">
        <f>IFERROR(AVERAGE(Data[[#This Row],[alappatjoe]:[currydestroyer27]]), "TBD")</f>
        <v>2.6</v>
      </c>
      <c r="G2217" s="178">
        <f>IFERROR(_xlfn.STDEV.P(Data[[#This Row],[alappatjoe]:[currydestroyer27]]), "TBD")</f>
        <v>1.2</v>
      </c>
      <c r="H2217" s="160" t="s">
        <v>4498</v>
      </c>
      <c r="I2217" s="186" t="s">
        <v>4499</v>
      </c>
      <c r="J2217" s="3">
        <v>1</v>
      </c>
      <c r="K2217" s="3">
        <v>2</v>
      </c>
      <c r="L2217" s="3">
        <v>4</v>
      </c>
      <c r="M2217" s="3">
        <v>2</v>
      </c>
      <c r="N2217" s="3">
        <v>4</v>
      </c>
      <c r="O2217" s="238">
        <v>4431124</v>
      </c>
      <c r="P2217" s="93"/>
      <c r="Q2217" s="93"/>
      <c r="R2217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217" s="93">
        <v>1</v>
      </c>
      <c r="T2217" s="93" t="b">
        <f>Data[[#This Row],[Day Rank]]=Data[[#This Row],[W Rank]]</f>
        <v>0</v>
      </c>
      <c r="U2217" s="322"/>
    </row>
    <row r="2218" spans="1:21" ht="15" customHeight="1">
      <c r="A2218" s="326"/>
      <c r="B2218" s="326"/>
      <c r="C2218" s="329"/>
      <c r="D2218" s="81">
        <f>D2217</f>
        <v>46260</v>
      </c>
      <c r="E2218" s="140" t="str">
        <f>$K$1</f>
        <v>danram</v>
      </c>
      <c r="F2218" s="8">
        <f>IFERROR(AVERAGE(Data[[#This Row],[alappatjoe]:[currydestroyer27]]), "TBD")</f>
        <v>1.8</v>
      </c>
      <c r="G2218" s="177">
        <f>IFERROR(_xlfn.STDEV.P(Data[[#This Row],[alappatjoe]:[currydestroyer27]]), "TBD")</f>
        <v>1.1661903789690602</v>
      </c>
      <c r="H2218" s="135" t="s">
        <v>4489</v>
      </c>
      <c r="I2218" s="229" t="s">
        <v>1061</v>
      </c>
      <c r="J2218" s="3">
        <v>4</v>
      </c>
      <c r="K2218" s="3">
        <v>1</v>
      </c>
      <c r="L2218" s="3">
        <v>1</v>
      </c>
      <c r="M2218" s="3">
        <v>1</v>
      </c>
      <c r="N2218" s="3">
        <v>2</v>
      </c>
      <c r="O2218" s="238"/>
      <c r="P2218" s="93"/>
      <c r="Q2218" s="93"/>
      <c r="R2218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218" s="93">
        <v>1</v>
      </c>
      <c r="T2218" s="93" t="b">
        <f>Data[[#This Row],[Day Rank]]=Data[[#This Row],[W Rank]]</f>
        <v>1</v>
      </c>
      <c r="U2218" s="323"/>
    </row>
    <row r="2219" spans="1:21" ht="15" customHeight="1">
      <c r="A2219" s="326"/>
      <c r="B2219" s="326"/>
      <c r="C2219" s="329"/>
      <c r="D2219" s="81">
        <f>D2217</f>
        <v>46260</v>
      </c>
      <c r="E2219" s="140" t="str">
        <f>$L$1</f>
        <v>loganworsdell</v>
      </c>
      <c r="F2219" s="8">
        <f>IFERROR(AVERAGE(Data[[#This Row],[alappatjoe]:[currydestroyer27]]), "TBD")</f>
        <v>3.4</v>
      </c>
      <c r="G2219" s="177">
        <f>IFERROR(_xlfn.STDEV.P(Data[[#This Row],[alappatjoe]:[currydestroyer27]]), "TBD")</f>
        <v>1.019803902718557</v>
      </c>
      <c r="H2219" s="135" t="s">
        <v>4487</v>
      </c>
      <c r="I2219" s="229" t="s">
        <v>4488</v>
      </c>
      <c r="J2219" s="3">
        <v>2</v>
      </c>
      <c r="K2219" s="3">
        <v>5</v>
      </c>
      <c r="L2219" s="3">
        <v>3</v>
      </c>
      <c r="M2219" s="3">
        <v>4</v>
      </c>
      <c r="N2219" s="3">
        <v>3</v>
      </c>
      <c r="O2219" s="238">
        <v>36130117</v>
      </c>
      <c r="P2219" s="93"/>
      <c r="Q2219" s="93"/>
      <c r="R2219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219" s="93">
        <v>1</v>
      </c>
      <c r="T2219" s="93" t="b">
        <f>Data[[#This Row],[Day Rank]]=Data[[#This Row],[W Rank]]</f>
        <v>0</v>
      </c>
      <c r="U2219" s="323"/>
    </row>
    <row r="2220" spans="1:21" ht="15" customHeight="1">
      <c r="A2220" s="326"/>
      <c r="B2220" s="326"/>
      <c r="C2220" s="329"/>
      <c r="D2220" s="81">
        <f>D2217</f>
        <v>46260</v>
      </c>
      <c r="E2220" s="140" t="str">
        <f>$M$1</f>
        <v>samuelbattista</v>
      </c>
      <c r="F2220" s="8">
        <f>IFERROR(AVERAGE(Data[[#This Row],[alappatjoe]:[currydestroyer27]]), "TBD")</f>
        <v>4.5999999999999996</v>
      </c>
      <c r="G2220" s="177">
        <f>IFERROR(_xlfn.STDEV.P(Data[[#This Row],[alappatjoe]:[currydestroyer27]]), "TBD")</f>
        <v>0.8</v>
      </c>
      <c r="H2220" s="135" t="s">
        <v>4507</v>
      </c>
      <c r="I2220" s="229" t="s">
        <v>4508</v>
      </c>
      <c r="J2220" s="3">
        <v>5</v>
      </c>
      <c r="K2220" s="3">
        <v>3</v>
      </c>
      <c r="L2220" s="3">
        <v>5</v>
      </c>
      <c r="M2220" s="3">
        <v>5</v>
      </c>
      <c r="N2220" s="3">
        <v>5</v>
      </c>
      <c r="O2220" s="238"/>
      <c r="P2220" s="93"/>
      <c r="Q2220" s="93"/>
      <c r="R2220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220" s="93">
        <v>1</v>
      </c>
      <c r="T2220" s="93" t="b">
        <f>Data[[#This Row],[Day Rank]]=Data[[#This Row],[W Rank]]</f>
        <v>0</v>
      </c>
      <c r="U2220" s="323"/>
    </row>
    <row r="2221" spans="1:21" ht="15" customHeight="1" thickBot="1">
      <c r="A2221" s="327"/>
      <c r="B2221" s="327"/>
      <c r="C2221" s="330"/>
      <c r="D2221" s="164">
        <f>D2217</f>
        <v>46260</v>
      </c>
      <c r="E2221" s="215" t="str">
        <f>$N$1</f>
        <v>currydestroyer27</v>
      </c>
      <c r="F2221" s="165">
        <f>IFERROR(AVERAGE(Data[[#This Row],[alappatjoe]:[currydestroyer27]]), "TBD")</f>
        <v>2.6</v>
      </c>
      <c r="G2221" s="256">
        <f>IFERROR(_xlfn.STDEV.P(Data[[#This Row],[alappatjoe]:[currydestroyer27]]), "TBD")</f>
        <v>1.019803902718557</v>
      </c>
      <c r="H2221" s="227" t="s">
        <v>4492</v>
      </c>
      <c r="I2221" s="257" t="s">
        <v>4493</v>
      </c>
      <c r="J2221" s="166">
        <v>3</v>
      </c>
      <c r="K2221" s="166">
        <v>4</v>
      </c>
      <c r="L2221" s="166">
        <v>2</v>
      </c>
      <c r="M2221" s="166">
        <v>3</v>
      </c>
      <c r="N2221" s="166">
        <v>1</v>
      </c>
      <c r="O2221" s="242">
        <v>59298811</v>
      </c>
      <c r="P2221" s="167" t="s">
        <v>76</v>
      </c>
      <c r="Q2221" s="167" t="s">
        <v>99</v>
      </c>
      <c r="R2221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221" s="167">
        <v>1</v>
      </c>
      <c r="T2221" s="167" t="b">
        <f>Data[[#This Row],[Day Rank]]=Data[[#This Row],[W Rank]]</f>
        <v>0</v>
      </c>
      <c r="U2221" s="324"/>
    </row>
    <row r="2222" spans="1:21" ht="15" customHeight="1" thickBot="1">
      <c r="A2222" s="325">
        <v>46261</v>
      </c>
      <c r="B2222" s="325"/>
      <c r="C2222" s="338" t="str" cm="1">
        <f t="array" ref="C2222">_xlfn.LET(_xlpm.matches, _xlfn._xlws.FILTER(Data[Poster], (Data[Date]=A2222)*(Data[Winner]=TRUE)), IF(ROWS(_xlpm.matches)&gt;1, "TIE", _xlpm.matches))</f>
        <v>samuelbattista</v>
      </c>
      <c r="D2222" s="147">
        <f>A2222</f>
        <v>46261</v>
      </c>
      <c r="E2222" s="181" t="str">
        <f>$J$1</f>
        <v>alappatjoe</v>
      </c>
      <c r="F2222" s="9">
        <f>IFERROR(AVERAGE(Data[[#This Row],[alappatjoe]:[currydestroyer27]]), "TBD")</f>
        <v>4.4000000000000004</v>
      </c>
      <c r="G2222" s="178">
        <f>IFERROR(_xlfn.STDEV.P(Data[[#This Row],[alappatjoe]:[currydestroyer27]]), "TBD")</f>
        <v>0.4898979485566356</v>
      </c>
      <c r="H2222" s="160" t="s">
        <v>4502</v>
      </c>
      <c r="I2222" s="186" t="s">
        <v>4503</v>
      </c>
      <c r="J2222" s="3">
        <v>4</v>
      </c>
      <c r="K2222" s="3">
        <v>5</v>
      </c>
      <c r="L2222" s="3">
        <v>5</v>
      </c>
      <c r="M2222" s="3">
        <v>4</v>
      </c>
      <c r="N2222" s="3">
        <v>4</v>
      </c>
      <c r="O2222" s="238">
        <v>39817867</v>
      </c>
      <c r="P2222" s="167" t="s">
        <v>144</v>
      </c>
      <c r="Q2222" s="93"/>
      <c r="R2222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5</v>
      </c>
      <c r="S2222" s="93">
        <v>1</v>
      </c>
      <c r="T2222" s="93" t="b">
        <f>Data[[#This Row],[Day Rank]]=Data[[#This Row],[W Rank]]</f>
        <v>0</v>
      </c>
      <c r="U2222" s="322" t="s">
        <v>4134</v>
      </c>
    </row>
    <row r="2223" spans="1:21" ht="15" customHeight="1">
      <c r="A2223" s="326"/>
      <c r="B2223" s="326"/>
      <c r="C2223" s="339"/>
      <c r="D2223" s="81">
        <f>D2222</f>
        <v>46261</v>
      </c>
      <c r="E2223" s="140" t="str">
        <f>$K$1</f>
        <v>danram</v>
      </c>
      <c r="F2223" s="8">
        <f>IFERROR(AVERAGE(Data[[#This Row],[alappatjoe]:[currydestroyer27]]), "TBD")</f>
        <v>3.2</v>
      </c>
      <c r="G2223" s="177">
        <f>IFERROR(_xlfn.STDEV.P(Data[[#This Row],[alappatjoe]:[currydestroyer27]]), "TBD")</f>
        <v>1.1661903789690602</v>
      </c>
      <c r="H2223" s="135" t="s">
        <v>4510</v>
      </c>
      <c r="I2223" s="229" t="s">
        <v>4511</v>
      </c>
      <c r="J2223" s="3">
        <v>3</v>
      </c>
      <c r="K2223" s="3">
        <v>2</v>
      </c>
      <c r="L2223" s="3">
        <v>4</v>
      </c>
      <c r="M2223" s="3">
        <v>2</v>
      </c>
      <c r="N2223" s="3">
        <v>5</v>
      </c>
      <c r="O2223" s="238"/>
      <c r="P2223" s="93"/>
      <c r="Q2223" s="93"/>
      <c r="R2223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4</v>
      </c>
      <c r="S2223" s="93">
        <v>1</v>
      </c>
      <c r="T2223" s="93" t="b">
        <f>Data[[#This Row],[Day Rank]]=Data[[#This Row],[W Rank]]</f>
        <v>0</v>
      </c>
      <c r="U2223" s="323"/>
    </row>
    <row r="2224" spans="1:21" ht="15" customHeight="1">
      <c r="A2224" s="326"/>
      <c r="B2224" s="326"/>
      <c r="C2224" s="339"/>
      <c r="D2224" s="81">
        <f>D2222</f>
        <v>46261</v>
      </c>
      <c r="E2224" s="140" t="str">
        <f>$L$1</f>
        <v>loganworsdell</v>
      </c>
      <c r="F2224" s="8">
        <f>IFERROR(AVERAGE(Data[[#This Row],[alappatjoe]:[currydestroyer27]]), "TBD")</f>
        <v>2.8</v>
      </c>
      <c r="G2224" s="177">
        <f>IFERROR(_xlfn.STDEV.P(Data[[#This Row],[alappatjoe]:[currydestroyer27]]), "TBD")</f>
        <v>0.4</v>
      </c>
      <c r="H2224" s="135" t="s">
        <v>4500</v>
      </c>
      <c r="I2224" s="229" t="s">
        <v>4501</v>
      </c>
      <c r="J2224" s="3">
        <v>2</v>
      </c>
      <c r="K2224" s="3">
        <v>3</v>
      </c>
      <c r="L2224" s="3">
        <v>3</v>
      </c>
      <c r="M2224" s="3">
        <v>3</v>
      </c>
      <c r="N2224" s="3">
        <v>3</v>
      </c>
      <c r="O2224" s="238">
        <v>898490436</v>
      </c>
      <c r="P2224" s="93"/>
      <c r="Q2224" s="93"/>
      <c r="R2224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2</v>
      </c>
      <c r="S2224" s="93">
        <v>1</v>
      </c>
      <c r="T2224" s="93" t="b">
        <f>Data[[#This Row],[Day Rank]]=Data[[#This Row],[W Rank]]</f>
        <v>0</v>
      </c>
      <c r="U2224" s="323"/>
    </row>
    <row r="2225" spans="1:21" ht="15" customHeight="1">
      <c r="A2225" s="326"/>
      <c r="B2225" s="326"/>
      <c r="C2225" s="339"/>
      <c r="D2225" s="81">
        <f>D2222</f>
        <v>46261</v>
      </c>
      <c r="E2225" s="140" t="str">
        <f>$M$1</f>
        <v>samuelbattista</v>
      </c>
      <c r="F2225" s="8">
        <f>IFERROR(AVERAGE(Data[[#This Row],[alappatjoe]:[currydestroyer27]]), "TBD")</f>
        <v>1.8</v>
      </c>
      <c r="G2225" s="177">
        <f>IFERROR(_xlfn.STDEV.P(Data[[#This Row],[alappatjoe]:[currydestroyer27]]), "TBD")</f>
        <v>1.6</v>
      </c>
      <c r="H2225" s="135" t="s">
        <v>4509</v>
      </c>
      <c r="I2225" s="229" t="s">
        <v>4501</v>
      </c>
      <c r="J2225" s="3">
        <v>5</v>
      </c>
      <c r="K2225" s="3">
        <v>1</v>
      </c>
      <c r="L2225" s="3">
        <v>1</v>
      </c>
      <c r="M2225" s="3">
        <v>1</v>
      </c>
      <c r="N2225" s="3">
        <v>1</v>
      </c>
      <c r="O2225" s="238"/>
      <c r="P2225" s="93"/>
      <c r="Q2225" s="93"/>
      <c r="R2225" s="93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1</v>
      </c>
      <c r="S2225" s="93">
        <v>1</v>
      </c>
      <c r="T2225" s="93" t="b">
        <f>Data[[#This Row],[Day Rank]]=Data[[#This Row],[W Rank]]</f>
        <v>1</v>
      </c>
      <c r="U2225" s="323"/>
    </row>
    <row r="2226" spans="1:21" ht="15" customHeight="1" thickBot="1">
      <c r="A2226" s="327"/>
      <c r="B2226" s="327"/>
      <c r="C2226" s="340"/>
      <c r="D2226" s="164">
        <f>D2222</f>
        <v>46261</v>
      </c>
      <c r="E2226" s="215" t="str">
        <f>$N$1</f>
        <v>currydestroyer27</v>
      </c>
      <c r="F2226" s="165">
        <f>IFERROR(AVERAGE(Data[[#This Row],[alappatjoe]:[currydestroyer27]]), "TBD")</f>
        <v>2.8</v>
      </c>
      <c r="G2226" s="256">
        <f>IFERROR(_xlfn.STDEV.P(Data[[#This Row],[alappatjoe]:[currydestroyer27]]), "TBD")</f>
        <v>1.4696938456699069</v>
      </c>
      <c r="H2226" s="227" t="s">
        <v>4506</v>
      </c>
      <c r="I2226" s="257" t="s">
        <v>4501</v>
      </c>
      <c r="J2226" s="166">
        <v>1</v>
      </c>
      <c r="K2226" s="166">
        <v>4</v>
      </c>
      <c r="L2226" s="166">
        <v>2</v>
      </c>
      <c r="M2226" s="166">
        <v>5</v>
      </c>
      <c r="N2226" s="166">
        <v>2</v>
      </c>
      <c r="O2226" s="242">
        <v>6388458</v>
      </c>
      <c r="P2226" s="167" t="s">
        <v>144</v>
      </c>
      <c r="Q2226" s="167"/>
      <c r="R2226" s="167">
        <f>IF(SUM(Data[[#This Row],[alappatjoe]:[currydestroyer27]])&gt;0, COUNTIFS(Data[Date], Data[[#This Row],[Date]], Data[Average], "&lt;"&amp;Data[[#This Row],[Average]]) + COUNTIFS(Data[Date], Data[[#This Row],[Date]], Data[Average], Data[[#This Row],[Average]], Data[STDEV], "&lt;"&amp;Data[[#This Row],[STDEV]])+1, "TBD")</f>
        <v>3</v>
      </c>
      <c r="S2226" s="167">
        <v>1</v>
      </c>
      <c r="T2226" s="167" t="b">
        <f>Data[[#This Row],[Day Rank]]=Data[[#This Row],[W Rank]]</f>
        <v>0</v>
      </c>
      <c r="U2226" s="324"/>
    </row>
  </sheetData>
  <mergeCells count="1764">
    <mergeCell ref="U2187:U2191"/>
    <mergeCell ref="U2192:U2196"/>
    <mergeCell ref="U2197:U2201"/>
    <mergeCell ref="U2202:U2206"/>
    <mergeCell ref="U2207:U2211"/>
    <mergeCell ref="U2212:U2216"/>
    <mergeCell ref="U2217:U2221"/>
    <mergeCell ref="U2222:U2226"/>
    <mergeCell ref="A2187:A2191"/>
    <mergeCell ref="B2187:B2191"/>
    <mergeCell ref="C2187:C2191"/>
    <mergeCell ref="A2192:A2196"/>
    <mergeCell ref="B2192:B2196"/>
    <mergeCell ref="C2192:C2196"/>
    <mergeCell ref="A2197:A2201"/>
    <mergeCell ref="B2197:B2201"/>
    <mergeCell ref="C2197:C2201"/>
    <mergeCell ref="A2202:A2206"/>
    <mergeCell ref="B2202:B2206"/>
    <mergeCell ref="C2202:C2206"/>
    <mergeCell ref="A2207:A2211"/>
    <mergeCell ref="B2207:B2211"/>
    <mergeCell ref="C2207:C2211"/>
    <mergeCell ref="A2212:A2216"/>
    <mergeCell ref="B2212:B2216"/>
    <mergeCell ref="C2212:C2216"/>
    <mergeCell ref="A2217:A2221"/>
    <mergeCell ref="B2217:B2221"/>
    <mergeCell ref="C2217:C2221"/>
    <mergeCell ref="A2222:A2226"/>
    <mergeCell ref="B2222:B2226"/>
    <mergeCell ref="C2222:C2226"/>
    <mergeCell ref="U2107:U2111"/>
    <mergeCell ref="U2112:U2116"/>
    <mergeCell ref="U2117:U2121"/>
    <mergeCell ref="U2122:U2126"/>
    <mergeCell ref="U2127:U2131"/>
    <mergeCell ref="U2132:U2136"/>
    <mergeCell ref="U2137:U2141"/>
    <mergeCell ref="U2142:U2146"/>
    <mergeCell ref="A2107:A2111"/>
    <mergeCell ref="B2107:B2111"/>
    <mergeCell ref="C2107:C2111"/>
    <mergeCell ref="A2112:A2116"/>
    <mergeCell ref="B2112:B2116"/>
    <mergeCell ref="C2112:C2116"/>
    <mergeCell ref="A2117:A2121"/>
    <mergeCell ref="B2117:B2121"/>
    <mergeCell ref="C2117:C2121"/>
    <mergeCell ref="A2122:A2126"/>
    <mergeCell ref="B2122:B2126"/>
    <mergeCell ref="C2122:C2126"/>
    <mergeCell ref="A2127:A2131"/>
    <mergeCell ref="B2127:B2131"/>
    <mergeCell ref="C2127:C2131"/>
    <mergeCell ref="A2132:A2136"/>
    <mergeCell ref="B2132:B2136"/>
    <mergeCell ref="C2132:C2136"/>
    <mergeCell ref="A2137:A2141"/>
    <mergeCell ref="B2137:B2141"/>
    <mergeCell ref="C2137:C2141"/>
    <mergeCell ref="A2142:A2146"/>
    <mergeCell ref="B2142:B2146"/>
    <mergeCell ref="C2142:C2146"/>
    <mergeCell ref="U2067:U2071"/>
    <mergeCell ref="U2072:U2076"/>
    <mergeCell ref="U2077:U2081"/>
    <mergeCell ref="U2082:U2086"/>
    <mergeCell ref="U2087:U2091"/>
    <mergeCell ref="U2092:U2096"/>
    <mergeCell ref="U2097:U2101"/>
    <mergeCell ref="U2102:U2106"/>
    <mergeCell ref="A2067:A2071"/>
    <mergeCell ref="B2067:B2071"/>
    <mergeCell ref="C2067:C2071"/>
    <mergeCell ref="A2072:A2076"/>
    <mergeCell ref="B2072:B2076"/>
    <mergeCell ref="C2072:C2076"/>
    <mergeCell ref="A2077:A2081"/>
    <mergeCell ref="B2077:B2081"/>
    <mergeCell ref="C2077:C2081"/>
    <mergeCell ref="A2082:A2086"/>
    <mergeCell ref="B2082:B2086"/>
    <mergeCell ref="C2082:C2086"/>
    <mergeCell ref="A2087:A2091"/>
    <mergeCell ref="B2087:B2091"/>
    <mergeCell ref="C2087:C2091"/>
    <mergeCell ref="A2092:A2096"/>
    <mergeCell ref="B2092:B2096"/>
    <mergeCell ref="C2092:C2096"/>
    <mergeCell ref="A2097:A2101"/>
    <mergeCell ref="B2097:B2101"/>
    <mergeCell ref="C2097:C2101"/>
    <mergeCell ref="A2102:A2106"/>
    <mergeCell ref="B2102:B2106"/>
    <mergeCell ref="C2102:C2106"/>
    <mergeCell ref="U1987:U1991"/>
    <mergeCell ref="U1992:U1996"/>
    <mergeCell ref="U1997:U2001"/>
    <mergeCell ref="U2002:U2006"/>
    <mergeCell ref="U2007:U2011"/>
    <mergeCell ref="U2012:U2016"/>
    <mergeCell ref="U2017:U2021"/>
    <mergeCell ref="U2022:U2026"/>
    <mergeCell ref="A1987:A1991"/>
    <mergeCell ref="B1987:B1991"/>
    <mergeCell ref="C1987:C1991"/>
    <mergeCell ref="A1992:A1996"/>
    <mergeCell ref="B1992:B1996"/>
    <mergeCell ref="C1992:C1996"/>
    <mergeCell ref="A1997:A2001"/>
    <mergeCell ref="B1997:B2001"/>
    <mergeCell ref="C1997:C2001"/>
    <mergeCell ref="A2002:A2006"/>
    <mergeCell ref="B2002:B2006"/>
    <mergeCell ref="C2002:C2006"/>
    <mergeCell ref="A2007:A2011"/>
    <mergeCell ref="B2007:B2011"/>
    <mergeCell ref="C2007:C2011"/>
    <mergeCell ref="A2012:A2016"/>
    <mergeCell ref="B2012:B2016"/>
    <mergeCell ref="C2012:C2016"/>
    <mergeCell ref="A2017:A2021"/>
    <mergeCell ref="B2017:B2021"/>
    <mergeCell ref="C2017:C2021"/>
    <mergeCell ref="A2022:A2026"/>
    <mergeCell ref="B2022:B2026"/>
    <mergeCell ref="C2022:C2026"/>
    <mergeCell ref="U1887:U1891"/>
    <mergeCell ref="U1892:U1896"/>
    <mergeCell ref="U1897:U1901"/>
    <mergeCell ref="U1902:U1906"/>
    <mergeCell ref="U1907:U1911"/>
    <mergeCell ref="U1912:U1916"/>
    <mergeCell ref="U1917:U1921"/>
    <mergeCell ref="U1922:U1926"/>
    <mergeCell ref="A1887:A1891"/>
    <mergeCell ref="B1887:B1891"/>
    <mergeCell ref="C1887:C1891"/>
    <mergeCell ref="A1892:A1896"/>
    <mergeCell ref="B1892:B1896"/>
    <mergeCell ref="C1892:C1896"/>
    <mergeCell ref="A1897:A1901"/>
    <mergeCell ref="B1897:B1901"/>
    <mergeCell ref="C1897:C1901"/>
    <mergeCell ref="A1902:A1906"/>
    <mergeCell ref="B1902:B1906"/>
    <mergeCell ref="C1902:C1906"/>
    <mergeCell ref="A1907:A1911"/>
    <mergeCell ref="B1907:B1911"/>
    <mergeCell ref="C1907:C1911"/>
    <mergeCell ref="A1912:A1916"/>
    <mergeCell ref="B1912:B1916"/>
    <mergeCell ref="C1912:C1916"/>
    <mergeCell ref="A1917:A1921"/>
    <mergeCell ref="B1917:B1921"/>
    <mergeCell ref="C1917:C1921"/>
    <mergeCell ref="A1922:A1926"/>
    <mergeCell ref="B1922:B1926"/>
    <mergeCell ref="C1922:C1926"/>
    <mergeCell ref="B1722:B1726"/>
    <mergeCell ref="C1722:C1726"/>
    <mergeCell ref="U1687:U1691"/>
    <mergeCell ref="U1692:U1696"/>
    <mergeCell ref="U1697:U1701"/>
    <mergeCell ref="U1702:U1706"/>
    <mergeCell ref="U1707:U1711"/>
    <mergeCell ref="U1712:U1716"/>
    <mergeCell ref="U1717:U1721"/>
    <mergeCell ref="U1722:U1726"/>
    <mergeCell ref="A1687:A1691"/>
    <mergeCell ref="B1687:B1691"/>
    <mergeCell ref="C1687:C1691"/>
    <mergeCell ref="A1692:A1696"/>
    <mergeCell ref="B1692:B1696"/>
    <mergeCell ref="C1692:C1696"/>
    <mergeCell ref="A1697:A1701"/>
    <mergeCell ref="B1697:B1701"/>
    <mergeCell ref="C1697:C1701"/>
    <mergeCell ref="A1702:A1706"/>
    <mergeCell ref="B1702:B1706"/>
    <mergeCell ref="C1702:C1706"/>
    <mergeCell ref="A1707:A1711"/>
    <mergeCell ref="B1707:B1711"/>
    <mergeCell ref="C1707:C1711"/>
    <mergeCell ref="A1712:A1716"/>
    <mergeCell ref="B1712:B1716"/>
    <mergeCell ref="C1712:C1716"/>
    <mergeCell ref="A1717:A1721"/>
    <mergeCell ref="B1717:B1721"/>
    <mergeCell ref="C1717:C1721"/>
    <mergeCell ref="A1722:A1726"/>
    <mergeCell ref="U1647:U1651"/>
    <mergeCell ref="U1652:U1656"/>
    <mergeCell ref="U1657:U1661"/>
    <mergeCell ref="U1662:U1666"/>
    <mergeCell ref="U1667:U1671"/>
    <mergeCell ref="U1672:U1676"/>
    <mergeCell ref="U1677:U1681"/>
    <mergeCell ref="U1682:U1686"/>
    <mergeCell ref="A1647:A1651"/>
    <mergeCell ref="B1647:B1651"/>
    <mergeCell ref="C1647:C1651"/>
    <mergeCell ref="A1652:A1656"/>
    <mergeCell ref="B1652:B1656"/>
    <mergeCell ref="C1652:C1656"/>
    <mergeCell ref="A1657:A1661"/>
    <mergeCell ref="B1657:B1661"/>
    <mergeCell ref="C1657:C1661"/>
    <mergeCell ref="A1662:A1666"/>
    <mergeCell ref="B1662:B1666"/>
    <mergeCell ref="C1662:C1666"/>
    <mergeCell ref="A1667:A1671"/>
    <mergeCell ref="B1667:B1671"/>
    <mergeCell ref="C1667:C1671"/>
    <mergeCell ref="A1672:A1676"/>
    <mergeCell ref="B1672:B1676"/>
    <mergeCell ref="C1672:C1676"/>
    <mergeCell ref="A1677:A1681"/>
    <mergeCell ref="B1677:B1681"/>
    <mergeCell ref="C1677:C1681"/>
    <mergeCell ref="A1682:A1686"/>
    <mergeCell ref="B1682:B1686"/>
    <mergeCell ref="C1682:C1686"/>
    <mergeCell ref="U1607:U1611"/>
    <mergeCell ref="U1612:U1616"/>
    <mergeCell ref="U1617:U1621"/>
    <mergeCell ref="U1622:U1626"/>
    <mergeCell ref="U1627:U1631"/>
    <mergeCell ref="U1632:U1636"/>
    <mergeCell ref="U1637:U1641"/>
    <mergeCell ref="U1642:U1646"/>
    <mergeCell ref="A1607:A1611"/>
    <mergeCell ref="B1607:B1611"/>
    <mergeCell ref="C1607:C1611"/>
    <mergeCell ref="A1612:A1616"/>
    <mergeCell ref="B1612:B1616"/>
    <mergeCell ref="C1612:C1616"/>
    <mergeCell ref="A1617:A1621"/>
    <mergeCell ref="B1617:B1621"/>
    <mergeCell ref="C1617:C1621"/>
    <mergeCell ref="A1622:A1626"/>
    <mergeCell ref="B1622:B1626"/>
    <mergeCell ref="C1622:C1626"/>
    <mergeCell ref="A1627:A1631"/>
    <mergeCell ref="B1627:B1631"/>
    <mergeCell ref="C1627:C1631"/>
    <mergeCell ref="A1632:A1636"/>
    <mergeCell ref="B1632:B1636"/>
    <mergeCell ref="C1632:C1636"/>
    <mergeCell ref="A1637:A1641"/>
    <mergeCell ref="B1637:B1641"/>
    <mergeCell ref="C1637:C1641"/>
    <mergeCell ref="A1642:A1646"/>
    <mergeCell ref="B1642:B1646"/>
    <mergeCell ref="C1642:C1646"/>
    <mergeCell ref="A1547:A1551"/>
    <mergeCell ref="A1552:A1556"/>
    <mergeCell ref="A1557:A1561"/>
    <mergeCell ref="A1562:A1566"/>
    <mergeCell ref="B1547:B1551"/>
    <mergeCell ref="C1547:C1551"/>
    <mergeCell ref="B1552:B1556"/>
    <mergeCell ref="C1552:C1556"/>
    <mergeCell ref="B1557:B1561"/>
    <mergeCell ref="C1557:C1561"/>
    <mergeCell ref="B1562:B1566"/>
    <mergeCell ref="C1562:C1566"/>
    <mergeCell ref="A1467:A1471"/>
    <mergeCell ref="B1467:B1471"/>
    <mergeCell ref="C1467:C1471"/>
    <mergeCell ref="U1467:U1471"/>
    <mergeCell ref="A1472:A1476"/>
    <mergeCell ref="B1472:B1476"/>
    <mergeCell ref="C1472:C1476"/>
    <mergeCell ref="U1472:U1476"/>
    <mergeCell ref="A1477:A1481"/>
    <mergeCell ref="B1477:B1481"/>
    <mergeCell ref="C1477:C1481"/>
    <mergeCell ref="U1477:U1481"/>
    <mergeCell ref="A1482:A1486"/>
    <mergeCell ref="B1482:B1486"/>
    <mergeCell ref="C1482:C1486"/>
    <mergeCell ref="U1482:U1486"/>
    <mergeCell ref="U1487:U1491"/>
    <mergeCell ref="U1492:U1496"/>
    <mergeCell ref="U1497:U1501"/>
    <mergeCell ref="U1502:U1506"/>
    <mergeCell ref="U1427:U1431"/>
    <mergeCell ref="U1432:U1436"/>
    <mergeCell ref="U1437:U1441"/>
    <mergeCell ref="U1442:U1446"/>
    <mergeCell ref="U1447:U1451"/>
    <mergeCell ref="U1452:U1456"/>
    <mergeCell ref="U1457:U1461"/>
    <mergeCell ref="U1462:U1466"/>
    <mergeCell ref="A1427:A1431"/>
    <mergeCell ref="B1427:B1431"/>
    <mergeCell ref="C1427:C1431"/>
    <mergeCell ref="A1432:A1436"/>
    <mergeCell ref="B1432:B1436"/>
    <mergeCell ref="C1432:C1436"/>
    <mergeCell ref="A1437:A1441"/>
    <mergeCell ref="B1437:B1441"/>
    <mergeCell ref="C1437:C1441"/>
    <mergeCell ref="A1442:A1446"/>
    <mergeCell ref="B1442:B1446"/>
    <mergeCell ref="C1442:C1446"/>
    <mergeCell ref="A1447:A1451"/>
    <mergeCell ref="B1447:B1451"/>
    <mergeCell ref="C1447:C1451"/>
    <mergeCell ref="A1452:A1456"/>
    <mergeCell ref="B1452:B1456"/>
    <mergeCell ref="C1452:C1456"/>
    <mergeCell ref="A1457:A1461"/>
    <mergeCell ref="B1457:B1461"/>
    <mergeCell ref="C1457:C1461"/>
    <mergeCell ref="A1462:A1466"/>
    <mergeCell ref="B1462:B1466"/>
    <mergeCell ref="C1462:C1466"/>
    <mergeCell ref="U1387:U1391"/>
    <mergeCell ref="U1392:U1396"/>
    <mergeCell ref="U1397:U1401"/>
    <mergeCell ref="U1402:U1406"/>
    <mergeCell ref="U1407:U1411"/>
    <mergeCell ref="U1412:U1416"/>
    <mergeCell ref="U1417:U1421"/>
    <mergeCell ref="U1422:U1426"/>
    <mergeCell ref="A1387:A1391"/>
    <mergeCell ref="B1387:B1391"/>
    <mergeCell ref="C1387:C1391"/>
    <mergeCell ref="A1392:A1396"/>
    <mergeCell ref="B1392:B1396"/>
    <mergeCell ref="C1392:C1396"/>
    <mergeCell ref="A1397:A1401"/>
    <mergeCell ref="B1397:B1401"/>
    <mergeCell ref="C1397:C1401"/>
    <mergeCell ref="A1402:A1406"/>
    <mergeCell ref="B1402:B1406"/>
    <mergeCell ref="C1402:C1406"/>
    <mergeCell ref="A1407:A1411"/>
    <mergeCell ref="B1407:B1411"/>
    <mergeCell ref="C1407:C1411"/>
    <mergeCell ref="A1412:A1416"/>
    <mergeCell ref="B1412:B1416"/>
    <mergeCell ref="C1412:C1416"/>
    <mergeCell ref="A1417:A1421"/>
    <mergeCell ref="B1417:B1421"/>
    <mergeCell ref="C1417:C1421"/>
    <mergeCell ref="A1422:A1426"/>
    <mergeCell ref="B1422:B1426"/>
    <mergeCell ref="C1422:C1426"/>
    <mergeCell ref="U1307:U1311"/>
    <mergeCell ref="U1312:U1316"/>
    <mergeCell ref="U1317:U1321"/>
    <mergeCell ref="U1322:U1326"/>
    <mergeCell ref="U1327:U1331"/>
    <mergeCell ref="U1332:U1336"/>
    <mergeCell ref="U1337:U1341"/>
    <mergeCell ref="U1342:U1346"/>
    <mergeCell ref="A1307:A1311"/>
    <mergeCell ref="A1312:A1316"/>
    <mergeCell ref="A1317:A1321"/>
    <mergeCell ref="A1322:A1326"/>
    <mergeCell ref="A1327:A1331"/>
    <mergeCell ref="A1332:A1336"/>
    <mergeCell ref="A1337:A1341"/>
    <mergeCell ref="A1342:A1346"/>
    <mergeCell ref="B1307:B1311"/>
    <mergeCell ref="C1307:C1311"/>
    <mergeCell ref="B1312:B1316"/>
    <mergeCell ref="C1312:C1316"/>
    <mergeCell ref="B1317:B1321"/>
    <mergeCell ref="C1317:C1321"/>
    <mergeCell ref="B1322:B1326"/>
    <mergeCell ref="C1322:C1326"/>
    <mergeCell ref="B1327:B1331"/>
    <mergeCell ref="C1327:C1331"/>
    <mergeCell ref="B1332:B1336"/>
    <mergeCell ref="C1332:C1336"/>
    <mergeCell ref="B1337:B1341"/>
    <mergeCell ref="C1337:C1341"/>
    <mergeCell ref="B1342:B1346"/>
    <mergeCell ref="C1342:C1346"/>
    <mergeCell ref="B1292:B1296"/>
    <mergeCell ref="C1292:C1296"/>
    <mergeCell ref="A1297:A1301"/>
    <mergeCell ref="B1297:B1301"/>
    <mergeCell ref="C1297:C1301"/>
    <mergeCell ref="A1302:A1306"/>
    <mergeCell ref="B1302:B1306"/>
    <mergeCell ref="C1302:C1306"/>
    <mergeCell ref="U1267:U1271"/>
    <mergeCell ref="U1272:U1276"/>
    <mergeCell ref="U1277:U1281"/>
    <mergeCell ref="U1282:U1286"/>
    <mergeCell ref="U1287:U1291"/>
    <mergeCell ref="U1292:U1296"/>
    <mergeCell ref="U1297:U1301"/>
    <mergeCell ref="U1302:U1306"/>
    <mergeCell ref="A1267:A1271"/>
    <mergeCell ref="B1267:B1271"/>
    <mergeCell ref="C1267:C1271"/>
    <mergeCell ref="A1272:A1276"/>
    <mergeCell ref="B1272:B1276"/>
    <mergeCell ref="C1272:C1276"/>
    <mergeCell ref="A1277:A1281"/>
    <mergeCell ref="B1277:B1281"/>
    <mergeCell ref="C1277:C1281"/>
    <mergeCell ref="A1282:A1286"/>
    <mergeCell ref="B1282:B1286"/>
    <mergeCell ref="C1282:C1286"/>
    <mergeCell ref="A1287:A1291"/>
    <mergeCell ref="B1287:B1291"/>
    <mergeCell ref="C1287:C1291"/>
    <mergeCell ref="A1292:A1296"/>
    <mergeCell ref="A887:A891"/>
    <mergeCell ref="B852:B856"/>
    <mergeCell ref="B857:B861"/>
    <mergeCell ref="B862:B866"/>
    <mergeCell ref="B867:B871"/>
    <mergeCell ref="U1192:U1196"/>
    <mergeCell ref="U1197:U1201"/>
    <mergeCell ref="U1202:U1206"/>
    <mergeCell ref="U1207:U1211"/>
    <mergeCell ref="U1212:U1216"/>
    <mergeCell ref="U1217:U1221"/>
    <mergeCell ref="U1222:U1226"/>
    <mergeCell ref="U1227:U1231"/>
    <mergeCell ref="C1192:C1196"/>
    <mergeCell ref="C1197:C1201"/>
    <mergeCell ref="A897:A901"/>
    <mergeCell ref="A902:A906"/>
    <mergeCell ref="A907:A911"/>
    <mergeCell ref="A912:A916"/>
    <mergeCell ref="A917:A921"/>
    <mergeCell ref="A922:A926"/>
    <mergeCell ref="A927:A931"/>
    <mergeCell ref="B1217:B1221"/>
    <mergeCell ref="C1217:C1221"/>
    <mergeCell ref="A1192:A1196"/>
    <mergeCell ref="B1192:B1196"/>
    <mergeCell ref="A1197:A1201"/>
    <mergeCell ref="B1197:B1201"/>
    <mergeCell ref="A1202:A1206"/>
    <mergeCell ref="B1202:B1206"/>
    <mergeCell ref="B917:B921"/>
    <mergeCell ref="C917:C921"/>
    <mergeCell ref="U837:U841"/>
    <mergeCell ref="A842:A846"/>
    <mergeCell ref="B842:B846"/>
    <mergeCell ref="C842:C846"/>
    <mergeCell ref="U842:U846"/>
    <mergeCell ref="B902:B906"/>
    <mergeCell ref="B907:B911"/>
    <mergeCell ref="C852:C856"/>
    <mergeCell ref="C857:C861"/>
    <mergeCell ref="C862:C866"/>
    <mergeCell ref="C867:C871"/>
    <mergeCell ref="C872:C876"/>
    <mergeCell ref="C877:C881"/>
    <mergeCell ref="C882:C886"/>
    <mergeCell ref="C887:C891"/>
    <mergeCell ref="A892:A896"/>
    <mergeCell ref="B892:B896"/>
    <mergeCell ref="U852:U856"/>
    <mergeCell ref="U857:U861"/>
    <mergeCell ref="U862:U866"/>
    <mergeCell ref="U867:U871"/>
    <mergeCell ref="U872:U876"/>
    <mergeCell ref="U877:U881"/>
    <mergeCell ref="U882:U886"/>
    <mergeCell ref="U887:U891"/>
    <mergeCell ref="A852:A856"/>
    <mergeCell ref="A857:A861"/>
    <mergeCell ref="A862:A866"/>
    <mergeCell ref="A867:A871"/>
    <mergeCell ref="A872:A876"/>
    <mergeCell ref="A877:A881"/>
    <mergeCell ref="A882:A886"/>
    <mergeCell ref="A692:A696"/>
    <mergeCell ref="A697:A701"/>
    <mergeCell ref="A702:A706"/>
    <mergeCell ref="A707:A711"/>
    <mergeCell ref="B692:B696"/>
    <mergeCell ref="C692:C696"/>
    <mergeCell ref="B697:B701"/>
    <mergeCell ref="C697:C701"/>
    <mergeCell ref="B702:B706"/>
    <mergeCell ref="C702:C706"/>
    <mergeCell ref="B707:B711"/>
    <mergeCell ref="C707:C711"/>
    <mergeCell ref="A732:A736"/>
    <mergeCell ref="B732:B736"/>
    <mergeCell ref="C732:C736"/>
    <mergeCell ref="U732:U736"/>
    <mergeCell ref="U692:U696"/>
    <mergeCell ref="U697:U701"/>
    <mergeCell ref="U702:U706"/>
    <mergeCell ref="U707:U711"/>
    <mergeCell ref="U712:U716"/>
    <mergeCell ref="U717:U721"/>
    <mergeCell ref="U722:U726"/>
    <mergeCell ref="U727:U731"/>
    <mergeCell ref="A712:A716"/>
    <mergeCell ref="B712:B716"/>
    <mergeCell ref="C712:C716"/>
    <mergeCell ref="A717:A721"/>
    <mergeCell ref="B717:B721"/>
    <mergeCell ref="C717:C721"/>
    <mergeCell ref="A722:A726"/>
    <mergeCell ref="B722:B726"/>
    <mergeCell ref="A672:A676"/>
    <mergeCell ref="B672:B676"/>
    <mergeCell ref="C672:C676"/>
    <mergeCell ref="U672:U676"/>
    <mergeCell ref="A677:A681"/>
    <mergeCell ref="B677:B681"/>
    <mergeCell ref="C677:C681"/>
    <mergeCell ref="U677:U681"/>
    <mergeCell ref="A682:A686"/>
    <mergeCell ref="B682:B686"/>
    <mergeCell ref="C682:C686"/>
    <mergeCell ref="U682:U686"/>
    <mergeCell ref="A687:A691"/>
    <mergeCell ref="B687:B691"/>
    <mergeCell ref="C687:C691"/>
    <mergeCell ref="U667:U671"/>
    <mergeCell ref="A652:A656"/>
    <mergeCell ref="B652:B656"/>
    <mergeCell ref="C652:C656"/>
    <mergeCell ref="U652:U656"/>
    <mergeCell ref="A657:A661"/>
    <mergeCell ref="B657:B661"/>
    <mergeCell ref="C657:C661"/>
    <mergeCell ref="U657:U661"/>
    <mergeCell ref="A662:A666"/>
    <mergeCell ref="B662:B666"/>
    <mergeCell ref="C662:C666"/>
    <mergeCell ref="U662:U666"/>
    <mergeCell ref="A667:A671"/>
    <mergeCell ref="B667:B671"/>
    <mergeCell ref="C667:C671"/>
    <mergeCell ref="U687:U691"/>
    <mergeCell ref="U647:U651"/>
    <mergeCell ref="A632:A636"/>
    <mergeCell ref="B632:B636"/>
    <mergeCell ref="C632:C636"/>
    <mergeCell ref="U632:U636"/>
    <mergeCell ref="A637:A641"/>
    <mergeCell ref="B637:B641"/>
    <mergeCell ref="C637:C641"/>
    <mergeCell ref="U637:U641"/>
    <mergeCell ref="A642:A646"/>
    <mergeCell ref="B642:B646"/>
    <mergeCell ref="C642:C646"/>
    <mergeCell ref="U642:U646"/>
    <mergeCell ref="A647:A651"/>
    <mergeCell ref="B647:B651"/>
    <mergeCell ref="C647:C651"/>
    <mergeCell ref="U572:U576"/>
    <mergeCell ref="U577:U581"/>
    <mergeCell ref="U582:U586"/>
    <mergeCell ref="U587:U591"/>
    <mergeCell ref="A572:A576"/>
    <mergeCell ref="A577:A581"/>
    <mergeCell ref="A582:A586"/>
    <mergeCell ref="A587:A591"/>
    <mergeCell ref="B572:B576"/>
    <mergeCell ref="C572:C576"/>
    <mergeCell ref="B577:B581"/>
    <mergeCell ref="C577:C581"/>
    <mergeCell ref="B582:B586"/>
    <mergeCell ref="C582:C586"/>
    <mergeCell ref="B587:B591"/>
    <mergeCell ref="C587:C591"/>
    <mergeCell ref="U532:U536"/>
    <mergeCell ref="U537:U541"/>
    <mergeCell ref="U542:U546"/>
    <mergeCell ref="U547:U551"/>
    <mergeCell ref="A532:A536"/>
    <mergeCell ref="A537:A541"/>
    <mergeCell ref="A542:A546"/>
    <mergeCell ref="A547:A551"/>
    <mergeCell ref="B532:B536"/>
    <mergeCell ref="C532:C536"/>
    <mergeCell ref="B537:B541"/>
    <mergeCell ref="C537:C541"/>
    <mergeCell ref="B542:B546"/>
    <mergeCell ref="C542:C546"/>
    <mergeCell ref="B547:B551"/>
    <mergeCell ref="C547:C551"/>
    <mergeCell ref="U512:U516"/>
    <mergeCell ref="U517:U521"/>
    <mergeCell ref="U522:U526"/>
    <mergeCell ref="U527:U531"/>
    <mergeCell ref="A512:A516"/>
    <mergeCell ref="A517:A521"/>
    <mergeCell ref="A522:A526"/>
    <mergeCell ref="A527:A531"/>
    <mergeCell ref="B512:B516"/>
    <mergeCell ref="C512:C516"/>
    <mergeCell ref="B517:B521"/>
    <mergeCell ref="C517:C521"/>
    <mergeCell ref="B522:B526"/>
    <mergeCell ref="C522:C526"/>
    <mergeCell ref="B527:B531"/>
    <mergeCell ref="C527:C531"/>
    <mergeCell ref="A492:A496"/>
    <mergeCell ref="B492:B496"/>
    <mergeCell ref="C492:C496"/>
    <mergeCell ref="U492:U496"/>
    <mergeCell ref="A497:A501"/>
    <mergeCell ref="B497:B501"/>
    <mergeCell ref="C497:C501"/>
    <mergeCell ref="U497:U501"/>
    <mergeCell ref="A502:A506"/>
    <mergeCell ref="B502:B506"/>
    <mergeCell ref="C502:C506"/>
    <mergeCell ref="A507:A511"/>
    <mergeCell ref="B507:B511"/>
    <mergeCell ref="C507:C511"/>
    <mergeCell ref="U502:U506"/>
    <mergeCell ref="U507:U511"/>
    <mergeCell ref="A447:A451"/>
    <mergeCell ref="B447:B451"/>
    <mergeCell ref="C447:C451"/>
    <mergeCell ref="U447:U451"/>
    <mergeCell ref="A467:A471"/>
    <mergeCell ref="B467:B471"/>
    <mergeCell ref="C467:C471"/>
    <mergeCell ref="U452:U456"/>
    <mergeCell ref="U457:U461"/>
    <mergeCell ref="U462:U466"/>
    <mergeCell ref="U467:U471"/>
    <mergeCell ref="A452:A456"/>
    <mergeCell ref="B452:B456"/>
    <mergeCell ref="C452:C456"/>
    <mergeCell ref="A457:A461"/>
    <mergeCell ref="B457:B461"/>
    <mergeCell ref="U442:U446"/>
    <mergeCell ref="A407:A411"/>
    <mergeCell ref="B407:B411"/>
    <mergeCell ref="C407:C411"/>
    <mergeCell ref="A427:A431"/>
    <mergeCell ref="B427:B431"/>
    <mergeCell ref="C427:C431"/>
    <mergeCell ref="U427:U431"/>
    <mergeCell ref="A412:A416"/>
    <mergeCell ref="B412:B416"/>
    <mergeCell ref="C412:C416"/>
    <mergeCell ref="U412:U416"/>
    <mergeCell ref="A417:A421"/>
    <mergeCell ref="B417:B421"/>
    <mergeCell ref="C417:C421"/>
    <mergeCell ref="U417:U421"/>
    <mergeCell ref="A422:A426"/>
    <mergeCell ref="B422:B426"/>
    <mergeCell ref="C422:C426"/>
    <mergeCell ref="U422:U426"/>
    <mergeCell ref="A432:A436"/>
    <mergeCell ref="B432:B436"/>
    <mergeCell ref="C432:C436"/>
    <mergeCell ref="U432:U436"/>
    <mergeCell ref="A437:A441"/>
    <mergeCell ref="B437:B441"/>
    <mergeCell ref="C437:C441"/>
    <mergeCell ref="U437:U441"/>
    <mergeCell ref="A442:A446"/>
    <mergeCell ref="B442:B446"/>
    <mergeCell ref="C442:C446"/>
    <mergeCell ref="U392:U396"/>
    <mergeCell ref="U397:U401"/>
    <mergeCell ref="U402:U406"/>
    <mergeCell ref="U407:U411"/>
    <mergeCell ref="A392:A396"/>
    <mergeCell ref="B392:B396"/>
    <mergeCell ref="C392:C396"/>
    <mergeCell ref="A397:A401"/>
    <mergeCell ref="B397:B401"/>
    <mergeCell ref="C397:C401"/>
    <mergeCell ref="A402:A406"/>
    <mergeCell ref="B402:B406"/>
    <mergeCell ref="C402:C406"/>
    <mergeCell ref="A387:A391"/>
    <mergeCell ref="B387:B391"/>
    <mergeCell ref="C387:C391"/>
    <mergeCell ref="U387:U391"/>
    <mergeCell ref="A372:A376"/>
    <mergeCell ref="B372:B376"/>
    <mergeCell ref="C372:C376"/>
    <mergeCell ref="U372:U376"/>
    <mergeCell ref="A377:A381"/>
    <mergeCell ref="B377:B381"/>
    <mergeCell ref="C377:C381"/>
    <mergeCell ref="U377:U381"/>
    <mergeCell ref="A382:A386"/>
    <mergeCell ref="B382:B386"/>
    <mergeCell ref="C382:C386"/>
    <mergeCell ref="U382:U386"/>
    <mergeCell ref="A367:A371"/>
    <mergeCell ref="B367:B371"/>
    <mergeCell ref="C367:C371"/>
    <mergeCell ref="U367:U371"/>
    <mergeCell ref="A352:A356"/>
    <mergeCell ref="B352:B356"/>
    <mergeCell ref="C352:C356"/>
    <mergeCell ref="U352:U356"/>
    <mergeCell ref="A357:A361"/>
    <mergeCell ref="B357:B361"/>
    <mergeCell ref="C357:C361"/>
    <mergeCell ref="U357:U361"/>
    <mergeCell ref="A362:A366"/>
    <mergeCell ref="B362:B366"/>
    <mergeCell ref="C362:C366"/>
    <mergeCell ref="U362:U366"/>
    <mergeCell ref="A277:A281"/>
    <mergeCell ref="B277:B281"/>
    <mergeCell ref="C277:C281"/>
    <mergeCell ref="U277:U281"/>
    <mergeCell ref="A282:A286"/>
    <mergeCell ref="B282:B286"/>
    <mergeCell ref="C282:C286"/>
    <mergeCell ref="U282:U286"/>
    <mergeCell ref="A287:A291"/>
    <mergeCell ref="B287:B291"/>
    <mergeCell ref="C287:C291"/>
    <mergeCell ref="U287:U291"/>
    <mergeCell ref="A247:A251"/>
    <mergeCell ref="B247:B251"/>
    <mergeCell ref="C247:C251"/>
    <mergeCell ref="U247:U251"/>
    <mergeCell ref="A232:A236"/>
    <mergeCell ref="B232:B236"/>
    <mergeCell ref="C232:C236"/>
    <mergeCell ref="U232:U236"/>
    <mergeCell ref="A237:A241"/>
    <mergeCell ref="B237:B241"/>
    <mergeCell ref="C237:C241"/>
    <mergeCell ref="U237:U241"/>
    <mergeCell ref="A242:A246"/>
    <mergeCell ref="B242:B246"/>
    <mergeCell ref="C242:C246"/>
    <mergeCell ref="U242:U246"/>
    <mergeCell ref="A212:A216"/>
    <mergeCell ref="B212:B216"/>
    <mergeCell ref="C212:C216"/>
    <mergeCell ref="U212:U216"/>
    <mergeCell ref="A207:A211"/>
    <mergeCell ref="B207:B211"/>
    <mergeCell ref="C207:C211"/>
    <mergeCell ref="U207:U211"/>
    <mergeCell ref="A192:A196"/>
    <mergeCell ref="B192:B196"/>
    <mergeCell ref="C192:C196"/>
    <mergeCell ref="U192:U196"/>
    <mergeCell ref="A197:A201"/>
    <mergeCell ref="B197:B201"/>
    <mergeCell ref="C197:C201"/>
    <mergeCell ref="U197:U201"/>
    <mergeCell ref="A202:A206"/>
    <mergeCell ref="B202:B206"/>
    <mergeCell ref="C202:C206"/>
    <mergeCell ref="U202:U206"/>
    <mergeCell ref="U132:U136"/>
    <mergeCell ref="U137:U141"/>
    <mergeCell ref="U142:U146"/>
    <mergeCell ref="U147:U151"/>
    <mergeCell ref="A142:A146"/>
    <mergeCell ref="B142:B146"/>
    <mergeCell ref="C142:C146"/>
    <mergeCell ref="A147:A151"/>
    <mergeCell ref="B147:B151"/>
    <mergeCell ref="C147:C151"/>
    <mergeCell ref="A132:A136"/>
    <mergeCell ref="B132:B136"/>
    <mergeCell ref="C132:C136"/>
    <mergeCell ref="A137:A141"/>
    <mergeCell ref="B137:B141"/>
    <mergeCell ref="C137:C141"/>
    <mergeCell ref="C92:C96"/>
    <mergeCell ref="B92:B96"/>
    <mergeCell ref="B97:B101"/>
    <mergeCell ref="C97:C101"/>
    <mergeCell ref="U97:U101"/>
    <mergeCell ref="B102:B106"/>
    <mergeCell ref="C102:C106"/>
    <mergeCell ref="U102:U106"/>
    <mergeCell ref="B107:B111"/>
    <mergeCell ref="C107:C111"/>
    <mergeCell ref="U107:U111"/>
    <mergeCell ref="A107:A111"/>
    <mergeCell ref="U47:U51"/>
    <mergeCell ref="A87:A91"/>
    <mergeCell ref="B87:B91"/>
    <mergeCell ref="C87:C91"/>
    <mergeCell ref="U87:U91"/>
    <mergeCell ref="A77:A81"/>
    <mergeCell ref="B77:B81"/>
    <mergeCell ref="C77:C81"/>
    <mergeCell ref="A82:A86"/>
    <mergeCell ref="B82:B86"/>
    <mergeCell ref="C82:C86"/>
    <mergeCell ref="A57:A61"/>
    <mergeCell ref="C57:C61"/>
    <mergeCell ref="A52:A56"/>
    <mergeCell ref="C52:C56"/>
    <mergeCell ref="B52:B56"/>
    <mergeCell ref="U67:U71"/>
    <mergeCell ref="A62:A66"/>
    <mergeCell ref="B62:B66"/>
    <mergeCell ref="C62:C66"/>
    <mergeCell ref="B57:B61"/>
    <mergeCell ref="A72:A76"/>
    <mergeCell ref="B72:B76"/>
    <mergeCell ref="C72:C76"/>
    <mergeCell ref="A17:A21"/>
    <mergeCell ref="B17:B21"/>
    <mergeCell ref="A47:A51"/>
    <mergeCell ref="B47:B51"/>
    <mergeCell ref="C47:C51"/>
    <mergeCell ref="C22:C26"/>
    <mergeCell ref="A27:A31"/>
    <mergeCell ref="C27:C31"/>
    <mergeCell ref="B27:B31"/>
    <mergeCell ref="B22:B26"/>
    <mergeCell ref="C17:C21"/>
    <mergeCell ref="A22:A26"/>
    <mergeCell ref="A32:A36"/>
    <mergeCell ref="C32:C36"/>
    <mergeCell ref="A42:A46"/>
    <mergeCell ref="C42:C46"/>
    <mergeCell ref="B42:B46"/>
    <mergeCell ref="B37:B41"/>
    <mergeCell ref="B32:B36"/>
    <mergeCell ref="A37:A41"/>
    <mergeCell ref="C37:C41"/>
    <mergeCell ref="A2:A6"/>
    <mergeCell ref="A7:A11"/>
    <mergeCell ref="A12:A16"/>
    <mergeCell ref="C2:C6"/>
    <mergeCell ref="C7:C11"/>
    <mergeCell ref="C12:C16"/>
    <mergeCell ref="B2:B6"/>
    <mergeCell ref="B12:B16"/>
    <mergeCell ref="B7:B11"/>
    <mergeCell ref="A67:A71"/>
    <mergeCell ref="B67:B71"/>
    <mergeCell ref="C67:C71"/>
    <mergeCell ref="C127:C131"/>
    <mergeCell ref="U127:U131"/>
    <mergeCell ref="C112:C116"/>
    <mergeCell ref="U112:U116"/>
    <mergeCell ref="C117:C121"/>
    <mergeCell ref="U117:U121"/>
    <mergeCell ref="C122:C126"/>
    <mergeCell ref="U122:U126"/>
    <mergeCell ref="A112:A116"/>
    <mergeCell ref="A117:A121"/>
    <mergeCell ref="A122:A126"/>
    <mergeCell ref="A127:A131"/>
    <mergeCell ref="B112:B116"/>
    <mergeCell ref="B117:B121"/>
    <mergeCell ref="B122:B126"/>
    <mergeCell ref="B127:B131"/>
    <mergeCell ref="U92:U96"/>
    <mergeCell ref="A92:A96"/>
    <mergeCell ref="A97:A101"/>
    <mergeCell ref="A102:A106"/>
    <mergeCell ref="A167:A171"/>
    <mergeCell ref="B167:B171"/>
    <mergeCell ref="C167:C171"/>
    <mergeCell ref="U167:U171"/>
    <mergeCell ref="A152:A156"/>
    <mergeCell ref="B152:B156"/>
    <mergeCell ref="C152:C156"/>
    <mergeCell ref="U152:U156"/>
    <mergeCell ref="A157:A161"/>
    <mergeCell ref="B157:B161"/>
    <mergeCell ref="C157:C161"/>
    <mergeCell ref="U157:U161"/>
    <mergeCell ref="A162:A166"/>
    <mergeCell ref="B162:B166"/>
    <mergeCell ref="C162:C166"/>
    <mergeCell ref="U162:U166"/>
    <mergeCell ref="A187:A191"/>
    <mergeCell ref="B187:B191"/>
    <mergeCell ref="C187:C191"/>
    <mergeCell ref="U187:U191"/>
    <mergeCell ref="A172:A176"/>
    <mergeCell ref="B172:B176"/>
    <mergeCell ref="C172:C176"/>
    <mergeCell ref="U172:U176"/>
    <mergeCell ref="A177:A181"/>
    <mergeCell ref="B177:B181"/>
    <mergeCell ref="C177:C181"/>
    <mergeCell ref="U177:U181"/>
    <mergeCell ref="A182:A186"/>
    <mergeCell ref="B182:B186"/>
    <mergeCell ref="C182:C186"/>
    <mergeCell ref="U182:U186"/>
    <mergeCell ref="A217:A221"/>
    <mergeCell ref="B217:B221"/>
    <mergeCell ref="C217:C221"/>
    <mergeCell ref="U217:U221"/>
    <mergeCell ref="A222:A226"/>
    <mergeCell ref="B222:B226"/>
    <mergeCell ref="C222:C226"/>
    <mergeCell ref="U222:U226"/>
    <mergeCell ref="A227:A231"/>
    <mergeCell ref="B227:B231"/>
    <mergeCell ref="C227:C231"/>
    <mergeCell ref="U227:U231"/>
    <mergeCell ref="A272:A276"/>
    <mergeCell ref="B272:B276"/>
    <mergeCell ref="C272:C276"/>
    <mergeCell ref="U272:U276"/>
    <mergeCell ref="A267:A271"/>
    <mergeCell ref="B267:B271"/>
    <mergeCell ref="C267:C271"/>
    <mergeCell ref="U267:U271"/>
    <mergeCell ref="A252:A256"/>
    <mergeCell ref="B252:B256"/>
    <mergeCell ref="C252:C256"/>
    <mergeCell ref="U252:U256"/>
    <mergeCell ref="A257:A261"/>
    <mergeCell ref="B257:B261"/>
    <mergeCell ref="C257:C261"/>
    <mergeCell ref="U257:U261"/>
    <mergeCell ref="A262:A266"/>
    <mergeCell ref="B262:B266"/>
    <mergeCell ref="C262:C266"/>
    <mergeCell ref="U262:U266"/>
    <mergeCell ref="A307:A311"/>
    <mergeCell ref="B307:B311"/>
    <mergeCell ref="C307:C311"/>
    <mergeCell ref="U307:U311"/>
    <mergeCell ref="U292:U296"/>
    <mergeCell ref="U297:U301"/>
    <mergeCell ref="U302:U306"/>
    <mergeCell ref="A292:A296"/>
    <mergeCell ref="B292:B296"/>
    <mergeCell ref="C292:C296"/>
    <mergeCell ref="A297:A301"/>
    <mergeCell ref="B297:B301"/>
    <mergeCell ref="C297:C301"/>
    <mergeCell ref="A302:A306"/>
    <mergeCell ref="B302:B306"/>
    <mergeCell ref="C302:C306"/>
    <mergeCell ref="U312:U316"/>
    <mergeCell ref="U317:U321"/>
    <mergeCell ref="U322:U326"/>
    <mergeCell ref="U327:U331"/>
    <mergeCell ref="A312:A316"/>
    <mergeCell ref="A317:A321"/>
    <mergeCell ref="A322:A326"/>
    <mergeCell ref="A327:A331"/>
    <mergeCell ref="B312:B316"/>
    <mergeCell ref="C312:C316"/>
    <mergeCell ref="B317:B321"/>
    <mergeCell ref="C317:C321"/>
    <mergeCell ref="B322:B326"/>
    <mergeCell ref="C322:C326"/>
    <mergeCell ref="B327:B331"/>
    <mergeCell ref="C327:C331"/>
    <mergeCell ref="A347:A351"/>
    <mergeCell ref="B347:B351"/>
    <mergeCell ref="C347:C351"/>
    <mergeCell ref="U332:U336"/>
    <mergeCell ref="U337:U341"/>
    <mergeCell ref="U342:U346"/>
    <mergeCell ref="U347:U351"/>
    <mergeCell ref="A332:A336"/>
    <mergeCell ref="B332:B336"/>
    <mergeCell ref="C332:C336"/>
    <mergeCell ref="A337:A341"/>
    <mergeCell ref="B337:B341"/>
    <mergeCell ref="C337:C341"/>
    <mergeCell ref="A342:A346"/>
    <mergeCell ref="B342:B346"/>
    <mergeCell ref="C342:C346"/>
    <mergeCell ref="C462:C466"/>
    <mergeCell ref="A487:A491"/>
    <mergeCell ref="B487:B491"/>
    <mergeCell ref="C487:C491"/>
    <mergeCell ref="U482:U491"/>
    <mergeCell ref="U472:U476"/>
    <mergeCell ref="U477:U481"/>
    <mergeCell ref="A472:A476"/>
    <mergeCell ref="B472:B476"/>
    <mergeCell ref="C472:C476"/>
    <mergeCell ref="A477:A481"/>
    <mergeCell ref="B477:B481"/>
    <mergeCell ref="C477:C481"/>
    <mergeCell ref="A482:A486"/>
    <mergeCell ref="B482:B486"/>
    <mergeCell ref="C482:C486"/>
    <mergeCell ref="C457:C461"/>
    <mergeCell ref="A462:A466"/>
    <mergeCell ref="B462:B466"/>
    <mergeCell ref="A552:A556"/>
    <mergeCell ref="A557:A561"/>
    <mergeCell ref="A562:A566"/>
    <mergeCell ref="A567:A571"/>
    <mergeCell ref="C552:C556"/>
    <mergeCell ref="C557:C561"/>
    <mergeCell ref="C562:C566"/>
    <mergeCell ref="C567:C571"/>
    <mergeCell ref="U552:U556"/>
    <mergeCell ref="U557:U561"/>
    <mergeCell ref="U562:U566"/>
    <mergeCell ref="U567:U571"/>
    <mergeCell ref="B552:B556"/>
    <mergeCell ref="B557:B561"/>
    <mergeCell ref="B562:B566"/>
    <mergeCell ref="B567:B571"/>
    <mergeCell ref="A592:A596"/>
    <mergeCell ref="B592:B596"/>
    <mergeCell ref="C592:C596"/>
    <mergeCell ref="U592:U596"/>
    <mergeCell ref="A597:A601"/>
    <mergeCell ref="B597:B601"/>
    <mergeCell ref="C597:C601"/>
    <mergeCell ref="U597:U601"/>
    <mergeCell ref="A602:A606"/>
    <mergeCell ref="B602:B606"/>
    <mergeCell ref="C602:C606"/>
    <mergeCell ref="U602:U606"/>
    <mergeCell ref="A612:A616"/>
    <mergeCell ref="B612:B616"/>
    <mergeCell ref="C612:C616"/>
    <mergeCell ref="U612:U616"/>
    <mergeCell ref="A607:A611"/>
    <mergeCell ref="B607:B611"/>
    <mergeCell ref="C607:C611"/>
    <mergeCell ref="A627:A631"/>
    <mergeCell ref="B627:B631"/>
    <mergeCell ref="C627:C631"/>
    <mergeCell ref="A617:A621"/>
    <mergeCell ref="B617:B621"/>
    <mergeCell ref="C617:C621"/>
    <mergeCell ref="U607:U611"/>
    <mergeCell ref="U617:U621"/>
    <mergeCell ref="A622:A626"/>
    <mergeCell ref="B622:B626"/>
    <mergeCell ref="C622:C626"/>
    <mergeCell ref="U622:U626"/>
    <mergeCell ref="U627:U631"/>
    <mergeCell ref="C722:C726"/>
    <mergeCell ref="A727:A731"/>
    <mergeCell ref="B727:B731"/>
    <mergeCell ref="C727:C731"/>
    <mergeCell ref="A737:A741"/>
    <mergeCell ref="B737:B741"/>
    <mergeCell ref="C737:C741"/>
    <mergeCell ref="U737:U741"/>
    <mergeCell ref="A742:A746"/>
    <mergeCell ref="B742:B746"/>
    <mergeCell ref="C742:C746"/>
    <mergeCell ref="U742:U746"/>
    <mergeCell ref="A747:A751"/>
    <mergeCell ref="B747:B751"/>
    <mergeCell ref="C747:C751"/>
    <mergeCell ref="U747:U751"/>
    <mergeCell ref="A752:A756"/>
    <mergeCell ref="B752:B756"/>
    <mergeCell ref="C752:C756"/>
    <mergeCell ref="U752:U756"/>
    <mergeCell ref="A757:A761"/>
    <mergeCell ref="B757:B761"/>
    <mergeCell ref="C757:C761"/>
    <mergeCell ref="U757:U761"/>
    <mergeCell ref="A762:A766"/>
    <mergeCell ref="B762:B766"/>
    <mergeCell ref="C762:C766"/>
    <mergeCell ref="U762:U766"/>
    <mergeCell ref="A787:A791"/>
    <mergeCell ref="B787:B791"/>
    <mergeCell ref="C787:C791"/>
    <mergeCell ref="U772:U776"/>
    <mergeCell ref="U777:U781"/>
    <mergeCell ref="U782:U786"/>
    <mergeCell ref="U787:U791"/>
    <mergeCell ref="A772:A776"/>
    <mergeCell ref="B772:B776"/>
    <mergeCell ref="C772:C776"/>
    <mergeCell ref="A777:A781"/>
    <mergeCell ref="B777:B781"/>
    <mergeCell ref="C777:C781"/>
    <mergeCell ref="A782:A786"/>
    <mergeCell ref="B782:B786"/>
    <mergeCell ref="C782:C786"/>
    <mergeCell ref="A807:A811"/>
    <mergeCell ref="B807:B811"/>
    <mergeCell ref="C807:C811"/>
    <mergeCell ref="U807:U811"/>
    <mergeCell ref="A792:A796"/>
    <mergeCell ref="B792:B796"/>
    <mergeCell ref="C792:C796"/>
    <mergeCell ref="U792:U796"/>
    <mergeCell ref="A797:A801"/>
    <mergeCell ref="B797:B801"/>
    <mergeCell ref="C797:C801"/>
    <mergeCell ref="U797:U801"/>
    <mergeCell ref="A802:A806"/>
    <mergeCell ref="B802:B806"/>
    <mergeCell ref="C802:C806"/>
    <mergeCell ref="U817:U821"/>
    <mergeCell ref="A767:A771"/>
    <mergeCell ref="B767:B771"/>
    <mergeCell ref="C767:C771"/>
    <mergeCell ref="U767:U771"/>
    <mergeCell ref="U802:U806"/>
    <mergeCell ref="U822:U826"/>
    <mergeCell ref="U827:U831"/>
    <mergeCell ref="A812:A816"/>
    <mergeCell ref="A817:A821"/>
    <mergeCell ref="A822:A826"/>
    <mergeCell ref="A827:A831"/>
    <mergeCell ref="B812:B816"/>
    <mergeCell ref="B817:B821"/>
    <mergeCell ref="B822:B826"/>
    <mergeCell ref="B827:B831"/>
    <mergeCell ref="C812:C816"/>
    <mergeCell ref="C817:C821"/>
    <mergeCell ref="C822:C826"/>
    <mergeCell ref="C827:C831"/>
    <mergeCell ref="U892:U896"/>
    <mergeCell ref="U897:U901"/>
    <mergeCell ref="B872:B876"/>
    <mergeCell ref="B877:B881"/>
    <mergeCell ref="B882:B886"/>
    <mergeCell ref="B887:B891"/>
    <mergeCell ref="A847:A851"/>
    <mergeCell ref="B847:B851"/>
    <mergeCell ref="C847:C851"/>
    <mergeCell ref="U847:U851"/>
    <mergeCell ref="A832:A836"/>
    <mergeCell ref="B832:B836"/>
    <mergeCell ref="C832:C836"/>
    <mergeCell ref="U832:U836"/>
    <mergeCell ref="A837:A841"/>
    <mergeCell ref="B837:B841"/>
    <mergeCell ref="C837:C841"/>
    <mergeCell ref="U812:U816"/>
    <mergeCell ref="U902:U906"/>
    <mergeCell ref="U907:U911"/>
    <mergeCell ref="U912:U916"/>
    <mergeCell ref="U917:U921"/>
    <mergeCell ref="U922:U926"/>
    <mergeCell ref="U927:U931"/>
    <mergeCell ref="C892:C896"/>
    <mergeCell ref="C897:C901"/>
    <mergeCell ref="C902:C906"/>
    <mergeCell ref="C907:C911"/>
    <mergeCell ref="B912:B916"/>
    <mergeCell ref="C912:C916"/>
    <mergeCell ref="C932:C936"/>
    <mergeCell ref="C937:C941"/>
    <mergeCell ref="C942:C946"/>
    <mergeCell ref="C947:C951"/>
    <mergeCell ref="C952:C956"/>
    <mergeCell ref="B922:B926"/>
    <mergeCell ref="C922:C926"/>
    <mergeCell ref="B927:B931"/>
    <mergeCell ref="C927:C931"/>
    <mergeCell ref="B897:B901"/>
    <mergeCell ref="C957:C961"/>
    <mergeCell ref="C962:C966"/>
    <mergeCell ref="C967:C971"/>
    <mergeCell ref="A932:A936"/>
    <mergeCell ref="A937:A941"/>
    <mergeCell ref="A942:A946"/>
    <mergeCell ref="A947:A951"/>
    <mergeCell ref="A952:A956"/>
    <mergeCell ref="A957:A961"/>
    <mergeCell ref="A962:A966"/>
    <mergeCell ref="A967:A971"/>
    <mergeCell ref="B932:B936"/>
    <mergeCell ref="B937:B941"/>
    <mergeCell ref="B942:B946"/>
    <mergeCell ref="B947:B951"/>
    <mergeCell ref="B952:B956"/>
    <mergeCell ref="B957:B961"/>
    <mergeCell ref="B962:B966"/>
    <mergeCell ref="B967:B971"/>
    <mergeCell ref="U972:U976"/>
    <mergeCell ref="U977:U981"/>
    <mergeCell ref="U982:U986"/>
    <mergeCell ref="U987:U991"/>
    <mergeCell ref="U992:U996"/>
    <mergeCell ref="U997:U1001"/>
    <mergeCell ref="U1002:U1006"/>
    <mergeCell ref="U932:U936"/>
    <mergeCell ref="U937:U941"/>
    <mergeCell ref="U942:U946"/>
    <mergeCell ref="U947:U951"/>
    <mergeCell ref="U952:U956"/>
    <mergeCell ref="U957:U961"/>
    <mergeCell ref="U962:U966"/>
    <mergeCell ref="U967:U971"/>
    <mergeCell ref="A987:A991"/>
    <mergeCell ref="B987:B991"/>
    <mergeCell ref="C987:C991"/>
    <mergeCell ref="A992:A996"/>
    <mergeCell ref="B992:B996"/>
    <mergeCell ref="C992:C996"/>
    <mergeCell ref="A997:A1001"/>
    <mergeCell ref="B997:B1001"/>
    <mergeCell ref="C997:C1001"/>
    <mergeCell ref="A972:A976"/>
    <mergeCell ref="B972:B976"/>
    <mergeCell ref="C972:C976"/>
    <mergeCell ref="A977:A981"/>
    <mergeCell ref="B977:B981"/>
    <mergeCell ref="C977:C981"/>
    <mergeCell ref="A982:A986"/>
    <mergeCell ref="B982:B986"/>
    <mergeCell ref="C982:C986"/>
    <mergeCell ref="A1002:A1006"/>
    <mergeCell ref="B1002:B1006"/>
    <mergeCell ref="C1002:C1006"/>
    <mergeCell ref="A1007:A1011"/>
    <mergeCell ref="B1007:B1011"/>
    <mergeCell ref="C1007:C1011"/>
    <mergeCell ref="B1037:B1041"/>
    <mergeCell ref="C1037:C1041"/>
    <mergeCell ref="U1007:U1011"/>
    <mergeCell ref="U1012:U1016"/>
    <mergeCell ref="U1017:U1021"/>
    <mergeCell ref="U1022:U1026"/>
    <mergeCell ref="U1027:U1031"/>
    <mergeCell ref="U1032:U1036"/>
    <mergeCell ref="U1037:U1041"/>
    <mergeCell ref="U1042:U1046"/>
    <mergeCell ref="U1047:U1051"/>
    <mergeCell ref="A1012:A1016"/>
    <mergeCell ref="B1012:B1016"/>
    <mergeCell ref="C1012:C1016"/>
    <mergeCell ref="A1017:A1021"/>
    <mergeCell ref="B1017:B1021"/>
    <mergeCell ref="C1017:C1021"/>
    <mergeCell ref="A1022:A1026"/>
    <mergeCell ref="B1022:B1026"/>
    <mergeCell ref="C1022:C1026"/>
    <mergeCell ref="A1027:A1031"/>
    <mergeCell ref="B1027:B1031"/>
    <mergeCell ref="C1027:C1031"/>
    <mergeCell ref="A1032:A1036"/>
    <mergeCell ref="B1032:B1036"/>
    <mergeCell ref="C1032:C1036"/>
    <mergeCell ref="A1037:A1041"/>
    <mergeCell ref="A1067:A1071"/>
    <mergeCell ref="B1067:B1071"/>
    <mergeCell ref="C1067:C1071"/>
    <mergeCell ref="A1072:A1076"/>
    <mergeCell ref="B1072:B1076"/>
    <mergeCell ref="C1072:C1076"/>
    <mergeCell ref="A1077:A1081"/>
    <mergeCell ref="A1042:A1046"/>
    <mergeCell ref="B1042:B1046"/>
    <mergeCell ref="C1042:C1046"/>
    <mergeCell ref="A1047:A1051"/>
    <mergeCell ref="B1047:B1051"/>
    <mergeCell ref="C1047:C1051"/>
    <mergeCell ref="B1077:B1081"/>
    <mergeCell ref="C1077:C1081"/>
    <mergeCell ref="A1082:A1086"/>
    <mergeCell ref="B1082:B1086"/>
    <mergeCell ref="C1082:C1086"/>
    <mergeCell ref="U1092:U1096"/>
    <mergeCell ref="U1097:U1101"/>
    <mergeCell ref="U1102:U1106"/>
    <mergeCell ref="U1107:U1111"/>
    <mergeCell ref="U1112:U1116"/>
    <mergeCell ref="U1117:U1121"/>
    <mergeCell ref="U1122:U1126"/>
    <mergeCell ref="U1127:U1131"/>
    <mergeCell ref="C1092:C1096"/>
    <mergeCell ref="C1097:C1101"/>
    <mergeCell ref="C1102:C1106"/>
    <mergeCell ref="C1107:C1111"/>
    <mergeCell ref="A1087:A1091"/>
    <mergeCell ref="B1087:B1091"/>
    <mergeCell ref="C1087:C1091"/>
    <mergeCell ref="U1052:U1056"/>
    <mergeCell ref="U1057:U1061"/>
    <mergeCell ref="U1062:U1066"/>
    <mergeCell ref="U1067:U1071"/>
    <mergeCell ref="U1072:U1076"/>
    <mergeCell ref="U1077:U1081"/>
    <mergeCell ref="U1082:U1086"/>
    <mergeCell ref="U1087:U1091"/>
    <mergeCell ref="A1052:A1056"/>
    <mergeCell ref="B1052:B1056"/>
    <mergeCell ref="C1052:C1056"/>
    <mergeCell ref="A1057:A1061"/>
    <mergeCell ref="B1057:B1061"/>
    <mergeCell ref="C1057:C1061"/>
    <mergeCell ref="A1062:A1066"/>
    <mergeCell ref="B1062:B1066"/>
    <mergeCell ref="C1062:C1066"/>
    <mergeCell ref="C1112:C1116"/>
    <mergeCell ref="B1117:B1121"/>
    <mergeCell ref="C1117:C1121"/>
    <mergeCell ref="B1122:B1126"/>
    <mergeCell ref="C1122:C1126"/>
    <mergeCell ref="B1127:B1131"/>
    <mergeCell ref="C1127:C1131"/>
    <mergeCell ref="B1157:B1161"/>
    <mergeCell ref="C1157:C1161"/>
    <mergeCell ref="A1162:A1166"/>
    <mergeCell ref="B1162:B1166"/>
    <mergeCell ref="C1162:C1166"/>
    <mergeCell ref="A1092:A1096"/>
    <mergeCell ref="A1097:A1101"/>
    <mergeCell ref="A1102:A1106"/>
    <mergeCell ref="A1107:A1111"/>
    <mergeCell ref="A1112:A1116"/>
    <mergeCell ref="A1117:A1121"/>
    <mergeCell ref="A1122:A1126"/>
    <mergeCell ref="A1127:A1131"/>
    <mergeCell ref="B1092:B1096"/>
    <mergeCell ref="B1097:B1101"/>
    <mergeCell ref="B1102:B1106"/>
    <mergeCell ref="B1107:B1111"/>
    <mergeCell ref="B1112:B1116"/>
    <mergeCell ref="A1167:A1171"/>
    <mergeCell ref="B1167:B1171"/>
    <mergeCell ref="C1167:C1171"/>
    <mergeCell ref="U1132:U1136"/>
    <mergeCell ref="U1137:U1141"/>
    <mergeCell ref="U1142:U1146"/>
    <mergeCell ref="U1147:U1151"/>
    <mergeCell ref="U1152:U1156"/>
    <mergeCell ref="U1157:U1161"/>
    <mergeCell ref="U1162:U1166"/>
    <mergeCell ref="U1167:U1171"/>
    <mergeCell ref="A1132:A1136"/>
    <mergeCell ref="B1132:B1136"/>
    <mergeCell ref="C1132:C1136"/>
    <mergeCell ref="A1137:A1141"/>
    <mergeCell ref="B1137:B1141"/>
    <mergeCell ref="C1137:C1141"/>
    <mergeCell ref="A1142:A1146"/>
    <mergeCell ref="B1142:B1146"/>
    <mergeCell ref="C1142:C1146"/>
    <mergeCell ref="A1147:A1151"/>
    <mergeCell ref="B1147:B1151"/>
    <mergeCell ref="C1147:C1151"/>
    <mergeCell ref="A1152:A1156"/>
    <mergeCell ref="B1152:B1156"/>
    <mergeCell ref="C1152:C1156"/>
    <mergeCell ref="A1157:A1161"/>
    <mergeCell ref="U1172:U1176"/>
    <mergeCell ref="U1177:U1181"/>
    <mergeCell ref="U1182:U1186"/>
    <mergeCell ref="U1187:U1191"/>
    <mergeCell ref="A1172:A1176"/>
    <mergeCell ref="B1172:B1176"/>
    <mergeCell ref="C1172:C1176"/>
    <mergeCell ref="A1177:A1181"/>
    <mergeCell ref="B1177:B1181"/>
    <mergeCell ref="C1177:C1181"/>
    <mergeCell ref="A1182:A1186"/>
    <mergeCell ref="B1182:B1186"/>
    <mergeCell ref="C1182:C1186"/>
    <mergeCell ref="C1252:C1256"/>
    <mergeCell ref="A1257:A1261"/>
    <mergeCell ref="A1187:A1191"/>
    <mergeCell ref="B1187:B1191"/>
    <mergeCell ref="C1187:C1191"/>
    <mergeCell ref="C1202:C1206"/>
    <mergeCell ref="A1207:A1211"/>
    <mergeCell ref="B1207:B1211"/>
    <mergeCell ref="C1207:C1211"/>
    <mergeCell ref="A1212:A1216"/>
    <mergeCell ref="B1212:B1216"/>
    <mergeCell ref="C1212:C1216"/>
    <mergeCell ref="A1217:A1221"/>
    <mergeCell ref="A1222:A1226"/>
    <mergeCell ref="B1222:B1226"/>
    <mergeCell ref="C1222:C1226"/>
    <mergeCell ref="A1227:A1231"/>
    <mergeCell ref="B1227:B1231"/>
    <mergeCell ref="C1227:C1231"/>
    <mergeCell ref="B1257:B1261"/>
    <mergeCell ref="C1257:C1261"/>
    <mergeCell ref="A1262:A1266"/>
    <mergeCell ref="B1262:B1266"/>
    <mergeCell ref="C1262:C1266"/>
    <mergeCell ref="U1232:U1236"/>
    <mergeCell ref="U1237:U1241"/>
    <mergeCell ref="U1242:U1246"/>
    <mergeCell ref="U1247:U1251"/>
    <mergeCell ref="U1252:U1256"/>
    <mergeCell ref="U1257:U1261"/>
    <mergeCell ref="U1262:U1266"/>
    <mergeCell ref="A1232:A1236"/>
    <mergeCell ref="B1232:B1236"/>
    <mergeCell ref="C1232:C1236"/>
    <mergeCell ref="A1237:A1241"/>
    <mergeCell ref="B1237:B1241"/>
    <mergeCell ref="C1237:C1241"/>
    <mergeCell ref="A1242:A1246"/>
    <mergeCell ref="B1242:B1246"/>
    <mergeCell ref="C1242:C1246"/>
    <mergeCell ref="A1247:A1251"/>
    <mergeCell ref="B1247:B1251"/>
    <mergeCell ref="C1247:C1251"/>
    <mergeCell ref="A1252:A1256"/>
    <mergeCell ref="B1252:B1256"/>
    <mergeCell ref="A1372:A1376"/>
    <mergeCell ref="B1372:B1376"/>
    <mergeCell ref="C1372:C1376"/>
    <mergeCell ref="U1372:U1376"/>
    <mergeCell ref="A1377:A1381"/>
    <mergeCell ref="B1377:B1381"/>
    <mergeCell ref="C1377:C1381"/>
    <mergeCell ref="U1377:U1381"/>
    <mergeCell ref="A1382:A1386"/>
    <mergeCell ref="B1382:B1386"/>
    <mergeCell ref="C1382:C1386"/>
    <mergeCell ref="U1382:U1386"/>
    <mergeCell ref="A1347:A1351"/>
    <mergeCell ref="B1347:B1351"/>
    <mergeCell ref="C1347:C1351"/>
    <mergeCell ref="U1347:U1351"/>
    <mergeCell ref="A1352:A1356"/>
    <mergeCell ref="B1352:B1356"/>
    <mergeCell ref="C1352:C1356"/>
    <mergeCell ref="U1352:U1356"/>
    <mergeCell ref="A1357:A1361"/>
    <mergeCell ref="B1357:B1361"/>
    <mergeCell ref="C1357:C1361"/>
    <mergeCell ref="U1357:U1361"/>
    <mergeCell ref="A1362:A1366"/>
    <mergeCell ref="B1362:B1366"/>
    <mergeCell ref="C1362:C1366"/>
    <mergeCell ref="U1362:U1366"/>
    <mergeCell ref="A1367:A1371"/>
    <mergeCell ref="B1367:B1371"/>
    <mergeCell ref="C1367:C1371"/>
    <mergeCell ref="U1367:U1371"/>
    <mergeCell ref="U1507:U1511"/>
    <mergeCell ref="U1512:U1516"/>
    <mergeCell ref="U1517:U1521"/>
    <mergeCell ref="U1522:U1526"/>
    <mergeCell ref="A1487:A1491"/>
    <mergeCell ref="B1487:B1491"/>
    <mergeCell ref="C1487:C1491"/>
    <mergeCell ref="A1492:A1496"/>
    <mergeCell ref="B1492:B1496"/>
    <mergeCell ref="C1492:C1496"/>
    <mergeCell ref="A1497:A1501"/>
    <mergeCell ref="B1497:B1501"/>
    <mergeCell ref="C1497:C1501"/>
    <mergeCell ref="A1502:A1506"/>
    <mergeCell ref="B1502:B1506"/>
    <mergeCell ref="C1502:C1506"/>
    <mergeCell ref="A1507:A1511"/>
    <mergeCell ref="B1507:B1511"/>
    <mergeCell ref="C1507:C1511"/>
    <mergeCell ref="A1512:A1516"/>
    <mergeCell ref="B1512:B1516"/>
    <mergeCell ref="C1512:C1516"/>
    <mergeCell ref="A1527:A1531"/>
    <mergeCell ref="B1527:B1531"/>
    <mergeCell ref="C1527:C1531"/>
    <mergeCell ref="A1532:A1536"/>
    <mergeCell ref="B1532:B1536"/>
    <mergeCell ref="C1532:C1536"/>
    <mergeCell ref="A1537:A1541"/>
    <mergeCell ref="B1537:B1541"/>
    <mergeCell ref="C1537:C1541"/>
    <mergeCell ref="A1542:A1546"/>
    <mergeCell ref="B1542:B1546"/>
    <mergeCell ref="C1542:C1546"/>
    <mergeCell ref="A1517:A1521"/>
    <mergeCell ref="B1517:B1521"/>
    <mergeCell ref="C1517:C1521"/>
    <mergeCell ref="A1522:A1526"/>
    <mergeCell ref="B1522:B1526"/>
    <mergeCell ref="C1522:C1526"/>
    <mergeCell ref="B1567:B1571"/>
    <mergeCell ref="C1567:C1571"/>
    <mergeCell ref="B1572:B1576"/>
    <mergeCell ref="C1572:C1576"/>
    <mergeCell ref="B1577:B1581"/>
    <mergeCell ref="C1577:C1581"/>
    <mergeCell ref="B1582:B1586"/>
    <mergeCell ref="C1582:C1586"/>
    <mergeCell ref="B1587:B1591"/>
    <mergeCell ref="C1587:C1591"/>
    <mergeCell ref="B1592:B1596"/>
    <mergeCell ref="C1592:C1596"/>
    <mergeCell ref="B1597:B1601"/>
    <mergeCell ref="C1597:C1601"/>
    <mergeCell ref="B1602:B1606"/>
    <mergeCell ref="C1602:C1606"/>
    <mergeCell ref="U1527:U1531"/>
    <mergeCell ref="U1532:U1536"/>
    <mergeCell ref="U1537:U1541"/>
    <mergeCell ref="U1542:U1546"/>
    <mergeCell ref="U1547:U1551"/>
    <mergeCell ref="U1552:U1556"/>
    <mergeCell ref="U1557:U1561"/>
    <mergeCell ref="U1562:U1566"/>
    <mergeCell ref="C1737:C1741"/>
    <mergeCell ref="A1742:A1746"/>
    <mergeCell ref="B1742:B1746"/>
    <mergeCell ref="C1742:C1746"/>
    <mergeCell ref="A1747:A1751"/>
    <mergeCell ref="B1747:B1751"/>
    <mergeCell ref="C1747:C1751"/>
    <mergeCell ref="A1752:A1756"/>
    <mergeCell ref="B1752:B1756"/>
    <mergeCell ref="C1752:C1756"/>
    <mergeCell ref="A1757:A1761"/>
    <mergeCell ref="B1757:B1761"/>
    <mergeCell ref="C1757:C1761"/>
    <mergeCell ref="A1762:A1766"/>
    <mergeCell ref="B1762:B1766"/>
    <mergeCell ref="C1762:C1766"/>
    <mergeCell ref="U1567:U1571"/>
    <mergeCell ref="U1572:U1576"/>
    <mergeCell ref="U1577:U1581"/>
    <mergeCell ref="U1582:U1586"/>
    <mergeCell ref="U1587:U1591"/>
    <mergeCell ref="U1592:U1596"/>
    <mergeCell ref="U1597:U1601"/>
    <mergeCell ref="U1602:U1606"/>
    <mergeCell ref="A1567:A1571"/>
    <mergeCell ref="A1572:A1576"/>
    <mergeCell ref="A1577:A1581"/>
    <mergeCell ref="A1582:A1586"/>
    <mergeCell ref="A1587:A1591"/>
    <mergeCell ref="A1592:A1596"/>
    <mergeCell ref="A1597:A1601"/>
    <mergeCell ref="A1602:A1606"/>
    <mergeCell ref="C1777:C1781"/>
    <mergeCell ref="A1782:A1786"/>
    <mergeCell ref="B1782:B1786"/>
    <mergeCell ref="C1782:C1786"/>
    <mergeCell ref="A1787:A1791"/>
    <mergeCell ref="B1787:B1791"/>
    <mergeCell ref="C1787:C1791"/>
    <mergeCell ref="A1792:A1796"/>
    <mergeCell ref="B1792:B1796"/>
    <mergeCell ref="C1792:C1796"/>
    <mergeCell ref="A1797:A1801"/>
    <mergeCell ref="B1797:B1801"/>
    <mergeCell ref="C1797:C1801"/>
    <mergeCell ref="A1802:A1806"/>
    <mergeCell ref="B1802:B1806"/>
    <mergeCell ref="C1802:C1806"/>
    <mergeCell ref="U1727:U1731"/>
    <mergeCell ref="U1732:U1736"/>
    <mergeCell ref="U1737:U1741"/>
    <mergeCell ref="U1742:U1746"/>
    <mergeCell ref="U1747:U1751"/>
    <mergeCell ref="U1752:U1756"/>
    <mergeCell ref="U1757:U1761"/>
    <mergeCell ref="U1762:U1766"/>
    <mergeCell ref="A1727:A1731"/>
    <mergeCell ref="B1727:B1731"/>
    <mergeCell ref="C1727:C1731"/>
    <mergeCell ref="A1732:A1736"/>
    <mergeCell ref="B1732:B1736"/>
    <mergeCell ref="C1732:C1736"/>
    <mergeCell ref="A1737:A1741"/>
    <mergeCell ref="B1737:B1741"/>
    <mergeCell ref="C1817:C1821"/>
    <mergeCell ref="A1822:A1826"/>
    <mergeCell ref="B1822:B1826"/>
    <mergeCell ref="C1822:C1826"/>
    <mergeCell ref="A1827:A1831"/>
    <mergeCell ref="B1827:B1831"/>
    <mergeCell ref="C1827:C1831"/>
    <mergeCell ref="A1832:A1836"/>
    <mergeCell ref="B1832:B1836"/>
    <mergeCell ref="C1832:C1836"/>
    <mergeCell ref="A1837:A1841"/>
    <mergeCell ref="B1837:B1841"/>
    <mergeCell ref="C1837:C1841"/>
    <mergeCell ref="A1842:A1846"/>
    <mergeCell ref="B1842:B1846"/>
    <mergeCell ref="C1842:C1846"/>
    <mergeCell ref="U1767:U1771"/>
    <mergeCell ref="U1772:U1776"/>
    <mergeCell ref="U1777:U1781"/>
    <mergeCell ref="U1782:U1786"/>
    <mergeCell ref="U1787:U1791"/>
    <mergeCell ref="U1792:U1796"/>
    <mergeCell ref="U1797:U1801"/>
    <mergeCell ref="U1802:U1806"/>
    <mergeCell ref="A1767:A1771"/>
    <mergeCell ref="B1767:B1771"/>
    <mergeCell ref="C1767:C1771"/>
    <mergeCell ref="A1772:A1776"/>
    <mergeCell ref="B1772:B1776"/>
    <mergeCell ref="C1772:C1776"/>
    <mergeCell ref="A1777:A1781"/>
    <mergeCell ref="B1777:B1781"/>
    <mergeCell ref="C1857:C1861"/>
    <mergeCell ref="A1862:A1866"/>
    <mergeCell ref="B1862:B1866"/>
    <mergeCell ref="C1862:C1866"/>
    <mergeCell ref="A1867:A1871"/>
    <mergeCell ref="B1867:B1871"/>
    <mergeCell ref="C1867:C1871"/>
    <mergeCell ref="A1872:A1876"/>
    <mergeCell ref="B1872:B1876"/>
    <mergeCell ref="C1872:C1876"/>
    <mergeCell ref="A1877:A1881"/>
    <mergeCell ref="B1877:B1881"/>
    <mergeCell ref="C1877:C1881"/>
    <mergeCell ref="A1882:A1886"/>
    <mergeCell ref="B1882:B1886"/>
    <mergeCell ref="C1882:C1886"/>
    <mergeCell ref="U1807:U1811"/>
    <mergeCell ref="U1812:U1816"/>
    <mergeCell ref="U1817:U1821"/>
    <mergeCell ref="U1822:U1826"/>
    <mergeCell ref="U1827:U1831"/>
    <mergeCell ref="U1832:U1836"/>
    <mergeCell ref="U1837:U1841"/>
    <mergeCell ref="U1842:U1846"/>
    <mergeCell ref="A1807:A1811"/>
    <mergeCell ref="B1807:B1811"/>
    <mergeCell ref="C1807:C1811"/>
    <mergeCell ref="A1812:A1816"/>
    <mergeCell ref="B1812:B1816"/>
    <mergeCell ref="C1812:C1816"/>
    <mergeCell ref="A1817:A1821"/>
    <mergeCell ref="B1817:B1821"/>
    <mergeCell ref="A1927:A1931"/>
    <mergeCell ref="B1927:B1931"/>
    <mergeCell ref="C1927:C1931"/>
    <mergeCell ref="U1927:U1931"/>
    <mergeCell ref="A1932:A1936"/>
    <mergeCell ref="B1932:B1936"/>
    <mergeCell ref="C1932:C1936"/>
    <mergeCell ref="U1932:U1936"/>
    <mergeCell ref="A1937:A1941"/>
    <mergeCell ref="B1937:B1941"/>
    <mergeCell ref="C1937:C1941"/>
    <mergeCell ref="U1937:U1941"/>
    <mergeCell ref="A1942:A1946"/>
    <mergeCell ref="B1942:B1946"/>
    <mergeCell ref="C1942:C1946"/>
    <mergeCell ref="U1942:U1946"/>
    <mergeCell ref="U1847:U1851"/>
    <mergeCell ref="U1852:U1856"/>
    <mergeCell ref="U1857:U1861"/>
    <mergeCell ref="U1862:U1866"/>
    <mergeCell ref="U1867:U1871"/>
    <mergeCell ref="U1872:U1876"/>
    <mergeCell ref="U1877:U1881"/>
    <mergeCell ref="U1882:U1886"/>
    <mergeCell ref="A1847:A1851"/>
    <mergeCell ref="B1847:B1851"/>
    <mergeCell ref="C1847:C1851"/>
    <mergeCell ref="A1852:A1856"/>
    <mergeCell ref="B1852:B1856"/>
    <mergeCell ref="C1852:C1856"/>
    <mergeCell ref="A1857:A1861"/>
    <mergeCell ref="B1857:B1861"/>
    <mergeCell ref="U1947:U1951"/>
    <mergeCell ref="U1952:U1956"/>
    <mergeCell ref="U1957:U1961"/>
    <mergeCell ref="U1962:U1966"/>
    <mergeCell ref="U1967:U1971"/>
    <mergeCell ref="U1972:U1976"/>
    <mergeCell ref="U1977:U1981"/>
    <mergeCell ref="U1982:U1986"/>
    <mergeCell ref="A1947:A1951"/>
    <mergeCell ref="B1947:B1951"/>
    <mergeCell ref="C1947:C1951"/>
    <mergeCell ref="A1952:A1956"/>
    <mergeCell ref="B1952:B1956"/>
    <mergeCell ref="C1952:C1956"/>
    <mergeCell ref="A1957:A1961"/>
    <mergeCell ref="B1957:B1961"/>
    <mergeCell ref="C1957:C1961"/>
    <mergeCell ref="A1962:A1966"/>
    <mergeCell ref="B1962:B1966"/>
    <mergeCell ref="C1962:C1966"/>
    <mergeCell ref="A1967:A1971"/>
    <mergeCell ref="B1967:B1971"/>
    <mergeCell ref="C1967:C1971"/>
    <mergeCell ref="A1972:A1976"/>
    <mergeCell ref="B1972:B1976"/>
    <mergeCell ref="C1972:C1976"/>
    <mergeCell ref="A1977:A1981"/>
    <mergeCell ref="B1977:B1981"/>
    <mergeCell ref="C1977:C1981"/>
    <mergeCell ref="A1982:A1986"/>
    <mergeCell ref="B1982:B1986"/>
    <mergeCell ref="C1982:C1986"/>
    <mergeCell ref="U2027:U2031"/>
    <mergeCell ref="U2032:U2036"/>
    <mergeCell ref="U2037:U2041"/>
    <mergeCell ref="U2042:U2046"/>
    <mergeCell ref="U2047:U2051"/>
    <mergeCell ref="U2052:U2056"/>
    <mergeCell ref="U2057:U2061"/>
    <mergeCell ref="U2062:U2066"/>
    <mergeCell ref="A2027:A2031"/>
    <mergeCell ref="B2027:B2031"/>
    <mergeCell ref="C2027:C2031"/>
    <mergeCell ref="A2032:A2036"/>
    <mergeCell ref="B2032:B2036"/>
    <mergeCell ref="C2032:C2036"/>
    <mergeCell ref="A2037:A2041"/>
    <mergeCell ref="B2037:B2041"/>
    <mergeCell ref="C2037:C2041"/>
    <mergeCell ref="A2042:A2046"/>
    <mergeCell ref="B2042:B2046"/>
    <mergeCell ref="C2042:C2046"/>
    <mergeCell ref="A2047:A2051"/>
    <mergeCell ref="B2047:B2051"/>
    <mergeCell ref="C2047:C2051"/>
    <mergeCell ref="A2052:A2056"/>
    <mergeCell ref="B2052:B2056"/>
    <mergeCell ref="C2052:C2056"/>
    <mergeCell ref="A2057:A2061"/>
    <mergeCell ref="B2057:B2061"/>
    <mergeCell ref="C2057:C2061"/>
    <mergeCell ref="A2062:A2066"/>
    <mergeCell ref="B2062:B2066"/>
    <mergeCell ref="C2062:C2066"/>
    <mergeCell ref="U2147:U2151"/>
    <mergeCell ref="U2152:U2156"/>
    <mergeCell ref="U2157:U2161"/>
    <mergeCell ref="U2162:U2166"/>
    <mergeCell ref="U2167:U2171"/>
    <mergeCell ref="U2172:U2176"/>
    <mergeCell ref="U2177:U2181"/>
    <mergeCell ref="U2182:U2186"/>
    <mergeCell ref="A2147:A2151"/>
    <mergeCell ref="B2147:B2151"/>
    <mergeCell ref="C2147:C2151"/>
    <mergeCell ref="A2152:A2156"/>
    <mergeCell ref="B2152:B2156"/>
    <mergeCell ref="C2152:C2156"/>
    <mergeCell ref="A2157:A2161"/>
    <mergeCell ref="B2157:B2161"/>
    <mergeCell ref="C2157:C2161"/>
    <mergeCell ref="A2162:A2166"/>
    <mergeCell ref="B2162:B2166"/>
    <mergeCell ref="C2162:C2166"/>
    <mergeCell ref="A2167:A2171"/>
    <mergeCell ref="B2167:B2171"/>
    <mergeCell ref="C2167:C2171"/>
    <mergeCell ref="A2172:A2176"/>
    <mergeCell ref="B2172:B2176"/>
    <mergeCell ref="C2172:C2176"/>
    <mergeCell ref="A2177:A2181"/>
    <mergeCell ref="B2177:B2181"/>
    <mergeCell ref="C2177:C2181"/>
    <mergeCell ref="A2182:A2186"/>
    <mergeCell ref="B2182:B2186"/>
    <mergeCell ref="C2182:C2186"/>
  </mergeCells>
  <conditionalFormatting sqref="C1:C1048576">
    <cfRule type="expression" dxfId="47" priority="1">
      <formula>C1=$J$1</formula>
    </cfRule>
    <cfRule type="expression" dxfId="46" priority="2571">
      <formula>C1=$K$1</formula>
    </cfRule>
    <cfRule type="expression" dxfId="45" priority="2572">
      <formula>C1=$L$1</formula>
    </cfRule>
    <cfRule type="expression" dxfId="44" priority="2573">
      <formula>C1=$M$1</formula>
    </cfRule>
    <cfRule type="expression" dxfId="43" priority="2574">
      <formula>C1=$N$1</formula>
    </cfRule>
    <cfRule type="expression" dxfId="42" priority="2575">
      <formula>C1="TIE"</formula>
    </cfRule>
  </conditionalFormatting>
  <conditionalFormatting sqref="D1527:E1606 D1607:I2187 D2188:G2188 D2189:I2192 D2193:G2193 D2194:I2197 D2198:G2198 D2199:I1048576 O1607:Q1048576">
    <cfRule type="expression" dxfId="41" priority="2561">
      <formula>$E1527=$J$1</formula>
    </cfRule>
    <cfRule type="expression" dxfId="40" priority="2562">
      <formula>$E1527=$K$1</formula>
    </cfRule>
    <cfRule type="expression" dxfId="39" priority="2563">
      <formula>$E1527=$L$1</formula>
    </cfRule>
    <cfRule type="expression" dxfId="38" priority="2564">
      <formula>$E1527=$M$1</formula>
    </cfRule>
    <cfRule type="expression" dxfId="37" priority="2565">
      <formula>$E1527=$N$1</formula>
    </cfRule>
  </conditionalFormatting>
  <conditionalFormatting sqref="D1:I2187 D2188:G2188 D2189:I2192 D2193:G2193 D2194:I2197 D2198:G2198 D2199:I1048576 O1:Q1048576">
    <cfRule type="expression" dxfId="36" priority="33">
      <formula>$E1=$J$1</formula>
    </cfRule>
    <cfRule type="expression" dxfId="35" priority="40">
      <formula>$E1=$N$1</formula>
    </cfRule>
    <cfRule type="expression" dxfId="34" priority="40">
      <formula>$E1=$M$1</formula>
    </cfRule>
    <cfRule type="expression" dxfId="33" priority="40">
      <formula>$E1=$K$1</formula>
    </cfRule>
    <cfRule type="expression" dxfId="32" priority="40">
      <formula>$E1=$L$1</formula>
    </cfRule>
  </conditionalFormatting>
  <conditionalFormatting sqref="H2188:I2188">
    <cfRule type="expression" dxfId="31" priority="2956">
      <formula>$E2198=$J$1</formula>
    </cfRule>
    <cfRule type="expression" dxfId="30" priority="2957">
      <formula>$E2198=$K$1</formula>
    </cfRule>
    <cfRule type="expression" dxfId="29" priority="2958">
      <formula>$E2198=$L$1</formula>
    </cfRule>
    <cfRule type="expression" dxfId="28" priority="2959">
      <formula>$E2198=$M$1</formula>
    </cfRule>
    <cfRule type="expression" dxfId="27" priority="2960">
      <formula>$E2198=$N$1</formula>
    </cfRule>
    <cfRule type="expression" dxfId="26" priority="2986">
      <formula>$E2198=$J$1</formula>
    </cfRule>
    <cfRule type="expression" dxfId="25" priority="2987">
      <formula>$E2198=$N$1</formula>
    </cfRule>
    <cfRule type="expression" dxfId="24" priority="2988">
      <formula>$E2198=$M$1</formula>
    </cfRule>
    <cfRule type="expression" dxfId="23" priority="2989">
      <formula>$E2198=$K$1</formula>
    </cfRule>
    <cfRule type="expression" dxfId="22" priority="2990">
      <formula>$E2198=$L$1</formula>
    </cfRule>
  </conditionalFormatting>
  <conditionalFormatting sqref="H2193:I2193">
    <cfRule type="expression" dxfId="21" priority="2921">
      <formula>$E2188=$J$1</formula>
    </cfRule>
    <cfRule type="expression" dxfId="20" priority="2922">
      <formula>$E2188=$K$1</formula>
    </cfRule>
    <cfRule type="expression" dxfId="19" priority="2923">
      <formula>$E2188=$L$1</formula>
    </cfRule>
    <cfRule type="expression" dxfId="18" priority="2924">
      <formula>$E2188=$M$1</formula>
    </cfRule>
    <cfRule type="expression" dxfId="17" priority="2925">
      <formula>$E2188=$N$1</formula>
    </cfRule>
    <cfRule type="expression" dxfId="16" priority="2936">
      <formula>$E2188=$J$1</formula>
    </cfRule>
    <cfRule type="expression" dxfId="15" priority="2937">
      <formula>$E2188=$N$1</formula>
    </cfRule>
    <cfRule type="expression" dxfId="14" priority="2938">
      <formula>$E2188=$M$1</formula>
    </cfRule>
    <cfRule type="expression" dxfId="13" priority="2939">
      <formula>$E2188=$K$1</formula>
    </cfRule>
    <cfRule type="expression" dxfId="12" priority="2940">
      <formula>$E2188=$L$1</formula>
    </cfRule>
  </conditionalFormatting>
  <conditionalFormatting sqref="H2198:I2198">
    <cfRule type="expression" dxfId="11" priority="2">
      <formula>$E2208=$J$1</formula>
    </cfRule>
    <cfRule type="expression" dxfId="10" priority="3">
      <formula>$E2208=$K$1</formula>
    </cfRule>
    <cfRule type="expression" dxfId="9" priority="4">
      <formula>$E2208=$L$1</formula>
    </cfRule>
    <cfRule type="expression" dxfId="8" priority="5">
      <formula>$E2208=$M$1</formula>
    </cfRule>
    <cfRule type="expression" dxfId="7" priority="6">
      <formula>$E2208=$N$1</formula>
    </cfRule>
    <cfRule type="expression" dxfId="6" priority="7">
      <formula>$E2208=$J$1</formula>
    </cfRule>
    <cfRule type="expression" dxfId="5" priority="8">
      <formula>$E2208=$N$1</formula>
    </cfRule>
    <cfRule type="expression" dxfId="4" priority="9">
      <formula>$E2208=$M$1</formula>
    </cfRule>
    <cfRule type="expression" dxfId="3" priority="10">
      <formula>$E2208=$K$1</formula>
    </cfRule>
    <cfRule type="expression" dxfId="2" priority="11">
      <formula>$E2208=$L$1</formula>
    </cfRule>
  </conditionalFormatting>
  <conditionalFormatting sqref="J1:N1048576 R1:S1048576">
    <cfRule type="colorScale" priority="2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T2226">
    <cfRule type="cellIs" dxfId="1" priority="1891" operator="equal">
      <formula>TRUE</formula>
    </cfRule>
    <cfRule type="cellIs" dxfId="0" priority="1892" operator="equal">
      <formula>FALSE</formula>
    </cfRule>
  </conditionalFormatting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EC4A5F-F664-45C3-B432-DB55A68AC7D7}">
          <x14:formula1>
            <xm:f>Genres!$J$1:$V$1</xm:f>
          </x14:formula1>
          <xm:sqref>P1527:P1048576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7E90-8729-4A22-8E9E-46A12C5C0A56}">
  <sheetPr codeName="Sheet3"/>
  <dimension ref="B2:AD58"/>
  <sheetViews>
    <sheetView topLeftCell="A16" zoomScaleNormal="100" workbookViewId="0">
      <selection activeCell="F42" sqref="F42"/>
    </sheetView>
  </sheetViews>
  <sheetFormatPr defaultRowHeight="15"/>
  <cols>
    <col min="2" max="2" width="16.42578125" bestFit="1" customWidth="1"/>
    <col min="3" max="3" width="15.5703125" bestFit="1" customWidth="1"/>
    <col min="4" max="4" width="15.28515625" bestFit="1" customWidth="1"/>
    <col min="5" max="5" width="15.140625" bestFit="1" customWidth="1"/>
    <col min="6" max="6" width="20.140625" bestFit="1" customWidth="1"/>
    <col min="7" max="7" width="26.7109375" bestFit="1" customWidth="1"/>
    <col min="9" max="9" width="16.42578125" style="3" bestFit="1" customWidth="1"/>
    <col min="10" max="10" width="14.28515625" style="3" bestFit="1" customWidth="1"/>
    <col min="11" max="11" width="8.140625" style="3" bestFit="1" customWidth="1"/>
    <col min="12" max="12" width="13.42578125" style="3" bestFit="1" customWidth="1"/>
    <col min="13" max="13" width="22.42578125" bestFit="1" customWidth="1"/>
    <col min="14" max="14" width="20.140625" customWidth="1"/>
    <col min="16" max="16" width="16.42578125" style="3" bestFit="1" customWidth="1"/>
    <col min="17" max="17" width="16" style="3" bestFit="1" customWidth="1"/>
    <col min="18" max="18" width="9.140625" style="3"/>
    <col min="19" max="19" width="16" style="3" bestFit="1" customWidth="1"/>
    <col min="20" max="20" width="26.28515625" style="3" bestFit="1" customWidth="1"/>
    <col min="21" max="21" width="33.7109375" style="3" bestFit="1" customWidth="1"/>
    <col min="22" max="22" width="6.85546875" customWidth="1"/>
    <col min="24" max="24" width="16.42578125" style="85" bestFit="1" customWidth="1"/>
    <col min="25" max="25" width="16.42578125" style="3" bestFit="1" customWidth="1"/>
    <col min="26" max="26" width="8.140625" style="3" bestFit="1" customWidth="1"/>
    <col min="27" max="27" width="13.42578125" style="3" bestFit="1" customWidth="1"/>
    <col min="28" max="28" width="26.28515625" bestFit="1" customWidth="1"/>
    <col min="29" max="29" width="34.28515625" bestFit="1" customWidth="1"/>
    <col min="30" max="30" width="6.42578125" customWidth="1"/>
  </cols>
  <sheetData>
    <row r="2" spans="2:30" ht="14.45" customHeight="1">
      <c r="B2" s="40" t="str">
        <f ca="1">_xlfn.CONCAT("Day ",COUNTIF(Rankings!A:A,"&lt;="&amp;TODAY()))</f>
        <v>Day 445</v>
      </c>
      <c r="C2" s="301" t="s">
        <v>4135</v>
      </c>
      <c r="D2" s="301" t="s">
        <v>4136</v>
      </c>
      <c r="E2" s="301" t="s">
        <v>4137</v>
      </c>
      <c r="F2" s="40" t="s">
        <v>4138</v>
      </c>
      <c r="G2" s="41" t="s">
        <v>4139</v>
      </c>
      <c r="I2" s="126" t="s">
        <v>4140</v>
      </c>
      <c r="J2" s="126">
        <v>1</v>
      </c>
      <c r="K2" s="126">
        <v>2</v>
      </c>
      <c r="L2" s="126">
        <v>3</v>
      </c>
      <c r="M2" s="126">
        <v>4</v>
      </c>
      <c r="N2" s="126">
        <v>5</v>
      </c>
      <c r="P2" s="126" t="s">
        <v>42</v>
      </c>
      <c r="Q2" s="126" t="s">
        <v>4141</v>
      </c>
      <c r="R2" s="126" t="s">
        <v>4142</v>
      </c>
      <c r="S2" s="126" t="s">
        <v>4143</v>
      </c>
      <c r="T2" s="126" t="s">
        <v>4144</v>
      </c>
      <c r="U2" s="126" t="s">
        <v>4145</v>
      </c>
    </row>
    <row r="3" spans="2:30" ht="14.45" customHeight="1">
      <c r="B3" s="28" t="str">
        <f>Rankings!$J$1</f>
        <v>alappatjoe</v>
      </c>
      <c r="C3" s="29">
        <f>COUNTIFS(Data[[Poster]:[Poster]],$B3, Data[Winner],TRUE())</f>
        <v>87</v>
      </c>
      <c r="D3" s="30" cm="1">
        <f t="array" ref="D3">SUM(IF(Data[Poster]=$B3, Data[Average]))</f>
        <v>1354.4000000000005</v>
      </c>
      <c r="E3" s="42" cm="1">
        <f t="array" ref="E3">AVERAGE(IF(Data[Poster]=$B3, Data[Average]))</f>
        <v>3.0435955056179789</v>
      </c>
      <c r="F3" s="47">
        <f>_xlfn.RANK.EQ(C3,$C$3:$C$7,0)</f>
        <v>4</v>
      </c>
      <c r="G3" s="52">
        <f>_xlfn.RANK.EQ(E3,$E$3:$E$7,1)</f>
        <v>4</v>
      </c>
      <c r="H3" s="39"/>
      <c r="I3" s="28" t="str">
        <f>Rankings!$J$1</f>
        <v>alappatjoe</v>
      </c>
      <c r="J3" s="117">
        <f>COUNTIFS(Data[[Poster]:[Poster]],$I3, Data[[Day Rank]:[Day Rank]],J$2)</f>
        <v>91</v>
      </c>
      <c r="K3" s="117">
        <f>COUNTIFS(Data[[Poster]:[Poster]],$I3, Data[[Day Rank]:[Day Rank]],K$2)</f>
        <v>64</v>
      </c>
      <c r="L3" s="117">
        <f>COUNTIFS(Data[[Poster]:[Poster]],$I3, Data[[Day Rank]:[Day Rank]],L$2)</f>
        <v>96</v>
      </c>
      <c r="M3" s="117">
        <f>COUNTIFS(Data[[Poster]:[Poster]],$I3, Data[[Day Rank]:[Day Rank]],M$2)</f>
        <v>96</v>
      </c>
      <c r="N3" s="117">
        <f>COUNTIFS(Data[[Poster]:[Poster]],$I3, Data[[Day Rank]:[Day Rank]],N$2)</f>
        <v>98</v>
      </c>
      <c r="P3" s="28" t="str">
        <f>Rankings!$J$1</f>
        <v>alappatjoe</v>
      </c>
      <c r="Q3" s="244" cm="1">
        <f t="array" ref="Q3">AVERAGE(IF(Data[Poster]=$P3, IF(Data[Plays]&gt;0, Data[Plays])))</f>
        <v>175708397.33214286</v>
      </c>
      <c r="R3" s="244">
        <f>COUNTIFS(Data[[Poster]:[Poster]],$I3, Data[[Plays]:[Plays]],"&gt;="&amp;1000000000)</f>
        <v>13</v>
      </c>
      <c r="S3" s="244" cm="1">
        <f t="array" ref="S3">MEDIAN(IF(Data[Poster]=$P3, IF(Data[Plays]&gt;0, Data[Plays])))</f>
        <v>4921398</v>
      </c>
      <c r="T3" s="244" cm="1">
        <f t="array" ref="T3">MIN(IF(Data[Poster]=$P3, IF(Data[Plays]&gt;0, Data[Plays])))</f>
        <v>999</v>
      </c>
      <c r="U3" s="244" cm="1">
        <f t="array" ref="U3">MAX(IF(Data[Poster]=$P3, IF(Data[Plays]&gt;0, Data[Plays])))</f>
        <v>3355842640</v>
      </c>
    </row>
    <row r="4" spans="2:30" ht="14.45" customHeight="1">
      <c r="B4" s="31" t="str">
        <f>Rankings!$K$1</f>
        <v>danram</v>
      </c>
      <c r="C4" s="31">
        <f>COUNTIFS(Data[[Poster]:[Poster]],$B4, Data[Winner],TRUE())</f>
        <v>89</v>
      </c>
      <c r="D4" s="32" cm="1">
        <f t="array" ref="D4">SUM(IF(Data[Poster]=$B4, Data[Average]))</f>
        <v>1393.600000000001</v>
      </c>
      <c r="E4" s="43" cm="1">
        <f t="array" ref="E4">AVERAGE(IF(Data[Poster]=$B4, Data[Average]))</f>
        <v>3.1316853932584294</v>
      </c>
      <c r="F4" s="48">
        <f t="shared" ref="F4:F7" si="0">_xlfn.RANK.EQ(C4,$C$3:$C$7,0)</f>
        <v>3</v>
      </c>
      <c r="G4" s="53">
        <f t="shared" ref="G4:G7" si="1">_xlfn.RANK.EQ(E4,$E$3:$E$7,1)</f>
        <v>5</v>
      </c>
      <c r="I4" s="31" t="str">
        <f>Rankings!$K$1</f>
        <v>danram</v>
      </c>
      <c r="J4" s="117">
        <f>COUNTIFS(Data[[Poster]:[Poster]],$I4, Data[[Day Rank]:[Day Rank]],J$2)</f>
        <v>89</v>
      </c>
      <c r="K4" s="117">
        <f>COUNTIFS(Data[[Poster]:[Poster]],$I4, Data[[Day Rank]:[Day Rank]],K$2)</f>
        <v>81</v>
      </c>
      <c r="L4" s="117">
        <f>COUNTIFS(Data[[Poster]:[Poster]],$I4, Data[[Day Rank]:[Day Rank]],L$2)</f>
        <v>68</v>
      </c>
      <c r="M4" s="117">
        <f>COUNTIFS(Data[[Poster]:[Poster]],$I4, Data[[Day Rank]:[Day Rank]],M$2)</f>
        <v>98</v>
      </c>
      <c r="N4" s="117">
        <f>COUNTIFS(Data[[Poster]:[Poster]],$I4, Data[[Day Rank]:[Day Rank]],N$2)</f>
        <v>109</v>
      </c>
      <c r="P4" s="31" t="str">
        <f>Rankings!$K$1</f>
        <v>danram</v>
      </c>
      <c r="Q4" s="244" cm="1">
        <f t="array" ref="Q4">AVERAGE(IF(Data[Poster]=$P4, IF(Data[Plays]&gt;0, Data[Plays])))</f>
        <v>940068418.5</v>
      </c>
      <c r="R4" s="244">
        <f>COUNTIFS(Data[[Poster]:[Poster]],$I4, Data[[Plays]:[Plays]],"&gt;="&amp;1000000000)</f>
        <v>10</v>
      </c>
      <c r="S4" s="244" cm="1">
        <f t="array" ref="S4">MEDIAN(IF(Data[Poster]=$P4, IF(Data[Plays]&gt;0, Data[Plays])))</f>
        <v>629447417</v>
      </c>
      <c r="T4" s="244" cm="1">
        <f t="array" ref="T4">MIN(IF(Data[Poster]=$P4, IF(Data[Plays]&gt;0, Data[Plays])))</f>
        <v>667073</v>
      </c>
      <c r="U4" s="244" cm="1">
        <f t="array" ref="U4">MAX(IF(Data[Poster]=$P4, IF(Data[Plays]&gt;0, Data[Plays])))</f>
        <v>4454441248</v>
      </c>
    </row>
    <row r="5" spans="2:30" ht="14.45" customHeight="1">
      <c r="B5" s="33" t="str">
        <f>Rankings!$L$1</f>
        <v>loganworsdell</v>
      </c>
      <c r="C5" s="33">
        <f>COUNTIFS(Data[[Poster]:[Poster]],$B5, Data[Winner],TRUE())</f>
        <v>90</v>
      </c>
      <c r="D5" s="34" cm="1">
        <f t="array" ref="D5">SUM(IF(Data[Poster]=$B5, Data[Average]))</f>
        <v>1339.3999999999978</v>
      </c>
      <c r="E5" s="44" cm="1">
        <f t="array" ref="E5">AVERAGE(IF(Data[Poster]=$B5, Data[Average]))</f>
        <v>3.0098876404494335</v>
      </c>
      <c r="F5" s="49">
        <f t="shared" si="0"/>
        <v>2</v>
      </c>
      <c r="G5" s="54">
        <f t="shared" si="1"/>
        <v>3</v>
      </c>
      <c r="I5" s="33" t="str">
        <f>Rankings!$L$1</f>
        <v>loganworsdell</v>
      </c>
      <c r="J5" s="117">
        <f>COUNTIFS(Data[[Poster]:[Poster]],$I5, Data[[Day Rank]:[Day Rank]],J$2)</f>
        <v>93</v>
      </c>
      <c r="K5" s="117">
        <f>COUNTIFS(Data[[Poster]:[Poster]],$I5, Data[[Day Rank]:[Day Rank]],K$2)</f>
        <v>92</v>
      </c>
      <c r="L5" s="117">
        <f>COUNTIFS(Data[[Poster]:[Poster]],$I5, Data[[Day Rank]:[Day Rank]],L$2)</f>
        <v>84</v>
      </c>
      <c r="M5" s="117">
        <f>COUNTIFS(Data[[Poster]:[Poster]],$I5, Data[[Day Rank]:[Day Rank]],M$2)</f>
        <v>91</v>
      </c>
      <c r="N5" s="117">
        <f>COUNTIFS(Data[[Poster]:[Poster]],$I5, Data[[Day Rank]:[Day Rank]],N$2)</f>
        <v>85</v>
      </c>
      <c r="P5" s="33" t="str">
        <f>Rankings!$L$1</f>
        <v>loganworsdell</v>
      </c>
      <c r="Q5" s="244" cm="1">
        <f t="array" ref="Q5">AVERAGE(IF(Data[Poster]=$P5, IF(Data[Plays]&gt;0, Data[Plays])))</f>
        <v>141360317.06115109</v>
      </c>
      <c r="R5" s="244">
        <f>COUNTIFS(Data[[Poster]:[Poster]],$I5, Data[[Plays]:[Plays]],"&gt;="&amp;1000000000)</f>
        <v>10</v>
      </c>
      <c r="S5" s="244" cm="1">
        <f t="array" ref="S5">MEDIAN(IF(Data[Poster]=$P5, IF(Data[Plays]&gt;0, Data[Plays])))</f>
        <v>7367511</v>
      </c>
      <c r="T5" s="244" cm="1">
        <f t="array" ref="T5">MIN(IF(Data[Poster]=$P5, IF(Data[Plays]&gt;0, Data[Plays])))</f>
        <v>999</v>
      </c>
      <c r="U5" s="244" cm="1">
        <f t="array" ref="U5">MAX(IF(Data[Poster]=$P5, IF(Data[Plays]&gt;0, Data[Plays])))</f>
        <v>3869670265</v>
      </c>
    </row>
    <row r="6" spans="2:30" ht="14.45" customHeight="1">
      <c r="B6" s="35" t="str">
        <f>Rankings!$M$1</f>
        <v>samuelbattista</v>
      </c>
      <c r="C6" s="35">
        <f>COUNTIFS(Data[[Poster]:[Poster]],$B6, Data[Winner],TRUE())</f>
        <v>87</v>
      </c>
      <c r="D6" s="36" cm="1">
        <f t="array" ref="D6">SUM(IF(Data[Poster]=$B6, Data[Average]))</f>
        <v>1306.1999999999998</v>
      </c>
      <c r="E6" s="45" cm="1">
        <f t="array" ref="E6">AVERAGE(IF(Data[Poster]=$B6, Data[Average]))</f>
        <v>2.9352808988764041</v>
      </c>
      <c r="F6" s="50">
        <f>_xlfn.RANK.EQ(C6,$C$3:$C$7,0)</f>
        <v>4</v>
      </c>
      <c r="G6" s="55">
        <f t="shared" si="1"/>
        <v>2</v>
      </c>
      <c r="I6" s="35" t="str">
        <f>Rankings!$M$1</f>
        <v>samuelbattista</v>
      </c>
      <c r="J6" s="117">
        <f>COUNTIFS(Data[[Poster]:[Poster]],$I6, Data[[Day Rank]:[Day Rank]],J$2)</f>
        <v>92</v>
      </c>
      <c r="K6" s="117">
        <f>COUNTIFS(Data[[Poster]:[Poster]],$I6, Data[[Day Rank]:[Day Rank]],K$2)</f>
        <v>107</v>
      </c>
      <c r="L6" s="117">
        <f>COUNTIFS(Data[[Poster]:[Poster]],$I6, Data[[Day Rank]:[Day Rank]],L$2)</f>
        <v>96</v>
      </c>
      <c r="M6" s="117">
        <f>COUNTIFS(Data[[Poster]:[Poster]],$I6, Data[[Day Rank]:[Day Rank]],M$2)</f>
        <v>76</v>
      </c>
      <c r="N6" s="117">
        <f>COUNTIFS(Data[[Poster]:[Poster]],$I6, Data[[Day Rank]:[Day Rank]],N$2)</f>
        <v>74</v>
      </c>
      <c r="P6" s="35" t="str">
        <f>Rankings!$M$1</f>
        <v>samuelbattista</v>
      </c>
      <c r="Q6" s="244" cm="1">
        <f t="array" ref="Q6">AVERAGE(IF(Data[Poster]=$P6, IF(Data[Plays]&gt;0, Data[Plays])))</f>
        <v>430926976.68627453</v>
      </c>
      <c r="R6" s="244">
        <f>COUNTIFS(Data[[Poster]:[Poster]],$I6, Data[[Plays]:[Plays]],"&gt;="&amp;1000000000)</f>
        <v>7</v>
      </c>
      <c r="S6" s="244" cm="1">
        <f t="array" ref="S6">MEDIAN(IF(Data[Poster]=$P6, IF(Data[Plays]&gt;0, Data[Plays])))</f>
        <v>27496238</v>
      </c>
      <c r="T6" s="244" cm="1">
        <f t="array" ref="T6">MIN(IF(Data[Poster]=$P6, IF(Data[Plays]&gt;0, Data[Plays])))</f>
        <v>40645</v>
      </c>
      <c r="U6" s="244" cm="1">
        <f t="array" ref="U6">MAX(IF(Data[Poster]=$P6, IF(Data[Plays]&gt;0, Data[Plays])))</f>
        <v>5351958417</v>
      </c>
    </row>
    <row r="7" spans="2:30" ht="14.45" customHeight="1">
      <c r="B7" s="37" t="str">
        <f>Rankings!$N$1</f>
        <v>currydestroyer27</v>
      </c>
      <c r="C7" s="37">
        <f>COUNTIFS(Data[[Poster]:[Poster]],$B7, Data[Winner],TRUE())</f>
        <v>92</v>
      </c>
      <c r="D7" s="38" cm="1">
        <f t="array" ref="D7">SUM(IF(Data[Poster]=$B7, Data[Average]))</f>
        <v>1281.3999999999992</v>
      </c>
      <c r="E7" s="46" cm="1">
        <f t="array" ref="E7">AVERAGE(IF(Data[Poster]=$B7, Data[Average]))</f>
        <v>2.879550561797751</v>
      </c>
      <c r="F7" s="51">
        <f t="shared" si="0"/>
        <v>1</v>
      </c>
      <c r="G7" s="56">
        <f t="shared" si="1"/>
        <v>1</v>
      </c>
      <c r="I7" s="37" t="str">
        <f>Rankings!$N$1</f>
        <v>currydestroyer27</v>
      </c>
      <c r="J7" s="117">
        <f>COUNTIFS(Data[[Poster]:[Poster]],$I7, Data[[Day Rank]:[Day Rank]],J$2)</f>
        <v>96</v>
      </c>
      <c r="K7" s="117">
        <f>COUNTIFS(Data[[Poster]:[Poster]],$I7, Data[[Day Rank]:[Day Rank]],K$2)</f>
        <v>104</v>
      </c>
      <c r="L7" s="117">
        <f>COUNTIFS(Data[[Poster]:[Poster]],$I7, Data[[Day Rank]:[Day Rank]],L$2)</f>
        <v>93</v>
      </c>
      <c r="M7" s="117">
        <f>COUNTIFS(Data[[Poster]:[Poster]],$I7, Data[[Day Rank]:[Day Rank]],M$2)</f>
        <v>83</v>
      </c>
      <c r="N7" s="117">
        <f>COUNTIFS(Data[[Poster]:[Poster]],$I7, Data[[Day Rank]:[Day Rank]],N$2)</f>
        <v>69</v>
      </c>
      <c r="P7" s="37" t="str">
        <f>Rankings!$N$1</f>
        <v>currydestroyer27</v>
      </c>
      <c r="Q7" s="244" cm="1">
        <f t="array" ref="Q7">AVERAGE(IF(Data[Poster]=$P7, IF(Data[Plays]&gt;0, Data[Plays])))</f>
        <v>262560877.32234433</v>
      </c>
      <c r="R7" s="244">
        <f>COUNTIFS(Data[[Poster]:[Poster]],$I7, Data[[Plays]:[Plays]],"&gt;="&amp;1000000000)</f>
        <v>17</v>
      </c>
      <c r="S7" s="244" cm="1">
        <f t="array" ref="S7">MEDIAN(IF(Data[Poster]=$P7, IF(Data[Plays]&gt;0, Data[Plays])))</f>
        <v>63260342</v>
      </c>
      <c r="T7" s="244" cm="1">
        <f t="array" ref="T7">MIN(IF(Data[Poster]=$P7, IF(Data[Plays]&gt;0, Data[Plays])))</f>
        <v>3000</v>
      </c>
      <c r="U7" s="244" cm="1">
        <f t="array" ref="U7">MAX(IF(Data[Poster]=$P7, IF(Data[Plays]&gt;0, Data[Plays])))</f>
        <v>2883211530</v>
      </c>
    </row>
    <row r="9" spans="2:30">
      <c r="B9" s="345" t="s">
        <v>4146</v>
      </c>
      <c r="C9" s="345"/>
      <c r="D9" s="345"/>
      <c r="E9" s="301">
        <v>28</v>
      </c>
      <c r="F9" s="346" t="s">
        <v>4147</v>
      </c>
      <c r="G9" s="346"/>
      <c r="I9" s="345" t="s">
        <v>4148</v>
      </c>
      <c r="J9" s="345"/>
      <c r="K9" s="345"/>
      <c r="L9" s="301">
        <v>28</v>
      </c>
      <c r="M9" s="346" t="s">
        <v>4147</v>
      </c>
      <c r="N9" s="346"/>
      <c r="P9" s="180">
        <v>1</v>
      </c>
      <c r="Q9" s="344" t="str">
        <f>_xlfn.CONCAT("Amount of ",P9,"'s given for past")</f>
        <v>Amount of 1's given for past</v>
      </c>
      <c r="R9" s="344"/>
      <c r="S9" s="344"/>
      <c r="T9" s="179">
        <v>1000</v>
      </c>
      <c r="U9" s="128" t="s">
        <v>4147</v>
      </c>
      <c r="V9" s="301" t="s">
        <v>4149</v>
      </c>
      <c r="X9" s="180">
        <v>2</v>
      </c>
      <c r="Y9" s="344" t="str">
        <f>_xlfn.CONCAT("Amount of ",X9,"'s given for past")</f>
        <v>Amount of 2's given for past</v>
      </c>
      <c r="Z9" s="344"/>
      <c r="AA9" s="344"/>
      <c r="AB9" s="179">
        <v>1000</v>
      </c>
      <c r="AC9" s="128" t="s">
        <v>4147</v>
      </c>
      <c r="AD9" s="301" t="s">
        <v>4149</v>
      </c>
    </row>
    <row r="10" spans="2:30">
      <c r="B10" s="301" t="s">
        <v>4150</v>
      </c>
      <c r="C10" s="65" t="str">
        <f>Rankings!$J$1</f>
        <v>alappatjoe</v>
      </c>
      <c r="D10" s="66" t="str">
        <f>Rankings!$K$1</f>
        <v>danram</v>
      </c>
      <c r="E10" s="67" t="str">
        <f>Rankings!$L$1</f>
        <v>loganworsdell</v>
      </c>
      <c r="F10" s="68" t="str">
        <f>Rankings!$M$1</f>
        <v>samuelbattista</v>
      </c>
      <c r="G10" s="69" t="str">
        <f>Rankings!$N$1</f>
        <v>currydestroyer27</v>
      </c>
      <c r="I10" s="301" t="s">
        <v>4150</v>
      </c>
      <c r="J10" s="65" t="str">
        <f>Rankings!$J$1</f>
        <v>alappatjoe</v>
      </c>
      <c r="K10" s="66" t="str">
        <f>Rankings!$K$1</f>
        <v>danram</v>
      </c>
      <c r="L10" s="67" t="str">
        <f>Rankings!$L$1</f>
        <v>loganworsdell</v>
      </c>
      <c r="M10" s="68" t="str">
        <f>Rankings!$M$1</f>
        <v>samuelbattista</v>
      </c>
      <c r="N10" s="69" t="str">
        <f>Rankings!$N$1</f>
        <v>currydestroyer27</v>
      </c>
      <c r="P10" s="126" t="s">
        <v>4150</v>
      </c>
      <c r="Q10" s="28" t="str">
        <f>Rankings!$J$1</f>
        <v>alappatjoe</v>
      </c>
      <c r="R10" s="31" t="str">
        <f>Rankings!$K$1</f>
        <v>danram</v>
      </c>
      <c r="S10" s="33" t="str">
        <f>Rankings!$L$1</f>
        <v>loganworsdell</v>
      </c>
      <c r="T10" s="35" t="str">
        <f>Rankings!$M$1</f>
        <v>samuelbattista</v>
      </c>
      <c r="U10" s="37" t="str">
        <f>Rankings!$N$1</f>
        <v>currydestroyer27</v>
      </c>
      <c r="V10" s="301"/>
      <c r="X10" s="290" t="s">
        <v>4150</v>
      </c>
      <c r="Y10" s="28" t="str">
        <f>Rankings!$J$1</f>
        <v>alappatjoe</v>
      </c>
      <c r="Z10" s="31" t="str">
        <f>Rankings!$K$1</f>
        <v>danram</v>
      </c>
      <c r="AA10" s="33" t="str">
        <f>Rankings!$L$1</f>
        <v>loganworsdell</v>
      </c>
      <c r="AB10" s="35" t="str">
        <f>Rankings!$M$1</f>
        <v>samuelbattista</v>
      </c>
      <c r="AC10" s="37" t="str">
        <f>Rankings!$N$1</f>
        <v>currydestroyer27</v>
      </c>
      <c r="AD10" s="301"/>
    </row>
    <row r="11" spans="2:30">
      <c r="B11" s="61" t="str">
        <f>Rankings!$J$1</f>
        <v>alappatjoe</v>
      </c>
      <c r="C11" s="70" cm="1">
        <f t="array" aca="1" ref="C11" ca="1">AVERAGE(IF(Data[Poster]=$B11, IF(Data[Date]&gt; TODAY()-$E$9, IF(INDIRECT(_xlfn.CONCAT("Data[", C$10, "]"))&gt;0, INDIRECT(_xlfn.CONCAT("Data[", C$10, "]"))))))</f>
        <v>1.375</v>
      </c>
      <c r="D11" s="70" cm="1">
        <f t="array" aca="1" ref="D11" ca="1">AVERAGE(IF(Data[Poster]=$B11, IF(Data[Date]&gt; TODAY()-$E$9, IF(INDIRECT(_xlfn.CONCAT("Data[", D$10, "]"))&gt;0, INDIRECT(_xlfn.CONCAT("Data[", D$10, "]"))))))</f>
        <v>3.4375</v>
      </c>
      <c r="E11" s="70" cm="1">
        <f t="array" aca="1" ref="E11" ca="1">AVERAGE(IF(Data[Poster]=$B11, IF(Data[Date]&gt; TODAY()-$E$9, IF(INDIRECT(_xlfn.CONCAT("Data[", E$10, "]"))&gt;0, INDIRECT(_xlfn.CONCAT("Data[", E$10, "]"))))))</f>
        <v>3</v>
      </c>
      <c r="F11" s="70" cm="1">
        <f t="array" aca="1" ref="F11" ca="1">AVERAGE(IF(Data[Poster]=$B11, IF(Data[Date]&gt; TODAY()-$E$9, IF(INDIRECT(_xlfn.CONCAT("Data[", F$10, "]"))&gt;0, INDIRECT(_xlfn.CONCAT("Data[", F$10, "]"))))))</f>
        <v>3.5625</v>
      </c>
      <c r="G11" s="70" cm="1">
        <f t="array" aca="1" ref="G11" ca="1">AVERAGE(IF(Data[Poster]=$B11, IF(Data[Date]&gt; TODAY()-$E$9, IF(INDIRECT(_xlfn.CONCAT("Data[", G$10, "]"))&gt;0, INDIRECT(_xlfn.CONCAT("Data[", G$10, "]"))))))</f>
        <v>3.0625</v>
      </c>
      <c r="I11" s="61" t="str">
        <f>Rankings!$J$1</f>
        <v>alappatjoe</v>
      </c>
      <c r="J11" s="70" cm="1">
        <f t="array" aca="1" ref="J11" ca="1">MEDIAN(IF(Data[Poster]=$I11, IF(Data[Date]&gt; TODAY()-$L$9, IF(INDIRECT(_xlfn.CONCAT("Data[", J$10, "]"))&gt;0, INDIRECT(_xlfn.CONCAT("Data[", J$10, "]"))))))</f>
        <v>1</v>
      </c>
      <c r="K11" s="70" cm="1">
        <f t="array" aca="1" ref="K11" ca="1">MEDIAN(IF(Data[Poster]=$I11, IF(Data[Date]&gt; TODAY()-$L$9, IF(INDIRECT(_xlfn.CONCAT("Data[", K$10, "]"))&gt;0, INDIRECT(_xlfn.CONCAT("Data[", K$10, "]"))))))</f>
        <v>3.5</v>
      </c>
      <c r="L11" s="70" cm="1">
        <f t="array" aca="1" ref="L11" ca="1">MEDIAN(IF(Data[Poster]=$I11, IF(Data[Date]&gt; TODAY()-$L$9, IF(INDIRECT(_xlfn.CONCAT("Data[", L$10, "]"))&gt;0, INDIRECT(_xlfn.CONCAT("Data[", L$10, "]"))))))</f>
        <v>3</v>
      </c>
      <c r="M11" s="70" cm="1">
        <f t="array" aca="1" ref="M11" ca="1">MEDIAN(IF(Data[Poster]=$I11, IF(Data[Date]&gt; TODAY()-$L$9, IF(INDIRECT(_xlfn.CONCAT("Data[", M$10, "]"))&gt;0, INDIRECT(_xlfn.CONCAT("Data[", M$10, "]"))))))</f>
        <v>4</v>
      </c>
      <c r="N11" s="70" cm="1">
        <f t="array" aca="1" ref="N11" ca="1">MEDIAN(IF(Data[Poster]=$I11, IF(Data[Date]&gt; TODAY()-$L$9, IF(INDIRECT(_xlfn.CONCAT("Data[", N$10, "]"))&gt;0, INDIRECT(_xlfn.CONCAT("Data[", N$10, "]"))))))</f>
        <v>3</v>
      </c>
      <c r="P11" s="28" t="str">
        <f>Rankings!$J$1</f>
        <v>alappatjoe</v>
      </c>
      <c r="Q11" s="117">
        <f ca="1">COUNTIFS(Data[Date],"&gt;"&amp;TODAY()-$T$9,Data[Poster],$P11,INDIRECT(_xlfn.CONCAT("Data[", Q$10, "]")),$P$9)</f>
        <v>384</v>
      </c>
      <c r="R11" s="117">
        <f ca="1">COUNTIFS(Data[Date],"&gt;"&amp;TODAY()-$T$9,Data[Poster],$P11,INDIRECT(_xlfn.CONCAT("Data[", R$10, "]")),$P$9)</f>
        <v>29</v>
      </c>
      <c r="S11" s="117">
        <f ca="1">COUNTIFS(Data[Date],"&gt;"&amp;TODAY()-$T$9,Data[Poster],$P11,INDIRECT(_xlfn.CONCAT("Data[", S$10, "]")),$P$9)</f>
        <v>38</v>
      </c>
      <c r="T11" s="117">
        <f ca="1">COUNTIFS(Data[Date],"&gt;"&amp;TODAY()-$T$9,Data[Poster],$P11,INDIRECT(_xlfn.CONCAT("Data[", T$10, "]")),$P$9)</f>
        <v>17</v>
      </c>
      <c r="U11" s="117">
        <f ca="1">COUNTIFS(Data[Date],"&gt;"&amp;TODAY()-$T$9,Data[Poster],$P11,INDIRECT(_xlfn.CONCAT("Data[", U$10, "]")),$P$9)</f>
        <v>33</v>
      </c>
      <c r="V11" s="117">
        <f ca="1">SUM(Q11:U11)</f>
        <v>501</v>
      </c>
      <c r="X11" s="291" t="str">
        <f>Rankings!$J$1</f>
        <v>alappatjoe</v>
      </c>
      <c r="Y11" s="117">
        <f ca="1">COUNTIFS(Data[Date],"&gt;"&amp;TODAY()-$AB$9,Data[Poster],$X11,INDIRECT(_xlfn.CONCAT("Data[", Y$10, "]")),$X$9)</f>
        <v>38</v>
      </c>
      <c r="Z11" s="117">
        <f ca="1">COUNTIFS(Data[Date],"&gt;"&amp;TODAY()-$AB$9,Data[Poster],$X11,INDIRECT(_xlfn.CONCAT("Data[", Z$10, "]")),$X$9)</f>
        <v>68</v>
      </c>
      <c r="AA11" s="117">
        <f ca="1">COUNTIFS(Data[Date],"&gt;"&amp;TODAY()-$AB$9,Data[Poster],$X11,INDIRECT(_xlfn.CONCAT("Data[", AA$10, "]")),$X$9)</f>
        <v>71</v>
      </c>
      <c r="AB11" s="117">
        <f ca="1">COUNTIFS(Data[Date],"&gt;"&amp;TODAY()-$AB$9,Data[Poster],$X11,INDIRECT(_xlfn.CONCAT("Data[", AB$10, "]")),$X$9)</f>
        <v>77</v>
      </c>
      <c r="AC11" s="117">
        <f ca="1">COUNTIFS(Data[Date],"&gt;"&amp;TODAY()-$AB$9,Data[Poster],$X11,INDIRECT(_xlfn.CONCAT("Data[", AC$10, "]")),$X$9)</f>
        <v>118</v>
      </c>
      <c r="AD11" s="117">
        <f ca="1">SUM(Y11:AC11)</f>
        <v>372</v>
      </c>
    </row>
    <row r="12" spans="2:30">
      <c r="B12" s="62" t="str">
        <f>Rankings!$K$1</f>
        <v>danram</v>
      </c>
      <c r="C12" s="70" cm="1">
        <f t="array" aca="1" ref="C12" ca="1">AVERAGE(IF(Data[Poster]=$B12, IF(Data[Date]&gt; TODAY()-$E$9, IF(INDIRECT(_xlfn.CONCAT("Data[", C$10, "]"))&gt;0, INDIRECT(_xlfn.CONCAT("Data[", C$10, "]"))))))</f>
        <v>3.6875</v>
      </c>
      <c r="D12" s="70" cm="1">
        <f t="array" aca="1" ref="D12" ca="1">AVERAGE(IF(Data[Poster]=$B12, IF(Data[Date]&gt; TODAY()-$E$9, IF(INDIRECT(_xlfn.CONCAT("Data[", D$10, "]"))&gt;0, INDIRECT(_xlfn.CONCAT("Data[", D$10, "]"))))))</f>
        <v>2.25</v>
      </c>
      <c r="E12" s="70" cm="1">
        <f t="array" aca="1" ref="E12" ca="1">AVERAGE(IF(Data[Poster]=$B12, IF(Data[Date]&gt; TODAY()-$E$9, IF(INDIRECT(_xlfn.CONCAT("Data[", E$10, "]"))&gt;0, INDIRECT(_xlfn.CONCAT("Data[", E$10, "]"))))))</f>
        <v>4.0625</v>
      </c>
      <c r="F12" s="70" cm="1">
        <f t="array" aca="1" ref="F12" ca="1">AVERAGE(IF(Data[Poster]=$B12, IF(Data[Date]&gt; TODAY()-$E$9, IF(INDIRECT(_xlfn.CONCAT("Data[", F$10, "]"))&gt;0, INDIRECT(_xlfn.CONCAT("Data[", F$10, "]"))))))</f>
        <v>2.8125</v>
      </c>
      <c r="G12" s="70" cm="1">
        <f t="array" aca="1" ref="G12" ca="1">AVERAGE(IF(Data[Poster]=$B12, IF(Data[Date]&gt; TODAY()-$E$9, IF(INDIRECT(_xlfn.CONCAT("Data[", G$10, "]"))&gt;0, INDIRECT(_xlfn.CONCAT("Data[", G$10, "]"))))))</f>
        <v>3.5625</v>
      </c>
      <c r="I12" s="62" t="str">
        <f>Rankings!$K$1</f>
        <v>danram</v>
      </c>
      <c r="J12" s="70" cm="1">
        <f t="array" aca="1" ref="J12" ca="1">MEDIAN(IF(Data[Poster]=$I12, IF(Data[Date]&gt; TODAY()-$L$9, IF(INDIRECT(_xlfn.CONCAT("Data[", J$10, "]"))&gt;0, INDIRECT(_xlfn.CONCAT("Data[", J$10, "]"))))))</f>
        <v>4</v>
      </c>
      <c r="K12" s="70" cm="1">
        <f t="array" aca="1" ref="K12" ca="1">MEDIAN(IF(Data[Poster]=$I12, IF(Data[Date]&gt; TODAY()-$L$9, IF(INDIRECT(_xlfn.CONCAT("Data[", K$10, "]"))&gt;0, INDIRECT(_xlfn.CONCAT("Data[", K$10, "]"))))))</f>
        <v>1.5</v>
      </c>
      <c r="L12" s="70" cm="1">
        <f t="array" aca="1" ref="L12" ca="1">MEDIAN(IF(Data[Poster]=$I12, IF(Data[Date]&gt; TODAY()-$L$9, IF(INDIRECT(_xlfn.CONCAT("Data[", L$10, "]"))&gt;0, INDIRECT(_xlfn.CONCAT("Data[", L$10, "]"))))))</f>
        <v>5</v>
      </c>
      <c r="M12" s="70" cm="1">
        <f t="array" aca="1" ref="M12" ca="1">MEDIAN(IF(Data[Poster]=$I12, IF(Data[Date]&gt; TODAY()-$L$9, IF(INDIRECT(_xlfn.CONCAT("Data[", M$10, "]"))&gt;0, INDIRECT(_xlfn.CONCAT("Data[", M$10, "]"))))))</f>
        <v>2</v>
      </c>
      <c r="N12" s="70" cm="1">
        <f t="array" aca="1" ref="N12" ca="1">MEDIAN(IF(Data[Poster]=$I12, IF(Data[Date]&gt; TODAY()-$L$9, IF(INDIRECT(_xlfn.CONCAT("Data[", N$10, "]"))&gt;0, INDIRECT(_xlfn.CONCAT("Data[", N$10, "]"))))))</f>
        <v>4</v>
      </c>
      <c r="P12" s="31" t="str">
        <f>Rankings!$K$1</f>
        <v>danram</v>
      </c>
      <c r="Q12" s="117">
        <f ca="1">COUNTIFS(Data[Date],"&gt;"&amp;TODAY()-$T$9,Data[Poster],$P12,INDIRECT(_xlfn.CONCAT("Data[", Q$10, "]")),$P$9)</f>
        <v>17</v>
      </c>
      <c r="R12" s="117">
        <f ca="1">COUNTIFS(Data[Date],"&gt;"&amp;TODAY()-$T$9,Data[Poster],$P12,INDIRECT(_xlfn.CONCAT("Data[", R$10, "]")),$P$9)</f>
        <v>238</v>
      </c>
      <c r="S12" s="117">
        <f ca="1">COUNTIFS(Data[Date],"&gt;"&amp;TODAY()-$T$9,Data[Poster],$P12,INDIRECT(_xlfn.CONCAT("Data[", S$10, "]")),$P$9)</f>
        <v>52</v>
      </c>
      <c r="T12" s="117">
        <f ca="1">COUNTIFS(Data[Date],"&gt;"&amp;TODAY()-$T$9,Data[Poster],$P12,INDIRECT(_xlfn.CONCAT("Data[", T$10, "]")),$P$9)</f>
        <v>33</v>
      </c>
      <c r="U12" s="117">
        <f ca="1">COUNTIFS(Data[Date],"&gt;"&amp;TODAY()-$T$9,Data[Poster],$P12,INDIRECT(_xlfn.CONCAT("Data[", U$10, "]")),$P$9)</f>
        <v>25</v>
      </c>
      <c r="V12" s="117">
        <f ca="1">SUM(Q12:U12)</f>
        <v>365</v>
      </c>
      <c r="X12" s="292" t="str">
        <f>Rankings!$K$1</f>
        <v>danram</v>
      </c>
      <c r="Y12" s="117">
        <f ca="1">COUNTIFS(Data[Date],"&gt;"&amp;TODAY()-$AB$9,Data[Poster],$X12,INDIRECT(_xlfn.CONCAT("Data[", Y$10, "]")),$X$9)</f>
        <v>82</v>
      </c>
      <c r="Z12" s="117">
        <f ca="1">COUNTIFS(Data[Date],"&gt;"&amp;TODAY()-$AB$9,Data[Poster],$X12,INDIRECT(_xlfn.CONCAT("Data[", Z$10, "]")),$X$9)</f>
        <v>90</v>
      </c>
      <c r="AA12" s="117">
        <f ca="1">COUNTIFS(Data[Date],"&gt;"&amp;TODAY()-$AB$9,Data[Poster],$X12,INDIRECT(_xlfn.CONCAT("Data[", AA$10, "]")),$X$9)</f>
        <v>59</v>
      </c>
      <c r="AB12" s="117">
        <f ca="1">COUNTIFS(Data[Date],"&gt;"&amp;TODAY()-$AB$9,Data[Poster],$X12,INDIRECT(_xlfn.CONCAT("Data[", AB$10, "]")),$X$9)</f>
        <v>120</v>
      </c>
      <c r="AC12" s="117">
        <f ca="1">COUNTIFS(Data[Date],"&gt;"&amp;TODAY()-$AB$9,Data[Poster],$X12,INDIRECT(_xlfn.CONCAT("Data[", AC$10, "]")),$X$9)</f>
        <v>97</v>
      </c>
      <c r="AD12" s="117">
        <f ca="1">SUM(Y12:AC12)</f>
        <v>448</v>
      </c>
    </row>
    <row r="13" spans="2:30">
      <c r="B13" s="15" t="str">
        <f>Rankings!$L$1</f>
        <v>loganworsdell</v>
      </c>
      <c r="C13" s="70" cm="1">
        <f t="array" aca="1" ref="C13" ca="1">AVERAGE(IF(Data[Poster]=$B13, IF(Data[Date]&gt; TODAY()-$E$9, IF(INDIRECT(_xlfn.CONCAT("Data[", C$10, "]"))&gt;0, INDIRECT(_xlfn.CONCAT("Data[", C$10, "]"))))))</f>
        <v>3.0625</v>
      </c>
      <c r="D13" s="70" cm="1">
        <f t="array" aca="1" ref="D13" ca="1">AVERAGE(IF(Data[Poster]=$B13, IF(Data[Date]&gt; TODAY()-$E$9, IF(INDIRECT(_xlfn.CONCAT("Data[", D$10, "]"))&gt;0, INDIRECT(_xlfn.CONCAT("Data[", D$10, "]"))))))</f>
        <v>3.1875</v>
      </c>
      <c r="E13" s="70" cm="1">
        <f t="array" aca="1" ref="E13" ca="1">AVERAGE(IF(Data[Poster]=$B13, IF(Data[Date]&gt; TODAY()-$E$9, IF(INDIRECT(_xlfn.CONCAT("Data[", E$10, "]"))&gt;0, INDIRECT(_xlfn.CONCAT("Data[", E$10, "]"))))))</f>
        <v>1.8125</v>
      </c>
      <c r="F13" s="70" cm="1">
        <f t="array" aca="1" ref="F13" ca="1">AVERAGE(IF(Data[Poster]=$B13, IF(Data[Date]&gt; TODAY()-$E$9, IF(INDIRECT(_xlfn.CONCAT("Data[", F$10, "]"))&gt;0, INDIRECT(_xlfn.CONCAT("Data[", F$10, "]"))))))</f>
        <v>3.5</v>
      </c>
      <c r="G13" s="70" cm="1">
        <f t="array" aca="1" ref="G13" ca="1">AVERAGE(IF(Data[Poster]=$B13, IF(Data[Date]&gt; TODAY()-$E$9, IF(INDIRECT(_xlfn.CONCAT("Data[", G$10, "]"))&gt;0, INDIRECT(_xlfn.CONCAT("Data[", G$10, "]"))))))</f>
        <v>3.4375</v>
      </c>
      <c r="I13" s="15" t="str">
        <f>Rankings!$L$1</f>
        <v>loganworsdell</v>
      </c>
      <c r="J13" s="70" cm="1">
        <f t="array" aca="1" ref="J13" ca="1">MEDIAN(IF(Data[Poster]=$I13, IF(Data[Date]&gt; TODAY()-$L$9, IF(INDIRECT(_xlfn.CONCAT("Data[", J$10, "]"))&gt;0, INDIRECT(_xlfn.CONCAT("Data[", J$10, "]"))))))</f>
        <v>2.5</v>
      </c>
      <c r="K13" s="70" cm="1">
        <f t="array" aca="1" ref="K13" ca="1">MEDIAN(IF(Data[Poster]=$I13, IF(Data[Date]&gt; TODAY()-$L$9, IF(INDIRECT(_xlfn.CONCAT("Data[", K$10, "]"))&gt;0, INDIRECT(_xlfn.CONCAT("Data[", K$10, "]"))))))</f>
        <v>3</v>
      </c>
      <c r="L13" s="70" cm="1">
        <f t="array" aca="1" ref="L13" ca="1">MEDIAN(IF(Data[Poster]=$I13, IF(Data[Date]&gt; TODAY()-$L$9, IF(INDIRECT(_xlfn.CONCAT("Data[", L$10, "]"))&gt;0, INDIRECT(_xlfn.CONCAT("Data[", L$10, "]"))))))</f>
        <v>1.5</v>
      </c>
      <c r="M13" s="70" cm="1">
        <f t="array" aca="1" ref="M13" ca="1">MEDIAN(IF(Data[Poster]=$I13, IF(Data[Date]&gt; TODAY()-$L$9, IF(INDIRECT(_xlfn.CONCAT("Data[", M$10, "]"))&gt;0, INDIRECT(_xlfn.CONCAT("Data[", M$10, "]"))))))</f>
        <v>3</v>
      </c>
      <c r="N13" s="70" cm="1">
        <f t="array" aca="1" ref="N13" ca="1">MEDIAN(IF(Data[Poster]=$I13, IF(Data[Date]&gt; TODAY()-$L$9, IF(INDIRECT(_xlfn.CONCAT("Data[", N$10, "]"))&gt;0, INDIRECT(_xlfn.CONCAT("Data[", N$10, "]"))))))</f>
        <v>3</v>
      </c>
      <c r="P13" s="33" t="str">
        <f>Rankings!$L$1</f>
        <v>loganworsdell</v>
      </c>
      <c r="Q13" s="117">
        <f ca="1">COUNTIFS(Data[Date],"&gt;"&amp;TODAY()-$T$9,Data[Poster],$P13,INDIRECT(_xlfn.CONCAT("Data[", Q$10, "]")),$P$9)</f>
        <v>17</v>
      </c>
      <c r="R13" s="117">
        <f ca="1">COUNTIFS(Data[Date],"&gt;"&amp;TODAY()-$T$9,Data[Poster],$P13,INDIRECT(_xlfn.CONCAT("Data[", R$10, "]")),$P$9)</f>
        <v>61</v>
      </c>
      <c r="S13" s="117">
        <f ca="1">COUNTIFS(Data[Date],"&gt;"&amp;TODAY()-$T$9,Data[Poster],$P13,INDIRECT(_xlfn.CONCAT("Data[", S$10, "]")),$P$9)</f>
        <v>215</v>
      </c>
      <c r="T13" s="117">
        <f ca="1">COUNTIFS(Data[Date],"&gt;"&amp;TODAY()-$T$9,Data[Poster],$P13,INDIRECT(_xlfn.CONCAT("Data[", T$10, "]")),$P$9)</f>
        <v>15</v>
      </c>
      <c r="U13" s="117">
        <f ca="1">COUNTIFS(Data[Date],"&gt;"&amp;TODAY()-$T$9,Data[Poster],$P13,INDIRECT(_xlfn.CONCAT("Data[", U$10, "]")),$P$9)</f>
        <v>37</v>
      </c>
      <c r="V13" s="117">
        <f ca="1">SUM(Q13:U13)</f>
        <v>345</v>
      </c>
      <c r="X13" s="293" t="str">
        <f>Rankings!$L$1</f>
        <v>loganworsdell</v>
      </c>
      <c r="Y13" s="117">
        <f ca="1">COUNTIFS(Data[Date],"&gt;"&amp;TODAY()-$AB$9,Data[Poster],$X13,INDIRECT(_xlfn.CONCAT("Data[", Y$10, "]")),$X$9)</f>
        <v>118</v>
      </c>
      <c r="Z13" s="117">
        <f ca="1">COUNTIFS(Data[Date],"&gt;"&amp;TODAY()-$AB$9,Data[Poster],$X13,INDIRECT(_xlfn.CONCAT("Data[", Z$10, "]")),$X$9)</f>
        <v>87</v>
      </c>
      <c r="AA13" s="117">
        <f ca="1">COUNTIFS(Data[Date],"&gt;"&amp;TODAY()-$AB$9,Data[Poster],$X13,INDIRECT(_xlfn.CONCAT("Data[", AA$10, "]")),$X$9)</f>
        <v>122</v>
      </c>
      <c r="AB13" s="117">
        <f ca="1">COUNTIFS(Data[Date],"&gt;"&amp;TODAY()-$AB$9,Data[Poster],$X13,INDIRECT(_xlfn.CONCAT("Data[", AB$10, "]")),$X$9)</f>
        <v>105</v>
      </c>
      <c r="AC13" s="117">
        <f ca="1">COUNTIFS(Data[Date],"&gt;"&amp;TODAY()-$AB$9,Data[Poster],$X13,INDIRECT(_xlfn.CONCAT("Data[", AC$10, "]")),$X$9)</f>
        <v>83</v>
      </c>
      <c r="AD13" s="117">
        <f ca="1">SUM(Y13:AC13)</f>
        <v>515</v>
      </c>
    </row>
    <row r="14" spans="2:30">
      <c r="B14" s="63" t="str">
        <f>Rankings!$M$1</f>
        <v>samuelbattista</v>
      </c>
      <c r="C14" s="70" cm="1">
        <f t="array" aca="1" ref="C14" ca="1">AVERAGE(IF(Data[Poster]=$B14, IF(Data[Date]&gt; TODAY()-$E$9, IF(INDIRECT(_xlfn.CONCAT("Data[", C$10, "]"))&gt;0, INDIRECT(_xlfn.CONCAT("Data[", C$10, "]"))))))</f>
        <v>3.625</v>
      </c>
      <c r="D14" s="70" cm="1">
        <f t="array" aca="1" ref="D14" ca="1">AVERAGE(IF(Data[Poster]=$B14, IF(Data[Date]&gt; TODAY()-$E$9, IF(INDIRECT(_xlfn.CONCAT("Data[", D$10, "]"))&gt;0, INDIRECT(_xlfn.CONCAT("Data[", D$10, "]"))))))</f>
        <v>3.25</v>
      </c>
      <c r="E14" s="70" cm="1">
        <f t="array" aca="1" ref="E14" ca="1">AVERAGE(IF(Data[Poster]=$B14, IF(Data[Date]&gt; TODAY()-$E$9, IF(INDIRECT(_xlfn.CONCAT("Data[", E$10, "]"))&gt;0, INDIRECT(_xlfn.CONCAT("Data[", E$10, "]"))))))</f>
        <v>3.0625</v>
      </c>
      <c r="F14" s="70" cm="1">
        <f t="array" aca="1" ref="F14" ca="1">AVERAGE(IF(Data[Poster]=$B14, IF(Data[Date]&gt; TODAY()-$E$9, IF(INDIRECT(_xlfn.CONCAT("Data[", F$10, "]"))&gt;0, INDIRECT(_xlfn.CONCAT("Data[", F$10, "]"))))))</f>
        <v>1.4375</v>
      </c>
      <c r="G14" s="70" cm="1">
        <f t="array" aca="1" ref="G14" ca="1">AVERAGE(IF(Data[Poster]=$B14, IF(Data[Date]&gt; TODAY()-$E$9, IF(INDIRECT(_xlfn.CONCAT("Data[", G$10, "]"))&gt;0, INDIRECT(_xlfn.CONCAT("Data[", G$10, "]"))))))</f>
        <v>3.3125</v>
      </c>
      <c r="I14" s="63" t="str">
        <f>Rankings!$M$1</f>
        <v>samuelbattista</v>
      </c>
      <c r="J14" s="70" cm="1">
        <f t="array" aca="1" ref="J14" ca="1">MEDIAN(IF(Data[Poster]=$I14, IF(Data[Date]&gt; TODAY()-$L$9, IF(INDIRECT(_xlfn.CONCAT("Data[", J$10, "]"))&gt;0, INDIRECT(_xlfn.CONCAT("Data[", J$10, "]"))))))</f>
        <v>4</v>
      </c>
      <c r="K14" s="70" cm="1">
        <f t="array" aca="1" ref="K14" ca="1">MEDIAN(IF(Data[Poster]=$I14, IF(Data[Date]&gt; TODAY()-$L$9, IF(INDIRECT(_xlfn.CONCAT("Data[", K$10, "]"))&gt;0, INDIRECT(_xlfn.CONCAT("Data[", K$10, "]"))))))</f>
        <v>3</v>
      </c>
      <c r="L14" s="70" cm="1">
        <f t="array" aca="1" ref="L14" ca="1">MEDIAN(IF(Data[Poster]=$I14, IF(Data[Date]&gt; TODAY()-$L$9, IF(INDIRECT(_xlfn.CONCAT("Data[", L$10, "]"))&gt;0, INDIRECT(_xlfn.CONCAT("Data[", L$10, "]"))))))</f>
        <v>3.5</v>
      </c>
      <c r="M14" s="70" cm="1">
        <f t="array" aca="1" ref="M14" ca="1">MEDIAN(IF(Data[Poster]=$I14, IF(Data[Date]&gt; TODAY()-$L$9, IF(INDIRECT(_xlfn.CONCAT("Data[", M$10, "]"))&gt;0, INDIRECT(_xlfn.CONCAT("Data[", M$10, "]"))))))</f>
        <v>1</v>
      </c>
      <c r="N14" s="70" cm="1">
        <f t="array" aca="1" ref="N14" ca="1">MEDIAN(IF(Data[Poster]=$I14, IF(Data[Date]&gt; TODAY()-$L$9, IF(INDIRECT(_xlfn.CONCAT("Data[", N$10, "]"))&gt;0, INDIRECT(_xlfn.CONCAT("Data[", N$10, "]"))))))</f>
        <v>3.5</v>
      </c>
      <c r="P14" s="35" t="str">
        <f>Rankings!$M$1</f>
        <v>samuelbattista</v>
      </c>
      <c r="Q14" s="117">
        <f ca="1">COUNTIFS(Data[Date],"&gt;"&amp;TODAY()-$T$9,Data[Poster],$P14,INDIRECT(_xlfn.CONCAT("Data[", Q$10, "]")),$P$9)</f>
        <v>9</v>
      </c>
      <c r="R14" s="117">
        <f ca="1">COUNTIFS(Data[Date],"&gt;"&amp;TODAY()-$T$9,Data[Poster],$P14,INDIRECT(_xlfn.CONCAT("Data[", R$10, "]")),$P$9)</f>
        <v>60</v>
      </c>
      <c r="S14" s="117">
        <f ca="1">COUNTIFS(Data[Date],"&gt;"&amp;TODAY()-$T$9,Data[Poster],$P14,INDIRECT(_xlfn.CONCAT("Data[", S$10, "]")),$P$9)</f>
        <v>75</v>
      </c>
      <c r="T14" s="117">
        <f ca="1">COUNTIFS(Data[Date],"&gt;"&amp;TODAY()-$T$9,Data[Poster],$P14,INDIRECT(_xlfn.CONCAT("Data[", T$10, "]")),$P$9)</f>
        <v>361</v>
      </c>
      <c r="U14" s="117">
        <f ca="1">COUNTIFS(Data[Date],"&gt;"&amp;TODAY()-$T$9,Data[Poster],$P14,INDIRECT(_xlfn.CONCAT("Data[", U$10, "]")),$P$9)</f>
        <v>15</v>
      </c>
      <c r="V14" s="117">
        <f ca="1">SUM(Q14:U14)</f>
        <v>520</v>
      </c>
      <c r="X14" s="294" t="str">
        <f>Rankings!$M$1</f>
        <v>samuelbattista</v>
      </c>
      <c r="Y14" s="117">
        <f ca="1">COUNTIFS(Data[Date],"&gt;"&amp;TODAY()-$AB$9,Data[Poster],$X14,INDIRECT(_xlfn.CONCAT("Data[", Y$10, "]")),$X$9)</f>
        <v>87</v>
      </c>
      <c r="Z14" s="117">
        <f ca="1">COUNTIFS(Data[Date],"&gt;"&amp;TODAY()-$AB$9,Data[Poster],$X14,INDIRECT(_xlfn.CONCAT("Data[", Z$10, "]")),$X$9)</f>
        <v>97</v>
      </c>
      <c r="AA14" s="117">
        <f ca="1">COUNTIFS(Data[Date],"&gt;"&amp;TODAY()-$AB$9,Data[Poster],$X14,INDIRECT(_xlfn.CONCAT("Data[", AA$10, "]")),$X$9)</f>
        <v>87</v>
      </c>
      <c r="AB14" s="117">
        <f ca="1">COUNTIFS(Data[Date],"&gt;"&amp;TODAY()-$AB$9,Data[Poster],$X14,INDIRECT(_xlfn.CONCAT("Data[", AB$10, "]")),$X$9)</f>
        <v>59</v>
      </c>
      <c r="AC14" s="117">
        <f ca="1">COUNTIFS(Data[Date],"&gt;"&amp;TODAY()-$AB$9,Data[Poster],$X14,INDIRECT(_xlfn.CONCAT("Data[", AC$10, "]")),$X$9)</f>
        <v>85</v>
      </c>
      <c r="AD14" s="117">
        <f ca="1">SUM(Y14:AC14)</f>
        <v>415</v>
      </c>
    </row>
    <row r="15" spans="2:30">
      <c r="B15" s="64" t="str">
        <f>Rankings!$N$1</f>
        <v>currydestroyer27</v>
      </c>
      <c r="C15" s="70" cm="1">
        <f t="array" aca="1" ref="C15" ca="1">AVERAGE(IF(Data[Poster]=$B15, IF(Data[Date]&gt; TODAY()-$E$9, IF(INDIRECT(_xlfn.CONCAT("Data[", C$10, "]"))&gt;0, INDIRECT(_xlfn.CONCAT("Data[", C$10, "]"))))))</f>
        <v>3.25</v>
      </c>
      <c r="D15" s="70" cm="1">
        <f t="array" aca="1" ref="D15" ca="1">AVERAGE(IF(Data[Poster]=$B15, IF(Data[Date]&gt; TODAY()-$E$9, IF(INDIRECT(_xlfn.CONCAT("Data[", D$10, "]"))&gt;0, INDIRECT(_xlfn.CONCAT("Data[", D$10, "]"))))))</f>
        <v>2.875</v>
      </c>
      <c r="E15" s="70" cm="1">
        <f t="array" aca="1" ref="E15" ca="1">AVERAGE(IF(Data[Poster]=$B15, IF(Data[Date]&gt; TODAY()-$E$9, IF(INDIRECT(_xlfn.CONCAT("Data[", E$10, "]"))&gt;0, INDIRECT(_xlfn.CONCAT("Data[", E$10, "]"))))))</f>
        <v>3.0625</v>
      </c>
      <c r="F15" s="70" cm="1">
        <f t="array" aca="1" ref="F15" ca="1">AVERAGE(IF(Data[Poster]=$B15, IF(Data[Date]&gt; TODAY()-$E$9, IF(INDIRECT(_xlfn.CONCAT("Data[", F$10, "]"))&gt;0, INDIRECT(_xlfn.CONCAT("Data[", F$10, "]"))))))</f>
        <v>3.6875</v>
      </c>
      <c r="G15" s="70" cm="1">
        <f t="array" aca="1" ref="G15" ca="1">AVERAGE(IF(Data[Poster]=$B15, IF(Data[Date]&gt; TODAY()-$E$9, IF(INDIRECT(_xlfn.CONCAT("Data[", G$10, "]"))&gt;0, INDIRECT(_xlfn.CONCAT("Data[", G$10, "]"))))))</f>
        <v>1.625</v>
      </c>
      <c r="I15" s="64" t="str">
        <f>Rankings!$N$1</f>
        <v>currydestroyer27</v>
      </c>
      <c r="J15" s="70" cm="1">
        <f t="array" aca="1" ref="J15" ca="1">MEDIAN(IF(Data[Poster]=$I15, IF(Data[Date]&gt; TODAY()-$L$9, IF(INDIRECT(_xlfn.CONCAT("Data[", J$10, "]"))&gt;0, INDIRECT(_xlfn.CONCAT("Data[", J$10, "]"))))))</f>
        <v>3</v>
      </c>
      <c r="K15" s="70" cm="1">
        <f t="array" aca="1" ref="K15" ca="1">MEDIAN(IF(Data[Poster]=$I15, IF(Data[Date]&gt; TODAY()-$L$9, IF(INDIRECT(_xlfn.CONCAT("Data[", K$10, "]"))&gt;0, INDIRECT(_xlfn.CONCAT("Data[", K$10, "]"))))))</f>
        <v>3</v>
      </c>
      <c r="L15" s="70" cm="1">
        <f t="array" aca="1" ref="L15" ca="1">MEDIAN(IF(Data[Poster]=$I15, IF(Data[Date]&gt; TODAY()-$L$9, IF(INDIRECT(_xlfn.CONCAT("Data[", L$10, "]"))&gt;0, INDIRECT(_xlfn.CONCAT("Data[", L$10, "]"))))))</f>
        <v>3</v>
      </c>
      <c r="M15" s="70" cm="1">
        <f t="array" aca="1" ref="M15" ca="1">MEDIAN(IF(Data[Poster]=$I15, IF(Data[Date]&gt; TODAY()-$L$9, IF(INDIRECT(_xlfn.CONCAT("Data[", M$10, "]"))&gt;0, INDIRECT(_xlfn.CONCAT("Data[", M$10, "]"))))))</f>
        <v>4</v>
      </c>
      <c r="N15" s="70" cm="1">
        <f t="array" aca="1" ref="N15" ca="1">MEDIAN(IF(Data[Poster]=$I15, IF(Data[Date]&gt; TODAY()-$L$9, IF(INDIRECT(_xlfn.CONCAT("Data[", N$10, "]"))&gt;0, INDIRECT(_xlfn.CONCAT("Data[", N$10, "]"))))))</f>
        <v>1</v>
      </c>
      <c r="P15" s="37" t="str">
        <f>Rankings!$N$1</f>
        <v>currydestroyer27</v>
      </c>
      <c r="Q15" s="117">
        <f ca="1">COUNTIFS(Data[Date],"&gt;"&amp;TODAY()-$T$9,Data[Poster],$P15,INDIRECT(_xlfn.CONCAT("Data[", Q$10, "]")),$P$9)</f>
        <v>18</v>
      </c>
      <c r="R15" s="117">
        <f ca="1">COUNTIFS(Data[Date],"&gt;"&amp;TODAY()-$T$9,Data[Poster],$P15,INDIRECT(_xlfn.CONCAT("Data[", R$10, "]")),$P$9)</f>
        <v>57</v>
      </c>
      <c r="S15" s="117">
        <f ca="1">COUNTIFS(Data[Date],"&gt;"&amp;TODAY()-$T$9,Data[Poster],$P15,INDIRECT(_xlfn.CONCAT("Data[", S$10, "]")),$P$9)</f>
        <v>65</v>
      </c>
      <c r="T15" s="117">
        <f ca="1">COUNTIFS(Data[Date],"&gt;"&amp;TODAY()-$T$9,Data[Poster],$P15,INDIRECT(_xlfn.CONCAT("Data[", T$10, "]")),$P$9)</f>
        <v>19</v>
      </c>
      <c r="U15" s="117">
        <f ca="1">COUNTIFS(Data[Date],"&gt;"&amp;TODAY()-$T$9,Data[Poster],$P15,INDIRECT(_xlfn.CONCAT("Data[", U$10, "]")),$P$9)</f>
        <v>335</v>
      </c>
      <c r="V15" s="117">
        <f ca="1">SUM(Q15:U15)</f>
        <v>494</v>
      </c>
      <c r="X15" s="295" t="str">
        <f>Rankings!$N$1</f>
        <v>currydestroyer27</v>
      </c>
      <c r="Y15" s="117">
        <f ca="1">COUNTIFS(Data[Date],"&gt;"&amp;TODAY()-$AB$9,Data[Poster],$X15,INDIRECT(_xlfn.CONCAT("Data[", Y$10, "]")),$X$9)</f>
        <v>120</v>
      </c>
      <c r="Z15" s="117">
        <f ca="1">COUNTIFS(Data[Date],"&gt;"&amp;TODAY()-$AB$9,Data[Poster],$X15,INDIRECT(_xlfn.CONCAT("Data[", Z$10, "]")),$X$9)</f>
        <v>103</v>
      </c>
      <c r="AA15" s="117">
        <f ca="1">COUNTIFS(Data[Date],"&gt;"&amp;TODAY()-$AB$9,Data[Poster],$X15,INDIRECT(_xlfn.CONCAT("Data[", AA$10, "]")),$X$9)</f>
        <v>106</v>
      </c>
      <c r="AB15" s="117">
        <f ca="1">COUNTIFS(Data[Date],"&gt;"&amp;TODAY()-$AB$9,Data[Poster],$X15,INDIRECT(_xlfn.CONCAT("Data[", AB$10, "]")),$X$9)</f>
        <v>84</v>
      </c>
      <c r="AC15" s="117">
        <f ca="1">COUNTIFS(Data[Date],"&gt;"&amp;TODAY()-$AB$9,Data[Poster],$X15,INDIRECT(_xlfn.CONCAT("Data[", AC$10, "]")),$X$9)</f>
        <v>62</v>
      </c>
      <c r="AD15" s="117">
        <f ca="1">SUM(Y15:AC15)</f>
        <v>475</v>
      </c>
    </row>
    <row r="17" spans="2:30">
      <c r="B17" s="345" t="s">
        <v>4151</v>
      </c>
      <c r="C17" s="345"/>
      <c r="D17" s="345"/>
      <c r="E17" s="301">
        <v>28</v>
      </c>
      <c r="F17" s="346" t="s">
        <v>4147</v>
      </c>
      <c r="G17" s="346"/>
      <c r="I17" s="345" t="s">
        <v>4152</v>
      </c>
      <c r="J17" s="345"/>
      <c r="K17" s="345"/>
      <c r="L17" s="301">
        <v>28</v>
      </c>
      <c r="M17" s="346" t="s">
        <v>4147</v>
      </c>
      <c r="N17" s="346"/>
      <c r="P17" s="180">
        <v>3</v>
      </c>
      <c r="Q17" s="344" t="str">
        <f>_xlfn.CONCAT("Amount of ",P17,"'s given for past")</f>
        <v>Amount of 3's given for past</v>
      </c>
      <c r="R17" s="344"/>
      <c r="S17" s="344"/>
      <c r="T17" s="179">
        <v>1000</v>
      </c>
      <c r="U17" s="128" t="s">
        <v>4147</v>
      </c>
      <c r="V17" s="301" t="s">
        <v>4149</v>
      </c>
      <c r="X17" s="126">
        <v>4</v>
      </c>
      <c r="Y17" s="344" t="str">
        <f>_xlfn.CONCAT("Amount of ",X17,"'s given for past")</f>
        <v>Amount of 4's given for past</v>
      </c>
      <c r="Z17" s="344"/>
      <c r="AA17" s="344"/>
      <c r="AB17" s="179">
        <v>1000</v>
      </c>
      <c r="AC17" s="128" t="s">
        <v>4147</v>
      </c>
      <c r="AD17" s="301" t="s">
        <v>4149</v>
      </c>
    </row>
    <row r="18" spans="2:30">
      <c r="B18" s="301" t="s">
        <v>4150</v>
      </c>
      <c r="C18" s="65" t="str">
        <f>Rankings!$J$1</f>
        <v>alappatjoe</v>
      </c>
      <c r="D18" s="66" t="str">
        <f>Rankings!$K$1</f>
        <v>danram</v>
      </c>
      <c r="E18" s="67" t="str">
        <f>Rankings!$L$1</f>
        <v>loganworsdell</v>
      </c>
      <c r="F18" s="68" t="str">
        <f>Rankings!$M$1</f>
        <v>samuelbattista</v>
      </c>
      <c r="G18" s="69" t="str">
        <f>Rankings!$N$1</f>
        <v>currydestroyer27</v>
      </c>
      <c r="I18" s="301" t="s">
        <v>4150</v>
      </c>
      <c r="J18" s="65" t="str">
        <f>Rankings!$J$1</f>
        <v>alappatjoe</v>
      </c>
      <c r="K18" s="66" t="str">
        <f>Rankings!$K$1</f>
        <v>danram</v>
      </c>
      <c r="L18" s="67" t="str">
        <f>Rankings!$L$1</f>
        <v>loganworsdell</v>
      </c>
      <c r="M18" s="68" t="str">
        <f>Rankings!$M$1</f>
        <v>samuelbattista</v>
      </c>
      <c r="N18" s="69" t="str">
        <f>Rankings!$N$1</f>
        <v>currydestroyer27</v>
      </c>
      <c r="P18" s="126" t="s">
        <v>4150</v>
      </c>
      <c r="Q18" s="28" t="str">
        <f>Rankings!$J$1</f>
        <v>alappatjoe</v>
      </c>
      <c r="R18" s="31" t="str">
        <f>Rankings!$K$1</f>
        <v>danram</v>
      </c>
      <c r="S18" s="33" t="str">
        <f>Rankings!$L$1</f>
        <v>loganworsdell</v>
      </c>
      <c r="T18" s="35" t="str">
        <f>Rankings!$M$1</f>
        <v>samuelbattista</v>
      </c>
      <c r="U18" s="37" t="str">
        <f>Rankings!$N$1</f>
        <v>currydestroyer27</v>
      </c>
      <c r="V18" s="301"/>
      <c r="X18" s="290" t="s">
        <v>4150</v>
      </c>
      <c r="Y18" s="28" t="str">
        <f>Rankings!$J$1</f>
        <v>alappatjoe</v>
      </c>
      <c r="Z18" s="31" t="str">
        <f>Rankings!$K$1</f>
        <v>danram</v>
      </c>
      <c r="AA18" s="33" t="str">
        <f>Rankings!$L$1</f>
        <v>loganworsdell</v>
      </c>
      <c r="AB18" s="35" t="str">
        <f>Rankings!$M$1</f>
        <v>samuelbattista</v>
      </c>
      <c r="AC18" s="37" t="str">
        <f>Rankings!$N$1</f>
        <v>currydestroyer27</v>
      </c>
      <c r="AD18" s="301"/>
    </row>
    <row r="19" spans="2:30">
      <c r="B19" s="61" t="str">
        <f>Rankings!$J$1</f>
        <v>alappatjoe</v>
      </c>
      <c r="C19" s="70" cm="1">
        <f t="array" aca="1" ref="C19" ca="1">_xlfn.STDEV.P(IF(Data[Poster]=$B19, IF(Data[Date]&gt; TODAY()-$E$17, IF(INDIRECT(_xlfn.CONCAT("Data[", C$18, "]"))&gt;0, INDIRECT(_xlfn.CONCAT("Data[", C$18, "]"))))))</f>
        <v>0.85695682505013049</v>
      </c>
      <c r="D19" s="70" cm="1">
        <f t="array" aca="1" ref="D19" ca="1">_xlfn.STDEV.P(IF(Data[Poster]=$B19, IF(Data[Date]&gt; TODAY()-$E$17, IF(INDIRECT(_xlfn.CONCAT("Data[", D$18, "]"))&gt;0, INDIRECT(_xlfn.CONCAT("Data[", D$18, "]"))))))</f>
        <v>1.2231491119238078</v>
      </c>
      <c r="E19" s="70" cm="1">
        <f t="array" aca="1" ref="E19" ca="1">_xlfn.STDEV.P(IF(Data[Poster]=$B19, IF(Data[Date]&gt; TODAY()-$E$17, IF(INDIRECT(_xlfn.CONCAT("Data[", E$18, "]"))&gt;0, INDIRECT(_xlfn.CONCAT("Data[", E$18, "]"))))))</f>
        <v>1.4577379737113252</v>
      </c>
      <c r="F19" s="70" cm="1">
        <f t="array" aca="1" ref="F19" ca="1">_xlfn.STDEV.P(IF(Data[Poster]=$B19, IF(Data[Date]&gt; TODAY()-$E$17, IF(INDIRECT(_xlfn.CONCAT("Data[", F$18, "]"))&gt;0, INDIRECT(_xlfn.CONCAT("Data[", F$18, "]"))))))</f>
        <v>0.86376718506782835</v>
      </c>
      <c r="G19" s="70" cm="1">
        <f t="array" aca="1" ref="G19" ca="1">_xlfn.STDEV.P(IF(Data[Poster]=$B19, IF(Data[Date]&gt; TODAY()-$E$17, IF(INDIRECT(_xlfn.CONCAT("Data[", G$18, "]"))&gt;0, INDIRECT(_xlfn.CONCAT("Data[", G$18, "]"))))))</f>
        <v>1.1439378261076953</v>
      </c>
      <c r="I19" s="61" t="str">
        <f>Rankings!$J$1</f>
        <v>alappatjoe</v>
      </c>
      <c r="J19" s="70" cm="1">
        <f t="array" aca="1" ref="J19" ca="1">MODE(IF(Data[Poster]=$I19, IF(Data[Date]&gt; TODAY()-$L$17, IF(INDIRECT(_xlfn.CONCAT("Data[", J$18, "]"))&gt;0, INDIRECT(_xlfn.CONCAT("Data[", J$18, "]"))))))</f>
        <v>1</v>
      </c>
      <c r="K19" s="70" cm="1">
        <f t="array" aca="1" ref="K19" ca="1">MODE(IF(Data[Poster]=$I19, IF(Data[Date]&gt; TODAY()-$L$17, IF(INDIRECT(_xlfn.CONCAT("Data[", K$18, "]"))&gt;0, INDIRECT(_xlfn.CONCAT("Data[", K$18, "]"))))))</f>
        <v>3</v>
      </c>
      <c r="L19" s="70" cm="1">
        <f t="array" aca="1" ref="L19" ca="1">MODE(IF(Data[Poster]=$I19, IF(Data[Date]&gt; TODAY()-$L$17, IF(INDIRECT(_xlfn.CONCAT("Data[", L$18, "]"))&gt;0, INDIRECT(_xlfn.CONCAT("Data[", L$18, "]"))))))</f>
        <v>4</v>
      </c>
      <c r="M19" s="70" cm="1">
        <f t="array" aca="1" ref="M19" ca="1">MODE(IF(Data[Poster]=$I19, IF(Data[Date]&gt; TODAY()-$L$17, IF(INDIRECT(_xlfn.CONCAT("Data[", M$18, "]"))&gt;0, INDIRECT(_xlfn.CONCAT("Data[", M$18, "]"))))))</f>
        <v>4</v>
      </c>
      <c r="N19" s="70" cm="1">
        <f t="array" aca="1" ref="N19" ca="1">MODE(IF(Data[Poster]=$I19, IF(Data[Date]&gt; TODAY()-$L$17, IF(INDIRECT(_xlfn.CONCAT("Data[", N$18, "]"))&gt;0, INDIRECT(_xlfn.CONCAT("Data[", N$18, "]"))))))</f>
        <v>2</v>
      </c>
      <c r="P19" s="28" t="str">
        <f>Rankings!$J$1</f>
        <v>alappatjoe</v>
      </c>
      <c r="Q19" s="117">
        <f ca="1">COUNTIFS(Data[Date],"&gt;"&amp;TODAY()-$T$17,Data[Poster],$P19,INDIRECT(_xlfn.CONCAT("Data[", Q$18, "]")),$P$17)</f>
        <v>19</v>
      </c>
      <c r="R19" s="117">
        <f ca="1">COUNTIFS(Data[Date],"&gt;"&amp;TODAY()-$T$17,Data[Poster],$P19,INDIRECT(_xlfn.CONCAT("Data[", R$18, "]")),$P$17)</f>
        <v>73</v>
      </c>
      <c r="S19" s="117">
        <f ca="1">COUNTIFS(Data[Date],"&gt;"&amp;TODAY()-$T$17,Data[Poster],$P19,INDIRECT(_xlfn.CONCAT("Data[", S$18, "]")),$P$17)</f>
        <v>87</v>
      </c>
      <c r="T19" s="117">
        <f ca="1">COUNTIFS(Data[Date],"&gt;"&amp;TODAY()-$T$17,Data[Poster],$P19,INDIRECT(_xlfn.CONCAT("Data[", T$18, "]")),$P$17)</f>
        <v>98</v>
      </c>
      <c r="U19" s="117">
        <f ca="1">COUNTIFS(Data[Date],"&gt;"&amp;TODAY()-$T$17,Data[Poster],$P19,INDIRECT(_xlfn.CONCAT("Data[", U$18, "]")),$P$17)</f>
        <v>97</v>
      </c>
      <c r="V19" s="117">
        <f ca="1">SUM(Q19:U19)</f>
        <v>374</v>
      </c>
      <c r="X19" s="291" t="str">
        <f>Rankings!$J$1</f>
        <v>alappatjoe</v>
      </c>
      <c r="Y19" s="117">
        <f ca="1">COUNTIFS(Data[Date],"&gt;"&amp;TODAY()-$AB$17,Data[Poster],$X19,INDIRECT(_xlfn.CONCAT("Data[", Y$18, "]")),$X$17)</f>
        <v>3</v>
      </c>
      <c r="Z19" s="117">
        <f ca="1">COUNTIFS(Data[Date],"&gt;"&amp;TODAY()-$AB$17,Data[Poster],$X19,INDIRECT(_xlfn.CONCAT("Data[", Z$18, "]")),$X$17)</f>
        <v>125</v>
      </c>
      <c r="AA19" s="117">
        <f ca="1">COUNTIFS(Data[Date],"&gt;"&amp;TODAY()-$AB$17,Data[Poster],$X19,INDIRECT(_xlfn.CONCAT("Data[", AA$18, "]")),$X$17)</f>
        <v>131</v>
      </c>
      <c r="AB19" s="117">
        <f ca="1">COUNTIFS(Data[Date],"&gt;"&amp;TODAY()-$AB$17,Data[Poster],$X19,INDIRECT(_xlfn.CONCAT("Data[", AB$18, "]")),$X$17)</f>
        <v>126</v>
      </c>
      <c r="AC19" s="117">
        <f ca="1">COUNTIFS(Data[Date],"&gt;"&amp;TODAY()-$AB$17,Data[Poster],$X19,INDIRECT(_xlfn.CONCAT("Data[", AC$18, "]")),$X$17)</f>
        <v>100</v>
      </c>
      <c r="AD19" s="117">
        <f ca="1">SUM(Y19:AC19)</f>
        <v>485</v>
      </c>
    </row>
    <row r="20" spans="2:30">
      <c r="B20" s="62" t="str">
        <f>Rankings!$K$1</f>
        <v>danram</v>
      </c>
      <c r="C20" s="70" cm="1">
        <f t="array" aca="1" ref="C20" ca="1">_xlfn.STDEV.P(IF(Data[Poster]=$B20, IF(Data[Date]&gt; TODAY()-$E$17, IF(INDIRECT(_xlfn.CONCAT("Data[", C$18, "]"))&gt;0, INDIRECT(_xlfn.CONCAT("Data[", C$18, "]"))))))</f>
        <v>1.1021995055342748</v>
      </c>
      <c r="D20" s="70" cm="1">
        <f t="array" aca="1" ref="D20" ca="1">_xlfn.STDEV.P(IF(Data[Poster]=$B20, IF(Data[Date]&gt; TODAY()-$E$17, IF(INDIRECT(_xlfn.CONCAT("Data[", D$18, "]"))&gt;0, INDIRECT(_xlfn.CONCAT("Data[", D$18, "]"))))))</f>
        <v>1.5612494995995996</v>
      </c>
      <c r="E20" s="70" cm="1">
        <f t="array" aca="1" ref="E20" ca="1">_xlfn.STDEV.P(IF(Data[Poster]=$B20, IF(Data[Date]&gt; TODAY()-$E$17, IF(INDIRECT(_xlfn.CONCAT("Data[", E$18, "]"))&gt;0, INDIRECT(_xlfn.CONCAT("Data[", E$18, "]"))))))</f>
        <v>1.2975337182516684</v>
      </c>
      <c r="F20" s="70" cm="1">
        <f t="array" aca="1" ref="F20" ca="1">_xlfn.STDEV.P(IF(Data[Poster]=$B20, IF(Data[Date]&gt; TODAY()-$E$17, IF(INDIRECT(_xlfn.CONCAT("Data[", F$18, "]"))&gt;0, INDIRECT(_xlfn.CONCAT("Data[", F$18, "]"))))))</f>
        <v>1.6286017775994228</v>
      </c>
      <c r="G20" s="70" cm="1">
        <f t="array" aca="1" ref="G20" ca="1">_xlfn.STDEV.P(IF(Data[Poster]=$B20, IF(Data[Date]&gt; TODAY()-$E$17, IF(INDIRECT(_xlfn.CONCAT("Data[", G$18, "]"))&gt;0, INDIRECT(_xlfn.CONCAT("Data[", G$18, "]"))))))</f>
        <v>1.3678792892649556</v>
      </c>
      <c r="I20" s="62" t="str">
        <f>Rankings!$K$1</f>
        <v>danram</v>
      </c>
      <c r="J20" s="70" cm="1">
        <f t="array" aca="1" ref="J20" ca="1">MODE(IF(Data[Poster]=$I20, IF(Data[Date]&gt; TODAY()-$L$17, IF(INDIRECT(_xlfn.CONCAT("Data[", J$18, "]"))&gt;0, INDIRECT(_xlfn.CONCAT("Data[", J$18, "]"))))))</f>
        <v>5</v>
      </c>
      <c r="K20" s="70" cm="1">
        <f t="array" aca="1" ref="K20" ca="1">MODE(IF(Data[Poster]=$I20, IF(Data[Date]&gt; TODAY()-$L$17, IF(INDIRECT(_xlfn.CONCAT("Data[", K$18, "]"))&gt;0, INDIRECT(_xlfn.CONCAT("Data[", K$18, "]"))))))</f>
        <v>1</v>
      </c>
      <c r="L20" s="70" cm="1">
        <f t="array" aca="1" ref="L20" ca="1">MODE(IF(Data[Poster]=$I20, IF(Data[Date]&gt; TODAY()-$L$17, IF(INDIRECT(_xlfn.CONCAT("Data[", L$18, "]"))&gt;0, INDIRECT(_xlfn.CONCAT("Data[", L$18, "]"))))))</f>
        <v>5</v>
      </c>
      <c r="M20" s="70" cm="1">
        <f t="array" aca="1" ref="M20" ca="1">MODE(IF(Data[Poster]=$I20, IF(Data[Date]&gt; TODAY()-$L$17, IF(INDIRECT(_xlfn.CONCAT("Data[", M$18, "]"))&gt;0, INDIRECT(_xlfn.CONCAT("Data[", M$18, "]"))))))</f>
        <v>2</v>
      </c>
      <c r="N20" s="70" cm="1">
        <f t="array" aca="1" ref="N20" ca="1">MODE(IF(Data[Poster]=$I20, IF(Data[Date]&gt; TODAY()-$L$17, IF(INDIRECT(_xlfn.CONCAT("Data[", N$18, "]"))&gt;0, INDIRECT(_xlfn.CONCAT("Data[", N$18, "]"))))))</f>
        <v>5</v>
      </c>
      <c r="P20" s="31" t="str">
        <f>Rankings!$K$1</f>
        <v>danram</v>
      </c>
      <c r="Q20" s="117">
        <f ca="1">COUNTIFS(Data[Date],"&gt;"&amp;TODAY()-$T$17,Data[Poster],$P20,INDIRECT(_xlfn.CONCAT("Data[", Q$18, "]")),$P$17)</f>
        <v>112</v>
      </c>
      <c r="R20" s="117">
        <f ca="1">COUNTIFS(Data[Date],"&gt;"&amp;TODAY()-$T$17,Data[Poster],$P20,INDIRECT(_xlfn.CONCAT("Data[", R$18, "]")),$P$17)</f>
        <v>65</v>
      </c>
      <c r="S20" s="117">
        <f ca="1">COUNTIFS(Data[Date],"&gt;"&amp;TODAY()-$T$17,Data[Poster],$P20,INDIRECT(_xlfn.CONCAT("Data[", S$18, "]")),$P$17)</f>
        <v>84</v>
      </c>
      <c r="T20" s="117">
        <f ca="1">COUNTIFS(Data[Date],"&gt;"&amp;TODAY()-$T$17,Data[Poster],$P20,INDIRECT(_xlfn.CONCAT("Data[", T$18, "]")),$P$17)</f>
        <v>100</v>
      </c>
      <c r="U20" s="117">
        <f ca="1">COUNTIFS(Data[Date],"&gt;"&amp;TODAY()-$T$17,Data[Poster],$P20,INDIRECT(_xlfn.CONCAT("Data[", U$18, "]")),$P$17)</f>
        <v>94</v>
      </c>
      <c r="V20" s="117">
        <f ca="1">SUM(Q20:U20)</f>
        <v>455</v>
      </c>
      <c r="X20" s="292" t="str">
        <f>Rankings!$K$1</f>
        <v>danram</v>
      </c>
      <c r="Y20" s="117">
        <f ca="1">COUNTIFS(Data[Date],"&gt;"&amp;TODAY()-$AB$17,Data[Poster],$X20,INDIRECT(_xlfn.CONCAT("Data[", Y$18, "]")),$X$17)</f>
        <v>103</v>
      </c>
      <c r="Z20" s="117">
        <f ca="1">COUNTIFS(Data[Date],"&gt;"&amp;TODAY()-$AB$17,Data[Poster],$X20,INDIRECT(_xlfn.CONCAT("Data[", Z$18, "]")),$X$17)</f>
        <v>28</v>
      </c>
      <c r="AA20" s="117">
        <f ca="1">COUNTIFS(Data[Date],"&gt;"&amp;TODAY()-$AB$17,Data[Poster],$X20,INDIRECT(_xlfn.CONCAT("Data[", AA$18, "]")),$X$17)</f>
        <v>113</v>
      </c>
      <c r="AB20" s="117">
        <f ca="1">COUNTIFS(Data[Date],"&gt;"&amp;TODAY()-$AB$17,Data[Poster],$X20,INDIRECT(_xlfn.CONCAT("Data[", AB$18, "]")),$X$17)</f>
        <v>89</v>
      </c>
      <c r="AC20" s="117">
        <f ca="1">COUNTIFS(Data[Date],"&gt;"&amp;TODAY()-$AB$17,Data[Poster],$X20,INDIRECT(_xlfn.CONCAT("Data[", AC$18, "]")),$X$17)</f>
        <v>110</v>
      </c>
      <c r="AD20" s="117">
        <f ca="1">SUM(Y20:AC20)</f>
        <v>443</v>
      </c>
    </row>
    <row r="21" spans="2:30">
      <c r="B21" s="15" t="str">
        <f>Rankings!$L$1</f>
        <v>loganworsdell</v>
      </c>
      <c r="C21" s="70" cm="1">
        <f t="array" aca="1" ref="C21" ca="1">_xlfn.STDEV.P(IF(Data[Poster]=$B21, IF(Data[Date]&gt; TODAY()-$E$17, IF(INDIRECT(_xlfn.CONCAT("Data[", C$18, "]"))&gt;0, INDIRECT(_xlfn.CONCAT("Data[", C$18, "]"))))))</f>
        <v>1.3448396744593758</v>
      </c>
      <c r="D21" s="70" cm="1">
        <f t="array" aca="1" ref="D21" ca="1">_xlfn.STDEV.P(IF(Data[Poster]=$B21, IF(Data[Date]&gt; TODAY()-$E$17, IF(INDIRECT(_xlfn.CONCAT("Data[", D$18, "]"))&gt;0, INDIRECT(_xlfn.CONCAT("Data[", D$18, "]"))))))</f>
        <v>1.3792547806696194</v>
      </c>
      <c r="E21" s="70" cm="1">
        <f t="array" aca="1" ref="E21" ca="1">_xlfn.STDEV.P(IF(Data[Poster]=$B21, IF(Data[Date]&gt; TODAY()-$E$17, IF(INDIRECT(_xlfn.CONCAT("Data[", E$18, "]"))&gt;0, INDIRECT(_xlfn.CONCAT("Data[", E$18, "]"))))))</f>
        <v>0.88167099872911781</v>
      </c>
      <c r="F21" s="70" cm="1">
        <f t="array" aca="1" ref="F21" ca="1">_xlfn.STDEV.P(IF(Data[Poster]=$B21, IF(Data[Date]&gt; TODAY()-$E$17, IF(INDIRECT(_xlfn.CONCAT("Data[", F$18, "]"))&gt;0, INDIRECT(_xlfn.CONCAT("Data[", F$18, "]"))))))</f>
        <v>1</v>
      </c>
      <c r="G21" s="70" cm="1">
        <f t="array" aca="1" ref="G21" ca="1">_xlfn.STDEV.P(IF(Data[Poster]=$B21, IF(Data[Date]&gt; TODAY()-$E$17, IF(INDIRECT(_xlfn.CONCAT("Data[", G$18, "]"))&gt;0, INDIRECT(_xlfn.CONCAT("Data[", G$18, "]"))))))</f>
        <v>1.0588171466310885</v>
      </c>
      <c r="I21" s="15" t="str">
        <f>Rankings!$L$1</f>
        <v>loganworsdell</v>
      </c>
      <c r="J21" s="70" cm="1">
        <f t="array" aca="1" ref="J21" ca="1">MODE(IF(Data[Poster]=$I21, IF(Data[Date]&gt; TODAY()-$L$17, IF(INDIRECT(_xlfn.CONCAT("Data[", J$18, "]"))&gt;0, INDIRECT(_xlfn.CONCAT("Data[", J$18, "]"))))))</f>
        <v>2</v>
      </c>
      <c r="K21" s="70" cm="1">
        <f t="array" aca="1" ref="K21" ca="1">MODE(IF(Data[Poster]=$I21, IF(Data[Date]&gt; TODAY()-$L$17, IF(INDIRECT(_xlfn.CONCAT("Data[", K$18, "]"))&gt;0, INDIRECT(_xlfn.CONCAT("Data[", K$18, "]"))))))</f>
        <v>2</v>
      </c>
      <c r="L21" s="70" cm="1">
        <f t="array" aca="1" ref="L21" ca="1">MODE(IF(Data[Poster]=$I21, IF(Data[Date]&gt; TODAY()-$L$17, IF(INDIRECT(_xlfn.CONCAT("Data[", L$18, "]"))&gt;0, INDIRECT(_xlfn.CONCAT("Data[", L$18, "]"))))))</f>
        <v>1</v>
      </c>
      <c r="M21" s="70" cm="1">
        <f t="array" aca="1" ref="M21" ca="1">MODE(IF(Data[Poster]=$I21, IF(Data[Date]&gt; TODAY()-$L$17, IF(INDIRECT(_xlfn.CONCAT("Data[", M$18, "]"))&gt;0, INDIRECT(_xlfn.CONCAT("Data[", M$18, "]"))))))</f>
        <v>3</v>
      </c>
      <c r="N21" s="70" cm="1">
        <f t="array" aca="1" ref="N21" ca="1">MODE(IF(Data[Poster]=$I21, IF(Data[Date]&gt; TODAY()-$L$17, IF(INDIRECT(_xlfn.CONCAT("Data[", N$18, "]"))&gt;0, INDIRECT(_xlfn.CONCAT("Data[", N$18, "]"))))))</f>
        <v>3</v>
      </c>
      <c r="P21" s="33" t="str">
        <f>Rankings!$L$1</f>
        <v>loganworsdell</v>
      </c>
      <c r="Q21" s="117">
        <f ca="1">COUNTIFS(Data[Date],"&gt;"&amp;TODAY()-$T$17,Data[Poster],$P21,INDIRECT(_xlfn.CONCAT("Data[", Q$18, "]")),$P$17)</f>
        <v>108</v>
      </c>
      <c r="R21" s="117">
        <f ca="1">COUNTIFS(Data[Date],"&gt;"&amp;TODAY()-$T$17,Data[Poster],$P21,INDIRECT(_xlfn.CONCAT("Data[", R$18, "]")),$P$17)</f>
        <v>98</v>
      </c>
      <c r="S21" s="117">
        <f ca="1">COUNTIFS(Data[Date],"&gt;"&amp;TODAY()-$T$17,Data[Poster],$P21,INDIRECT(_xlfn.CONCAT("Data[", S$18, "]")),$P$17)</f>
        <v>68</v>
      </c>
      <c r="T21" s="117">
        <f ca="1">COUNTIFS(Data[Date],"&gt;"&amp;TODAY()-$T$17,Data[Poster],$P21,INDIRECT(_xlfn.CONCAT("Data[", T$18, "]")),$P$17)</f>
        <v>131</v>
      </c>
      <c r="U21" s="117">
        <f ca="1">COUNTIFS(Data[Date],"&gt;"&amp;TODAY()-$T$17,Data[Poster],$P21,INDIRECT(_xlfn.CONCAT("Data[", U$18, "]")),$P$17)</f>
        <v>115</v>
      </c>
      <c r="V21" s="117">
        <f ca="1">SUM(Q21:U21)</f>
        <v>520</v>
      </c>
      <c r="X21" s="293" t="str">
        <f>Rankings!$L$1</f>
        <v>loganworsdell</v>
      </c>
      <c r="Y21" s="117">
        <f ca="1">COUNTIFS(Data[Date],"&gt;"&amp;TODAY()-$AB$17,Data[Poster],$X21,INDIRECT(_xlfn.CONCAT("Data[", Y$18, "]")),$X$17)</f>
        <v>105</v>
      </c>
      <c r="Z21" s="117">
        <f ca="1">COUNTIFS(Data[Date],"&gt;"&amp;TODAY()-$AB$17,Data[Poster],$X21,INDIRECT(_xlfn.CONCAT("Data[", Z$18, "]")),$X$17)</f>
        <v>116</v>
      </c>
      <c r="AA21" s="117">
        <f ca="1">COUNTIFS(Data[Date],"&gt;"&amp;TODAY()-$AB$17,Data[Poster],$X21,INDIRECT(_xlfn.CONCAT("Data[", AA$18, "]")),$X$17)</f>
        <v>27</v>
      </c>
      <c r="AB21" s="117">
        <f ca="1">COUNTIFS(Data[Date],"&gt;"&amp;TODAY()-$AB$17,Data[Poster],$X21,INDIRECT(_xlfn.CONCAT("Data[", AB$18, "]")),$X$17)</f>
        <v>107</v>
      </c>
      <c r="AC21" s="117">
        <f ca="1">COUNTIFS(Data[Date],"&gt;"&amp;TODAY()-$AB$17,Data[Poster],$X21,INDIRECT(_xlfn.CONCAT("Data[", AC$18, "]")),$X$17)</f>
        <v>108</v>
      </c>
      <c r="AD21" s="117">
        <f ca="1">SUM(Y21:AC21)</f>
        <v>463</v>
      </c>
    </row>
    <row r="22" spans="2:30">
      <c r="B22" s="63" t="str">
        <f>Rankings!$M$1</f>
        <v>samuelbattista</v>
      </c>
      <c r="C22" s="70" cm="1">
        <f t="array" aca="1" ref="C22" ca="1">_xlfn.STDEV.P(IF(Data[Poster]=$B22, IF(Data[Date]&gt; TODAY()-$E$17, IF(INDIRECT(_xlfn.CONCAT("Data[", C$18, "]"))&gt;0, INDIRECT(_xlfn.CONCAT("Data[", C$18, "]"))))))</f>
        <v>1.165922381636102</v>
      </c>
      <c r="D22" s="70" cm="1">
        <f t="array" aca="1" ref="D22" ca="1">_xlfn.STDEV.P(IF(Data[Poster]=$B22, IF(Data[Date]&gt; TODAY()-$E$17, IF(INDIRECT(_xlfn.CONCAT("Data[", D$18, "]"))&gt;0, INDIRECT(_xlfn.CONCAT("Data[", D$18, "]"))))))</f>
        <v>1.25</v>
      </c>
      <c r="E22" s="70" cm="1">
        <f t="array" aca="1" ref="E22" ca="1">_xlfn.STDEV.P(IF(Data[Poster]=$B22, IF(Data[Date]&gt; TODAY()-$E$17, IF(INDIRECT(_xlfn.CONCAT("Data[", E$18, "]"))&gt;0, INDIRECT(_xlfn.CONCAT("Data[", E$18, "]"))))))</f>
        <v>1.4347800354061246</v>
      </c>
      <c r="F22" s="70" cm="1">
        <f t="array" aca="1" ref="F22" ca="1">_xlfn.STDEV.P(IF(Data[Poster]=$B22, IF(Data[Date]&gt; TODAY()-$E$17, IF(INDIRECT(_xlfn.CONCAT("Data[", F$18, "]"))&gt;0, INDIRECT(_xlfn.CONCAT("Data[", F$18, "]"))))))</f>
        <v>0.99804496391695696</v>
      </c>
      <c r="G22" s="70" cm="1">
        <f t="array" aca="1" ref="G22" ca="1">_xlfn.STDEV.P(IF(Data[Poster]=$B22, IF(Data[Date]&gt; TODAY()-$E$17, IF(INDIRECT(_xlfn.CONCAT("Data[", G$18, "]"))&gt;0, INDIRECT(_xlfn.CONCAT("Data[", G$18, "]"))))))</f>
        <v>1.4456291882775472</v>
      </c>
      <c r="I22" s="63" t="str">
        <f>Rankings!$M$1</f>
        <v>samuelbattista</v>
      </c>
      <c r="J22" s="70" cm="1">
        <f t="array" aca="1" ref="J22" ca="1">MODE(IF(Data[Poster]=$I22, IF(Data[Date]&gt; TODAY()-$L$17, IF(INDIRECT(_xlfn.CONCAT("Data[", J$18, "]"))&gt;0, INDIRECT(_xlfn.CONCAT("Data[", J$18, "]"))))))</f>
        <v>5</v>
      </c>
      <c r="K22" s="70" cm="1">
        <f t="array" aca="1" ref="K22" ca="1">MODE(IF(Data[Poster]=$I22, IF(Data[Date]&gt; TODAY()-$L$17, IF(INDIRECT(_xlfn.CONCAT("Data[", K$18, "]"))&gt;0, INDIRECT(_xlfn.CONCAT("Data[", K$18, "]"))))))</f>
        <v>3</v>
      </c>
      <c r="L22" s="70" cm="1">
        <f t="array" aca="1" ref="L22" ca="1">MODE(IF(Data[Poster]=$I22, IF(Data[Date]&gt; TODAY()-$L$17, IF(INDIRECT(_xlfn.CONCAT("Data[", L$18, "]"))&gt;0, INDIRECT(_xlfn.CONCAT("Data[", L$18, "]"))))))</f>
        <v>4</v>
      </c>
      <c r="M22" s="70" cm="1">
        <f t="array" aca="1" ref="M22" ca="1">MODE(IF(Data[Poster]=$I22, IF(Data[Date]&gt; TODAY()-$L$17, IF(INDIRECT(_xlfn.CONCAT("Data[", M$18, "]"))&gt;0, INDIRECT(_xlfn.CONCAT("Data[", M$18, "]"))))))</f>
        <v>1</v>
      </c>
      <c r="N22" s="70" cm="1">
        <f t="array" aca="1" ref="N22" ca="1">MODE(IF(Data[Poster]=$I22, IF(Data[Date]&gt; TODAY()-$L$17, IF(INDIRECT(_xlfn.CONCAT("Data[", N$18, "]"))&gt;0, INDIRECT(_xlfn.CONCAT("Data[", N$18, "]"))))))</f>
        <v>5</v>
      </c>
      <c r="P22" s="35" t="str">
        <f>Rankings!$M$1</f>
        <v>samuelbattista</v>
      </c>
      <c r="Q22" s="117">
        <f ca="1">COUNTIFS(Data[Date],"&gt;"&amp;TODAY()-$T$17,Data[Poster],$P22,INDIRECT(_xlfn.CONCAT("Data[", Q$18, "]")),$P$17)</f>
        <v>98</v>
      </c>
      <c r="R22" s="117">
        <f ca="1">COUNTIFS(Data[Date],"&gt;"&amp;TODAY()-$T$17,Data[Poster],$P22,INDIRECT(_xlfn.CONCAT("Data[", R$18, "]")),$P$17)</f>
        <v>110</v>
      </c>
      <c r="S22" s="117">
        <f ca="1">COUNTIFS(Data[Date],"&gt;"&amp;TODAY()-$T$17,Data[Poster],$P22,INDIRECT(_xlfn.CONCAT("Data[", S$18, "]")),$P$17)</f>
        <v>95</v>
      </c>
      <c r="T22" s="117">
        <f ca="1">COUNTIFS(Data[Date],"&gt;"&amp;TODAY()-$T$17,Data[Poster],$P22,INDIRECT(_xlfn.CONCAT("Data[", T$18, "]")),$P$17)</f>
        <v>16</v>
      </c>
      <c r="U22" s="117">
        <f ca="1">COUNTIFS(Data[Date],"&gt;"&amp;TODAY()-$T$17,Data[Poster],$P22,INDIRECT(_xlfn.CONCAT("Data[", U$18, "]")),$P$17)</f>
        <v>112</v>
      </c>
      <c r="V22" s="117">
        <f ca="1">SUM(Q22:U22)</f>
        <v>431</v>
      </c>
      <c r="X22" s="294" t="str">
        <f>Rankings!$M$1</f>
        <v>samuelbattista</v>
      </c>
      <c r="Y22" s="117">
        <f ca="1">COUNTIFS(Data[Date],"&gt;"&amp;TODAY()-$AB$17,Data[Poster],$X22,INDIRECT(_xlfn.CONCAT("Data[", Y$18, "]")),$X$17)</f>
        <v>109</v>
      </c>
      <c r="Z22" s="117">
        <f ca="1">COUNTIFS(Data[Date],"&gt;"&amp;TODAY()-$AB$17,Data[Poster],$X22,INDIRECT(_xlfn.CONCAT("Data[", Z$18, "]")),$X$17)</f>
        <v>96</v>
      </c>
      <c r="AA22" s="117">
        <f ca="1">COUNTIFS(Data[Date],"&gt;"&amp;TODAY()-$AB$17,Data[Poster],$X22,INDIRECT(_xlfn.CONCAT("Data[", AA$18, "]")),$X$17)</f>
        <v>90</v>
      </c>
      <c r="AB22" s="117">
        <f ca="1">COUNTIFS(Data[Date],"&gt;"&amp;TODAY()-$AB$17,Data[Poster],$X22,INDIRECT(_xlfn.CONCAT("Data[", AB$18, "]")),$X$17)</f>
        <v>3</v>
      </c>
      <c r="AC22" s="117">
        <f ca="1">COUNTIFS(Data[Date],"&gt;"&amp;TODAY()-$AB$17,Data[Poster],$X22,INDIRECT(_xlfn.CONCAT("Data[", AC$18, "]")),$X$17)</f>
        <v>109</v>
      </c>
      <c r="AD22" s="117">
        <f ca="1">SUM(Y22:AC22)</f>
        <v>407</v>
      </c>
    </row>
    <row r="23" spans="2:30">
      <c r="B23" s="64" t="str">
        <f>Rankings!$N$1</f>
        <v>currydestroyer27</v>
      </c>
      <c r="C23" s="70" cm="1">
        <f t="array" aca="1" ref="C23" ca="1">_xlfn.STDEV.P(IF(Data[Poster]=$B23, IF(Data[Date]&gt; TODAY()-$E$17, IF(INDIRECT(_xlfn.CONCAT("Data[", C$18, "]"))&gt;0, INDIRECT(_xlfn.CONCAT("Data[", C$18, "]"))))))</f>
        <v>1.14564392373896</v>
      </c>
      <c r="D23" s="70" cm="1">
        <f t="array" aca="1" ref="D23" ca="1">_xlfn.STDEV.P(IF(Data[Poster]=$B23, IF(Data[Date]&gt; TODAY()-$E$17, IF(INDIRECT(_xlfn.CONCAT("Data[", D$18, "]"))&gt;0, INDIRECT(_xlfn.CONCAT("Data[", D$18, "]"))))))</f>
        <v>1.3169567191065923</v>
      </c>
      <c r="E23" s="70" cm="1">
        <f t="array" aca="1" ref="E23" ca="1">_xlfn.STDEV.P(IF(Data[Poster]=$B23, IF(Data[Date]&gt; TODAY()-$E$17, IF(INDIRECT(_xlfn.CONCAT("Data[", E$18, "]"))&gt;0, INDIRECT(_xlfn.CONCAT("Data[", E$18, "]"))))))</f>
        <v>0.89921841062113494</v>
      </c>
      <c r="F23" s="70" cm="1">
        <f t="array" aca="1" ref="F23" ca="1">_xlfn.STDEV.P(IF(Data[Poster]=$B23, IF(Data[Date]&gt; TODAY()-$E$17, IF(INDIRECT(_xlfn.CONCAT("Data[", F$18, "]"))&gt;0, INDIRECT(_xlfn.CONCAT("Data[", F$18, "]"))))))</f>
        <v>1.0439558180306292</v>
      </c>
      <c r="G23" s="70" cm="1">
        <f t="array" aca="1" ref="G23" ca="1">_xlfn.STDEV.P(IF(Data[Poster]=$B23, IF(Data[Date]&gt; TODAY()-$E$17, IF(INDIRECT(_xlfn.CONCAT("Data[", G$18, "]"))&gt;0, INDIRECT(_xlfn.CONCAT("Data[", G$18, "]"))))))</f>
        <v>1.0532687216470449</v>
      </c>
      <c r="I23" s="64" t="str">
        <f>Rankings!$N$1</f>
        <v>currydestroyer27</v>
      </c>
      <c r="J23" s="70" cm="1">
        <f t="array" aca="1" ref="J23" ca="1">MODE(IF(Data[Poster]=$I23, IF(Data[Date]&gt; TODAY()-$L$17, IF(INDIRECT(_xlfn.CONCAT("Data[", J$18, "]"))&gt;0, INDIRECT(_xlfn.CONCAT("Data[", J$18, "]"))))))</f>
        <v>3</v>
      </c>
      <c r="K23" s="70" cm="1">
        <f t="array" aca="1" ref="K23" ca="1">MODE(IF(Data[Poster]=$I23, IF(Data[Date]&gt; TODAY()-$L$17, IF(INDIRECT(_xlfn.CONCAT("Data[", K$18, "]"))&gt;0, INDIRECT(_xlfn.CONCAT("Data[", K$18, "]"))))))</f>
        <v>2</v>
      </c>
      <c r="L23" s="70" cm="1">
        <f t="array" aca="1" ref="L23" ca="1">MODE(IF(Data[Poster]=$I23, IF(Data[Date]&gt; TODAY()-$L$17, IF(INDIRECT(_xlfn.CONCAT("Data[", L$18, "]"))&gt;0, INDIRECT(_xlfn.CONCAT("Data[", L$18, "]"))))))</f>
        <v>3</v>
      </c>
      <c r="M23" s="70" cm="1">
        <f t="array" aca="1" ref="M23" ca="1">MODE(IF(Data[Poster]=$I23, IF(Data[Date]&gt; TODAY()-$L$17, IF(INDIRECT(_xlfn.CONCAT("Data[", M$18, "]"))&gt;0, INDIRECT(_xlfn.CONCAT("Data[", M$18, "]"))))))</f>
        <v>4</v>
      </c>
      <c r="N23" s="70" cm="1">
        <f t="array" aca="1" ref="N23" ca="1">MODE(IF(Data[Poster]=$I23, IF(Data[Date]&gt; TODAY()-$L$17, IF(INDIRECT(_xlfn.CONCAT("Data[", N$18, "]"))&gt;0, INDIRECT(_xlfn.CONCAT("Data[", N$18, "]"))))))</f>
        <v>1</v>
      </c>
      <c r="P23" s="37" t="str">
        <f>Rankings!$N$1</f>
        <v>currydestroyer27</v>
      </c>
      <c r="Q23" s="117">
        <f ca="1">COUNTIFS(Data[Date],"&gt;"&amp;TODAY()-$T$17,Data[Poster],$P23,INDIRECT(_xlfn.CONCAT("Data[", Q$18, "]")),$P$17)</f>
        <v>108</v>
      </c>
      <c r="R23" s="117">
        <f ca="1">COUNTIFS(Data[Date],"&gt;"&amp;TODAY()-$T$17,Data[Poster],$P23,INDIRECT(_xlfn.CONCAT("Data[", R$18, "]")),$P$17)</f>
        <v>99</v>
      </c>
      <c r="S23" s="117">
        <f ca="1">COUNTIFS(Data[Date],"&gt;"&amp;TODAY()-$T$17,Data[Poster],$P23,INDIRECT(_xlfn.CONCAT("Data[", S$18, "]")),$P$17)</f>
        <v>111</v>
      </c>
      <c r="T23" s="117">
        <f ca="1">COUNTIFS(Data[Date],"&gt;"&amp;TODAY()-$T$17,Data[Poster],$P23,INDIRECT(_xlfn.CONCAT("Data[", T$18, "]")),$P$17)</f>
        <v>100</v>
      </c>
      <c r="U23" s="117">
        <f ca="1">COUNTIFS(Data[Date],"&gt;"&amp;TODAY()-$T$17,Data[Poster],$P23,INDIRECT(_xlfn.CONCAT("Data[", U$18, "]")),$P$17)</f>
        <v>27</v>
      </c>
      <c r="V23" s="117">
        <f ca="1">SUM(Q23:U23)</f>
        <v>445</v>
      </c>
      <c r="X23" s="295" t="str">
        <f>Rankings!$N$1</f>
        <v>currydestroyer27</v>
      </c>
      <c r="Y23" s="117">
        <f ca="1">COUNTIFS(Data[Date],"&gt;"&amp;TODAY()-$AB$17,Data[Poster],$X23,INDIRECT(_xlfn.CONCAT("Data[", Y$18, "]")),$X$17)</f>
        <v>125</v>
      </c>
      <c r="Z23" s="117">
        <f ca="1">COUNTIFS(Data[Date],"&gt;"&amp;TODAY()-$AB$17,Data[Poster],$X23,INDIRECT(_xlfn.CONCAT("Data[", Z$18, "]")),$X$17)</f>
        <v>80</v>
      </c>
      <c r="AA23" s="117">
        <f ca="1">COUNTIFS(Data[Date],"&gt;"&amp;TODAY()-$AB$17,Data[Poster],$X23,INDIRECT(_xlfn.CONCAT("Data[", AA$18, "]")),$X$17)</f>
        <v>84</v>
      </c>
      <c r="AB23" s="117">
        <f ca="1">COUNTIFS(Data[Date],"&gt;"&amp;TODAY()-$AB$17,Data[Poster],$X23,INDIRECT(_xlfn.CONCAT("Data[", AB$18, "]")),$X$17)</f>
        <v>120</v>
      </c>
      <c r="AC23" s="117">
        <f ca="1">COUNTIFS(Data[Date],"&gt;"&amp;TODAY()-$AB$17,Data[Poster],$X23,INDIRECT(_xlfn.CONCAT("Data[", AC$18, "]")),$X$17)</f>
        <v>18</v>
      </c>
      <c r="AD23" s="117">
        <f ca="1">SUM(Y23:AC23)</f>
        <v>427</v>
      </c>
    </row>
    <row r="25" spans="2:30">
      <c r="B25" s="345" t="s">
        <v>4153</v>
      </c>
      <c r="C25" s="345"/>
      <c r="D25" s="345"/>
      <c r="E25" s="301">
        <v>28</v>
      </c>
      <c r="F25" s="346" t="s">
        <v>4147</v>
      </c>
      <c r="G25" s="346"/>
      <c r="I25" s="345" t="s">
        <v>4154</v>
      </c>
      <c r="J25" s="345"/>
      <c r="K25" s="345"/>
      <c r="L25" s="301">
        <v>28</v>
      </c>
      <c r="M25" s="346" t="s">
        <v>4147</v>
      </c>
      <c r="N25" s="346"/>
      <c r="P25" s="180">
        <v>5</v>
      </c>
      <c r="Q25" s="344" t="str">
        <f>_xlfn.CONCAT("Amount of ",P25,"'s given for past")</f>
        <v>Amount of 5's given for past</v>
      </c>
      <c r="R25" s="344"/>
      <c r="S25" s="344"/>
      <c r="T25" s="179">
        <v>1000</v>
      </c>
      <c r="U25" s="128" t="s">
        <v>4147</v>
      </c>
      <c r="V25" s="301" t="s">
        <v>4149</v>
      </c>
    </row>
    <row r="26" spans="2:30">
      <c r="B26" s="301" t="s">
        <v>4150</v>
      </c>
      <c r="C26" s="65" t="str">
        <f>Rankings!$J$1</f>
        <v>alappatjoe</v>
      </c>
      <c r="D26" s="66" t="str">
        <f>Rankings!$K$1</f>
        <v>danram</v>
      </c>
      <c r="E26" s="67" t="str">
        <f>Rankings!$L$1</f>
        <v>loganworsdell</v>
      </c>
      <c r="F26" s="68" t="str">
        <f>Rankings!$M$1</f>
        <v>samuelbattista</v>
      </c>
      <c r="G26" s="69" t="str">
        <f>Rankings!$N$1</f>
        <v>currydestroyer27</v>
      </c>
      <c r="I26" s="301" t="s">
        <v>4150</v>
      </c>
      <c r="J26" s="65" t="str">
        <f>Rankings!$J$1</f>
        <v>alappatjoe</v>
      </c>
      <c r="K26" s="66" t="str">
        <f>Rankings!$K$1</f>
        <v>danram</v>
      </c>
      <c r="L26" s="67" t="str">
        <f>Rankings!$L$1</f>
        <v>loganworsdell</v>
      </c>
      <c r="M26" s="68" t="str">
        <f>Rankings!$M$1</f>
        <v>samuelbattista</v>
      </c>
      <c r="N26" s="69" t="str">
        <f>Rankings!$N$1</f>
        <v>currydestroyer27</v>
      </c>
      <c r="P26" s="126" t="s">
        <v>4150</v>
      </c>
      <c r="Q26" s="28" t="str">
        <f>Rankings!$J$1</f>
        <v>alappatjoe</v>
      </c>
      <c r="R26" s="31" t="str">
        <f>Rankings!$K$1</f>
        <v>danram</v>
      </c>
      <c r="S26" s="33" t="str">
        <f>Rankings!$L$1</f>
        <v>loganworsdell</v>
      </c>
      <c r="T26" s="35" t="str">
        <f>Rankings!$M$1</f>
        <v>samuelbattista</v>
      </c>
      <c r="U26" s="37" t="str">
        <f>Rankings!$N$1</f>
        <v>currydestroyer27</v>
      </c>
      <c r="V26" s="301"/>
    </row>
    <row r="27" spans="2:30">
      <c r="B27" s="61" t="str">
        <f>Rankings!$J$1</f>
        <v>alappatjoe</v>
      </c>
      <c r="C27" s="70" cm="1">
        <f t="array" aca="1" ref="C27" ca="1">MIN(IF(Data[Poster]=$B27, IF(Data[Date]&gt; TODAY()-$E$25, IF(INDIRECT(_xlfn.CONCAT("Data[", C$26, "]"))&gt;0, INDIRECT(_xlfn.CONCAT("Data[", C$26, "]"))))))</f>
        <v>1</v>
      </c>
      <c r="D27" s="70" cm="1">
        <f t="array" aca="1" ref="D27" ca="1">MIN(IF(Data[Poster]=$B27, IF(Data[Date]&gt; TODAY()-$E$25, IF(INDIRECT(_xlfn.CONCAT("Data[", D$26, "]"))&gt;0, INDIRECT(_xlfn.CONCAT("Data[", D$26, "]"))))))</f>
        <v>1</v>
      </c>
      <c r="E27" s="70" cm="1">
        <f t="array" aca="1" ref="E27" ca="1">MIN(IF(Data[Poster]=$B27, IF(Data[Date]&gt; TODAY()-$E$25, IF(INDIRECT(_xlfn.CONCAT("Data[", E$26, "]"))&gt;0, INDIRECT(_xlfn.CONCAT("Data[", E$26, "]"))))))</f>
        <v>1</v>
      </c>
      <c r="F27" s="70" cm="1">
        <f t="array" aca="1" ref="F27" ca="1">MIN(IF(Data[Poster]=$B27, IF(Data[Date]&gt; TODAY()-$E$25, IF(INDIRECT(_xlfn.CONCAT("Data[", F$26, "]"))&gt;0, INDIRECT(_xlfn.CONCAT("Data[", F$26, "]"))))))</f>
        <v>2</v>
      </c>
      <c r="G27" s="70" cm="1">
        <f t="array" aca="1" ref="G27" ca="1">MIN(IF(Data[Poster]=$B27, IF(Data[Date]&gt; TODAY()-$E$25, IF(INDIRECT(_xlfn.CONCAT("Data[", G$26, "]"))&gt;0, INDIRECT(_xlfn.CONCAT("Data[", G$26, "]"))))))</f>
        <v>1</v>
      </c>
      <c r="I27" s="61" t="str">
        <f>Rankings!$J$1</f>
        <v>alappatjoe</v>
      </c>
      <c r="J27" s="70" cm="1">
        <f t="array" aca="1" ref="J27" ca="1">MAX(IF(Data[Poster]=$I27, IF(Data[Date]&gt; TODAY()-$L$25, IF(INDIRECT(_xlfn.CONCAT("Data[", J$26, "]"))&gt;0, INDIRECT(_xlfn.CONCAT("Data[", J$26, "]"))))))</f>
        <v>4</v>
      </c>
      <c r="K27" s="70" cm="1">
        <f t="array" aca="1" ref="K27" ca="1">MAX(IF(Data[Poster]=$I27, IF(Data[Date]&gt; TODAY()-$L$25, IF(INDIRECT(_xlfn.CONCAT("Data[", K$26, "]"))&gt;0, INDIRECT(_xlfn.CONCAT("Data[", K$26, "]"))))))</f>
        <v>5</v>
      </c>
      <c r="L27" s="70" cm="1">
        <f t="array" aca="1" ref="L27" ca="1">MAX(IF(Data[Poster]=$I27, IF(Data[Date]&gt; TODAY()-$L$25, IF(INDIRECT(_xlfn.CONCAT("Data[", L$26, "]"))&gt;0, INDIRECT(_xlfn.CONCAT("Data[", L$26, "]"))))))</f>
        <v>5</v>
      </c>
      <c r="M27" s="70" cm="1">
        <f t="array" aca="1" ref="M27" ca="1">MAX(IF(Data[Poster]=$I27, IF(Data[Date]&gt; TODAY()-$L$25, IF(INDIRECT(_xlfn.CONCAT("Data[", M$26, "]"))&gt;0, INDIRECT(_xlfn.CONCAT("Data[", M$26, "]"))))))</f>
        <v>5</v>
      </c>
      <c r="N27" s="70" cm="1">
        <f t="array" aca="1" ref="N27" ca="1">MAX(IF(Data[Poster]=$I27, IF(Data[Date]&gt; TODAY()-$L$25, IF(INDIRECT(_xlfn.CONCAT("Data[", N$26, "]"))&gt;0, INDIRECT(_xlfn.CONCAT("Data[", N$26, "]"))))))</f>
        <v>5</v>
      </c>
      <c r="P27" s="28" t="str">
        <f>Rankings!$J$1</f>
        <v>alappatjoe</v>
      </c>
      <c r="Q27" s="117">
        <f ca="1">COUNTIFS(Data[Date],"&gt;"&amp;TODAY()-$T$25,Data[Poster],$P27,INDIRECT(_xlfn.CONCAT("Data[", Q$26, "]")),$P$25)</f>
        <v>1</v>
      </c>
      <c r="R27" s="117">
        <f ca="1">COUNTIFS(Data[Date],"&gt;"&amp;TODAY()-$T$25,Data[Poster],$P27,INDIRECT(_xlfn.CONCAT("Data[", R$26, "]")),$P$25)</f>
        <v>150</v>
      </c>
      <c r="S27" s="117">
        <f ca="1">COUNTIFS(Data[Date],"&gt;"&amp;TODAY()-$T$25,Data[Poster],$P27,INDIRECT(_xlfn.CONCAT("Data[", S$26, "]")),$P$25)</f>
        <v>118</v>
      </c>
      <c r="T27" s="117">
        <f ca="1">COUNTIFS(Data[Date],"&gt;"&amp;TODAY()-$T$25,Data[Poster],$P27,INDIRECT(_xlfn.CONCAT("Data[", T$26, "]")),$P$25)</f>
        <v>127</v>
      </c>
      <c r="U27" s="117">
        <f ca="1">COUNTIFS(Data[Date],"&gt;"&amp;TODAY()-$T$25,Data[Poster],$P27,INDIRECT(_xlfn.CONCAT("Data[", U$26, "]")),$P$25)</f>
        <v>97</v>
      </c>
      <c r="V27" s="117">
        <f ca="1">SUM(Q27:U27)</f>
        <v>493</v>
      </c>
    </row>
    <row r="28" spans="2:30">
      <c r="B28" s="62" t="str">
        <f>Rankings!$K$1</f>
        <v>danram</v>
      </c>
      <c r="C28" s="70" cm="1">
        <f t="array" aca="1" ref="C28" ca="1">MIN(IF(Data[Poster]=$B28, IF(Data[Date]&gt; TODAY()-$E$25, IF(INDIRECT(_xlfn.CONCAT("Data[", C$26, "]"))&gt;0, INDIRECT(_xlfn.CONCAT("Data[", C$26, "]"))))))</f>
        <v>2</v>
      </c>
      <c r="D28" s="70" cm="1">
        <f t="array" aca="1" ref="D28" ca="1">MIN(IF(Data[Poster]=$B28, IF(Data[Date]&gt; TODAY()-$E$25, IF(INDIRECT(_xlfn.CONCAT("Data[", D$26, "]"))&gt;0, INDIRECT(_xlfn.CONCAT("Data[", D$26, "]"))))))</f>
        <v>1</v>
      </c>
      <c r="E28" s="70" cm="1">
        <f t="array" aca="1" ref="E28" ca="1">MIN(IF(Data[Poster]=$B28, IF(Data[Date]&gt; TODAY()-$E$25, IF(INDIRECT(_xlfn.CONCAT("Data[", E$26, "]"))&gt;0, INDIRECT(_xlfn.CONCAT("Data[", E$26, "]"))))))</f>
        <v>1</v>
      </c>
      <c r="F28" s="70" cm="1">
        <f t="array" aca="1" ref="F28" ca="1">MIN(IF(Data[Poster]=$B28, IF(Data[Date]&gt; TODAY()-$E$25, IF(INDIRECT(_xlfn.CONCAT("Data[", F$26, "]"))&gt;0, INDIRECT(_xlfn.CONCAT("Data[", F$26, "]"))))))</f>
        <v>1</v>
      </c>
      <c r="G28" s="70" cm="1">
        <f t="array" aca="1" ref="G28" ca="1">MIN(IF(Data[Poster]=$B28, IF(Data[Date]&gt; TODAY()-$E$25, IF(INDIRECT(_xlfn.CONCAT("Data[", G$26, "]"))&gt;0, INDIRECT(_xlfn.CONCAT("Data[", G$26, "]"))))))</f>
        <v>1</v>
      </c>
      <c r="I28" s="62" t="str">
        <f>Rankings!$K$1</f>
        <v>danram</v>
      </c>
      <c r="J28" s="70" cm="1">
        <f t="array" aca="1" ref="J28" ca="1">MAX(IF(Data[Poster]=$I28, IF(Data[Date]&gt; TODAY()-$L$25, IF(INDIRECT(_xlfn.CONCAT("Data[", J$26, "]"))&gt;0, INDIRECT(_xlfn.CONCAT("Data[", J$26, "]"))))))</f>
        <v>5</v>
      </c>
      <c r="K28" s="70" cm="1">
        <f t="array" aca="1" ref="K28" ca="1">MAX(IF(Data[Poster]=$I28, IF(Data[Date]&gt; TODAY()-$L$25, IF(INDIRECT(_xlfn.CONCAT("Data[", K$26, "]"))&gt;0, INDIRECT(_xlfn.CONCAT("Data[", K$26, "]"))))))</f>
        <v>5</v>
      </c>
      <c r="L28" s="70" cm="1">
        <f t="array" aca="1" ref="L28" ca="1">MAX(IF(Data[Poster]=$I28, IF(Data[Date]&gt; TODAY()-$L$25, IF(INDIRECT(_xlfn.CONCAT("Data[", L$26, "]"))&gt;0, INDIRECT(_xlfn.CONCAT("Data[", L$26, "]"))))))</f>
        <v>5</v>
      </c>
      <c r="M28" s="70" cm="1">
        <f t="array" aca="1" ref="M28" ca="1">MAX(IF(Data[Poster]=$I28, IF(Data[Date]&gt; TODAY()-$L$25, IF(INDIRECT(_xlfn.CONCAT("Data[", M$26, "]"))&gt;0, INDIRECT(_xlfn.CONCAT("Data[", M$26, "]"))))))</f>
        <v>5</v>
      </c>
      <c r="N28" s="70" cm="1">
        <f t="array" aca="1" ref="N28" ca="1">MAX(IF(Data[Poster]=$I28, IF(Data[Date]&gt; TODAY()-$L$25, IF(INDIRECT(_xlfn.CONCAT("Data[", N$26, "]"))&gt;0, INDIRECT(_xlfn.CONCAT("Data[", N$26, "]"))))))</f>
        <v>5</v>
      </c>
      <c r="P28" s="31" t="str">
        <f>Rankings!$K$1</f>
        <v>danram</v>
      </c>
      <c r="Q28" s="117">
        <f ca="1">COUNTIFS(Data[Date],"&gt;"&amp;TODAY()-$T$25,Data[Poster],$P28,INDIRECT(_xlfn.CONCAT("Data[", Q$26, "]")),$P$25)</f>
        <v>131</v>
      </c>
      <c r="R28" s="117">
        <f ca="1">COUNTIFS(Data[Date],"&gt;"&amp;TODAY()-$T$25,Data[Poster],$P28,INDIRECT(_xlfn.CONCAT("Data[", R$26, "]")),$P$25)</f>
        <v>24</v>
      </c>
      <c r="S28" s="117">
        <f ca="1">COUNTIFS(Data[Date],"&gt;"&amp;TODAY()-$T$25,Data[Poster],$P28,INDIRECT(_xlfn.CONCAT("Data[", S$26, "]")),$P$25)</f>
        <v>137</v>
      </c>
      <c r="T28" s="117">
        <f ca="1">COUNTIFS(Data[Date],"&gt;"&amp;TODAY()-$T$25,Data[Poster],$P28,INDIRECT(_xlfn.CONCAT("Data[", T$26, "]")),$P$25)</f>
        <v>103</v>
      </c>
      <c r="U28" s="117">
        <f ca="1">COUNTIFS(Data[Date],"&gt;"&amp;TODAY()-$T$25,Data[Poster],$P28,INDIRECT(_xlfn.CONCAT("Data[", U$26, "]")),$P$25)</f>
        <v>119</v>
      </c>
      <c r="V28" s="117">
        <f ca="1">SUM(Q28:U28)</f>
        <v>514</v>
      </c>
    </row>
    <row r="29" spans="2:30">
      <c r="B29" s="15" t="str">
        <f>Rankings!$L$1</f>
        <v>loganworsdell</v>
      </c>
      <c r="C29" s="70" cm="1">
        <f t="array" aca="1" ref="C29" ca="1">MIN(IF(Data[Poster]=$B29, IF(Data[Date]&gt; TODAY()-$E$25, IF(INDIRECT(_xlfn.CONCAT("Data[", C$26, "]"))&gt;0, INDIRECT(_xlfn.CONCAT("Data[", C$26, "]"))))))</f>
        <v>1</v>
      </c>
      <c r="D29" s="70" cm="1">
        <f t="array" aca="1" ref="D29" ca="1">MIN(IF(Data[Poster]=$B29, IF(Data[Date]&gt; TODAY()-$E$25, IF(INDIRECT(_xlfn.CONCAT("Data[", D$26, "]"))&gt;0, INDIRECT(_xlfn.CONCAT("Data[", D$26, "]"))))))</f>
        <v>1</v>
      </c>
      <c r="E29" s="70" cm="1">
        <f t="array" aca="1" ref="E29" ca="1">MIN(IF(Data[Poster]=$B29, IF(Data[Date]&gt; TODAY()-$E$25, IF(INDIRECT(_xlfn.CONCAT("Data[", E$26, "]"))&gt;0, INDIRECT(_xlfn.CONCAT("Data[", E$26, "]"))))))</f>
        <v>1</v>
      </c>
      <c r="F29" s="70" cm="1">
        <f t="array" aca="1" ref="F29" ca="1">MIN(IF(Data[Poster]=$B29, IF(Data[Date]&gt; TODAY()-$E$25, IF(INDIRECT(_xlfn.CONCAT("Data[", F$26, "]"))&gt;0, INDIRECT(_xlfn.CONCAT("Data[", F$26, "]"))))))</f>
        <v>2</v>
      </c>
      <c r="G29" s="70" cm="1">
        <f t="array" aca="1" ref="G29" ca="1">MIN(IF(Data[Poster]=$B29, IF(Data[Date]&gt; TODAY()-$E$25, IF(INDIRECT(_xlfn.CONCAT("Data[", G$26, "]"))&gt;0, INDIRECT(_xlfn.CONCAT("Data[", G$26, "]"))))))</f>
        <v>1</v>
      </c>
      <c r="I29" s="15" t="str">
        <f>Rankings!$L$1</f>
        <v>loganworsdell</v>
      </c>
      <c r="J29" s="70" cm="1">
        <f t="array" aca="1" ref="J29" ca="1">MAX(IF(Data[Poster]=$I29, IF(Data[Date]&gt; TODAY()-$L$25, IF(INDIRECT(_xlfn.CONCAT("Data[", J$26, "]"))&gt;0, INDIRECT(_xlfn.CONCAT("Data[", J$26, "]"))))))</f>
        <v>5</v>
      </c>
      <c r="K29" s="70" cm="1">
        <f t="array" aca="1" ref="K29" ca="1">MAX(IF(Data[Poster]=$I29, IF(Data[Date]&gt; TODAY()-$L$25, IF(INDIRECT(_xlfn.CONCAT("Data[", K$26, "]"))&gt;0, INDIRECT(_xlfn.CONCAT("Data[", K$26, "]"))))))</f>
        <v>5</v>
      </c>
      <c r="L29" s="70" cm="1">
        <f t="array" aca="1" ref="L29" ca="1">MAX(IF(Data[Poster]=$I29, IF(Data[Date]&gt; TODAY()-$L$25, IF(INDIRECT(_xlfn.CONCAT("Data[", L$26, "]"))&gt;0, INDIRECT(_xlfn.CONCAT("Data[", L$26, "]"))))))</f>
        <v>3</v>
      </c>
      <c r="M29" s="70" cm="1">
        <f t="array" aca="1" ref="M29" ca="1">MAX(IF(Data[Poster]=$I29, IF(Data[Date]&gt; TODAY()-$L$25, IF(INDIRECT(_xlfn.CONCAT("Data[", M$26, "]"))&gt;0, INDIRECT(_xlfn.CONCAT("Data[", M$26, "]"))))))</f>
        <v>5</v>
      </c>
      <c r="N29" s="70" cm="1">
        <f t="array" aca="1" ref="N29" ca="1">MAX(IF(Data[Poster]=$I29, IF(Data[Date]&gt; TODAY()-$L$25, IF(INDIRECT(_xlfn.CONCAT("Data[", N$26, "]"))&gt;0, INDIRECT(_xlfn.CONCAT("Data[", N$26, "]"))))))</f>
        <v>5</v>
      </c>
      <c r="P29" s="33" t="str">
        <f>Rankings!$L$1</f>
        <v>loganworsdell</v>
      </c>
      <c r="Q29" s="117">
        <f ca="1">COUNTIFS(Data[Date],"&gt;"&amp;TODAY()-$T$25,Data[Poster],$P29,INDIRECT(_xlfn.CONCAT("Data[", Q$26, "]")),$P$25)</f>
        <v>97</v>
      </c>
      <c r="R29" s="117">
        <f ca="1">COUNTIFS(Data[Date],"&gt;"&amp;TODAY()-$T$25,Data[Poster],$P29,INDIRECT(_xlfn.CONCAT("Data[", R$26, "]")),$P$25)</f>
        <v>83</v>
      </c>
      <c r="S29" s="117">
        <f ca="1">COUNTIFS(Data[Date],"&gt;"&amp;TODAY()-$T$25,Data[Poster],$P29,INDIRECT(_xlfn.CONCAT("Data[", S$26, "]")),$P$25)</f>
        <v>13</v>
      </c>
      <c r="T29" s="117">
        <f ca="1">COUNTIFS(Data[Date],"&gt;"&amp;TODAY()-$T$25,Data[Poster],$P29,INDIRECT(_xlfn.CONCAT("Data[", T$26, "]")),$P$25)</f>
        <v>87</v>
      </c>
      <c r="U29" s="117">
        <f ca="1">COUNTIFS(Data[Date],"&gt;"&amp;TODAY()-$T$25,Data[Poster],$P29,INDIRECT(_xlfn.CONCAT("Data[", U$26, "]")),$P$25)</f>
        <v>102</v>
      </c>
      <c r="V29" s="117">
        <f ca="1">SUM(Q29:U29)</f>
        <v>382</v>
      </c>
    </row>
    <row r="30" spans="2:30">
      <c r="B30" s="63" t="str">
        <f>Rankings!$M$1</f>
        <v>samuelbattista</v>
      </c>
      <c r="C30" s="70" cm="1">
        <f t="array" aca="1" ref="C30" ca="1">MIN(IF(Data[Poster]=$B30, IF(Data[Date]&gt; TODAY()-$E$25, IF(INDIRECT(_xlfn.CONCAT("Data[", C$26, "]"))&gt;0, INDIRECT(_xlfn.CONCAT("Data[", C$26, "]"))))))</f>
        <v>2</v>
      </c>
      <c r="D30" s="70" cm="1">
        <f t="array" aca="1" ref="D30" ca="1">MIN(IF(Data[Poster]=$B30, IF(Data[Date]&gt; TODAY()-$E$25, IF(INDIRECT(_xlfn.CONCAT("Data[", D$26, "]"))&gt;0, INDIRECT(_xlfn.CONCAT("Data[", D$26, "]"))))))</f>
        <v>1</v>
      </c>
      <c r="E30" s="70" cm="1">
        <f t="array" aca="1" ref="E30" ca="1">MIN(IF(Data[Poster]=$B30, IF(Data[Date]&gt; TODAY()-$E$25, IF(INDIRECT(_xlfn.CONCAT("Data[", E$26, "]"))&gt;0, INDIRECT(_xlfn.CONCAT("Data[", E$26, "]"))))))</f>
        <v>1</v>
      </c>
      <c r="F30" s="70" cm="1">
        <f t="array" aca="1" ref="F30" ca="1">MIN(IF(Data[Poster]=$B30, IF(Data[Date]&gt; TODAY()-$E$25, IF(INDIRECT(_xlfn.CONCAT("Data[", F$26, "]"))&gt;0, INDIRECT(_xlfn.CONCAT("Data[", F$26, "]"))))))</f>
        <v>1</v>
      </c>
      <c r="G30" s="70" cm="1">
        <f t="array" aca="1" ref="G30" ca="1">MIN(IF(Data[Poster]=$B30, IF(Data[Date]&gt; TODAY()-$E$25, IF(INDIRECT(_xlfn.CONCAT("Data[", G$26, "]"))&gt;0, INDIRECT(_xlfn.CONCAT("Data[", G$26, "]"))))))</f>
        <v>1</v>
      </c>
      <c r="I30" s="63" t="str">
        <f>Rankings!$M$1</f>
        <v>samuelbattista</v>
      </c>
      <c r="J30" s="70" cm="1">
        <f t="array" aca="1" ref="J30" ca="1">MAX(IF(Data[Poster]=$I30, IF(Data[Date]&gt; TODAY()-$L$25, IF(INDIRECT(_xlfn.CONCAT("Data[", J$26, "]"))&gt;0, INDIRECT(_xlfn.CONCAT("Data[", J$26, "]"))))))</f>
        <v>5</v>
      </c>
      <c r="K30" s="70" cm="1">
        <f t="array" aca="1" ref="K30" ca="1">MAX(IF(Data[Poster]=$I30, IF(Data[Date]&gt; TODAY()-$L$25, IF(INDIRECT(_xlfn.CONCAT("Data[", K$26, "]"))&gt;0, INDIRECT(_xlfn.CONCAT("Data[", K$26, "]"))))))</f>
        <v>5</v>
      </c>
      <c r="L30" s="70" cm="1">
        <f t="array" aca="1" ref="L30" ca="1">MAX(IF(Data[Poster]=$I30, IF(Data[Date]&gt; TODAY()-$L$25, IF(INDIRECT(_xlfn.CONCAT("Data[", L$26, "]"))&gt;0, INDIRECT(_xlfn.CONCAT("Data[", L$26, "]"))))))</f>
        <v>5</v>
      </c>
      <c r="M30" s="70" cm="1">
        <f t="array" aca="1" ref="M30" ca="1">MAX(IF(Data[Poster]=$I30, IF(Data[Date]&gt; TODAY()-$L$25, IF(INDIRECT(_xlfn.CONCAT("Data[", M$26, "]"))&gt;0, INDIRECT(_xlfn.CONCAT("Data[", M$26, "]"))))))</f>
        <v>5</v>
      </c>
      <c r="N30" s="70" cm="1">
        <f t="array" aca="1" ref="N30" ca="1">MAX(IF(Data[Poster]=$I30, IF(Data[Date]&gt; TODAY()-$L$25, IF(INDIRECT(_xlfn.CONCAT("Data[", N$26, "]"))&gt;0, INDIRECT(_xlfn.CONCAT("Data[", N$26, "]"))))))</f>
        <v>5</v>
      </c>
      <c r="P30" s="35" t="str">
        <f>Rankings!$M$1</f>
        <v>samuelbattista</v>
      </c>
      <c r="Q30" s="117">
        <f ca="1">COUNTIFS(Data[Date],"&gt;"&amp;TODAY()-$T$25,Data[Poster],$P30,INDIRECT(_xlfn.CONCAT("Data[", Q$26, "]")),$P$25)</f>
        <v>142</v>
      </c>
      <c r="R30" s="117">
        <f ca="1">COUNTIFS(Data[Date],"&gt;"&amp;TODAY()-$T$25,Data[Poster],$P30,INDIRECT(_xlfn.CONCAT("Data[", R$26, "]")),$P$25)</f>
        <v>82</v>
      </c>
      <c r="S30" s="117">
        <f ca="1">COUNTIFS(Data[Date],"&gt;"&amp;TODAY()-$T$25,Data[Poster],$P30,INDIRECT(_xlfn.CONCAT("Data[", S$26, "]")),$P$25)</f>
        <v>98</v>
      </c>
      <c r="T30" s="117">
        <f ca="1">COUNTIFS(Data[Date],"&gt;"&amp;TODAY()-$T$25,Data[Poster],$P30,INDIRECT(_xlfn.CONCAT("Data[", T$26, "]")),$P$25)</f>
        <v>6</v>
      </c>
      <c r="U30" s="117">
        <f ca="1">COUNTIFS(Data[Date],"&gt;"&amp;TODAY()-$T$25,Data[Poster],$P30,INDIRECT(_xlfn.CONCAT("Data[", U$26, "]")),$P$25)</f>
        <v>124</v>
      </c>
      <c r="V30" s="117">
        <f ca="1">SUM(Q30:U30)</f>
        <v>452</v>
      </c>
    </row>
    <row r="31" spans="2:30">
      <c r="B31" s="64" t="str">
        <f>Rankings!$N$1</f>
        <v>currydestroyer27</v>
      </c>
      <c r="C31" s="70" cm="1">
        <f t="array" aca="1" ref="C31" ca="1">MIN(IF(Data[Poster]=$B31, IF(Data[Date]&gt; TODAY()-$E$25, IF(INDIRECT(_xlfn.CONCAT("Data[", C$26, "]"))&gt;0, INDIRECT(_xlfn.CONCAT("Data[", C$26, "]"))))))</f>
        <v>1</v>
      </c>
      <c r="D31" s="70" cm="1">
        <f t="array" aca="1" ref="D31" ca="1">MIN(IF(Data[Poster]=$B31, IF(Data[Date]&gt; TODAY()-$E$25, IF(INDIRECT(_xlfn.CONCAT("Data[", D$26, "]"))&gt;0, INDIRECT(_xlfn.CONCAT("Data[", D$26, "]"))))))</f>
        <v>1</v>
      </c>
      <c r="E31" s="70" cm="1">
        <f t="array" aca="1" ref="E31" ca="1">MIN(IF(Data[Poster]=$B31, IF(Data[Date]&gt; TODAY()-$E$25, IF(INDIRECT(_xlfn.CONCAT("Data[", E$26, "]"))&gt;0, INDIRECT(_xlfn.CONCAT("Data[", E$26, "]"))))))</f>
        <v>2</v>
      </c>
      <c r="F31" s="70" cm="1">
        <f t="array" aca="1" ref="F31" ca="1">MIN(IF(Data[Poster]=$B31, IF(Data[Date]&gt; TODAY()-$E$25, IF(INDIRECT(_xlfn.CONCAT("Data[", F$26, "]"))&gt;0, INDIRECT(_xlfn.CONCAT("Data[", F$26, "]"))))))</f>
        <v>2</v>
      </c>
      <c r="G31" s="70" cm="1">
        <f t="array" aca="1" ref="G31" ca="1">MIN(IF(Data[Poster]=$B31, IF(Data[Date]&gt; TODAY()-$E$25, IF(INDIRECT(_xlfn.CONCAT("Data[", G$26, "]"))&gt;0, INDIRECT(_xlfn.CONCAT("Data[", G$26, "]"))))))</f>
        <v>1</v>
      </c>
      <c r="I31" s="64" t="str">
        <f>Rankings!$N$1</f>
        <v>currydestroyer27</v>
      </c>
      <c r="J31" s="70" cm="1">
        <f t="array" aca="1" ref="J31" ca="1">MAX(IF(Data[Poster]=$I31, IF(Data[Date]&gt; TODAY()-$L$25, IF(INDIRECT(_xlfn.CONCAT("Data[", J$26, "]"))&gt;0, INDIRECT(_xlfn.CONCAT("Data[", J$26, "]"))))))</f>
        <v>5</v>
      </c>
      <c r="K31" s="70" cm="1">
        <f t="array" aca="1" ref="K31" ca="1">MAX(IF(Data[Poster]=$I31, IF(Data[Date]&gt; TODAY()-$L$25, IF(INDIRECT(_xlfn.CONCAT("Data[", K$26, "]"))&gt;0, INDIRECT(_xlfn.CONCAT("Data[", K$26, "]"))))))</f>
        <v>5</v>
      </c>
      <c r="L31" s="70" cm="1">
        <f t="array" aca="1" ref="L31" ca="1">MAX(IF(Data[Poster]=$I31, IF(Data[Date]&gt; TODAY()-$L$25, IF(INDIRECT(_xlfn.CONCAT("Data[", L$26, "]"))&gt;0, INDIRECT(_xlfn.CONCAT("Data[", L$26, "]"))))))</f>
        <v>5</v>
      </c>
      <c r="M31" s="70" cm="1">
        <f t="array" aca="1" ref="M31" ca="1">MAX(IF(Data[Poster]=$I31, IF(Data[Date]&gt; TODAY()-$L$25, IF(INDIRECT(_xlfn.CONCAT("Data[", M$26, "]"))&gt;0, INDIRECT(_xlfn.CONCAT("Data[", M$26, "]"))))))</f>
        <v>5</v>
      </c>
      <c r="N31" s="70" cm="1">
        <f t="array" aca="1" ref="N31" ca="1">MAX(IF(Data[Poster]=$I31, IF(Data[Date]&gt; TODAY()-$L$25, IF(INDIRECT(_xlfn.CONCAT("Data[", N$26, "]"))&gt;0, INDIRECT(_xlfn.CONCAT("Data[", N$26, "]"))))))</f>
        <v>4</v>
      </c>
      <c r="P31" s="37" t="str">
        <f>Rankings!$N$1</f>
        <v>currydestroyer27</v>
      </c>
      <c r="Q31" s="117">
        <f ca="1">COUNTIFS(Data[Date],"&gt;"&amp;TODAY()-$T$25,Data[Poster],$P31,INDIRECT(_xlfn.CONCAT("Data[", Q$26, "]")),$P$25)</f>
        <v>74</v>
      </c>
      <c r="R31" s="117">
        <f ca="1">COUNTIFS(Data[Date],"&gt;"&amp;TODAY()-$T$25,Data[Poster],$P31,INDIRECT(_xlfn.CONCAT("Data[", R$26, "]")),$P$25)</f>
        <v>106</v>
      </c>
      <c r="S31" s="117">
        <f ca="1">COUNTIFS(Data[Date],"&gt;"&amp;TODAY()-$T$25,Data[Poster],$P31,INDIRECT(_xlfn.CONCAT("Data[", S$26, "]")),$P$25)</f>
        <v>79</v>
      </c>
      <c r="T31" s="117">
        <f ca="1">COUNTIFS(Data[Date],"&gt;"&amp;TODAY()-$T$25,Data[Poster],$P31,INDIRECT(_xlfn.CONCAT("Data[", T$26, "]")),$P$25)</f>
        <v>122</v>
      </c>
      <c r="U31" s="117">
        <f ca="1">COUNTIFS(Data[Date],"&gt;"&amp;TODAY()-$T$25,Data[Poster],$P31,INDIRECT(_xlfn.CONCAT("Data[", U$26, "]")),$P$25)</f>
        <v>3</v>
      </c>
      <c r="V31" s="117">
        <f ca="1">SUM(Q31:U31)</f>
        <v>384</v>
      </c>
    </row>
    <row r="33" spans="2:29">
      <c r="B33" s="347" t="s">
        <v>4155</v>
      </c>
      <c r="C33" s="347"/>
      <c r="D33" s="347"/>
      <c r="E33" s="347"/>
      <c r="F33" s="347"/>
      <c r="G33" s="347"/>
      <c r="I33" s="347" t="s">
        <v>4156</v>
      </c>
      <c r="J33" s="347"/>
      <c r="K33" s="347"/>
      <c r="L33" s="347"/>
      <c r="M33" s="347"/>
      <c r="N33" s="347"/>
      <c r="P33" s="347" t="s">
        <v>4157</v>
      </c>
      <c r="Q33" s="347"/>
      <c r="R33" s="347"/>
      <c r="S33" s="347"/>
      <c r="T33" s="347"/>
      <c r="U33" s="347"/>
      <c r="X33" s="347" t="s">
        <v>4158</v>
      </c>
      <c r="Y33" s="347"/>
      <c r="Z33" s="347"/>
      <c r="AA33" s="347"/>
      <c r="AB33" s="347"/>
      <c r="AC33" s="347"/>
    </row>
    <row r="34" spans="2:29">
      <c r="B34" s="97" t="s">
        <v>29</v>
      </c>
      <c r="C34" s="301" t="s">
        <v>32</v>
      </c>
      <c r="D34" s="301" t="s">
        <v>4159</v>
      </c>
      <c r="E34" s="301" t="s">
        <v>4160</v>
      </c>
      <c r="F34" s="301" t="s">
        <v>4161</v>
      </c>
      <c r="G34" s="301" t="s">
        <v>36</v>
      </c>
      <c r="I34" s="301" t="s">
        <v>29</v>
      </c>
      <c r="J34" s="301" t="s">
        <v>32</v>
      </c>
      <c r="K34" s="301" t="s">
        <v>4159</v>
      </c>
      <c r="L34" s="301" t="s">
        <v>4160</v>
      </c>
      <c r="M34" s="301" t="s">
        <v>4161</v>
      </c>
      <c r="N34" s="301" t="s">
        <v>36</v>
      </c>
      <c r="P34" s="97" t="s">
        <v>29</v>
      </c>
      <c r="Q34" s="301" t="s">
        <v>32</v>
      </c>
      <c r="R34" s="301" t="s">
        <v>4159</v>
      </c>
      <c r="S34" s="301" t="s">
        <v>4160</v>
      </c>
      <c r="T34" s="4" t="s">
        <v>4161</v>
      </c>
      <c r="U34" s="4" t="s">
        <v>36</v>
      </c>
      <c r="X34" s="97" t="s">
        <v>29</v>
      </c>
      <c r="Y34" s="301" t="s">
        <v>32</v>
      </c>
      <c r="Z34" s="301" t="s">
        <v>4159</v>
      </c>
      <c r="AA34" s="301" t="s">
        <v>4160</v>
      </c>
      <c r="AB34" s="4" t="s">
        <v>4161</v>
      </c>
      <c r="AC34" s="4" t="s">
        <v>36</v>
      </c>
    </row>
    <row r="35" spans="2:29">
      <c r="B35" s="85" cm="1">
        <f t="array" ref="B35:G35">_xlfn._xlws.FILTER(Data[[Date]:[Artist]], Data[Average]=MIN(Data[Average]), "TBD")</f>
        <v>45873</v>
      </c>
      <c r="C35" s="3" t="str">
        <v>alappatjoe</v>
      </c>
      <c r="D35" s="3">
        <v>1</v>
      </c>
      <c r="E35" s="86">
        <v>0</v>
      </c>
      <c r="F35" t="str">
        <v>Billie Jean</v>
      </c>
      <c r="G35" t="str">
        <v>Michael Jackson</v>
      </c>
      <c r="I35" s="85" cm="1">
        <f t="array" ref="I35:N48">_xlfn._xlws.FILTER(Data[[Date]:[Artist]], Data[Average]=MAX(Data[Average]), "TBD")</f>
        <v>45603</v>
      </c>
      <c r="J35" s="3" t="str">
        <v>samuelbattista</v>
      </c>
      <c r="K35" s="3">
        <v>5</v>
      </c>
      <c r="L35" s="86">
        <v>0</v>
      </c>
      <c r="M35" t="str">
        <v>Electric Pow Wow Drum</v>
      </c>
      <c r="N35" t="str">
        <v>The Halluci Nation</v>
      </c>
      <c r="P35" s="85" cm="1">
        <f t="array" ref="P35:U36">_xlfn._xlws.FILTER(Data[[Date]:[Artist]], (Data[Average]&lt;&gt;1)*(Data[Average]&lt;&gt;5)*(Data[STDEV]=0), "TBD")</f>
        <v>45861</v>
      </c>
      <c r="Q35" s="3" t="str">
        <v>loganworsdell</v>
      </c>
      <c r="R35" s="3">
        <v>3</v>
      </c>
      <c r="S35" s="86">
        <v>0</v>
      </c>
      <c r="T35" t="str">
        <v>Dance With You</v>
      </c>
      <c r="U35" t="str">
        <v>Party Pupils, Yung Bae, Bryce Vine</v>
      </c>
      <c r="X35" s="85" cm="1">
        <f t="array" ref="X35:AC58">_xlfn._xlws.FILTER(Data[[Date]:[Artist]], (Data[Average]=4.2)*(Data[STDEV]&gt;=1.6), "TBD")</f>
        <v>45491</v>
      </c>
      <c r="Y35" s="3" t="str">
        <v>alappatjoe</v>
      </c>
      <c r="Z35" s="3">
        <v>4.2</v>
      </c>
      <c r="AA35" s="86">
        <v>1.6</v>
      </c>
      <c r="AB35" t="str">
        <v>I Don't Do Drugs</v>
      </c>
      <c r="AC35" t="str">
        <v>Doja Cat, Ariana Grande</v>
      </c>
    </row>
    <row r="36" spans="2:29">
      <c r="B36" s="85"/>
      <c r="C36" s="3"/>
      <c r="D36" s="3"/>
      <c r="E36" s="86"/>
      <c r="I36" s="85">
        <v>45607</v>
      </c>
      <c r="J36" s="3" t="str">
        <v>danram</v>
      </c>
      <c r="K36" s="3">
        <v>5</v>
      </c>
      <c r="L36" s="86">
        <v>0</v>
      </c>
      <c r="M36" t="str">
        <v>VENTE CONMIGO</v>
      </c>
      <c r="N36" t="str">
        <v>Feid</v>
      </c>
      <c r="P36" s="85">
        <v>46126</v>
      </c>
      <c r="Q36" s="3" t="str">
        <v>loganworsdell</v>
      </c>
      <c r="R36" s="3">
        <v>2</v>
      </c>
      <c r="S36" s="86">
        <v>0</v>
      </c>
      <c r="T36" t="str">
        <v>Dive Into Me</v>
      </c>
      <c r="U36" t="str">
        <v>Alok, Khalid</v>
      </c>
      <c r="X36" s="85">
        <v>45498</v>
      </c>
      <c r="Y36" s="3" t="str">
        <v>samuelbattista</v>
      </c>
      <c r="Z36" s="3">
        <v>4.2</v>
      </c>
      <c r="AA36" s="86">
        <v>1.6</v>
      </c>
      <c r="AB36" t="str">
        <v>Bridge Over Troubled Water</v>
      </c>
      <c r="AC36" t="str">
        <v>Jacob Collier, John Legend, Tori Kelly</v>
      </c>
    </row>
    <row r="37" spans="2:29" ht="30">
      <c r="B37" s="85"/>
      <c r="C37" s="3"/>
      <c r="D37" s="3"/>
      <c r="E37" s="86"/>
      <c r="I37" s="85">
        <v>45736</v>
      </c>
      <c r="J37" s="3" t="str">
        <v>loganworsdell</v>
      </c>
      <c r="K37" s="3">
        <v>5</v>
      </c>
      <c r="L37" s="86">
        <v>0</v>
      </c>
      <c r="M37" t="str">
        <v>Gettin' Over You</v>
      </c>
      <c r="N37" s="88" t="str">
        <v>David Guetta, Chris Willis, Fergie, LMFAO</v>
      </c>
      <c r="P37" s="85"/>
      <c r="S37" s="86"/>
      <c r="T37"/>
      <c r="U37"/>
      <c r="X37" s="85">
        <v>45551</v>
      </c>
      <c r="Y37" s="3" t="str">
        <v>samuelbattista</v>
      </c>
      <c r="Z37" s="3">
        <v>4.2</v>
      </c>
      <c r="AA37" s="86">
        <v>1.6</v>
      </c>
      <c r="AB37" t="str">
        <v>Ur Mum</v>
      </c>
      <c r="AC37" t="str">
        <v>Wet Leg</v>
      </c>
    </row>
    <row r="38" spans="2:29">
      <c r="B38" s="85"/>
      <c r="C38" s="3"/>
      <c r="D38" s="3"/>
      <c r="E38" s="86"/>
      <c r="I38" s="85">
        <v>45827</v>
      </c>
      <c r="J38" s="3" t="str">
        <v>danram</v>
      </c>
      <c r="K38" s="3">
        <v>5</v>
      </c>
      <c r="L38" s="86">
        <v>0</v>
      </c>
      <c r="M38" t="str">
        <v>Kill That Yankee Soldier</v>
      </c>
      <c r="N38" t="str">
        <v>Un-Reconstructed</v>
      </c>
      <c r="P38" s="85"/>
      <c r="S38" s="86"/>
      <c r="T38"/>
      <c r="U38"/>
      <c r="X38" s="85">
        <v>45559</v>
      </c>
      <c r="Y38" s="3" t="str">
        <v>danram</v>
      </c>
      <c r="Z38" s="3">
        <v>4.2</v>
      </c>
      <c r="AA38" s="86">
        <v>1.6</v>
      </c>
      <c r="AB38" t="str">
        <v>Marsupial Superstars</v>
      </c>
      <c r="AC38" s="88" t="str">
        <v>SahBabii, T3</v>
      </c>
    </row>
    <row r="39" spans="2:29">
      <c r="B39" s="85"/>
      <c r="C39" s="3"/>
      <c r="D39" s="3"/>
      <c r="E39" s="86"/>
      <c r="I39" s="85">
        <v>45902</v>
      </c>
      <c r="J39" s="3" t="str">
        <v>samuelbattista</v>
      </c>
      <c r="K39" s="3">
        <v>5</v>
      </c>
      <c r="L39" s="86">
        <v>0</v>
      </c>
      <c r="M39" t="str">
        <v>BOOTZ</v>
      </c>
      <c r="N39" t="str">
        <v>Salina EsTitties</v>
      </c>
      <c r="P39" s="85"/>
      <c r="S39" s="86"/>
      <c r="T39"/>
      <c r="U39"/>
      <c r="X39" s="85">
        <v>45580</v>
      </c>
      <c r="Y39" s="3" t="str">
        <v>samuelbattista</v>
      </c>
      <c r="Z39" s="3">
        <v>4.2</v>
      </c>
      <c r="AA39" s="86">
        <v>1.6</v>
      </c>
      <c r="AB39" t="str">
        <v>Blue Eyes Crying In The Rain</v>
      </c>
      <c r="AC39" t="str">
        <v>Willie Nelson</v>
      </c>
    </row>
    <row r="40" spans="2:29">
      <c r="B40" s="85"/>
      <c r="C40" s="3"/>
      <c r="D40" s="3"/>
      <c r="E40" s="86"/>
      <c r="I40" s="85">
        <v>45992</v>
      </c>
      <c r="J40" s="3" t="str">
        <v>danram</v>
      </c>
      <c r="K40" s="3">
        <v>5</v>
      </c>
      <c r="L40" s="86">
        <v>0</v>
      </c>
      <c r="M40" t="str">
        <v>Flamingo</v>
      </c>
      <c r="N40" t="str">
        <v>Kero Kero Bonito</v>
      </c>
      <c r="P40" s="85"/>
      <c r="S40" s="86"/>
      <c r="T40"/>
      <c r="U40"/>
      <c r="X40" s="85">
        <v>45595</v>
      </c>
      <c r="Y40" s="3" t="str">
        <v>alappatjoe</v>
      </c>
      <c r="Z40" s="3">
        <v>4.2</v>
      </c>
      <c r="AA40" s="86">
        <v>1.6</v>
      </c>
      <c r="AB40" t="str">
        <v>I'm On Everything</v>
      </c>
      <c r="AC40" t="str">
        <v>Bad Meets Evil, Mike Epps</v>
      </c>
    </row>
    <row r="41" spans="2:29">
      <c r="B41" s="85"/>
      <c r="C41" s="3"/>
      <c r="D41" s="3"/>
      <c r="E41" s="86"/>
      <c r="I41" s="85">
        <v>46009</v>
      </c>
      <c r="J41" s="3" t="str">
        <v>samuelbattista</v>
      </c>
      <c r="K41" s="3">
        <v>5</v>
      </c>
      <c r="L41" s="86">
        <v>0</v>
      </c>
      <c r="M41" t="str">
        <v>Santa Claus And His Old Lady</v>
      </c>
      <c r="N41" t="str">
        <v>Cheech &amp; Chong</v>
      </c>
      <c r="P41" s="85"/>
      <c r="S41" s="86"/>
      <c r="T41"/>
      <c r="U41"/>
      <c r="X41" s="85">
        <v>45715</v>
      </c>
      <c r="Y41" s="3" t="str">
        <v>danram</v>
      </c>
      <c r="Z41" s="3">
        <v>4.2</v>
      </c>
      <c r="AA41" s="86">
        <v>1.6</v>
      </c>
      <c r="AB41" t="str">
        <v>Guilt Trip</v>
      </c>
      <c r="AC41" t="str">
        <v>Kanye West</v>
      </c>
    </row>
    <row r="42" spans="2:29">
      <c r="B42" s="85"/>
      <c r="C42" s="3"/>
      <c r="D42" s="3"/>
      <c r="E42" s="86"/>
      <c r="I42" s="85">
        <v>46050</v>
      </c>
      <c r="J42" s="3" t="str">
        <v>loganworsdell</v>
      </c>
      <c r="K42" s="3">
        <v>5</v>
      </c>
      <c r="L42" s="86">
        <v>0</v>
      </c>
      <c r="M42" t="str">
        <v>Stay With Me</v>
      </c>
      <c r="N42" t="str">
        <v>1nonly</v>
      </c>
      <c r="P42" s="85"/>
      <c r="S42" s="86"/>
      <c r="T42"/>
      <c r="U42"/>
      <c r="X42" s="85">
        <v>45770</v>
      </c>
      <c r="Y42" s="3" t="str">
        <v>loganworsdell</v>
      </c>
      <c r="Z42" s="3">
        <v>4.2</v>
      </c>
      <c r="AA42" s="86">
        <v>1.6</v>
      </c>
      <c r="AB42" t="str">
        <v>Lost At Sea</v>
      </c>
      <c r="AC42" t="str">
        <v>Zedd, Ryan Tedder</v>
      </c>
    </row>
    <row r="43" spans="2:29">
      <c r="B43" s="85"/>
      <c r="C43" s="3"/>
      <c r="D43" s="3"/>
      <c r="E43" s="86"/>
      <c r="I43" s="85">
        <v>46072</v>
      </c>
      <c r="J43" s="3" t="str">
        <v>alappatjoe</v>
      </c>
      <c r="K43" s="3">
        <v>5</v>
      </c>
      <c r="L43" s="86">
        <v>0</v>
      </c>
      <c r="M43" t="str">
        <v>Flexicution</v>
      </c>
      <c r="N43" t="str">
        <v>Logic</v>
      </c>
      <c r="P43" s="85"/>
      <c r="S43" s="86"/>
      <c r="T43"/>
      <c r="U43"/>
      <c r="X43" s="85">
        <v>45777</v>
      </c>
      <c r="Y43" s="3" t="str">
        <v>loganworsdell</v>
      </c>
      <c r="Z43" s="3">
        <v>4.2</v>
      </c>
      <c r="AA43" s="86">
        <v>1.6</v>
      </c>
      <c r="AB43" t="str">
        <v>I Really Wish I Hated You</v>
      </c>
      <c r="AC43" t="str">
        <v>blink-182</v>
      </c>
    </row>
    <row r="44" spans="2:29">
      <c r="B44" s="85"/>
      <c r="C44" s="3"/>
      <c r="D44" s="3"/>
      <c r="E44" s="86"/>
      <c r="I44" s="85">
        <v>46113</v>
      </c>
      <c r="J44" s="3" t="str">
        <v>loganworsdell</v>
      </c>
      <c r="K44" s="3">
        <v>5</v>
      </c>
      <c r="L44" s="86">
        <v>0</v>
      </c>
      <c r="M44" t="str">
        <v>Semicolon</v>
      </c>
      <c r="N44" t="str">
        <v>The Lonely Island, Solange</v>
      </c>
      <c r="P44" s="85"/>
      <c r="S44" s="86"/>
      <c r="T44"/>
      <c r="U44"/>
      <c r="X44" s="85">
        <v>45825</v>
      </c>
      <c r="Y44" s="3" t="str">
        <v>samuelbattista</v>
      </c>
      <c r="Z44" s="3">
        <v>4.2</v>
      </c>
      <c r="AA44" s="86">
        <v>1.6</v>
      </c>
      <c r="AB44" t="str">
        <v>Broken Wing Bird</v>
      </c>
      <c r="AC44" t="str">
        <v>Kashus Culpepper, Sierra Ferrell</v>
      </c>
    </row>
    <row r="45" spans="2:29">
      <c r="B45" s="85"/>
      <c r="C45" s="3"/>
      <c r="D45" s="3"/>
      <c r="E45" s="86"/>
      <c r="I45" s="85">
        <v>46147</v>
      </c>
      <c r="J45" s="3" t="str">
        <v>danram</v>
      </c>
      <c r="K45" s="3">
        <v>5</v>
      </c>
      <c r="L45" s="86">
        <v>0</v>
      </c>
      <c r="M45" t="str">
        <v>Aguanile</v>
      </c>
      <c r="N45" t="str">
        <v>Willie Colon, Hector Lavoe</v>
      </c>
      <c r="P45" s="85"/>
      <c r="S45" s="86"/>
      <c r="T45"/>
      <c r="U45"/>
      <c r="X45" s="85">
        <v>45831</v>
      </c>
      <c r="Y45" s="3" t="str">
        <v>samuelbattista</v>
      </c>
      <c r="Z45" s="3">
        <v>4.2</v>
      </c>
      <c r="AA45" s="86">
        <v>1.6</v>
      </c>
      <c r="AB45" t="str">
        <v>Cover Me Up</v>
      </c>
      <c r="AC45" t="str">
        <v>Jason Isbell</v>
      </c>
    </row>
    <row r="46" spans="2:29">
      <c r="B46" s="85"/>
      <c r="C46" s="3"/>
      <c r="D46" s="3"/>
      <c r="E46" s="86"/>
      <c r="I46" s="85">
        <v>46209</v>
      </c>
      <c r="J46" s="3" t="str">
        <v>danram</v>
      </c>
      <c r="K46" s="3">
        <v>5</v>
      </c>
      <c r="L46" s="86">
        <v>0</v>
      </c>
      <c r="M46" t="str">
        <v>Ballout</v>
      </c>
      <c r="N46" t="str">
        <v>2slimey</v>
      </c>
      <c r="P46" s="85"/>
      <c r="S46" s="86"/>
      <c r="T46"/>
      <c r="U46"/>
      <c r="X46" s="85">
        <v>45839</v>
      </c>
      <c r="Y46" s="3" t="str">
        <v>alappatjoe</v>
      </c>
      <c r="Z46" s="3">
        <v>4.2</v>
      </c>
      <c r="AA46" s="86">
        <v>1.6</v>
      </c>
      <c r="AB46" t="str">
        <v>Fantasia on the "Dargason"</v>
      </c>
      <c r="AC46" t="str">
        <v>United States Air Force Band</v>
      </c>
    </row>
    <row r="47" spans="2:29">
      <c r="B47" s="85"/>
      <c r="C47" s="3"/>
      <c r="D47" s="3"/>
      <c r="E47" s="86"/>
      <c r="I47" s="85">
        <v>46239</v>
      </c>
      <c r="J47" s="3" t="str">
        <v>danram</v>
      </c>
      <c r="K47" s="3">
        <v>5</v>
      </c>
      <c r="L47" s="86">
        <v>0</v>
      </c>
      <c r="M47" t="str">
        <v>HENTAI</v>
      </c>
      <c r="N47" t="str">
        <v>Rosalia</v>
      </c>
      <c r="P47" s="85"/>
      <c r="S47" s="86"/>
      <c r="T47"/>
      <c r="U47"/>
      <c r="X47" s="85">
        <v>45861</v>
      </c>
      <c r="Y47" s="3" t="str">
        <v>samuelbattista</v>
      </c>
      <c r="Z47" s="3">
        <v>4.2</v>
      </c>
      <c r="AA47" s="86">
        <v>1.6</v>
      </c>
      <c r="AB47" t="str">
        <v>Friends in the End</v>
      </c>
      <c r="AC47" t="str">
        <v>Lukas Nelson, Sierra Ferrell</v>
      </c>
    </row>
    <row r="48" spans="2:29">
      <c r="B48" s="85"/>
      <c r="C48" s="3"/>
      <c r="D48" s="3"/>
      <c r="E48" s="86"/>
      <c r="I48" s="85">
        <v>46258</v>
      </c>
      <c r="J48" s="3" t="str">
        <v>danram</v>
      </c>
      <c r="K48" s="3">
        <v>5</v>
      </c>
      <c r="L48" s="86">
        <v>0</v>
      </c>
      <c r="M48" t="str">
        <v>She's the Best</v>
      </c>
      <c r="N48" t="str">
        <v>Troye Sivan</v>
      </c>
      <c r="P48" s="85"/>
      <c r="S48" s="86"/>
      <c r="T48"/>
      <c r="U48"/>
      <c r="X48" s="85">
        <v>45862</v>
      </c>
      <c r="Y48" s="3" t="str">
        <v>alappatjoe</v>
      </c>
      <c r="Z48" s="3">
        <v>4.2</v>
      </c>
      <c r="AA48" s="86">
        <v>1.6</v>
      </c>
      <c r="AB48" t="str">
        <v>DragonBallZ</v>
      </c>
      <c r="AC48" t="str">
        <v>Bruce Faulconer</v>
      </c>
    </row>
    <row r="49" spans="24:29">
      <c r="X49" s="85">
        <v>45876</v>
      </c>
      <c r="Y49" s="3" t="str">
        <v>currydestroyer27</v>
      </c>
      <c r="Z49" s="3">
        <v>4.2</v>
      </c>
      <c r="AA49" s="86">
        <v>1.6</v>
      </c>
      <c r="AB49" t="str">
        <v>Starships</v>
      </c>
      <c r="AC49" t="str">
        <v>Nicki Minaj</v>
      </c>
    </row>
    <row r="50" spans="24:29">
      <c r="X50" s="85">
        <v>45925</v>
      </c>
      <c r="Y50" s="3" t="str">
        <v>currydestroyer27</v>
      </c>
      <c r="Z50" s="3">
        <v>4.2</v>
      </c>
      <c r="AA50" s="86">
        <v>1.6</v>
      </c>
      <c r="AB50" t="str">
        <v>Some Nights</v>
      </c>
      <c r="AC50" t="str">
        <v>fun.</v>
      </c>
    </row>
    <row r="51" spans="24:29">
      <c r="X51" s="85">
        <v>45960</v>
      </c>
      <c r="Y51" s="3" t="str">
        <v>alappatjoe</v>
      </c>
      <c r="Z51" s="3">
        <v>4.2</v>
      </c>
      <c r="AA51" s="86">
        <v>1.6</v>
      </c>
      <c r="AB51" t="str">
        <v>Lavender Town</v>
      </c>
      <c r="AC51" t="str">
        <v>Louie Zong</v>
      </c>
    </row>
    <row r="52" spans="24:29">
      <c r="X52" s="85">
        <v>46034</v>
      </c>
      <c r="Y52" s="3" t="str">
        <v>alappatjoe</v>
      </c>
      <c r="Z52" s="3">
        <v>4.2</v>
      </c>
      <c r="AA52" s="86">
        <v>1.6</v>
      </c>
      <c r="AB52" t="str">
        <v>Jananto</v>
      </c>
      <c r="AC52" t="str">
        <v>Zeina</v>
      </c>
    </row>
    <row r="53" spans="24:29">
      <c r="X53" s="85">
        <v>46057</v>
      </c>
      <c r="Y53" s="3" t="str">
        <v>alappatjoe</v>
      </c>
      <c r="Z53" s="3">
        <v>4.2</v>
      </c>
      <c r="AA53" s="86">
        <v>1.6</v>
      </c>
      <c r="AB53">
        <v>100</v>
      </c>
      <c r="AC53" t="str">
        <v>Ella Mai</v>
      </c>
    </row>
    <row r="54" spans="24:29">
      <c r="X54" s="85">
        <v>46084</v>
      </c>
      <c r="Y54" s="3" t="str">
        <v>alappatjoe</v>
      </c>
      <c r="Z54" s="3">
        <v>4.2</v>
      </c>
      <c r="AA54" s="86">
        <v>1.6</v>
      </c>
      <c r="AB54" t="str">
        <v>Alley Oop</v>
      </c>
      <c r="AC54" t="str">
        <v>Chris Patrick</v>
      </c>
    </row>
    <row r="55" spans="24:29">
      <c r="X55" s="85">
        <v>46111</v>
      </c>
      <c r="Y55" s="3" t="str">
        <v>samuelbattista</v>
      </c>
      <c r="Z55" s="3">
        <v>4.2</v>
      </c>
      <c r="AA55" s="86">
        <v>1.6</v>
      </c>
      <c r="AB55" t="str">
        <v>B.Y.O.B</v>
      </c>
      <c r="AC55" t="str">
        <v>System of A Down</v>
      </c>
    </row>
    <row r="56" spans="24:29">
      <c r="X56" s="85">
        <v>46132</v>
      </c>
      <c r="Y56" s="3" t="str">
        <v>alappatjoe</v>
      </c>
      <c r="Z56" s="3">
        <v>4.2</v>
      </c>
      <c r="AA56" s="3">
        <v>1.6</v>
      </c>
      <c r="AB56" t="str">
        <v>I Do / Options</v>
      </c>
      <c r="AC56" t="str">
        <v>Kevin Ross</v>
      </c>
    </row>
    <row r="57" spans="24:29">
      <c r="X57" s="85">
        <v>46133</v>
      </c>
      <c r="Y57" s="3" t="str">
        <v>alappatjoe</v>
      </c>
      <c r="Z57" s="3">
        <v>4.2</v>
      </c>
      <c r="AA57" s="3">
        <v>1.6</v>
      </c>
      <c r="AB57" t="str">
        <v>IRL</v>
      </c>
      <c r="AC57" t="str">
        <v>Devon Gilfillian, Cory Wong</v>
      </c>
    </row>
    <row r="58" spans="24:29">
      <c r="X58" s="85">
        <v>46254</v>
      </c>
      <c r="Y58" s="3" t="str">
        <v>loganworsdell</v>
      </c>
      <c r="Z58" s="3">
        <v>4.2</v>
      </c>
      <c r="AA58" s="3">
        <v>1.6</v>
      </c>
      <c r="AB58" t="str">
        <v>Latch</v>
      </c>
      <c r="AC58" t="str">
        <v>Disclosure, Sam Smith</v>
      </c>
    </row>
  </sheetData>
  <mergeCells count="21">
    <mergeCell ref="B33:G33"/>
    <mergeCell ref="I33:N33"/>
    <mergeCell ref="P33:U33"/>
    <mergeCell ref="X33:AC33"/>
    <mergeCell ref="F17:G17"/>
    <mergeCell ref="B25:D25"/>
    <mergeCell ref="F25:G25"/>
    <mergeCell ref="I25:K25"/>
    <mergeCell ref="M25:N25"/>
    <mergeCell ref="I17:K17"/>
    <mergeCell ref="M17:N17"/>
    <mergeCell ref="I9:K9"/>
    <mergeCell ref="M9:N9"/>
    <mergeCell ref="B9:D9"/>
    <mergeCell ref="F9:G9"/>
    <mergeCell ref="B17:D17"/>
    <mergeCell ref="Q9:S9"/>
    <mergeCell ref="Q17:S17"/>
    <mergeCell ref="Q25:S25"/>
    <mergeCell ref="Y9:AA9"/>
    <mergeCell ref="Y17:AA17"/>
  </mergeCells>
  <conditionalFormatting sqref="B35:G97">
    <cfRule type="expression" dxfId="255" priority="28">
      <formula>$C35=$B$3</formula>
    </cfRule>
    <cfRule type="expression" dxfId="254" priority="29">
      <formula>$C35=$B$4</formula>
    </cfRule>
    <cfRule type="expression" dxfId="253" priority="30">
      <formula>$C35=$B$5</formula>
    </cfRule>
    <cfRule type="expression" dxfId="252" priority="31">
      <formula>$C35=$B$6</formula>
    </cfRule>
    <cfRule type="expression" dxfId="251" priority="32">
      <formula>$C35=$B$7</formula>
    </cfRule>
  </conditionalFormatting>
  <conditionalFormatting sqref="C11:G15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G2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7:G31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5:N97">
    <cfRule type="expression" dxfId="250" priority="10">
      <formula>$J35=$B$3</formula>
    </cfRule>
    <cfRule type="expression" dxfId="249" priority="24">
      <formula>$J35=$B$4</formula>
    </cfRule>
    <cfRule type="expression" dxfId="248" priority="25">
      <formula>$J35=$B$5</formula>
    </cfRule>
    <cfRule type="expression" dxfId="247" priority="26">
      <formula>$J35=$B$6</formula>
    </cfRule>
    <cfRule type="expression" dxfId="246" priority="27">
      <formula>$J35=$B$7</formula>
    </cfRule>
  </conditionalFormatting>
  <conditionalFormatting sqref="J11:N1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N23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7:N31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5:U97">
    <cfRule type="expression" dxfId="245" priority="6">
      <formula>$Q35=$B$3</formula>
    </cfRule>
    <cfRule type="expression" dxfId="244" priority="7">
      <formula>$Q35=$B$4</formula>
    </cfRule>
    <cfRule type="expression" dxfId="243" priority="8">
      <formula>$Q35=$B$5</formula>
    </cfRule>
    <cfRule type="expression" dxfId="242" priority="9">
      <formula>$Q35=$B$6</formula>
    </cfRule>
    <cfRule type="expression" dxfId="241" priority="23">
      <formula>$Q35=$B$7</formula>
    </cfRule>
  </conditionalFormatting>
  <conditionalFormatting sqref="X35:AC100">
    <cfRule type="expression" dxfId="240" priority="1">
      <formula>$Y35=$B$3</formula>
    </cfRule>
    <cfRule type="expression" dxfId="239" priority="2">
      <formula>$Y35=$B$4</formula>
    </cfRule>
    <cfRule type="expression" dxfId="238" priority="3">
      <formula>$Y35=$B$5</formula>
    </cfRule>
    <cfRule type="expression" dxfId="237" priority="4">
      <formula>$Y35=$B$6</formula>
    </cfRule>
    <cfRule type="expression" dxfId="236" priority="5">
      <formula>$Y35=$B$7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7F1F-7CEF-45F8-98F1-DFB384363C69}">
  <sheetPr codeName="Sheet5"/>
  <dimension ref="A1:AL223"/>
  <sheetViews>
    <sheetView topLeftCell="A125" zoomScale="85" zoomScaleNormal="85" workbookViewId="0">
      <selection activeCell="AA116" sqref="AA116"/>
    </sheetView>
  </sheetViews>
  <sheetFormatPr defaultRowHeight="15" outlineLevelCol="1"/>
  <cols>
    <col min="1" max="1" width="13.85546875" customWidth="1"/>
    <col min="2" max="2" width="9.140625" style="3" hidden="1" customWidth="1" outlineLevel="1"/>
    <col min="3" max="3" width="9.5703125" hidden="1" customWidth="1" outlineLevel="1"/>
    <col min="4" max="4" width="12.7109375" hidden="1" customWidth="1" outlineLevel="1"/>
    <col min="5" max="5" width="12.42578125" hidden="1" customWidth="1" outlineLevel="1"/>
    <col min="6" max="6" width="12.7109375" hidden="1" customWidth="1" outlineLevel="1"/>
    <col min="7" max="8" width="9.7109375" hidden="1" customWidth="1" outlineLevel="1"/>
    <col min="9" max="9" width="9.140625" collapsed="1"/>
    <col min="13" max="13" width="9.140625" bestFit="1" customWidth="1"/>
    <col min="14" max="14" width="34.7109375" style="204" bestFit="1" customWidth="1"/>
    <col min="15" max="15" width="10.140625" customWidth="1"/>
    <col min="16" max="16" width="33.42578125" style="3" bestFit="1" customWidth="1"/>
    <col min="17" max="17" width="10.5703125" style="123" customWidth="1"/>
    <col min="18" max="18" width="33.42578125" bestFit="1" customWidth="1"/>
    <col min="24" max="24" width="13.28515625" style="3" customWidth="1"/>
    <col min="26" max="26" width="9.140625" style="3"/>
    <col min="27" max="27" width="14.28515625" style="59" bestFit="1" customWidth="1"/>
    <col min="28" max="28" width="16.140625" bestFit="1" customWidth="1"/>
    <col min="29" max="29" width="9.140625" style="3"/>
    <col min="31" max="31" width="23.42578125" bestFit="1" customWidth="1"/>
    <col min="32" max="32" width="22.140625" bestFit="1" customWidth="1"/>
    <col min="33" max="33" width="9.140625" style="3"/>
    <col min="35" max="35" width="11.140625" style="3" bestFit="1" customWidth="1"/>
    <col min="36" max="36" width="34.7109375" bestFit="1" customWidth="1"/>
    <col min="37" max="37" width="8.85546875" style="3" bestFit="1" customWidth="1"/>
    <col min="38" max="38" width="9.7109375" style="3" bestFit="1" customWidth="1"/>
  </cols>
  <sheetData>
    <row r="1" spans="1:38">
      <c r="A1" s="302">
        <f>MAX(Z2:Z17)</f>
        <v>16</v>
      </c>
      <c r="B1" s="302">
        <f t="shared" ref="B1" si="0">FLOOR(LOG(A1, 2), 1)-1</f>
        <v>3</v>
      </c>
      <c r="C1" s="302">
        <f t="shared" ref="C1" si="1">_xlfn.CEILING.MATH(LOG(A1, 2), 1)-1</f>
        <v>3</v>
      </c>
      <c r="D1" s="220"/>
      <c r="E1" s="220"/>
      <c r="F1" s="220"/>
      <c r="G1" s="220"/>
      <c r="H1" s="220"/>
      <c r="I1" s="349" t="s">
        <v>4162</v>
      </c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1"/>
      <c r="X1" s="221"/>
      <c r="Z1" s="221" t="s">
        <v>4163</v>
      </c>
      <c r="AA1" s="222" t="s">
        <v>29</v>
      </c>
      <c r="AB1" s="220" t="s">
        <v>32</v>
      </c>
      <c r="AC1" s="221" t="s">
        <v>33</v>
      </c>
      <c r="AD1" s="220" t="s">
        <v>34</v>
      </c>
      <c r="AE1" s="220" t="s">
        <v>4161</v>
      </c>
      <c r="AF1" s="220" t="s">
        <v>36</v>
      </c>
      <c r="AG1" s="221" t="s">
        <v>4164</v>
      </c>
      <c r="AI1" s="225" t="s">
        <v>4165</v>
      </c>
      <c r="AJ1" s="223" t="s">
        <v>35</v>
      </c>
      <c r="AK1" s="223" t="s">
        <v>4166</v>
      </c>
      <c r="AL1" s="224" t="s">
        <v>4167</v>
      </c>
    </row>
    <row r="2" spans="1:38">
      <c r="A2" s="218" t="s">
        <v>4168</v>
      </c>
      <c r="B2" s="213" t="s">
        <v>4169</v>
      </c>
      <c r="C2" s="219" t="s">
        <v>4170</v>
      </c>
      <c r="D2" s="219" t="s">
        <v>4171</v>
      </c>
      <c r="E2" s="219" t="s">
        <v>4172</v>
      </c>
      <c r="F2" s="219" t="s">
        <v>4173</v>
      </c>
      <c r="G2" s="219" t="s">
        <v>4174</v>
      </c>
      <c r="H2" s="219" t="s">
        <v>4175</v>
      </c>
      <c r="I2" s="219" t="s">
        <v>4176</v>
      </c>
      <c r="J2" s="219" t="s">
        <v>4177</v>
      </c>
      <c r="K2" s="219" t="s">
        <v>4178</v>
      </c>
      <c r="L2" s="219" t="s">
        <v>4179</v>
      </c>
      <c r="M2" s="219" t="s">
        <v>4180</v>
      </c>
      <c r="N2" s="213" t="s">
        <v>4181</v>
      </c>
      <c r="O2" s="219" t="s">
        <v>4182</v>
      </c>
      <c r="P2" s="213" t="s">
        <v>47</v>
      </c>
      <c r="Q2" s="231" t="s">
        <v>4183</v>
      </c>
      <c r="R2" s="213" t="s">
        <v>4184</v>
      </c>
      <c r="S2" s="219" t="s">
        <v>4185</v>
      </c>
      <c r="T2" s="219" t="s">
        <v>4186</v>
      </c>
      <c r="U2" s="219" t="s">
        <v>4187</v>
      </c>
      <c r="V2" s="219" t="s">
        <v>4188</v>
      </c>
      <c r="W2" s="219" t="s">
        <v>4189</v>
      </c>
      <c r="X2" s="110" t="s">
        <v>4190</v>
      </c>
      <c r="Z2" s="109">
        <f>IF(AC2&gt;0, COUNTIF(AC$2:AC$17, "&lt;"&amp;AC2) + COUNTIFS(AC$2:AC$17, AC2, AD$2:AD$17, "&lt;"&amp;AD2) + COUNTIFS(AC$2:AC$17, AC2, AD$2:AD$17, AD2, AA$2:AA$17, "&lt;"&amp;AA2) + 1, "TBD")</f>
        <v>6</v>
      </c>
      <c r="AA2" s="230" cm="1">
        <f t="array" ref="AA2:AF17">_xlfn._xlws.FILTER(Data[Date]:Data[Artist], (Data[Date]&gt;=DATE(2026,1,1))*(Data[Date]&lt;=DATE(2026,1,31))*(Data[Winner]=TRUE()), "TBD")</f>
        <v>46027</v>
      </c>
      <c r="AB2" t="str">
        <v>samuelbattista</v>
      </c>
      <c r="AC2" s="3">
        <v>2</v>
      </c>
      <c r="AD2" s="86">
        <v>0.89442719099991586</v>
      </c>
      <c r="AE2" s="123" t="str">
        <v>Layla</v>
      </c>
      <c r="AF2" t="str">
        <v>Derek &amp; The Dominos</v>
      </c>
      <c r="AG2" s="100">
        <f t="shared" ref="AG2:AG17" si="2">IF(Z2&gt;1, 2^FLOOR(LOG(Z2-1, 2), 1)+1, 1)</f>
        <v>5</v>
      </c>
      <c r="AI2" s="115">
        <v>1</v>
      </c>
      <c r="AJ2" s="105" t="str">
        <f ca="1">P3</f>
        <v>BABY SAID (Sam)</v>
      </c>
      <c r="AK2" s="7">
        <f ca="1">IFERROR(VLOOKUP(Jan_2025_Results48[[#This Row],[Song Title]], $AE$2:$AG$17, 3, FALSE)-Jan_2025_Results48[[#This Row],[Result]], "TBD")</f>
        <v>8</v>
      </c>
      <c r="AL2" s="125" t="str">
        <f ca="1">IF(AK2&lt;0,"↓",IF(AK2=0,"-","↑"))</f>
        <v>↑</v>
      </c>
    </row>
    <row r="3" spans="1:38">
      <c r="A3" s="199" t="str">
        <f>_xlfn.CONCAT("Seed ", Jan_2026_SotM[[#This Row],[Top Seed]], " vs ",Jan_2026_SotM[[#This Row],[Low Seed]])</f>
        <v>Seed 1 vs 2</v>
      </c>
      <c r="B3" s="201">
        <v>1</v>
      </c>
      <c r="C3" s="200">
        <f>FLOOR(LOG(Jan_2026_SotM[[#This Row],[Num]], 2), 1)</f>
        <v>0</v>
      </c>
      <c r="D3" s="200">
        <f>2^(Jan_2026_SotM[[#This Row],[Round]]+1)</f>
        <v>2</v>
      </c>
      <c r="E3" s="200">
        <f>Jan_2026_SotM[[#This Row],[Max Seed]]-Jan_2026_SotM[[#This Row],[Num]]</f>
        <v>1</v>
      </c>
      <c r="F3" s="200">
        <f>Jan_2026_SotM[[#This Row],[Max Seed]]-Jan_2026_SotM[[#This Row],[Top Seed]]+1</f>
        <v>2</v>
      </c>
      <c r="G3" s="200" t="b">
        <f>IF(Jan_2026_SotM[[#This Row],[Round]]=$C$1, TRUE(), IF(Jan_2026_SotM[[#This Row],[Round]]=$B$1, Jan_2026_SotM[[#This Row],[Top Seed]]&lt;=2*Jan_2026_SotM[[#This Row],[Max Seed]]-$A$1, FALSE()))</f>
        <v>0</v>
      </c>
      <c r="H3" s="200" t="b">
        <f>IF(Jan_2026_SotM[[#This Row],[Round]]=$C$1, TRUE(), IF(Jan_2026_SotM[[#This Row],[Round]]=$B$1, Jan_2026_SotM[[#This Row],[Low Seed]]&lt;=2*Jan_2026_SotM[[#This Row],[Max Seed]]-$A$1, FALSE()))</f>
        <v>0</v>
      </c>
      <c r="I3" s="28" t="s">
        <v>4191</v>
      </c>
      <c r="J3" s="31"/>
      <c r="K3" s="33"/>
      <c r="L3" s="35" t="s">
        <v>4191</v>
      </c>
      <c r="M3" s="37"/>
      <c r="N3" s="120" t="str">
        <f ca="1">IF(Jan_2026_SotM[[#This Row],[Num]]&gt;=$A$1, "-", IF(Jan_2026_SotM[[#This Row],[Initial 1]], VLOOKUP(Jan_2026_SotM[[#This Row],[Top Seed]], $Z$2:$AE$17, 6, FALSE), OFFSET(Jan_2026_SotM[[#This Row],[Winner]], Jan_2026_SotM[[#This Row],[Max Seed]], 0)))</f>
        <v>Hey Jude</v>
      </c>
      <c r="O3" s="118">
        <f>COUNTIF(Jan_2026_SotM[[#This Row],[J]:[H]],"x")</f>
        <v>2</v>
      </c>
      <c r="P3" s="119" t="str">
        <f ca="1">IF(Jan_2026_SotM[[#This Row],[Num]]&gt;=$A$1, "-", IF(Jan_2026_SotM[[#This Row],[Score 1]]&gt;=3, Jan_2026_SotM[[#This Row],[Song 1]], IF(Jan_2026_SotM[[#This Row],[Score 2]]&gt;=3, Jan_2026_SotM[[#This Row],[Song 2]], "TBD")))</f>
        <v>BABY SAID (Sam)</v>
      </c>
      <c r="Q3" s="121">
        <f>COUNTIF(Jan_2026_SotM[[#This Row],[H ]:[J ]],"x")</f>
        <v>3</v>
      </c>
      <c r="R3" s="118" t="str">
        <f ca="1">IF(Jan_2026_SotM[[#This Row],[Num]]&gt;=$A$1, "-", IF(Jan_2026_SotM[[#This Row],[Initial 2]], VLOOKUP(Jan_2026_SotM[[#This Row],[Low Seed]], $Z$2:$AE$17, 6, FALSE), OFFSET(Jan_2026_SotM[[#This Row],[Winner]], 2*(Jan_2026_SotM[[#This Row],[Max Seed]]-Jan_2026_SotM[[#This Row],[Low Seed]])+1, 0)))</f>
        <v>BABY SAID (Sam)</v>
      </c>
      <c r="S3" s="37" t="s">
        <v>4191</v>
      </c>
      <c r="T3" s="35"/>
      <c r="U3" s="33" t="s">
        <v>4191</v>
      </c>
      <c r="V3" s="31" t="s">
        <v>4191</v>
      </c>
      <c r="W3" s="28"/>
      <c r="X3" s="106" t="str">
        <f ca="1">IF(OR(Jan_2026_SotM[[#This Row],[Song 1]]="TBD", Jan_2026_SotM[[#This Row],[Song 2]]="TBD"), "TBD", _xlfn.CONCAT(IF(_xlfn.XOR(ISBLANK(Jan_2026_SotM[[#This Row],[J]]), ISBLANK(Jan_2026_SotM[[#This Row],[J ]])), "", "J "), IF(_xlfn.XOR(ISBLANK(Jan_2026_SotM[[#This Row],[D]]), ISBLANK(Jan_2026_SotM[[#This Row],[D ]])), "", "D "), IF(_xlfn.XOR(ISBLANK(Jan_2026_SotM[[#This Row],[L]]), ISBLANK(Jan_2026_SotM[[#This Row],[L ]])), "", "L "), IF(_xlfn.XOR(ISBLANK(Jan_2026_SotM[[#This Row],[S]]), ISBLANK(Jan_2026_SotM[[#This Row],[S ]])), "", "S "), IF(_xlfn.XOR(ISBLANK(Jan_2026_SotM[[#This Row],[H]]), ISBLANK(Jan_2026_SotM[[#This Row],[H ]])), "", "H ")))</f>
        <v/>
      </c>
      <c r="Z3" s="109">
        <f t="shared" ref="Z3:Z16" si="3">IF(AC3&gt;0, COUNTIF(AC$2:AC$17, "&lt;"&amp;AC3) + COUNTIFS(AC$2:AC$17, AC3, AD$2:AD$17, "&lt;"&amp;AD3) + COUNTIFS(AC$2:AC$17, AC3, AD$2:AD$17, AD3, AA$2:AA$17, "&lt;"&amp;AA3) + 1, "TBD")</f>
        <v>2</v>
      </c>
      <c r="AA3" s="59">
        <v>46028</v>
      </c>
      <c r="AB3" t="str">
        <v>alappatjoe</v>
      </c>
      <c r="AC3" s="3">
        <v>1.6</v>
      </c>
      <c r="AD3">
        <v>0.4898979485566356</v>
      </c>
      <c r="AE3" t="str">
        <v>Fly</v>
      </c>
      <c r="AF3" t="str">
        <v>Tone Stith</v>
      </c>
      <c r="AG3" s="100">
        <f t="shared" si="2"/>
        <v>2</v>
      </c>
      <c r="AI3" s="115">
        <f>Jan_2026_SotM[[#This Row],[Max Seed]]/2 + 1</f>
        <v>2</v>
      </c>
      <c r="AJ3" s="105" t="str">
        <f ca="1">IF(Jan_2026_SotM[[#This Row],[Num]]&gt;=$A$1, "-", IF(Jan_2026_SotM[[#This Row],[Score 1]]&gt;=3, Jan_2026_SotM[[#This Row],[Song 2]], IF(Jan_2026_SotM[[#This Row],[Score 2]]&gt;=3, Jan_2026_SotM[[#This Row],[Song 1]], "TBD")))</f>
        <v>Hey Jude</v>
      </c>
      <c r="AK3" s="3">
        <f ca="1">IFERROR(VLOOKUP(Jan_2025_Results48[[#This Row],[Song Title]], $AE$2:$AG$17, 3, FALSE)-Jan_2025_Results48[[#This Row],[Result]], "TBD")</f>
        <v>3</v>
      </c>
      <c r="AL3" s="3" t="str">
        <f ca="1">IF(AK3&lt;0,"↓",IF(AK3=0,"-","↑"))</f>
        <v>↑</v>
      </c>
    </row>
    <row r="4" spans="1:38">
      <c r="A4" s="199" t="str">
        <f>_xlfn.CONCAT("Seed ", Jan_2026_SotM[[#This Row],[Top Seed]], " vs ",Jan_2026_SotM[[#This Row],[Low Seed]])</f>
        <v>Seed 2 vs 3</v>
      </c>
      <c r="B4" s="201">
        <v>2</v>
      </c>
      <c r="C4" s="200">
        <f>FLOOR(LOG(Jan_2026_SotM[[#This Row],[Num]], 2), 1)</f>
        <v>1</v>
      </c>
      <c r="D4" s="200">
        <f>2^(Jan_2026_SotM[[#This Row],[Round]]+1)</f>
        <v>4</v>
      </c>
      <c r="E4" s="200">
        <f>Jan_2026_SotM[[#This Row],[Max Seed]]-Jan_2026_SotM[[#This Row],[Num]]</f>
        <v>2</v>
      </c>
      <c r="F4" s="200">
        <f>Jan_2026_SotM[[#This Row],[Max Seed]]-Jan_2026_SotM[[#This Row],[Top Seed]]+1</f>
        <v>3</v>
      </c>
      <c r="G4" s="200" t="b">
        <f>IF(Jan_2026_SotM[[#This Row],[Round]]=$C$1, TRUE(), IF(Jan_2026_SotM[[#This Row],[Round]]=$B$1, Jan_2026_SotM[[#This Row],[Top Seed]]&lt;=2*Jan_2026_SotM[[#This Row],[Max Seed]]-$A$1, FALSE()))</f>
        <v>0</v>
      </c>
      <c r="H4" s="200" t="b">
        <f>IF(Jan_2026_SotM[[#This Row],[Round]]=$C$1, TRUE(), IF(Jan_2026_SotM[[#This Row],[Round]]=$B$1, Jan_2026_SotM[[#This Row],[Low Seed]]&lt;=2*Jan_2026_SotM[[#This Row],[Max Seed]]-$A$1, FALSE()))</f>
        <v>0</v>
      </c>
      <c r="I4" s="28" t="s">
        <v>4191</v>
      </c>
      <c r="J4" s="31" t="s">
        <v>4191</v>
      </c>
      <c r="K4" s="33" t="s">
        <v>4191</v>
      </c>
      <c r="L4" s="35" t="s">
        <v>4191</v>
      </c>
      <c r="M4" s="37" t="s">
        <v>4191</v>
      </c>
      <c r="N4" s="203" t="str">
        <f ca="1">IF(Jan_2026_SotM[[#This Row],[Num]]&gt;=$A$1, "-", IF(Jan_2026_SotM[[#This Row],[Initial 1]], VLOOKUP(Jan_2026_SotM[[#This Row],[Top Seed]], $Z$2:$AE$17, 6, FALSE), OFFSET(Jan_2026_SotM[[#This Row],[Winner]], Jan_2026_SotM[[#This Row],[Max Seed]], 0)))</f>
        <v>BABY SAID (Sam)</v>
      </c>
      <c r="O4" s="203">
        <f>COUNTIF(Jan_2026_SotM[[#This Row],[J]:[H]],"x")</f>
        <v>5</v>
      </c>
      <c r="P4" s="201" t="str">
        <f ca="1">IF(Jan_2026_SotM[[#This Row],[Num]]&gt;=$A$1, "-", IF(Jan_2026_SotM[[#This Row],[Score 1]]&gt;=3, Jan_2026_SotM[[#This Row],[Song 1]], IF(Jan_2026_SotM[[#This Row],[Score 2]]&gt;=3, Jan_2026_SotM[[#This Row],[Song 2]], "TBD")))</f>
        <v>BABY SAID (Sam)</v>
      </c>
      <c r="Q4" s="206">
        <f>COUNTIF(Jan_2026_SotM[[#This Row],[H ]:[J ]],"x")</f>
        <v>0</v>
      </c>
      <c r="R4" s="206" t="str">
        <f ca="1">IF(Jan_2026_SotM[[#This Row],[Num]]&gt;=$A$1, "-", IF(Jan_2026_SotM[[#This Row],[Initial 2]], VLOOKUP(Jan_2026_SotM[[#This Row],[Low Seed]], $Z$2:$AE$17, 6, FALSE), OFFSET(Jan_2026_SotM[[#This Row],[Winner]], 2*(Jan_2026_SotM[[#This Row],[Max Seed]]-Jan_2026_SotM[[#This Row],[Low Seed]])+1, 0)))</f>
        <v>luv stuck</v>
      </c>
      <c r="S4" s="37"/>
      <c r="T4" s="35"/>
      <c r="U4" s="33"/>
      <c r="V4" s="31"/>
      <c r="W4" s="28"/>
      <c r="X4" s="106" t="str">
        <f ca="1">IF(OR(Jan_2026_SotM[[#This Row],[Song 1]]="TBD", Jan_2026_SotM[[#This Row],[Song 2]]="TBD"), "TBD", _xlfn.CONCAT(IF(_xlfn.XOR(ISBLANK(Jan_2026_SotM[[#This Row],[J]]), ISBLANK(Jan_2026_SotM[[#This Row],[J ]])), "", "J "), IF(_xlfn.XOR(ISBLANK(Jan_2026_SotM[[#This Row],[D]]), ISBLANK(Jan_2026_SotM[[#This Row],[D ]])), "", "D "), IF(_xlfn.XOR(ISBLANK(Jan_2026_SotM[[#This Row],[L]]), ISBLANK(Jan_2026_SotM[[#This Row],[L ]])), "", "L "), IF(_xlfn.XOR(ISBLANK(Jan_2026_SotM[[#This Row],[S]]), ISBLANK(Jan_2026_SotM[[#This Row],[S ]])), "", "S "), IF(_xlfn.XOR(ISBLANK(Jan_2026_SotM[[#This Row],[H]]), ISBLANK(Jan_2026_SotM[[#This Row],[H ]])), "", "H ")))</f>
        <v/>
      </c>
      <c r="Z4" s="109">
        <f t="shared" si="3"/>
        <v>16</v>
      </c>
      <c r="AA4" s="59">
        <v>46029</v>
      </c>
      <c r="AB4" t="str">
        <v>loganworsdell</v>
      </c>
      <c r="AC4" s="3">
        <v>2.4</v>
      </c>
      <c r="AD4">
        <v>1.3564659966250536</v>
      </c>
      <c r="AE4" t="str">
        <v>RABBITHOLE</v>
      </c>
      <c r="AF4" t="str">
        <v>Emei</v>
      </c>
      <c r="AG4" s="100">
        <f t="shared" si="2"/>
        <v>9</v>
      </c>
      <c r="AI4" s="115">
        <f>Jan_2026_SotM[[#This Row],[Max Seed]]/2 + 1</f>
        <v>3</v>
      </c>
      <c r="AJ4" s="105" t="str">
        <f ca="1">IF(Jan_2026_SotM[[#This Row],[Num]]&gt;=$A$1, "-", IF(Jan_2026_SotM[[#This Row],[Score 1]]&gt;=3, Jan_2026_SotM[[#This Row],[Song 2]], IF(Jan_2026_SotM[[#This Row],[Score 2]]&gt;=3, Jan_2026_SotM[[#This Row],[Song 1]], "TBD")))</f>
        <v>luv stuck</v>
      </c>
      <c r="AK4" s="3">
        <f ca="1">IFERROR(VLOOKUP(Jan_2025_Results48[[#This Row],[Song Title]], $AE$2:$AG$17, 3, FALSE)-Jan_2025_Results48[[#This Row],[Result]], "TBD")</f>
        <v>6</v>
      </c>
      <c r="AL4" s="3" t="str">
        <f t="shared" ref="AL4:AL17" ca="1" si="4">IF(AK4&lt;0,"↓",IF(AK4=0,"-","↑"))</f>
        <v>↑</v>
      </c>
    </row>
    <row r="5" spans="1:38">
      <c r="A5" s="199" t="str">
        <f>_xlfn.CONCAT("Seed ", Jan_2026_SotM[[#This Row],[Top Seed]], " vs ",Jan_2026_SotM[[#This Row],[Low Seed]])</f>
        <v>Seed 1 vs 4</v>
      </c>
      <c r="B5" s="201">
        <v>3</v>
      </c>
      <c r="C5" s="200">
        <f>FLOOR(LOG(Jan_2026_SotM[[#This Row],[Num]], 2), 1)</f>
        <v>1</v>
      </c>
      <c r="D5" s="200">
        <f>2^(Jan_2026_SotM[[#This Row],[Round]]+1)</f>
        <v>4</v>
      </c>
      <c r="E5" s="200">
        <f>Jan_2026_SotM[[#This Row],[Max Seed]]-Jan_2026_SotM[[#This Row],[Num]]</f>
        <v>1</v>
      </c>
      <c r="F5" s="200">
        <f>Jan_2026_SotM[[#This Row],[Max Seed]]-Jan_2026_SotM[[#This Row],[Top Seed]]+1</f>
        <v>4</v>
      </c>
      <c r="G5" s="200" t="b">
        <f>IF(Jan_2026_SotM[[#This Row],[Round]]=$C$1, TRUE(), IF(Jan_2026_SotM[[#This Row],[Round]]=$B$1, Jan_2026_SotM[[#This Row],[Top Seed]]&lt;=2*Jan_2026_SotM[[#This Row],[Max Seed]]-$A$1, FALSE()))</f>
        <v>0</v>
      </c>
      <c r="H5" s="200" t="b">
        <f>IF(Jan_2026_SotM[[#This Row],[Round]]=$C$1, TRUE(), IF(Jan_2026_SotM[[#This Row],[Round]]=$B$1, Jan_2026_SotM[[#This Row],[Low Seed]]&lt;=2*Jan_2026_SotM[[#This Row],[Max Seed]]-$A$1, FALSE()))</f>
        <v>0</v>
      </c>
      <c r="I5" s="28"/>
      <c r="J5" s="31" t="s">
        <v>4191</v>
      </c>
      <c r="K5" s="33"/>
      <c r="L5" s="35"/>
      <c r="M5" s="37" t="s">
        <v>4191</v>
      </c>
      <c r="N5" s="203" t="str">
        <f ca="1">IF(Jan_2026_SotM[[#This Row],[Num]]&gt;=$A$1, "-", IF(Jan_2026_SotM[[#This Row],[Initial 1]], VLOOKUP(Jan_2026_SotM[[#This Row],[Top Seed]], $Z$2:$AE$17, 6, FALSE), OFFSET(Jan_2026_SotM[[#This Row],[Winner]], Jan_2026_SotM[[#This Row],[Max Seed]], 0)))</f>
        <v>In Da Club</v>
      </c>
      <c r="O5" s="203">
        <f>COUNTIF(Jan_2026_SotM[[#This Row],[J]:[H]],"x")</f>
        <v>2</v>
      </c>
      <c r="P5" s="201" t="str">
        <f ca="1">IF(Jan_2026_SotM[[#This Row],[Num]]&gt;=$A$1, "-", IF(Jan_2026_SotM[[#This Row],[Score 1]]&gt;=3, Jan_2026_SotM[[#This Row],[Song 1]], IF(Jan_2026_SotM[[#This Row],[Score 2]]&gt;=3, Jan_2026_SotM[[#This Row],[Song 2]], "TBD")))</f>
        <v>Hey Jude</v>
      </c>
      <c r="Q5" s="206">
        <f>COUNTIF(Jan_2026_SotM[[#This Row],[H ]:[J ]],"x")</f>
        <v>3</v>
      </c>
      <c r="R5" s="206" t="str">
        <f ca="1">IF(Jan_2026_SotM[[#This Row],[Num]]&gt;=$A$1, "-", IF(Jan_2026_SotM[[#This Row],[Initial 2]], VLOOKUP(Jan_2026_SotM[[#This Row],[Low Seed]], $Z$2:$AE$17, 6, FALSE), OFFSET(Jan_2026_SotM[[#This Row],[Winner]], 2*(Jan_2026_SotM[[#This Row],[Max Seed]]-Jan_2026_SotM[[#This Row],[Low Seed]])+1, 0)))</f>
        <v>Hey Jude</v>
      </c>
      <c r="S5" s="37"/>
      <c r="T5" s="35" t="s">
        <v>4191</v>
      </c>
      <c r="U5" s="33" t="s">
        <v>4191</v>
      </c>
      <c r="V5" s="31"/>
      <c r="W5" s="28" t="s">
        <v>4191</v>
      </c>
      <c r="X5" s="106" t="str">
        <f ca="1">IF(OR(Jan_2026_SotM[[#This Row],[Song 1]]="TBD", Jan_2026_SotM[[#This Row],[Song 2]]="TBD"), "TBD", _xlfn.CONCAT(IF(_xlfn.XOR(ISBLANK(Jan_2026_SotM[[#This Row],[J]]), ISBLANK(Jan_2026_SotM[[#This Row],[J ]])), "", "J "), IF(_xlfn.XOR(ISBLANK(Jan_2026_SotM[[#This Row],[D]]), ISBLANK(Jan_2026_SotM[[#This Row],[D ]])), "", "D "), IF(_xlfn.XOR(ISBLANK(Jan_2026_SotM[[#This Row],[L]]), ISBLANK(Jan_2026_SotM[[#This Row],[L ]])), "", "L "), IF(_xlfn.XOR(ISBLANK(Jan_2026_SotM[[#This Row],[S]]), ISBLANK(Jan_2026_SotM[[#This Row],[S ]])), "", "S "), IF(_xlfn.XOR(ISBLANK(Jan_2026_SotM[[#This Row],[H]]), ISBLANK(Jan_2026_SotM[[#This Row],[H ]])), "", "H ")))</f>
        <v/>
      </c>
      <c r="Z5" s="109">
        <f t="shared" si="3"/>
        <v>5</v>
      </c>
      <c r="AA5" s="59">
        <v>46030</v>
      </c>
      <c r="AB5" t="str">
        <v>alappatjoe</v>
      </c>
      <c r="AC5" s="3">
        <v>1.8</v>
      </c>
      <c r="AD5">
        <v>1.1661903789690602</v>
      </c>
      <c r="AE5" t="str">
        <v>Hey Jude</v>
      </c>
      <c r="AF5" t="str">
        <v>The Beatles</v>
      </c>
      <c r="AG5" s="100">
        <f t="shared" si="2"/>
        <v>5</v>
      </c>
      <c r="AI5" s="115">
        <f>Jan_2026_SotM[[#This Row],[Max Seed]]/2 + 1</f>
        <v>3</v>
      </c>
      <c r="AJ5" s="105" t="str">
        <f ca="1">IF(Jan_2026_SotM[[#This Row],[Num]]&gt;=$A$1, "-", IF(Jan_2026_SotM[[#This Row],[Score 1]]&gt;=3, Jan_2026_SotM[[#This Row],[Song 2]], IF(Jan_2026_SotM[[#This Row],[Score 2]]&gt;=3, Jan_2026_SotM[[#This Row],[Song 1]], "TBD")))</f>
        <v>In Da Club</v>
      </c>
      <c r="AK5" s="3">
        <f ca="1">IFERROR(VLOOKUP(Jan_2025_Results48[[#This Row],[Song Title]], $AE$2:$AG$17, 3, FALSE)-Jan_2025_Results48[[#This Row],[Result]], "TBD")</f>
        <v>-2</v>
      </c>
      <c r="AL5" s="3" t="str">
        <f t="shared" ca="1" si="4"/>
        <v>↓</v>
      </c>
    </row>
    <row r="6" spans="1:38">
      <c r="A6" s="199" t="str">
        <f>_xlfn.CONCAT("Seed ", Jan_2026_SotM[[#This Row],[Top Seed]], " vs ",Jan_2026_SotM[[#This Row],[Low Seed]])</f>
        <v>Seed 4 vs 5</v>
      </c>
      <c r="B6" s="201">
        <v>4</v>
      </c>
      <c r="C6" s="200">
        <f>FLOOR(LOG(Jan_2026_SotM[[#This Row],[Num]], 2), 1)</f>
        <v>2</v>
      </c>
      <c r="D6" s="200">
        <f>2^(Jan_2026_SotM[[#This Row],[Round]]+1)</f>
        <v>8</v>
      </c>
      <c r="E6" s="200">
        <f>Jan_2026_SotM[[#This Row],[Max Seed]]-Jan_2026_SotM[[#This Row],[Num]]</f>
        <v>4</v>
      </c>
      <c r="F6" s="200">
        <f>Jan_2026_SotM[[#This Row],[Max Seed]]-Jan_2026_SotM[[#This Row],[Top Seed]]+1</f>
        <v>5</v>
      </c>
      <c r="G6" s="200" t="b">
        <f>IF(Jan_2026_SotM[[#This Row],[Round]]=$C$1, TRUE(), IF(Jan_2026_SotM[[#This Row],[Round]]=$B$1, Jan_2026_SotM[[#This Row],[Top Seed]]&lt;=2*Jan_2026_SotM[[#This Row],[Max Seed]]-$A$1, FALSE()))</f>
        <v>0</v>
      </c>
      <c r="H6" s="200" t="b">
        <f>IF(Jan_2026_SotM[[#This Row],[Round]]=$C$1, TRUE(), IF(Jan_2026_SotM[[#This Row],[Round]]=$B$1, Jan_2026_SotM[[#This Row],[Low Seed]]&lt;=2*Jan_2026_SotM[[#This Row],[Max Seed]]-$A$1, FALSE()))</f>
        <v>0</v>
      </c>
      <c r="I6" s="28"/>
      <c r="J6" s="31"/>
      <c r="K6" s="33" t="s">
        <v>4191</v>
      </c>
      <c r="L6" s="35"/>
      <c r="M6" s="37" t="s">
        <v>4191</v>
      </c>
      <c r="N6" s="203" t="str">
        <f ca="1">IF(Jan_2026_SotM[[#This Row],[Num]]&gt;=$A$1, "-", IF(Jan_2026_SotM[[#This Row],[Initial 1]], VLOOKUP(Jan_2026_SotM[[#This Row],[Top Seed]], $Z$2:$AE$17, 6, FALSE), OFFSET(Jan_2026_SotM[[#This Row],[Winner]], Jan_2026_SotM[[#This Row],[Max Seed]], 0)))</f>
        <v>NERVOUS</v>
      </c>
      <c r="O6" s="203">
        <f>COUNTIF(Jan_2026_SotM[[#This Row],[J]:[H]],"x")</f>
        <v>2</v>
      </c>
      <c r="P6" s="201" t="str">
        <f ca="1">IF(Jan_2026_SotM[[#This Row],[Num]]&gt;=$A$1, "-", IF(Jan_2026_SotM[[#This Row],[Score 1]]&gt;=3, Jan_2026_SotM[[#This Row],[Song 1]], IF(Jan_2026_SotM[[#This Row],[Score 2]]&gt;=3, Jan_2026_SotM[[#This Row],[Song 2]], "TBD")))</f>
        <v>Hey Jude</v>
      </c>
      <c r="Q6" s="206">
        <f>COUNTIF(Jan_2026_SotM[[#This Row],[H ]:[J ]],"x")</f>
        <v>3</v>
      </c>
      <c r="R6" s="206" t="str">
        <f ca="1">IF(Jan_2026_SotM[[#This Row],[Num]]&gt;=$A$1, "-", IF(Jan_2026_SotM[[#This Row],[Initial 2]], VLOOKUP(Jan_2026_SotM[[#This Row],[Low Seed]], $Z$2:$AE$17, 6, FALSE), OFFSET(Jan_2026_SotM[[#This Row],[Winner]], 2*(Jan_2026_SotM[[#This Row],[Max Seed]]-Jan_2026_SotM[[#This Row],[Low Seed]])+1, 0)))</f>
        <v>Hey Jude</v>
      </c>
      <c r="S6" s="37"/>
      <c r="T6" s="35" t="s">
        <v>4191</v>
      </c>
      <c r="U6" s="33"/>
      <c r="V6" s="31" t="s">
        <v>4191</v>
      </c>
      <c r="W6" s="28" t="s">
        <v>4191</v>
      </c>
      <c r="X6" s="106" t="str">
        <f ca="1">IF(OR(Jan_2026_SotM[[#This Row],[Song 1]]="TBD", Jan_2026_SotM[[#This Row],[Song 2]]="TBD"), "TBD", _xlfn.CONCAT(IF(_xlfn.XOR(ISBLANK(Jan_2026_SotM[[#This Row],[J]]), ISBLANK(Jan_2026_SotM[[#This Row],[J ]])), "", "J "), IF(_xlfn.XOR(ISBLANK(Jan_2026_SotM[[#This Row],[D]]), ISBLANK(Jan_2026_SotM[[#This Row],[D ]])), "", "D "), IF(_xlfn.XOR(ISBLANK(Jan_2026_SotM[[#This Row],[L]]), ISBLANK(Jan_2026_SotM[[#This Row],[L ]])), "", "L "), IF(_xlfn.XOR(ISBLANK(Jan_2026_SotM[[#This Row],[S]]), ISBLANK(Jan_2026_SotM[[#This Row],[S ]])), "", "S "), IF(_xlfn.XOR(ISBLANK(Jan_2026_SotM[[#This Row],[H]]), ISBLANK(Jan_2026_SotM[[#This Row],[H ]])), "", "H ")))</f>
        <v/>
      </c>
      <c r="Z6" s="109">
        <f t="shared" si="3"/>
        <v>15</v>
      </c>
      <c r="AA6" s="59">
        <v>46034</v>
      </c>
      <c r="AB6" t="str">
        <v>currydestroyer27</v>
      </c>
      <c r="AC6" s="3">
        <v>2.4</v>
      </c>
      <c r="AD6">
        <v>1.019803902718557</v>
      </c>
      <c r="AE6" t="str">
        <v>Messages from the Stars</v>
      </c>
      <c r="AF6" t="str">
        <v>Dabeull, Rude Jude, HolyBrune</v>
      </c>
      <c r="AG6" s="100">
        <f t="shared" si="2"/>
        <v>9</v>
      </c>
      <c r="AI6" s="115">
        <f>Jan_2026_SotM[[#This Row],[Max Seed]]/2 + 1</f>
        <v>5</v>
      </c>
      <c r="AJ6" s="105" t="str">
        <f ca="1">IF(Jan_2026_SotM[[#This Row],[Num]]&gt;=$A$1, "-", IF(Jan_2026_SotM[[#This Row],[Score 1]]&gt;=3, Jan_2026_SotM[[#This Row],[Song 2]], IF(Jan_2026_SotM[[#This Row],[Score 2]]&gt;=3, Jan_2026_SotM[[#This Row],[Song 1]], "TBD")))</f>
        <v>NERVOUS</v>
      </c>
      <c r="AK6" s="3">
        <f ca="1">IFERROR(VLOOKUP(Jan_2025_Results48[[#This Row],[Song Title]], $AE$2:$AG$17, 3, FALSE)-Jan_2025_Results48[[#This Row],[Result]], "TBD")</f>
        <v>-2</v>
      </c>
      <c r="AL6" s="3" t="str">
        <f t="shared" ca="1" si="4"/>
        <v>↓</v>
      </c>
    </row>
    <row r="7" spans="1:38">
      <c r="A7" s="199" t="str">
        <f>_xlfn.CONCAT("Seed ", Jan_2026_SotM[[#This Row],[Top Seed]], " vs ",Jan_2026_SotM[[#This Row],[Low Seed]])</f>
        <v>Seed 3 vs 6</v>
      </c>
      <c r="B7" s="201">
        <v>5</v>
      </c>
      <c r="C7" s="200">
        <f>FLOOR(LOG(Jan_2026_SotM[[#This Row],[Num]], 2), 1)</f>
        <v>2</v>
      </c>
      <c r="D7" s="200">
        <f>2^(Jan_2026_SotM[[#This Row],[Round]]+1)</f>
        <v>8</v>
      </c>
      <c r="E7" s="200">
        <f>Jan_2026_SotM[[#This Row],[Max Seed]]-Jan_2026_SotM[[#This Row],[Num]]</f>
        <v>3</v>
      </c>
      <c r="F7" s="200">
        <f>Jan_2026_SotM[[#This Row],[Max Seed]]-Jan_2026_SotM[[#This Row],[Top Seed]]+1</f>
        <v>6</v>
      </c>
      <c r="G7" s="200" t="b">
        <f>IF(Jan_2026_SotM[[#This Row],[Round]]=$C$1, TRUE(), IF(Jan_2026_SotM[[#This Row],[Round]]=$B$1, Jan_2026_SotM[[#This Row],[Top Seed]]&lt;=2*Jan_2026_SotM[[#This Row],[Max Seed]]-$A$1, FALSE()))</f>
        <v>0</v>
      </c>
      <c r="H7" s="200" t="b">
        <f>IF(Jan_2026_SotM[[#This Row],[Round]]=$C$1, TRUE(), IF(Jan_2026_SotM[[#This Row],[Round]]=$B$1, Jan_2026_SotM[[#This Row],[Low Seed]]&lt;=2*Jan_2026_SotM[[#This Row],[Max Seed]]-$A$1, FALSE()))</f>
        <v>0</v>
      </c>
      <c r="I7" s="28"/>
      <c r="J7" s="31" t="s">
        <v>4191</v>
      </c>
      <c r="K7" s="33" t="s">
        <v>4191</v>
      </c>
      <c r="L7" s="35" t="s">
        <v>4191</v>
      </c>
      <c r="M7" s="37"/>
      <c r="N7" s="203" t="str">
        <f ca="1">IF(Jan_2026_SotM[[#This Row],[Num]]&gt;=$A$1, "-", IF(Jan_2026_SotM[[#This Row],[Initial 1]], VLOOKUP(Jan_2026_SotM[[#This Row],[Top Seed]], $Z$2:$AE$17, 6, FALSE), OFFSET(Jan_2026_SotM[[#This Row],[Winner]], Jan_2026_SotM[[#This Row],[Max Seed]], 0)))</f>
        <v>luv stuck</v>
      </c>
      <c r="O7" s="203">
        <f>COUNTIF(Jan_2026_SotM[[#This Row],[J]:[H]],"x")</f>
        <v>3</v>
      </c>
      <c r="P7" s="201" t="str">
        <f ca="1">IF(Jan_2026_SotM[[#This Row],[Num]]&gt;=$A$1, "-", IF(Jan_2026_SotM[[#This Row],[Score 1]]&gt;=3, Jan_2026_SotM[[#This Row],[Song 1]], IF(Jan_2026_SotM[[#This Row],[Score 2]]&gt;=3, Jan_2026_SotM[[#This Row],[Song 2]], "TBD")))</f>
        <v>luv stuck</v>
      </c>
      <c r="Q7" s="206">
        <f>COUNTIF(Jan_2026_SotM[[#This Row],[H ]:[J ]],"x")</f>
        <v>2</v>
      </c>
      <c r="R7" s="206" t="str">
        <f ca="1">IF(Jan_2026_SotM[[#This Row],[Num]]&gt;=$A$1, "-", IF(Jan_2026_SotM[[#This Row],[Initial 2]], VLOOKUP(Jan_2026_SotM[[#This Row],[Low Seed]], $Z$2:$AE$17, 6, FALSE), OFFSET(Jan_2026_SotM[[#This Row],[Winner]], 2*(Jan_2026_SotM[[#This Row],[Max Seed]]-Jan_2026_SotM[[#This Row],[Low Seed]])+1, 0)))</f>
        <v>All Night Radio</v>
      </c>
      <c r="S7" s="37" t="s">
        <v>4191</v>
      </c>
      <c r="T7" s="35"/>
      <c r="U7" s="33"/>
      <c r="V7" s="31"/>
      <c r="W7" s="28" t="s">
        <v>4191</v>
      </c>
      <c r="X7" s="106" t="str">
        <f ca="1">IF(OR(Jan_2026_SotM[[#This Row],[Song 1]]="TBD", Jan_2026_SotM[[#This Row],[Song 2]]="TBD"), "TBD", _xlfn.CONCAT(IF(_xlfn.XOR(ISBLANK(Jan_2026_SotM[[#This Row],[J]]), ISBLANK(Jan_2026_SotM[[#This Row],[J ]])), "", "J "), IF(_xlfn.XOR(ISBLANK(Jan_2026_SotM[[#This Row],[D]]), ISBLANK(Jan_2026_SotM[[#This Row],[D ]])), "", "D "), IF(_xlfn.XOR(ISBLANK(Jan_2026_SotM[[#This Row],[L]]), ISBLANK(Jan_2026_SotM[[#This Row],[L ]])), "", "L "), IF(_xlfn.XOR(ISBLANK(Jan_2026_SotM[[#This Row],[S]]), ISBLANK(Jan_2026_SotM[[#This Row],[S ]])), "", "S "), IF(_xlfn.XOR(ISBLANK(Jan_2026_SotM[[#This Row],[H]]), ISBLANK(Jan_2026_SotM[[#This Row],[H ]])), "", "H ")))</f>
        <v/>
      </c>
      <c r="Z7" s="109">
        <f t="shared" si="3"/>
        <v>12</v>
      </c>
      <c r="AA7" s="59">
        <v>46035</v>
      </c>
      <c r="AB7" t="str">
        <v>currydestroyer27</v>
      </c>
      <c r="AC7" s="3">
        <v>2.2000000000000002</v>
      </c>
      <c r="AD7">
        <v>1.4696938456699069</v>
      </c>
      <c r="AE7" t="str">
        <v>SO BAD</v>
      </c>
      <c r="AF7" t="str">
        <v>STAYC</v>
      </c>
      <c r="AG7" s="100">
        <f t="shared" si="2"/>
        <v>9</v>
      </c>
      <c r="AI7" s="115">
        <f>Jan_2026_SotM[[#This Row],[Max Seed]]/2 + 1</f>
        <v>5</v>
      </c>
      <c r="AJ7" s="105" t="str">
        <f ca="1">IF(Jan_2026_SotM[[#This Row],[Num]]&gt;=$A$1, "-", IF(Jan_2026_SotM[[#This Row],[Score 1]]&gt;=3, Jan_2026_SotM[[#This Row],[Song 2]], IF(Jan_2026_SotM[[#This Row],[Score 2]]&gt;=3, Jan_2026_SotM[[#This Row],[Song 1]], "TBD")))</f>
        <v>All Night Radio</v>
      </c>
      <c r="AK7" s="3">
        <f ca="1">IFERROR(VLOOKUP(Jan_2025_Results48[[#This Row],[Song Title]], $AE$2:$AG$17, 3, FALSE)-Jan_2025_Results48[[#This Row],[Result]], "TBD")</f>
        <v>4</v>
      </c>
      <c r="AL7" s="3" t="str">
        <f t="shared" ca="1" si="4"/>
        <v>↑</v>
      </c>
    </row>
    <row r="8" spans="1:38">
      <c r="A8" s="199" t="str">
        <f>_xlfn.CONCAT("Seed ", Jan_2026_SotM[[#This Row],[Top Seed]], " vs ",Jan_2026_SotM[[#This Row],[Low Seed]])</f>
        <v>Seed 2 vs 7</v>
      </c>
      <c r="B8" s="201">
        <v>6</v>
      </c>
      <c r="C8" s="200">
        <f>FLOOR(LOG(Jan_2026_SotM[[#This Row],[Num]], 2), 1)</f>
        <v>2</v>
      </c>
      <c r="D8" s="200">
        <f>2^(Jan_2026_SotM[[#This Row],[Round]]+1)</f>
        <v>8</v>
      </c>
      <c r="E8" s="200">
        <f>Jan_2026_SotM[[#This Row],[Max Seed]]-Jan_2026_SotM[[#This Row],[Num]]</f>
        <v>2</v>
      </c>
      <c r="F8" s="200">
        <f>Jan_2026_SotM[[#This Row],[Max Seed]]-Jan_2026_SotM[[#This Row],[Top Seed]]+1</f>
        <v>7</v>
      </c>
      <c r="G8" s="200" t="b">
        <f>IF(Jan_2026_SotM[[#This Row],[Round]]=$C$1, TRUE(), IF(Jan_2026_SotM[[#This Row],[Round]]=$B$1, Jan_2026_SotM[[#This Row],[Top Seed]]&lt;=2*Jan_2026_SotM[[#This Row],[Max Seed]]-$A$1, FALSE()))</f>
        <v>0</v>
      </c>
      <c r="H8" s="200" t="b">
        <f>IF(Jan_2026_SotM[[#This Row],[Round]]=$C$1, TRUE(), IF(Jan_2026_SotM[[#This Row],[Round]]=$B$1, Jan_2026_SotM[[#This Row],[Low Seed]]&lt;=2*Jan_2026_SotM[[#This Row],[Max Seed]]-$A$1, FALSE()))</f>
        <v>0</v>
      </c>
      <c r="I8" s="28"/>
      <c r="J8" s="31" t="s">
        <v>4191</v>
      </c>
      <c r="K8" s="33"/>
      <c r="L8" s="35"/>
      <c r="M8" s="37"/>
      <c r="N8" s="203" t="str">
        <f ca="1">IF(Jan_2026_SotM[[#This Row],[Num]]&gt;=$A$1, "-", IF(Jan_2026_SotM[[#This Row],[Initial 1]], VLOOKUP(Jan_2026_SotM[[#This Row],[Top Seed]], $Z$2:$AE$17, 6, FALSE), OFFSET(Jan_2026_SotM[[#This Row],[Winner]], Jan_2026_SotM[[#This Row],[Max Seed]], 0)))</f>
        <v>Messages from the Stars</v>
      </c>
      <c r="O8" s="203">
        <f>COUNTIF(Jan_2026_SotM[[#This Row],[J]:[H]],"x")</f>
        <v>1</v>
      </c>
      <c r="P8" s="201" t="str">
        <f ca="1">IF(Jan_2026_SotM[[#This Row],[Num]]&gt;=$A$1, "-", IF(Jan_2026_SotM[[#This Row],[Score 1]]&gt;=3, Jan_2026_SotM[[#This Row],[Song 1]], IF(Jan_2026_SotM[[#This Row],[Score 2]]&gt;=3, Jan_2026_SotM[[#This Row],[Song 2]], "TBD")))</f>
        <v>BABY SAID (Sam)</v>
      </c>
      <c r="Q8" s="206">
        <f>COUNTIF(Jan_2026_SotM[[#This Row],[H ]:[J ]],"x")</f>
        <v>4</v>
      </c>
      <c r="R8" s="206" t="str">
        <f ca="1">IF(Jan_2026_SotM[[#This Row],[Num]]&gt;=$A$1, "-", IF(Jan_2026_SotM[[#This Row],[Initial 2]], VLOOKUP(Jan_2026_SotM[[#This Row],[Low Seed]], $Z$2:$AE$17, 6, FALSE), OFFSET(Jan_2026_SotM[[#This Row],[Winner]], 2*(Jan_2026_SotM[[#This Row],[Max Seed]]-Jan_2026_SotM[[#This Row],[Low Seed]])+1, 0)))</f>
        <v>BABY SAID (Sam)</v>
      </c>
      <c r="S8" s="37" t="s">
        <v>4191</v>
      </c>
      <c r="T8" s="35" t="s">
        <v>4191</v>
      </c>
      <c r="U8" s="33" t="s">
        <v>4191</v>
      </c>
      <c r="V8" s="31"/>
      <c r="W8" s="28" t="s">
        <v>4191</v>
      </c>
      <c r="X8" s="106" t="str">
        <f ca="1">IF(OR(Jan_2026_SotM[[#This Row],[Song 1]]="TBD", Jan_2026_SotM[[#This Row],[Song 2]]="TBD"), "TBD", _xlfn.CONCAT(IF(_xlfn.XOR(ISBLANK(Jan_2026_SotM[[#This Row],[J]]), ISBLANK(Jan_2026_SotM[[#This Row],[J ]])), "", "J "), IF(_xlfn.XOR(ISBLANK(Jan_2026_SotM[[#This Row],[D]]), ISBLANK(Jan_2026_SotM[[#This Row],[D ]])), "", "D "), IF(_xlfn.XOR(ISBLANK(Jan_2026_SotM[[#This Row],[L]]), ISBLANK(Jan_2026_SotM[[#This Row],[L ]])), "", "L "), IF(_xlfn.XOR(ISBLANK(Jan_2026_SotM[[#This Row],[S]]), ISBLANK(Jan_2026_SotM[[#This Row],[S ]])), "", "S "), IF(_xlfn.XOR(ISBLANK(Jan_2026_SotM[[#This Row],[H]]), ISBLANK(Jan_2026_SotM[[#This Row],[H ]])), "", "H ")))</f>
        <v/>
      </c>
      <c r="Z8" s="109">
        <f t="shared" si="3"/>
        <v>11</v>
      </c>
      <c r="AA8" s="59">
        <v>46036</v>
      </c>
      <c r="AB8" t="str">
        <v>alappatjoe</v>
      </c>
      <c r="AC8" s="3">
        <v>2.2000000000000002</v>
      </c>
      <c r="AD8">
        <v>0.9797958971132712</v>
      </c>
      <c r="AE8" t="str">
        <v>All Night Radio</v>
      </c>
      <c r="AF8" t="str">
        <v>Ado</v>
      </c>
      <c r="AG8" s="100">
        <f t="shared" si="2"/>
        <v>9</v>
      </c>
      <c r="AI8" s="115">
        <f>Jan_2026_SotM[[#This Row],[Max Seed]]/2 + 1</f>
        <v>5</v>
      </c>
      <c r="AJ8" s="105" t="str">
        <f ca="1">IF(Jan_2026_SotM[[#This Row],[Num]]&gt;=$A$1, "-", IF(Jan_2026_SotM[[#This Row],[Score 1]]&gt;=3, Jan_2026_SotM[[#This Row],[Song 2]], IF(Jan_2026_SotM[[#This Row],[Score 2]]&gt;=3, Jan_2026_SotM[[#This Row],[Song 1]], "TBD")))</f>
        <v>Messages from the Stars</v>
      </c>
      <c r="AK8" s="3">
        <f ca="1">IFERROR(VLOOKUP(Jan_2025_Results48[[#This Row],[Song Title]], $AE$2:$AG$17, 3, FALSE)-Jan_2025_Results48[[#This Row],[Result]], "TBD")</f>
        <v>4</v>
      </c>
      <c r="AL8" s="3" t="str">
        <f t="shared" ca="1" si="4"/>
        <v>↑</v>
      </c>
    </row>
    <row r="9" spans="1:38">
      <c r="A9" s="199" t="str">
        <f>_xlfn.CONCAT("Seed ", Jan_2026_SotM[[#This Row],[Top Seed]], " vs ",Jan_2026_SotM[[#This Row],[Low Seed]])</f>
        <v>Seed 1 vs 8</v>
      </c>
      <c r="B9" s="201">
        <v>7</v>
      </c>
      <c r="C9" s="200">
        <f>FLOOR(LOG(Jan_2026_SotM[[#This Row],[Num]], 2), 1)</f>
        <v>2</v>
      </c>
      <c r="D9" s="200">
        <f>2^(Jan_2026_SotM[[#This Row],[Round]]+1)</f>
        <v>8</v>
      </c>
      <c r="E9" s="200">
        <f>Jan_2026_SotM[[#This Row],[Max Seed]]-Jan_2026_SotM[[#This Row],[Num]]</f>
        <v>1</v>
      </c>
      <c r="F9" s="200">
        <f>Jan_2026_SotM[[#This Row],[Max Seed]]-Jan_2026_SotM[[#This Row],[Top Seed]]+1</f>
        <v>8</v>
      </c>
      <c r="G9" s="200" t="b">
        <f>IF(Jan_2026_SotM[[#This Row],[Round]]=$C$1, TRUE(), IF(Jan_2026_SotM[[#This Row],[Round]]=$B$1, Jan_2026_SotM[[#This Row],[Top Seed]]&lt;=2*Jan_2026_SotM[[#This Row],[Max Seed]]-$A$1, FALSE()))</f>
        <v>0</v>
      </c>
      <c r="H9" s="200" t="b">
        <f>IF(Jan_2026_SotM[[#This Row],[Round]]=$C$1, TRUE(), IF(Jan_2026_SotM[[#This Row],[Round]]=$B$1, Jan_2026_SotM[[#This Row],[Low Seed]]&lt;=2*Jan_2026_SotM[[#This Row],[Max Seed]]-$A$1, FALSE()))</f>
        <v>0</v>
      </c>
      <c r="I9" s="28" t="s">
        <v>4191</v>
      </c>
      <c r="J9" s="31" t="s">
        <v>4191</v>
      </c>
      <c r="K9" s="33"/>
      <c r="L9" s="35" t="s">
        <v>4191</v>
      </c>
      <c r="M9" s="37"/>
      <c r="N9" s="203" t="str">
        <f ca="1">IF(Jan_2026_SotM[[#This Row],[Num]]&gt;=$A$1, "-", IF(Jan_2026_SotM[[#This Row],[Initial 1]], VLOOKUP(Jan_2026_SotM[[#This Row],[Top Seed]], $Z$2:$AE$17, 6, FALSE), OFFSET(Jan_2026_SotM[[#This Row],[Winner]], Jan_2026_SotM[[#This Row],[Max Seed]], 0)))</f>
        <v>In Da Club</v>
      </c>
      <c r="O9" s="203">
        <f>COUNTIF(Jan_2026_SotM[[#This Row],[J]:[H]],"x")</f>
        <v>3</v>
      </c>
      <c r="P9" s="201" t="str">
        <f ca="1">IF(Jan_2026_SotM[[#This Row],[Num]]&gt;=$A$1, "-", IF(Jan_2026_SotM[[#This Row],[Score 1]]&gt;=3, Jan_2026_SotM[[#This Row],[Song 1]], IF(Jan_2026_SotM[[#This Row],[Score 2]]&gt;=3, Jan_2026_SotM[[#This Row],[Song 2]], "TBD")))</f>
        <v>In Da Club</v>
      </c>
      <c r="Q9" s="206">
        <f>COUNTIF(Jan_2026_SotM[[#This Row],[H ]:[J ]],"x")</f>
        <v>2</v>
      </c>
      <c r="R9" s="206" t="str">
        <f ca="1">IF(Jan_2026_SotM[[#This Row],[Num]]&gt;=$A$1, "-", IF(Jan_2026_SotM[[#This Row],[Initial 2]], VLOOKUP(Jan_2026_SotM[[#This Row],[Low Seed]], $Z$2:$AE$17, 6, FALSE), OFFSET(Jan_2026_SotM[[#This Row],[Winner]], 2*(Jan_2026_SotM[[#This Row],[Max Seed]]-Jan_2026_SotM[[#This Row],[Low Seed]])+1, 0)))</f>
        <v>The Color Violet</v>
      </c>
      <c r="S9" s="37" t="s">
        <v>4191</v>
      </c>
      <c r="T9" s="35"/>
      <c r="U9" s="33" t="s">
        <v>4191</v>
      </c>
      <c r="V9" s="31"/>
      <c r="W9" s="28"/>
      <c r="X9" s="106" t="str">
        <f ca="1">IF(OR(Jan_2026_SotM[[#This Row],[Song 1]]="TBD", Jan_2026_SotM[[#This Row],[Song 2]]="TBD"), "TBD", _xlfn.CONCAT(IF(_xlfn.XOR(ISBLANK(Jan_2026_SotM[[#This Row],[J]]), ISBLANK(Jan_2026_SotM[[#This Row],[J ]])), "", "J "), IF(_xlfn.XOR(ISBLANK(Jan_2026_SotM[[#This Row],[D]]), ISBLANK(Jan_2026_SotM[[#This Row],[D ]])), "", "D "), IF(_xlfn.XOR(ISBLANK(Jan_2026_SotM[[#This Row],[L]]), ISBLANK(Jan_2026_SotM[[#This Row],[L ]])), "", "L "), IF(_xlfn.XOR(ISBLANK(Jan_2026_SotM[[#This Row],[S]]), ISBLANK(Jan_2026_SotM[[#This Row],[S ]])), "", "S "), IF(_xlfn.XOR(ISBLANK(Jan_2026_SotM[[#This Row],[H]]), ISBLANK(Jan_2026_SotM[[#This Row],[H ]])), "", "H ")))</f>
        <v/>
      </c>
      <c r="Z9" s="109">
        <f t="shared" si="3"/>
        <v>13</v>
      </c>
      <c r="AA9" s="59">
        <v>46037</v>
      </c>
      <c r="AB9" t="str">
        <v>samuelbattista</v>
      </c>
      <c r="AC9" s="3">
        <v>2.2000000000000002</v>
      </c>
      <c r="AD9">
        <v>1.6</v>
      </c>
      <c r="AE9" t="str">
        <v>Box In The Basement</v>
      </c>
      <c r="AF9" t="str">
        <v>nothing,nowhere.</v>
      </c>
      <c r="AG9" s="100">
        <f t="shared" si="2"/>
        <v>9</v>
      </c>
      <c r="AI9" s="115">
        <f>Jan_2026_SotM[[#This Row],[Max Seed]]/2 + 1</f>
        <v>5</v>
      </c>
      <c r="AJ9" s="105" t="str">
        <f ca="1">IF(Jan_2026_SotM[[#This Row],[Num]]&gt;=$A$1, "-", IF(Jan_2026_SotM[[#This Row],[Score 1]]&gt;=3, Jan_2026_SotM[[#This Row],[Song 2]], IF(Jan_2026_SotM[[#This Row],[Score 2]]&gt;=3, Jan_2026_SotM[[#This Row],[Song 1]], "TBD")))</f>
        <v>The Color Violet</v>
      </c>
      <c r="AK9" s="3">
        <f ca="1">IFERROR(VLOOKUP(Jan_2025_Results48[[#This Row],[Song Title]], $AE$2:$AG$17, 3, FALSE)-Jan_2025_Results48[[#This Row],[Result]], "TBD")</f>
        <v>4</v>
      </c>
      <c r="AL9" s="3" t="str">
        <f t="shared" ca="1" si="4"/>
        <v>↑</v>
      </c>
    </row>
    <row r="10" spans="1:38">
      <c r="A10" s="199" t="str">
        <f>_xlfn.CONCAT("Seed ", Jan_2026_SotM[[#This Row],[Top Seed]], " vs ",Jan_2026_SotM[[#This Row],[Low Seed]])</f>
        <v>Seed 8 vs 9</v>
      </c>
      <c r="B10" s="201">
        <v>8</v>
      </c>
      <c r="C10" s="200">
        <f>FLOOR(LOG(Jan_2026_SotM[[#This Row],[Num]], 2), 1)</f>
        <v>3</v>
      </c>
      <c r="D10" s="200">
        <f>2^(Jan_2026_SotM[[#This Row],[Round]]+1)</f>
        <v>16</v>
      </c>
      <c r="E10" s="200">
        <f>Jan_2026_SotM[[#This Row],[Max Seed]]-Jan_2026_SotM[[#This Row],[Num]]</f>
        <v>8</v>
      </c>
      <c r="F10" s="200">
        <f>Jan_2026_SotM[[#This Row],[Max Seed]]-Jan_2026_SotM[[#This Row],[Top Seed]]+1</f>
        <v>9</v>
      </c>
      <c r="G10" s="200" t="b">
        <f>IF(Jan_2026_SotM[[#This Row],[Round]]=$C$1, TRUE(), IF(Jan_2026_SotM[[#This Row],[Round]]=$B$1, Jan_2026_SotM[[#This Row],[Top Seed]]&lt;=2*Jan_2026_SotM[[#This Row],[Max Seed]]-$A$1, FALSE()))</f>
        <v>1</v>
      </c>
      <c r="H10" s="200" t="b">
        <f>IF(Jan_2026_SotM[[#This Row],[Round]]=$C$1, TRUE(), IF(Jan_2026_SotM[[#This Row],[Round]]=$B$1, Jan_2026_SotM[[#This Row],[Low Seed]]&lt;=2*Jan_2026_SotM[[#This Row],[Max Seed]]-$A$1, FALSE()))</f>
        <v>1</v>
      </c>
      <c r="I10" s="28" t="s">
        <v>4191</v>
      </c>
      <c r="J10" s="31"/>
      <c r="K10" s="33"/>
      <c r="L10" s="35" t="s">
        <v>4191</v>
      </c>
      <c r="M10" s="37"/>
      <c r="N10" s="203" t="str">
        <f ca="1">IF(Jan_2026_SotM[[#This Row],[Num]]&gt;=$A$1, "-", IF(Jan_2026_SotM[[#This Row],[Initial 1]], VLOOKUP(Jan_2026_SotM[[#This Row],[Top Seed]], $Z$2:$AE$17, 6, FALSE), OFFSET(Jan_2026_SotM[[#This Row],[Winner]], Jan_2026_SotM[[#This Row],[Max Seed]], 0)))</f>
        <v>Use Me</v>
      </c>
      <c r="O10" s="203">
        <f>COUNTIF(Jan_2026_SotM[[#This Row],[J]:[H]],"x")</f>
        <v>2</v>
      </c>
      <c r="P10" s="201" t="str">
        <f ca="1">IF(Jan_2026_SotM[[#This Row],[Num]]&gt;=$A$1, "-", IF(Jan_2026_SotM[[#This Row],[Score 1]]&gt;=3, Jan_2026_SotM[[#This Row],[Song 1]], IF(Jan_2026_SotM[[#This Row],[Score 2]]&gt;=3, Jan_2026_SotM[[#This Row],[Song 2]], "TBD")))</f>
        <v>The Color Violet</v>
      </c>
      <c r="Q10" s="206">
        <f>COUNTIF(Jan_2026_SotM[[#This Row],[H ]:[J ]],"x")</f>
        <v>3</v>
      </c>
      <c r="R10" s="206" t="str">
        <f ca="1">IF(Jan_2026_SotM[[#This Row],[Num]]&gt;=$A$1, "-", IF(Jan_2026_SotM[[#This Row],[Initial 2]], VLOOKUP(Jan_2026_SotM[[#This Row],[Low Seed]], $Z$2:$AE$17, 6, FALSE), OFFSET(Jan_2026_SotM[[#This Row],[Winner]], 2*(Jan_2026_SotM[[#This Row],[Max Seed]]-Jan_2026_SotM[[#This Row],[Low Seed]])+1, 0)))</f>
        <v>The Color Violet</v>
      </c>
      <c r="S10" s="37" t="s">
        <v>4191</v>
      </c>
      <c r="T10" s="35"/>
      <c r="U10" s="33" t="s">
        <v>4191</v>
      </c>
      <c r="V10" s="31" t="s">
        <v>4191</v>
      </c>
      <c r="W10" s="28"/>
      <c r="X10" s="106" t="str">
        <f ca="1">IF(OR(Jan_2026_SotM[[#This Row],[Song 1]]="TBD", Jan_2026_SotM[[#This Row],[Song 2]]="TBD"), "TBD", _xlfn.CONCAT(IF(_xlfn.XOR(ISBLANK(Jan_2026_SotM[[#This Row],[J]]), ISBLANK(Jan_2026_SotM[[#This Row],[J ]])), "", "J "), IF(_xlfn.XOR(ISBLANK(Jan_2026_SotM[[#This Row],[D]]), ISBLANK(Jan_2026_SotM[[#This Row],[D ]])), "", "D "), IF(_xlfn.XOR(ISBLANK(Jan_2026_SotM[[#This Row],[L]]), ISBLANK(Jan_2026_SotM[[#This Row],[L ]])), "", "L "), IF(_xlfn.XOR(ISBLANK(Jan_2026_SotM[[#This Row],[S]]), ISBLANK(Jan_2026_SotM[[#This Row],[S ]])), "", "S "), IF(_xlfn.XOR(ISBLANK(Jan_2026_SotM[[#This Row],[H]]), ISBLANK(Jan_2026_SotM[[#This Row],[H ]])), "", "H ")))</f>
        <v/>
      </c>
      <c r="Z10" s="109">
        <f t="shared" si="3"/>
        <v>4</v>
      </c>
      <c r="AA10" s="59">
        <v>46041</v>
      </c>
      <c r="AB10" t="str">
        <v>loganworsdell</v>
      </c>
      <c r="AC10" s="3">
        <v>1.8</v>
      </c>
      <c r="AD10">
        <v>0.74833147735478833</v>
      </c>
      <c r="AE10" t="str">
        <v>NERVOUS</v>
      </c>
      <c r="AF10" t="str">
        <v>Sam Gellaitry</v>
      </c>
      <c r="AG10" s="100">
        <f t="shared" si="2"/>
        <v>3</v>
      </c>
      <c r="AI10" s="115">
        <f>Jan_2026_SotM[[#This Row],[Max Seed]]/2 + 1</f>
        <v>9</v>
      </c>
      <c r="AJ10" s="105" t="str">
        <f ca="1">IF(Jan_2026_SotM[[#This Row],[Num]]&gt;=$A$1, "-", IF(Jan_2026_SotM[[#This Row],[Score 1]]&gt;=3, Jan_2026_SotM[[#This Row],[Song 2]], IF(Jan_2026_SotM[[#This Row],[Score 2]]&gt;=3, Jan_2026_SotM[[#This Row],[Song 1]], "TBD")))</f>
        <v>Use Me</v>
      </c>
      <c r="AK10" s="3">
        <f ca="1">IFERROR(VLOOKUP(Jan_2025_Results48[[#This Row],[Song Title]], $AE$2:$AG$17, 3, FALSE)-Jan_2025_Results48[[#This Row],[Result]], "TBD")</f>
        <v>-4</v>
      </c>
      <c r="AL10" s="3" t="str">
        <f t="shared" ca="1" si="4"/>
        <v>↓</v>
      </c>
    </row>
    <row r="11" spans="1:38">
      <c r="A11" s="199" t="str">
        <f>_xlfn.CONCAT("Seed ", Jan_2026_SotM[[#This Row],[Top Seed]], " vs ",Jan_2026_SotM[[#This Row],[Low Seed]])</f>
        <v>Seed 7 vs 10</v>
      </c>
      <c r="B11" s="201">
        <v>9</v>
      </c>
      <c r="C11" s="200">
        <f>FLOOR(LOG(Jan_2026_SotM[[#This Row],[Num]], 2), 1)</f>
        <v>3</v>
      </c>
      <c r="D11" s="200">
        <f>2^(Jan_2026_SotM[[#This Row],[Round]]+1)</f>
        <v>16</v>
      </c>
      <c r="E11" s="200">
        <f>Jan_2026_SotM[[#This Row],[Max Seed]]-Jan_2026_SotM[[#This Row],[Num]]</f>
        <v>7</v>
      </c>
      <c r="F11" s="200">
        <f>Jan_2026_SotM[[#This Row],[Max Seed]]-Jan_2026_SotM[[#This Row],[Top Seed]]+1</f>
        <v>10</v>
      </c>
      <c r="G11" s="200" t="b">
        <f>IF(Jan_2026_SotM[[#This Row],[Round]]=$C$1, TRUE(), IF(Jan_2026_SotM[[#This Row],[Round]]=$B$1, Jan_2026_SotM[[#This Row],[Top Seed]]&lt;=2*Jan_2026_SotM[[#This Row],[Max Seed]]-$A$1, FALSE()))</f>
        <v>1</v>
      </c>
      <c r="H11" s="200" t="b">
        <f>IF(Jan_2026_SotM[[#This Row],[Round]]=$C$1, TRUE(), IF(Jan_2026_SotM[[#This Row],[Round]]=$B$1, Jan_2026_SotM[[#This Row],[Low Seed]]&lt;=2*Jan_2026_SotM[[#This Row],[Max Seed]]-$A$1, FALSE()))</f>
        <v>1</v>
      </c>
      <c r="I11" s="28"/>
      <c r="J11" s="31"/>
      <c r="K11" s="33"/>
      <c r="L11" s="35"/>
      <c r="M11" s="37"/>
      <c r="N11" s="203" t="str">
        <f ca="1">IF(Jan_2026_SotM[[#This Row],[Num]]&gt;=$A$1, "-", IF(Jan_2026_SotM[[#This Row],[Initial 1]], VLOOKUP(Jan_2026_SotM[[#This Row],[Top Seed]], $Z$2:$AE$17, 6, FALSE), OFFSET(Jan_2026_SotM[[#This Row],[Winner]], Jan_2026_SotM[[#This Row],[Max Seed]], 0)))</f>
        <v>Possum Kingdom</v>
      </c>
      <c r="O11" s="203">
        <f>COUNTIF(Jan_2026_SotM[[#This Row],[J]:[H]],"x")</f>
        <v>0</v>
      </c>
      <c r="P11" s="201" t="str">
        <f ca="1">IF(Jan_2026_SotM[[#This Row],[Num]]&gt;=$A$1, "-", IF(Jan_2026_SotM[[#This Row],[Score 1]]&gt;=3, Jan_2026_SotM[[#This Row],[Song 1]], IF(Jan_2026_SotM[[#This Row],[Score 2]]&gt;=3, Jan_2026_SotM[[#This Row],[Song 2]], "TBD")))</f>
        <v>BABY SAID (Sam)</v>
      </c>
      <c r="Q11" s="206">
        <f>COUNTIF(Jan_2026_SotM[[#This Row],[H ]:[J ]],"x")</f>
        <v>5</v>
      </c>
      <c r="R11" s="206" t="str">
        <f ca="1">IF(Jan_2026_SotM[[#This Row],[Num]]&gt;=$A$1, "-", IF(Jan_2026_SotM[[#This Row],[Initial 2]], VLOOKUP(Jan_2026_SotM[[#This Row],[Low Seed]], $Z$2:$AE$17, 6, FALSE), OFFSET(Jan_2026_SotM[[#This Row],[Winner]], 2*(Jan_2026_SotM[[#This Row],[Max Seed]]-Jan_2026_SotM[[#This Row],[Low Seed]])+1, 0)))</f>
        <v>BABY SAID (Sam)</v>
      </c>
      <c r="S11" s="37" t="s">
        <v>4191</v>
      </c>
      <c r="T11" s="35" t="s">
        <v>4191</v>
      </c>
      <c r="U11" s="33" t="s">
        <v>4191</v>
      </c>
      <c r="V11" s="31" t="s">
        <v>4191</v>
      </c>
      <c r="W11" s="28" t="s">
        <v>4191</v>
      </c>
      <c r="X11" s="106" t="str">
        <f ca="1">IF(OR(Jan_2026_SotM[[#This Row],[Song 1]]="TBD", Jan_2026_SotM[[#This Row],[Song 2]]="TBD"), "TBD", _xlfn.CONCAT(IF(_xlfn.XOR(ISBLANK(Jan_2026_SotM[[#This Row],[J]]), ISBLANK(Jan_2026_SotM[[#This Row],[J ]])), "", "J "), IF(_xlfn.XOR(ISBLANK(Jan_2026_SotM[[#This Row],[D]]), ISBLANK(Jan_2026_SotM[[#This Row],[D ]])), "", "D "), IF(_xlfn.XOR(ISBLANK(Jan_2026_SotM[[#This Row],[L]]), ISBLANK(Jan_2026_SotM[[#This Row],[L ]])), "", "L "), IF(_xlfn.XOR(ISBLANK(Jan_2026_SotM[[#This Row],[S]]), ISBLANK(Jan_2026_SotM[[#This Row],[S ]])), "", "S "), IF(_xlfn.XOR(ISBLANK(Jan_2026_SotM[[#This Row],[H]]), ISBLANK(Jan_2026_SotM[[#This Row],[H ]])), "", "H ")))</f>
        <v/>
      </c>
      <c r="Z11" s="109">
        <f t="shared" si="3"/>
        <v>7</v>
      </c>
      <c r="AA11" s="59">
        <v>46042</v>
      </c>
      <c r="AB11" t="str">
        <v>samuelbattista</v>
      </c>
      <c r="AC11" s="3">
        <v>2</v>
      </c>
      <c r="AD11">
        <v>0.89442719099991586</v>
      </c>
      <c r="AE11" t="str">
        <v>Possum Kingdom</v>
      </c>
      <c r="AF11" t="str">
        <v>Toadies</v>
      </c>
      <c r="AG11" s="100">
        <f t="shared" si="2"/>
        <v>5</v>
      </c>
      <c r="AI11" s="115">
        <f>Jan_2026_SotM[[#This Row],[Max Seed]]/2 + 1</f>
        <v>9</v>
      </c>
      <c r="AJ11" s="105" t="str">
        <f ca="1">IF(Jan_2026_SotM[[#This Row],[Num]]&gt;=$A$1, "-", IF(Jan_2026_SotM[[#This Row],[Score 1]]&gt;=3, Jan_2026_SotM[[#This Row],[Song 2]], IF(Jan_2026_SotM[[#This Row],[Score 2]]&gt;=3, Jan_2026_SotM[[#This Row],[Song 1]], "TBD")))</f>
        <v>Possum Kingdom</v>
      </c>
      <c r="AK11" s="3">
        <f ca="1">IFERROR(VLOOKUP(Jan_2025_Results48[[#This Row],[Song Title]], $AE$2:$AG$17, 3, FALSE)-Jan_2025_Results48[[#This Row],[Result]], "TBD")</f>
        <v>-4</v>
      </c>
      <c r="AL11" s="3" t="str">
        <f t="shared" ca="1" si="4"/>
        <v>↓</v>
      </c>
    </row>
    <row r="12" spans="1:38">
      <c r="A12" s="199" t="str">
        <f>_xlfn.CONCAT("Seed ", Jan_2026_SotM[[#This Row],[Top Seed]], " vs ",Jan_2026_SotM[[#This Row],[Low Seed]])</f>
        <v>Seed 6 vs 11</v>
      </c>
      <c r="B12" s="201">
        <v>10</v>
      </c>
      <c r="C12" s="200">
        <f>FLOOR(LOG(Jan_2026_SotM[[#This Row],[Num]], 2), 1)</f>
        <v>3</v>
      </c>
      <c r="D12" s="200">
        <f>2^(Jan_2026_SotM[[#This Row],[Round]]+1)</f>
        <v>16</v>
      </c>
      <c r="E12" s="200">
        <f>Jan_2026_SotM[[#This Row],[Max Seed]]-Jan_2026_SotM[[#This Row],[Num]]</f>
        <v>6</v>
      </c>
      <c r="F12" s="200">
        <f>Jan_2026_SotM[[#This Row],[Max Seed]]-Jan_2026_SotM[[#This Row],[Top Seed]]+1</f>
        <v>11</v>
      </c>
      <c r="G12" s="200" t="b">
        <f>IF(Jan_2026_SotM[[#This Row],[Round]]=$C$1, TRUE(), IF(Jan_2026_SotM[[#This Row],[Round]]=$B$1, Jan_2026_SotM[[#This Row],[Top Seed]]&lt;=2*Jan_2026_SotM[[#This Row],[Max Seed]]-$A$1, FALSE()))</f>
        <v>1</v>
      </c>
      <c r="H12" s="200" t="b">
        <f>IF(Jan_2026_SotM[[#This Row],[Round]]=$C$1, TRUE(), IF(Jan_2026_SotM[[#This Row],[Round]]=$B$1, Jan_2026_SotM[[#This Row],[Low Seed]]&lt;=2*Jan_2026_SotM[[#This Row],[Max Seed]]-$A$1, FALSE()))</f>
        <v>1</v>
      </c>
      <c r="I12" s="28"/>
      <c r="J12" s="31"/>
      <c r="K12" s="33" t="s">
        <v>4191</v>
      </c>
      <c r="L12" s="35" t="s">
        <v>4191</v>
      </c>
      <c r="M12" s="37"/>
      <c r="N12" s="203" t="str">
        <f ca="1">IF(Jan_2026_SotM[[#This Row],[Num]]&gt;=$A$1, "-", IF(Jan_2026_SotM[[#This Row],[Initial 1]], VLOOKUP(Jan_2026_SotM[[#This Row],[Top Seed]], $Z$2:$AE$17, 6, FALSE), OFFSET(Jan_2026_SotM[[#This Row],[Winner]], Jan_2026_SotM[[#This Row],[Max Seed]], 0)))</f>
        <v>Layla</v>
      </c>
      <c r="O12" s="203">
        <f>COUNTIF(Jan_2026_SotM[[#This Row],[J]:[H]],"x")</f>
        <v>2</v>
      </c>
      <c r="P12" s="201" t="str">
        <f ca="1">IF(Jan_2026_SotM[[#This Row],[Num]]&gt;=$A$1, "-", IF(Jan_2026_SotM[[#This Row],[Score 1]]&gt;=3, Jan_2026_SotM[[#This Row],[Song 1]], IF(Jan_2026_SotM[[#This Row],[Score 2]]&gt;=3, Jan_2026_SotM[[#This Row],[Song 2]], "TBD")))</f>
        <v>All Night Radio</v>
      </c>
      <c r="Q12" s="206">
        <f>COUNTIF(Jan_2026_SotM[[#This Row],[H ]:[J ]],"x")</f>
        <v>3</v>
      </c>
      <c r="R12" s="206" t="str">
        <f ca="1">IF(Jan_2026_SotM[[#This Row],[Num]]&gt;=$A$1, "-", IF(Jan_2026_SotM[[#This Row],[Initial 2]], VLOOKUP(Jan_2026_SotM[[#This Row],[Low Seed]], $Z$2:$AE$17, 6, FALSE), OFFSET(Jan_2026_SotM[[#This Row],[Winner]], 2*(Jan_2026_SotM[[#This Row],[Max Seed]]-Jan_2026_SotM[[#This Row],[Low Seed]])+1, 0)))</f>
        <v>All Night Radio</v>
      </c>
      <c r="S12" s="37" t="s">
        <v>4191</v>
      </c>
      <c r="T12" s="35"/>
      <c r="U12" s="33"/>
      <c r="V12" s="31" t="s">
        <v>4191</v>
      </c>
      <c r="W12" s="28" t="s">
        <v>4191</v>
      </c>
      <c r="X12" s="106" t="str">
        <f ca="1">IF(OR(Jan_2026_SotM[[#This Row],[Song 1]]="TBD", Jan_2026_SotM[[#This Row],[Song 2]]="TBD"), "TBD", _xlfn.CONCAT(IF(_xlfn.XOR(ISBLANK(Jan_2026_SotM[[#This Row],[J]]), ISBLANK(Jan_2026_SotM[[#This Row],[J ]])), "", "J "), IF(_xlfn.XOR(ISBLANK(Jan_2026_SotM[[#This Row],[D]]), ISBLANK(Jan_2026_SotM[[#This Row],[D ]])), "", "D "), IF(_xlfn.XOR(ISBLANK(Jan_2026_SotM[[#This Row],[L]]), ISBLANK(Jan_2026_SotM[[#This Row],[L ]])), "", "L "), IF(_xlfn.XOR(ISBLANK(Jan_2026_SotM[[#This Row],[S]]), ISBLANK(Jan_2026_SotM[[#This Row],[S ]])), "", "S "), IF(_xlfn.XOR(ISBLANK(Jan_2026_SotM[[#This Row],[H]]), ISBLANK(Jan_2026_SotM[[#This Row],[H ]])), "", "H ")))</f>
        <v/>
      </c>
      <c r="Z12" s="109">
        <f t="shared" si="3"/>
        <v>8</v>
      </c>
      <c r="AA12" s="59">
        <v>46043</v>
      </c>
      <c r="AB12" t="str">
        <v>samuelbattista</v>
      </c>
      <c r="AC12" s="3">
        <v>2</v>
      </c>
      <c r="AD12">
        <v>0.89442719099991586</v>
      </c>
      <c r="AE12" t="str">
        <v>Use Me</v>
      </c>
      <c r="AF12" t="str">
        <v>Bill Withers</v>
      </c>
      <c r="AG12" s="100">
        <f t="shared" si="2"/>
        <v>5</v>
      </c>
      <c r="AI12" s="115">
        <f>Jan_2026_SotM[[#This Row],[Max Seed]]/2 + 1</f>
        <v>9</v>
      </c>
      <c r="AJ12" s="105" t="str">
        <f ca="1">IF(Jan_2026_SotM[[#This Row],[Num]]&gt;=$A$1, "-", IF(Jan_2026_SotM[[#This Row],[Score 1]]&gt;=3, Jan_2026_SotM[[#This Row],[Song 2]], IF(Jan_2026_SotM[[#This Row],[Score 2]]&gt;=3, Jan_2026_SotM[[#This Row],[Song 1]], "TBD")))</f>
        <v>Layla</v>
      </c>
      <c r="AK12" s="3">
        <f ca="1">IFERROR(VLOOKUP(Jan_2025_Results48[[#This Row],[Song Title]], $AE$2:$AG$17, 3, FALSE)-Jan_2025_Results48[[#This Row],[Result]], "TBD")</f>
        <v>-4</v>
      </c>
      <c r="AL12" s="3" t="str">
        <f t="shared" ca="1" si="4"/>
        <v>↓</v>
      </c>
    </row>
    <row r="13" spans="1:38">
      <c r="A13" s="199" t="str">
        <f>_xlfn.CONCAT("Seed ", Jan_2026_SotM[[#This Row],[Top Seed]], " vs ",Jan_2026_SotM[[#This Row],[Low Seed]])</f>
        <v>Seed 5 vs 12</v>
      </c>
      <c r="B13" s="201">
        <v>11</v>
      </c>
      <c r="C13" s="200">
        <f>FLOOR(LOG(Jan_2026_SotM[[#This Row],[Num]], 2), 1)</f>
        <v>3</v>
      </c>
      <c r="D13" s="200">
        <f>2^(Jan_2026_SotM[[#This Row],[Round]]+1)</f>
        <v>16</v>
      </c>
      <c r="E13" s="200">
        <f>Jan_2026_SotM[[#This Row],[Max Seed]]-Jan_2026_SotM[[#This Row],[Num]]</f>
        <v>5</v>
      </c>
      <c r="F13" s="200">
        <f>Jan_2026_SotM[[#This Row],[Max Seed]]-Jan_2026_SotM[[#This Row],[Top Seed]]+1</f>
        <v>12</v>
      </c>
      <c r="G13" s="200" t="b">
        <f>IF(Jan_2026_SotM[[#This Row],[Round]]=$C$1, TRUE(), IF(Jan_2026_SotM[[#This Row],[Round]]=$B$1, Jan_2026_SotM[[#This Row],[Top Seed]]&lt;=2*Jan_2026_SotM[[#This Row],[Max Seed]]-$A$1, FALSE()))</f>
        <v>1</v>
      </c>
      <c r="H13" s="200" t="b">
        <f>IF(Jan_2026_SotM[[#This Row],[Round]]=$C$1, TRUE(), IF(Jan_2026_SotM[[#This Row],[Round]]=$B$1, Jan_2026_SotM[[#This Row],[Low Seed]]&lt;=2*Jan_2026_SotM[[#This Row],[Max Seed]]-$A$1, FALSE()))</f>
        <v>1</v>
      </c>
      <c r="I13" s="28" t="s">
        <v>4191</v>
      </c>
      <c r="J13" s="31" t="s">
        <v>4191</v>
      </c>
      <c r="K13" s="33" t="s">
        <v>4191</v>
      </c>
      <c r="L13" s="35" t="s">
        <v>4191</v>
      </c>
      <c r="M13" s="37"/>
      <c r="N13" s="203" t="str">
        <f ca="1">IF(Jan_2026_SotM[[#This Row],[Num]]&gt;=$A$1, "-", IF(Jan_2026_SotM[[#This Row],[Initial 1]], VLOOKUP(Jan_2026_SotM[[#This Row],[Top Seed]], $Z$2:$AE$17, 6, FALSE), OFFSET(Jan_2026_SotM[[#This Row],[Winner]], Jan_2026_SotM[[#This Row],[Max Seed]], 0)))</f>
        <v>Hey Jude</v>
      </c>
      <c r="O13" s="203">
        <f>COUNTIF(Jan_2026_SotM[[#This Row],[J]:[H]],"x")</f>
        <v>4</v>
      </c>
      <c r="P13" s="201" t="str">
        <f ca="1">IF(Jan_2026_SotM[[#This Row],[Num]]&gt;=$A$1, "-", IF(Jan_2026_SotM[[#This Row],[Score 1]]&gt;=3, Jan_2026_SotM[[#This Row],[Song 1]], IF(Jan_2026_SotM[[#This Row],[Score 2]]&gt;=3, Jan_2026_SotM[[#This Row],[Song 2]], "TBD")))</f>
        <v>Hey Jude</v>
      </c>
      <c r="Q13" s="206">
        <f>COUNTIF(Jan_2026_SotM[[#This Row],[H ]:[J ]],"x")</f>
        <v>1</v>
      </c>
      <c r="R13" s="206" t="str">
        <f ca="1">IF(Jan_2026_SotM[[#This Row],[Num]]&gt;=$A$1, "-", IF(Jan_2026_SotM[[#This Row],[Initial 2]], VLOOKUP(Jan_2026_SotM[[#This Row],[Low Seed]], $Z$2:$AE$17, 6, FALSE), OFFSET(Jan_2026_SotM[[#This Row],[Winner]], 2*(Jan_2026_SotM[[#This Row],[Max Seed]]-Jan_2026_SotM[[#This Row],[Low Seed]])+1, 0)))</f>
        <v>SO BAD</v>
      </c>
      <c r="S13" s="37" t="s">
        <v>4191</v>
      </c>
      <c r="T13" s="35"/>
      <c r="U13" s="33"/>
      <c r="V13" s="31"/>
      <c r="W13" s="28"/>
      <c r="X13" s="106" t="str">
        <f ca="1">IF(OR(Jan_2026_SotM[[#This Row],[Song 1]]="TBD", Jan_2026_SotM[[#This Row],[Song 2]]="TBD"), "TBD", _xlfn.CONCAT(IF(_xlfn.XOR(ISBLANK(Jan_2026_SotM[[#This Row],[J]]), ISBLANK(Jan_2026_SotM[[#This Row],[J ]])), "", "J "), IF(_xlfn.XOR(ISBLANK(Jan_2026_SotM[[#This Row],[D]]), ISBLANK(Jan_2026_SotM[[#This Row],[D ]])), "", "D "), IF(_xlfn.XOR(ISBLANK(Jan_2026_SotM[[#This Row],[L]]), ISBLANK(Jan_2026_SotM[[#This Row],[L ]])), "", "L "), IF(_xlfn.XOR(ISBLANK(Jan_2026_SotM[[#This Row],[S]]), ISBLANK(Jan_2026_SotM[[#This Row],[S ]])), "", "S "), IF(_xlfn.XOR(ISBLANK(Jan_2026_SotM[[#This Row],[H]]), ISBLANK(Jan_2026_SotM[[#This Row],[H ]])), "", "H ")))</f>
        <v/>
      </c>
      <c r="Z13" s="109">
        <f t="shared" si="3"/>
        <v>10</v>
      </c>
      <c r="AA13" s="59">
        <v>46044</v>
      </c>
      <c r="AB13" t="str">
        <v>currydestroyer27</v>
      </c>
      <c r="AC13" s="3">
        <v>2.2000000000000002</v>
      </c>
      <c r="AD13">
        <v>0.74833147735478833</v>
      </c>
      <c r="AE13" t="str">
        <v>BABY SAID (Sam)</v>
      </c>
      <c r="AF13" t="str">
        <v>Maneskin</v>
      </c>
      <c r="AG13" s="100">
        <f t="shared" si="2"/>
        <v>9</v>
      </c>
      <c r="AI13" s="115">
        <f>Jan_2026_SotM[[#This Row],[Max Seed]]/2 + 1</f>
        <v>9</v>
      </c>
      <c r="AJ13" s="105" t="str">
        <f ca="1">IF(Jan_2026_SotM[[#This Row],[Num]]&gt;=$A$1, "-", IF(Jan_2026_SotM[[#This Row],[Score 1]]&gt;=3, Jan_2026_SotM[[#This Row],[Song 2]], IF(Jan_2026_SotM[[#This Row],[Score 2]]&gt;=3, Jan_2026_SotM[[#This Row],[Song 1]], "TBD")))</f>
        <v>SO BAD</v>
      </c>
      <c r="AK13" s="3">
        <f ca="1">IFERROR(VLOOKUP(Jan_2025_Results48[[#This Row],[Song Title]], $AE$2:$AG$17, 3, FALSE)-Jan_2025_Results48[[#This Row],[Result]], "TBD")</f>
        <v>0</v>
      </c>
      <c r="AL13" s="3" t="str">
        <f t="shared" ca="1" si="4"/>
        <v>-</v>
      </c>
    </row>
    <row r="14" spans="1:38">
      <c r="A14" s="199" t="str">
        <f>_xlfn.CONCAT("Seed ", Jan_2026_SotM[[#This Row],[Top Seed]], " vs ",Jan_2026_SotM[[#This Row],[Low Seed]])</f>
        <v>Seed 4 vs 13</v>
      </c>
      <c r="B14" s="201">
        <v>12</v>
      </c>
      <c r="C14" s="200">
        <f>FLOOR(LOG(Jan_2026_SotM[[#This Row],[Num]], 2), 1)</f>
        <v>3</v>
      </c>
      <c r="D14" s="200">
        <f>2^(Jan_2026_SotM[[#This Row],[Round]]+1)</f>
        <v>16</v>
      </c>
      <c r="E14" s="200">
        <f>Jan_2026_SotM[[#This Row],[Max Seed]]-Jan_2026_SotM[[#This Row],[Num]]</f>
        <v>4</v>
      </c>
      <c r="F14" s="200">
        <f>Jan_2026_SotM[[#This Row],[Max Seed]]-Jan_2026_SotM[[#This Row],[Top Seed]]+1</f>
        <v>13</v>
      </c>
      <c r="G14" s="200" t="b">
        <f>IF(Jan_2026_SotM[[#This Row],[Round]]=$C$1, TRUE(), IF(Jan_2026_SotM[[#This Row],[Round]]=$B$1, Jan_2026_SotM[[#This Row],[Top Seed]]&lt;=2*Jan_2026_SotM[[#This Row],[Max Seed]]-$A$1, FALSE()))</f>
        <v>1</v>
      </c>
      <c r="H14" s="200" t="b">
        <f>IF(Jan_2026_SotM[[#This Row],[Round]]=$C$1, TRUE(), IF(Jan_2026_SotM[[#This Row],[Round]]=$B$1, Jan_2026_SotM[[#This Row],[Low Seed]]&lt;=2*Jan_2026_SotM[[#This Row],[Max Seed]]-$A$1, FALSE()))</f>
        <v>1</v>
      </c>
      <c r="I14" s="28" t="s">
        <v>4191</v>
      </c>
      <c r="J14" s="31" t="s">
        <v>4191</v>
      </c>
      <c r="K14" s="33" t="s">
        <v>4191</v>
      </c>
      <c r="L14" s="35" t="s">
        <v>4191</v>
      </c>
      <c r="M14" s="37" t="s">
        <v>4191</v>
      </c>
      <c r="N14" s="203" t="str">
        <f ca="1">IF(Jan_2026_SotM[[#This Row],[Num]]&gt;=$A$1, "-", IF(Jan_2026_SotM[[#This Row],[Initial 1]], VLOOKUP(Jan_2026_SotM[[#This Row],[Top Seed]], $Z$2:$AE$17, 6, FALSE), OFFSET(Jan_2026_SotM[[#This Row],[Winner]], Jan_2026_SotM[[#This Row],[Max Seed]], 0)))</f>
        <v>NERVOUS</v>
      </c>
      <c r="O14" s="203">
        <f>COUNTIF(Jan_2026_SotM[[#This Row],[J]:[H]],"x")</f>
        <v>5</v>
      </c>
      <c r="P14" s="201" t="str">
        <f ca="1">IF(Jan_2026_SotM[[#This Row],[Num]]&gt;=$A$1, "-", IF(Jan_2026_SotM[[#This Row],[Score 1]]&gt;=3, Jan_2026_SotM[[#This Row],[Song 1]], IF(Jan_2026_SotM[[#This Row],[Score 2]]&gt;=3, Jan_2026_SotM[[#This Row],[Song 2]], "TBD")))</f>
        <v>NERVOUS</v>
      </c>
      <c r="Q14" s="206">
        <f>COUNTIF(Jan_2026_SotM[[#This Row],[H ]:[J ]],"x")</f>
        <v>0</v>
      </c>
      <c r="R14" s="206" t="str">
        <f ca="1">IF(Jan_2026_SotM[[#This Row],[Num]]&gt;=$A$1, "-", IF(Jan_2026_SotM[[#This Row],[Initial 2]], VLOOKUP(Jan_2026_SotM[[#This Row],[Low Seed]], $Z$2:$AE$17, 6, FALSE), OFFSET(Jan_2026_SotM[[#This Row],[Winner]], 2*(Jan_2026_SotM[[#This Row],[Max Seed]]-Jan_2026_SotM[[#This Row],[Low Seed]])+1, 0)))</f>
        <v>Box In The Basement</v>
      </c>
      <c r="S14" s="37"/>
      <c r="T14" s="35"/>
      <c r="U14" s="33"/>
      <c r="V14" s="31"/>
      <c r="W14" s="28"/>
      <c r="X14" s="106" t="str">
        <f ca="1">IF(OR(Jan_2026_SotM[[#This Row],[Song 1]]="TBD", Jan_2026_SotM[[#This Row],[Song 2]]="TBD"), "TBD", _xlfn.CONCAT(IF(_xlfn.XOR(ISBLANK(Jan_2026_SotM[[#This Row],[J]]), ISBLANK(Jan_2026_SotM[[#This Row],[J ]])), "", "J "), IF(_xlfn.XOR(ISBLANK(Jan_2026_SotM[[#This Row],[D]]), ISBLANK(Jan_2026_SotM[[#This Row],[D ]])), "", "D "), IF(_xlfn.XOR(ISBLANK(Jan_2026_SotM[[#This Row],[L]]), ISBLANK(Jan_2026_SotM[[#This Row],[L ]])), "", "L "), IF(_xlfn.XOR(ISBLANK(Jan_2026_SotM[[#This Row],[S]]), ISBLANK(Jan_2026_SotM[[#This Row],[S ]])), "", "S "), IF(_xlfn.XOR(ISBLANK(Jan_2026_SotM[[#This Row],[H]]), ISBLANK(Jan_2026_SotM[[#This Row],[H ]])), "", "H ")))</f>
        <v/>
      </c>
      <c r="Z14" s="109">
        <f t="shared" si="3"/>
        <v>3</v>
      </c>
      <c r="AA14" s="59">
        <v>46048</v>
      </c>
      <c r="AB14" t="str">
        <v>alappatjoe</v>
      </c>
      <c r="AC14" s="3">
        <v>1.8</v>
      </c>
      <c r="AD14">
        <v>0.4</v>
      </c>
      <c r="AE14" t="str">
        <v>Sweet Disposition</v>
      </c>
      <c r="AF14" t="str">
        <v>The Temper Trap</v>
      </c>
      <c r="AG14" s="100">
        <f t="shared" si="2"/>
        <v>3</v>
      </c>
      <c r="AI14" s="115">
        <f>Jan_2026_SotM[[#This Row],[Max Seed]]/2 + 1</f>
        <v>9</v>
      </c>
      <c r="AJ14" s="105" t="str">
        <f ca="1">IF(Jan_2026_SotM[[#This Row],[Num]]&gt;=$A$1, "-", IF(Jan_2026_SotM[[#This Row],[Score 1]]&gt;=3, Jan_2026_SotM[[#This Row],[Song 2]], IF(Jan_2026_SotM[[#This Row],[Score 2]]&gt;=3, Jan_2026_SotM[[#This Row],[Song 1]], "TBD")))</f>
        <v>Box In The Basement</v>
      </c>
      <c r="AK14" s="3">
        <f ca="1">IFERROR(VLOOKUP(Jan_2025_Results48[[#This Row],[Song Title]], $AE$2:$AG$17, 3, FALSE)-Jan_2025_Results48[[#This Row],[Result]], "TBD")</f>
        <v>0</v>
      </c>
      <c r="AL14" s="3" t="str">
        <f t="shared" ca="1" si="4"/>
        <v>-</v>
      </c>
    </row>
    <row r="15" spans="1:38">
      <c r="A15" s="199" t="str">
        <f>_xlfn.CONCAT("Seed ", Jan_2026_SotM[[#This Row],[Top Seed]], " vs ",Jan_2026_SotM[[#This Row],[Low Seed]])</f>
        <v>Seed 3 vs 14</v>
      </c>
      <c r="B15" s="201">
        <v>13</v>
      </c>
      <c r="C15" s="200">
        <f>FLOOR(LOG(Jan_2026_SotM[[#This Row],[Num]], 2), 1)</f>
        <v>3</v>
      </c>
      <c r="D15" s="200">
        <f>2^(Jan_2026_SotM[[#This Row],[Round]]+1)</f>
        <v>16</v>
      </c>
      <c r="E15" s="200">
        <f>Jan_2026_SotM[[#This Row],[Max Seed]]-Jan_2026_SotM[[#This Row],[Num]]</f>
        <v>3</v>
      </c>
      <c r="F15" s="200">
        <f>Jan_2026_SotM[[#This Row],[Max Seed]]-Jan_2026_SotM[[#This Row],[Top Seed]]+1</f>
        <v>14</v>
      </c>
      <c r="G15" s="200" t="b">
        <f>IF(Jan_2026_SotM[[#This Row],[Round]]=$C$1, TRUE(), IF(Jan_2026_SotM[[#This Row],[Round]]=$B$1, Jan_2026_SotM[[#This Row],[Top Seed]]&lt;=2*Jan_2026_SotM[[#This Row],[Max Seed]]-$A$1, FALSE()))</f>
        <v>1</v>
      </c>
      <c r="H15" s="200" t="b">
        <f>IF(Jan_2026_SotM[[#This Row],[Round]]=$C$1, TRUE(), IF(Jan_2026_SotM[[#This Row],[Round]]=$B$1, Jan_2026_SotM[[#This Row],[Low Seed]]&lt;=2*Jan_2026_SotM[[#This Row],[Max Seed]]-$A$1, FALSE()))</f>
        <v>1</v>
      </c>
      <c r="I15" s="28" t="s">
        <v>4191</v>
      </c>
      <c r="J15" s="31"/>
      <c r="K15" s="33"/>
      <c r="L15" s="35"/>
      <c r="M15" s="37" t="s">
        <v>4191</v>
      </c>
      <c r="N15" s="203" t="str">
        <f ca="1">IF(Jan_2026_SotM[[#This Row],[Num]]&gt;=$A$1, "-", IF(Jan_2026_SotM[[#This Row],[Initial 1]], VLOOKUP(Jan_2026_SotM[[#This Row],[Top Seed]], $Z$2:$AE$17, 6, FALSE), OFFSET(Jan_2026_SotM[[#This Row],[Winner]], Jan_2026_SotM[[#This Row],[Max Seed]], 0)))</f>
        <v>Sweet Disposition</v>
      </c>
      <c r="O15" s="203">
        <f>COUNTIF(Jan_2026_SotM[[#This Row],[J]:[H]],"x")</f>
        <v>2</v>
      </c>
      <c r="P15" s="201" t="str">
        <f ca="1">IF(Jan_2026_SotM[[#This Row],[Num]]&gt;=$A$1, "-", IF(Jan_2026_SotM[[#This Row],[Score 1]]&gt;=3, Jan_2026_SotM[[#This Row],[Song 1]], IF(Jan_2026_SotM[[#This Row],[Score 2]]&gt;=3, Jan_2026_SotM[[#This Row],[Song 2]], "TBD")))</f>
        <v>luv stuck</v>
      </c>
      <c r="Q15" s="206">
        <f>COUNTIF(Jan_2026_SotM[[#This Row],[H ]:[J ]],"x")</f>
        <v>3</v>
      </c>
      <c r="R15" s="206" t="str">
        <f ca="1">IF(Jan_2026_SotM[[#This Row],[Num]]&gt;=$A$1, "-", IF(Jan_2026_SotM[[#This Row],[Initial 2]], VLOOKUP(Jan_2026_SotM[[#This Row],[Low Seed]], $Z$2:$AE$17, 6, FALSE), OFFSET(Jan_2026_SotM[[#This Row],[Winner]], 2*(Jan_2026_SotM[[#This Row],[Max Seed]]-Jan_2026_SotM[[#This Row],[Low Seed]])+1, 0)))</f>
        <v>luv stuck</v>
      </c>
      <c r="S15" s="37"/>
      <c r="T15" s="35" t="s">
        <v>4191</v>
      </c>
      <c r="U15" s="33" t="s">
        <v>4191</v>
      </c>
      <c r="V15" s="31" t="s">
        <v>4191</v>
      </c>
      <c r="W15" s="28"/>
      <c r="X15" s="106" t="str">
        <f ca="1">IF(OR(Jan_2026_SotM[[#This Row],[Song 1]]="TBD", Jan_2026_SotM[[#This Row],[Song 2]]="TBD"), "TBD", _xlfn.CONCAT(IF(_xlfn.XOR(ISBLANK(Jan_2026_SotM[[#This Row],[J]]), ISBLANK(Jan_2026_SotM[[#This Row],[J ]])), "", "J "), IF(_xlfn.XOR(ISBLANK(Jan_2026_SotM[[#This Row],[D]]), ISBLANK(Jan_2026_SotM[[#This Row],[D ]])), "", "D "), IF(_xlfn.XOR(ISBLANK(Jan_2026_SotM[[#This Row],[L]]), ISBLANK(Jan_2026_SotM[[#This Row],[L ]])), "", "L "), IF(_xlfn.XOR(ISBLANK(Jan_2026_SotM[[#This Row],[S]]), ISBLANK(Jan_2026_SotM[[#This Row],[S ]])), "", "S "), IF(_xlfn.XOR(ISBLANK(Jan_2026_SotM[[#This Row],[H]]), ISBLANK(Jan_2026_SotM[[#This Row],[H ]])), "", "H ")))</f>
        <v/>
      </c>
      <c r="Z15" s="109">
        <f t="shared" si="3"/>
        <v>14</v>
      </c>
      <c r="AA15" s="59">
        <v>46049</v>
      </c>
      <c r="AB15" t="str">
        <v>loganworsdell</v>
      </c>
      <c r="AC15" s="3">
        <v>2.4</v>
      </c>
      <c r="AD15">
        <v>0.8</v>
      </c>
      <c r="AE15" t="str">
        <v>luv stuck</v>
      </c>
      <c r="AF15" t="str">
        <v>salute, piri</v>
      </c>
      <c r="AG15" s="100">
        <f t="shared" si="2"/>
        <v>9</v>
      </c>
      <c r="AI15" s="115">
        <f>Jan_2026_SotM[[#This Row],[Max Seed]]/2 + 1</f>
        <v>9</v>
      </c>
      <c r="AJ15" s="105" t="str">
        <f ca="1">IF(Jan_2026_SotM[[#This Row],[Num]]&gt;=$A$1, "-", IF(Jan_2026_SotM[[#This Row],[Score 1]]&gt;=3, Jan_2026_SotM[[#This Row],[Song 2]], IF(Jan_2026_SotM[[#This Row],[Score 2]]&gt;=3, Jan_2026_SotM[[#This Row],[Song 1]], "TBD")))</f>
        <v>Sweet Disposition</v>
      </c>
      <c r="AK15" s="3">
        <f ca="1">IFERROR(VLOOKUP(Jan_2025_Results48[[#This Row],[Song Title]], $AE$2:$AG$17, 3, FALSE)-Jan_2025_Results48[[#This Row],[Result]], "TBD")</f>
        <v>-6</v>
      </c>
      <c r="AL15" s="3" t="str">
        <f t="shared" ca="1" si="4"/>
        <v>↓</v>
      </c>
    </row>
    <row r="16" spans="1:38">
      <c r="A16" s="199" t="str">
        <f>_xlfn.CONCAT("Seed ", Jan_2026_SotM[[#This Row],[Top Seed]], " vs ",Jan_2026_SotM[[#This Row],[Low Seed]])</f>
        <v>Seed 2 vs 15</v>
      </c>
      <c r="B16" s="201">
        <v>14</v>
      </c>
      <c r="C16" s="200">
        <f>FLOOR(LOG(Jan_2026_SotM[[#This Row],[Num]], 2), 1)</f>
        <v>3</v>
      </c>
      <c r="D16" s="200">
        <f>2^(Jan_2026_SotM[[#This Row],[Round]]+1)</f>
        <v>16</v>
      </c>
      <c r="E16" s="200">
        <f>Jan_2026_SotM[[#This Row],[Max Seed]]-Jan_2026_SotM[[#This Row],[Num]]</f>
        <v>2</v>
      </c>
      <c r="F16" s="200">
        <f>Jan_2026_SotM[[#This Row],[Max Seed]]-Jan_2026_SotM[[#This Row],[Top Seed]]+1</f>
        <v>15</v>
      </c>
      <c r="G16" s="200" t="b">
        <f>IF(Jan_2026_SotM[[#This Row],[Round]]=$C$1, TRUE(), IF(Jan_2026_SotM[[#This Row],[Round]]=$B$1, Jan_2026_SotM[[#This Row],[Top Seed]]&lt;=2*Jan_2026_SotM[[#This Row],[Max Seed]]-$A$1, FALSE()))</f>
        <v>1</v>
      </c>
      <c r="H16" s="200" t="b">
        <f>IF(Jan_2026_SotM[[#This Row],[Round]]=$C$1, TRUE(), IF(Jan_2026_SotM[[#This Row],[Round]]=$B$1, Jan_2026_SotM[[#This Row],[Low Seed]]&lt;=2*Jan_2026_SotM[[#This Row],[Max Seed]]-$A$1, FALSE()))</f>
        <v>1</v>
      </c>
      <c r="I16" s="28" t="s">
        <v>4191</v>
      </c>
      <c r="J16" s="31"/>
      <c r="K16" s="33"/>
      <c r="L16" s="35"/>
      <c r="M16" s="37"/>
      <c r="N16" s="203" t="str">
        <f ca="1">IF(Jan_2026_SotM[[#This Row],[Num]]&gt;=$A$1, "-", IF(Jan_2026_SotM[[#This Row],[Initial 1]], VLOOKUP(Jan_2026_SotM[[#This Row],[Top Seed]], $Z$2:$AE$17, 6, FALSE), OFFSET(Jan_2026_SotM[[#This Row],[Winner]], Jan_2026_SotM[[#This Row],[Max Seed]], 0)))</f>
        <v>Fly</v>
      </c>
      <c r="O16" s="203">
        <f>COUNTIF(Jan_2026_SotM[[#This Row],[J]:[H]],"x")</f>
        <v>1</v>
      </c>
      <c r="P16" s="201" t="str">
        <f ca="1">IF(Jan_2026_SotM[[#This Row],[Num]]&gt;=$A$1, "-", IF(Jan_2026_SotM[[#This Row],[Score 1]]&gt;=3, Jan_2026_SotM[[#This Row],[Song 1]], IF(Jan_2026_SotM[[#This Row],[Score 2]]&gt;=3, Jan_2026_SotM[[#This Row],[Song 2]], "TBD")))</f>
        <v>Messages from the Stars</v>
      </c>
      <c r="Q16" s="206">
        <f>COUNTIF(Jan_2026_SotM[[#This Row],[H ]:[J ]],"x")</f>
        <v>4</v>
      </c>
      <c r="R16" s="206" t="str">
        <f ca="1">IF(Jan_2026_SotM[[#This Row],[Num]]&gt;=$A$1, "-", IF(Jan_2026_SotM[[#This Row],[Initial 2]], VLOOKUP(Jan_2026_SotM[[#This Row],[Low Seed]], $Z$2:$AE$17, 6, FALSE), OFFSET(Jan_2026_SotM[[#This Row],[Winner]], 2*(Jan_2026_SotM[[#This Row],[Max Seed]]-Jan_2026_SotM[[#This Row],[Low Seed]])+1, 0)))</f>
        <v>Messages from the Stars</v>
      </c>
      <c r="S16" s="37" t="s">
        <v>4191</v>
      </c>
      <c r="T16" s="35" t="s">
        <v>4191</v>
      </c>
      <c r="U16" s="33" t="s">
        <v>4191</v>
      </c>
      <c r="V16" s="31" t="s">
        <v>4191</v>
      </c>
      <c r="W16" s="28"/>
      <c r="X16" s="106" t="str">
        <f ca="1">IF(OR(Jan_2026_SotM[[#This Row],[Song 1]]="TBD", Jan_2026_SotM[[#This Row],[Song 2]]="TBD"), "TBD", _xlfn.CONCAT(IF(_xlfn.XOR(ISBLANK(Jan_2026_SotM[[#This Row],[J]]), ISBLANK(Jan_2026_SotM[[#This Row],[J ]])), "", "J "), IF(_xlfn.XOR(ISBLANK(Jan_2026_SotM[[#This Row],[D]]), ISBLANK(Jan_2026_SotM[[#This Row],[D ]])), "", "D "), IF(_xlfn.XOR(ISBLANK(Jan_2026_SotM[[#This Row],[L]]), ISBLANK(Jan_2026_SotM[[#This Row],[L ]])), "", "L "), IF(_xlfn.XOR(ISBLANK(Jan_2026_SotM[[#This Row],[S]]), ISBLANK(Jan_2026_SotM[[#This Row],[S ]])), "", "S "), IF(_xlfn.XOR(ISBLANK(Jan_2026_SotM[[#This Row],[H]]), ISBLANK(Jan_2026_SotM[[#This Row],[H ]])), "", "H ")))</f>
        <v/>
      </c>
      <c r="Z16" s="109">
        <f t="shared" si="3"/>
        <v>9</v>
      </c>
      <c r="AA16" s="59">
        <v>46050</v>
      </c>
      <c r="AB16" t="str">
        <v>currydestroyer27</v>
      </c>
      <c r="AC16" s="3">
        <v>2</v>
      </c>
      <c r="AD16">
        <v>1.2649110640673518</v>
      </c>
      <c r="AE16" t="str">
        <v>The Color Violet</v>
      </c>
      <c r="AF16" t="str">
        <v>Tory Lanez</v>
      </c>
      <c r="AG16" s="100">
        <f t="shared" si="2"/>
        <v>9</v>
      </c>
      <c r="AI16" s="115">
        <f>Jan_2026_SotM[[#This Row],[Max Seed]]/2 + 1</f>
        <v>9</v>
      </c>
      <c r="AJ16" s="105" t="str">
        <f ca="1">IF(Jan_2026_SotM[[#This Row],[Num]]&gt;=$A$1, "-", IF(Jan_2026_SotM[[#This Row],[Score 1]]&gt;=3, Jan_2026_SotM[[#This Row],[Song 2]], IF(Jan_2026_SotM[[#This Row],[Score 2]]&gt;=3, Jan_2026_SotM[[#This Row],[Song 1]], "TBD")))</f>
        <v>Fly</v>
      </c>
      <c r="AK16" s="3">
        <f ca="1">IFERROR(VLOOKUP(Jan_2025_Results48[[#This Row],[Song Title]], $AE$2:$AG$17, 3, FALSE)-Jan_2025_Results48[[#This Row],[Result]], "TBD")</f>
        <v>-7</v>
      </c>
      <c r="AL16" s="3" t="str">
        <f t="shared" ca="1" si="4"/>
        <v>↓</v>
      </c>
    </row>
    <row r="17" spans="1:38">
      <c r="A17" s="199" t="str">
        <f>_xlfn.CONCAT("Seed ", Jan_2026_SotM[[#This Row],[Top Seed]], " vs ",Jan_2026_SotM[[#This Row],[Low Seed]])</f>
        <v>Seed 1 vs 16</v>
      </c>
      <c r="B17" s="201">
        <v>15</v>
      </c>
      <c r="C17" s="200">
        <f>FLOOR(LOG(Jan_2026_SotM[[#This Row],[Num]], 2), 1)</f>
        <v>3</v>
      </c>
      <c r="D17" s="200">
        <f>2^(Jan_2026_SotM[[#This Row],[Round]]+1)</f>
        <v>16</v>
      </c>
      <c r="E17" s="200">
        <f>Jan_2026_SotM[[#This Row],[Max Seed]]-Jan_2026_SotM[[#This Row],[Num]]</f>
        <v>1</v>
      </c>
      <c r="F17" s="200">
        <f>Jan_2026_SotM[[#This Row],[Max Seed]]-Jan_2026_SotM[[#This Row],[Top Seed]]+1</f>
        <v>16</v>
      </c>
      <c r="G17" s="200" t="b">
        <f>IF(Jan_2026_SotM[[#This Row],[Round]]=$C$1, TRUE(), IF(Jan_2026_SotM[[#This Row],[Round]]=$B$1, Jan_2026_SotM[[#This Row],[Top Seed]]&lt;=2*Jan_2026_SotM[[#This Row],[Max Seed]]-$A$1, FALSE()))</f>
        <v>1</v>
      </c>
      <c r="H17" s="200" t="b">
        <f>IF(Jan_2026_SotM[[#This Row],[Round]]=$C$1, TRUE(), IF(Jan_2026_SotM[[#This Row],[Round]]=$B$1, Jan_2026_SotM[[#This Row],[Low Seed]]&lt;=2*Jan_2026_SotM[[#This Row],[Max Seed]]-$A$1, FALSE()))</f>
        <v>1</v>
      </c>
      <c r="I17" s="28"/>
      <c r="J17" s="31" t="s">
        <v>4191</v>
      </c>
      <c r="K17" s="33" t="s">
        <v>4191</v>
      </c>
      <c r="L17" s="35" t="s">
        <v>4191</v>
      </c>
      <c r="M17" s="37" t="s">
        <v>4191</v>
      </c>
      <c r="N17" s="203" t="str">
        <f ca="1">IF(Jan_2026_SotM[[#This Row],[Num]]&gt;=$A$1, "-", IF(Jan_2026_SotM[[#This Row],[Initial 1]], VLOOKUP(Jan_2026_SotM[[#This Row],[Top Seed]], $Z$2:$AE$17, 6, FALSE), OFFSET(Jan_2026_SotM[[#This Row],[Winner]], Jan_2026_SotM[[#This Row],[Max Seed]], 0)))</f>
        <v>In Da Club</v>
      </c>
      <c r="O17" s="203">
        <f>COUNTIF(Jan_2026_SotM[[#This Row],[J]:[H]],"x")</f>
        <v>4</v>
      </c>
      <c r="P17" s="201" t="str">
        <f ca="1">IF(Jan_2026_SotM[[#This Row],[Num]]&gt;=$A$1, "-", IF(Jan_2026_SotM[[#This Row],[Score 1]]&gt;=3, Jan_2026_SotM[[#This Row],[Song 1]], IF(Jan_2026_SotM[[#This Row],[Score 2]]&gt;=3, Jan_2026_SotM[[#This Row],[Song 2]], "TBD")))</f>
        <v>In Da Club</v>
      </c>
      <c r="Q17" s="206">
        <f>COUNTIF(Jan_2026_SotM[[#This Row],[H ]:[J ]],"x")</f>
        <v>1</v>
      </c>
      <c r="R17" s="206" t="str">
        <f ca="1">IF(Jan_2026_SotM[[#This Row],[Num]]&gt;=$A$1, "-", IF(Jan_2026_SotM[[#This Row],[Initial 2]], VLOOKUP(Jan_2026_SotM[[#This Row],[Low Seed]], $Z$2:$AE$17, 6, FALSE), OFFSET(Jan_2026_SotM[[#This Row],[Winner]], 2*(Jan_2026_SotM[[#This Row],[Max Seed]]-Jan_2026_SotM[[#This Row],[Low Seed]])+1, 0)))</f>
        <v>RABBITHOLE</v>
      </c>
      <c r="S17" s="37"/>
      <c r="T17" s="35"/>
      <c r="U17" s="33"/>
      <c r="V17" s="31"/>
      <c r="W17" s="28" t="s">
        <v>4191</v>
      </c>
      <c r="X17" s="106" t="str">
        <f ca="1">IF(OR(Jan_2026_SotM[[#This Row],[Song 1]]="TBD", Jan_2026_SotM[[#This Row],[Song 2]]="TBD"), "TBD", _xlfn.CONCAT(IF(_xlfn.XOR(ISBLANK(Jan_2026_SotM[[#This Row],[J]]), ISBLANK(Jan_2026_SotM[[#This Row],[J ]])), "", "J "), IF(_xlfn.XOR(ISBLANK(Jan_2026_SotM[[#This Row],[D]]), ISBLANK(Jan_2026_SotM[[#This Row],[D ]])), "", "D "), IF(_xlfn.XOR(ISBLANK(Jan_2026_SotM[[#This Row],[L]]), ISBLANK(Jan_2026_SotM[[#This Row],[L ]])), "", "L "), IF(_xlfn.XOR(ISBLANK(Jan_2026_SotM[[#This Row],[S]]), ISBLANK(Jan_2026_SotM[[#This Row],[S ]])), "", "S "), IF(_xlfn.XOR(ISBLANK(Jan_2026_SotM[[#This Row],[H]]), ISBLANK(Jan_2026_SotM[[#This Row],[H ]])), "", "H ")))</f>
        <v/>
      </c>
      <c r="Z17" s="110">
        <f>IF(AC17&gt;0, COUNTIF(AC$2:AC$17, "&lt;"&amp;AC17) + COUNTIFS(AC$2:AC$17, AC17, AD$2:AD$17, "&lt;"&amp;AD17) + COUNTIFS(AC$2:AC$17, AC17, AD$2:AD$17, AD17, AA$2:AA$17, "&lt;"&amp;AA17) + 1, "TBD")</f>
        <v>1</v>
      </c>
      <c r="AA17" s="211">
        <v>46051</v>
      </c>
      <c r="AB17" s="157" t="str">
        <v>currydestroyer27</v>
      </c>
      <c r="AC17" s="101">
        <v>1.4</v>
      </c>
      <c r="AD17" s="157">
        <v>0.4898979485566356</v>
      </c>
      <c r="AE17" s="157" t="str">
        <v>In Da Club</v>
      </c>
      <c r="AF17" s="157" t="str">
        <v>50 Cent</v>
      </c>
      <c r="AG17" s="102">
        <f t="shared" si="2"/>
        <v>1</v>
      </c>
      <c r="AI17" s="115">
        <f>Jan_2026_SotM[[#This Row],[Max Seed]]/2 + 1</f>
        <v>9</v>
      </c>
      <c r="AJ17" s="105" t="str">
        <f ca="1">IF(Jan_2026_SotM[[#This Row],[Num]]&gt;=$A$1, "-", IF(Jan_2026_SotM[[#This Row],[Score 1]]&gt;=3, Jan_2026_SotM[[#This Row],[Song 2]], IF(Jan_2026_SotM[[#This Row],[Score 2]]&gt;=3, Jan_2026_SotM[[#This Row],[Song 1]], "TBD")))</f>
        <v>RABBITHOLE</v>
      </c>
      <c r="AK17" s="3">
        <f ca="1">IFERROR(VLOOKUP(Jan_2025_Results48[[#This Row],[Song Title]], $AE$2:$AG$17, 3, FALSE)-Jan_2025_Results48[[#This Row],[Result]], "TBD")</f>
        <v>0</v>
      </c>
      <c r="AL17" s="3" t="str">
        <f t="shared" ca="1" si="4"/>
        <v>-</v>
      </c>
    </row>
    <row r="19" spans="1:38">
      <c r="A19" s="302">
        <f>MAX(Z20:Z35)</f>
        <v>16</v>
      </c>
      <c r="B19" s="302">
        <f t="shared" ref="B19" si="5">FLOOR(LOG(A19, 2), 1)-1</f>
        <v>3</v>
      </c>
      <c r="C19" s="302">
        <f t="shared" ref="C19" si="6">_xlfn.CEILING.MATH(LOG(A19, 2), 1)-1</f>
        <v>3</v>
      </c>
      <c r="D19" s="302"/>
      <c r="E19" s="302"/>
      <c r="F19" s="302"/>
      <c r="G19" s="302"/>
      <c r="H19" s="302"/>
      <c r="I19" s="348" t="s">
        <v>4192</v>
      </c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02"/>
      <c r="Z19" s="221" t="s">
        <v>4163</v>
      </c>
      <c r="AA19" s="222" t="s">
        <v>29</v>
      </c>
      <c r="AB19" s="220" t="s">
        <v>32</v>
      </c>
      <c r="AC19" s="221" t="s">
        <v>33</v>
      </c>
      <c r="AD19" s="220" t="s">
        <v>34</v>
      </c>
      <c r="AE19" s="220" t="s">
        <v>4161</v>
      </c>
      <c r="AF19" s="220" t="s">
        <v>36</v>
      </c>
      <c r="AG19" s="221" t="s">
        <v>4164</v>
      </c>
      <c r="AI19" s="3" t="s">
        <v>4165</v>
      </c>
      <c r="AJ19" t="s">
        <v>35</v>
      </c>
      <c r="AK19" s="3" t="s">
        <v>4166</v>
      </c>
      <c r="AL19" s="3" t="s">
        <v>4167</v>
      </c>
    </row>
    <row r="20" spans="1:38">
      <c r="A20" t="s">
        <v>4168</v>
      </c>
      <c r="B20" s="3" t="s">
        <v>4169</v>
      </c>
      <c r="C20" t="s">
        <v>4170</v>
      </c>
      <c r="D20" t="s">
        <v>4171</v>
      </c>
      <c r="E20" t="s">
        <v>4172</v>
      </c>
      <c r="F20" t="s">
        <v>4173</v>
      </c>
      <c r="G20" t="s">
        <v>4174</v>
      </c>
      <c r="H20" t="s">
        <v>4175</v>
      </c>
      <c r="I20" t="s">
        <v>4176</v>
      </c>
      <c r="J20" t="s">
        <v>4177</v>
      </c>
      <c r="K20" t="s">
        <v>4178</v>
      </c>
      <c r="L20" t="s">
        <v>4179</v>
      </c>
      <c r="M20" t="s">
        <v>4180</v>
      </c>
      <c r="N20" s="3" t="s">
        <v>4181</v>
      </c>
      <c r="O20" t="s">
        <v>4182</v>
      </c>
      <c r="P20" s="3" t="s">
        <v>47</v>
      </c>
      <c r="Q20" s="123" t="s">
        <v>4183</v>
      </c>
      <c r="R20" s="3" t="s">
        <v>4184</v>
      </c>
      <c r="S20" t="s">
        <v>4185</v>
      </c>
      <c r="T20" t="s">
        <v>4186</v>
      </c>
      <c r="U20" t="s">
        <v>4187</v>
      </c>
      <c r="V20" t="s">
        <v>4188</v>
      </c>
      <c r="W20" t="s">
        <v>4189</v>
      </c>
      <c r="X20" s="3" t="s">
        <v>4190</v>
      </c>
      <c r="Z20" s="109">
        <f>IF(AC20&gt;0, COUNTIF(AC$20:AC$35, "&lt;"&amp;AC20) + COUNTIFS(AC$20:AC$35, AC20, AD$20:AD$35, "&lt;"&amp;AD20) + COUNTIFS(AC$20:AC$35, AC20, AD$20:AD$35, AD20, AA$20:AA$35, "&lt;"&amp;AA20) + 1, "TBD")</f>
        <v>10</v>
      </c>
      <c r="AA20" s="59" cm="1">
        <f t="array" ref="AA20:AF35">_xlfn._xlws.FILTER(Data[Date]:Data[Artist], (Data[Date]&gt;=DATE(2026,2,1))*(Data[Date]&lt;=DATE(2026,2,28))*(Data[Winner]=TRUE()), "TBD")</f>
        <v>46055</v>
      </c>
      <c r="AB20" t="str">
        <v>loganworsdell</v>
      </c>
      <c r="AC20" s="3">
        <v>2.4</v>
      </c>
      <c r="AD20">
        <v>1.019803902718557</v>
      </c>
      <c r="AE20" t="str">
        <v>diamonds are forever</v>
      </c>
      <c r="AF20" t="str">
        <v>bbno$</v>
      </c>
      <c r="AG20" s="100">
        <f t="shared" ref="AG20:AG35" si="7">IF(Z20&gt;1, 2^FLOOR(LOG(Z20-1, 2), 1)+1, 1)</f>
        <v>9</v>
      </c>
      <c r="AI20" s="115">
        <v>1</v>
      </c>
      <c r="AJ20" s="105" t="str">
        <f ca="1">P21</f>
        <v>あの空の向こうがわへ</v>
      </c>
      <c r="AK20" s="3">
        <f ca="1">IFERROR(VLOOKUP(Feb_2025_Results50[[#This Row],[Song Title]], $AE$20:$AG$35, 3, FALSE)-Feb_2025_Results50[[#This Row],[Result]], "TBD")</f>
        <v>8</v>
      </c>
      <c r="AL20" s="3" t="str">
        <f ca="1">IF(AK20&lt;0,"↓",IF(AK20=0,"-","↑"))</f>
        <v>↑</v>
      </c>
    </row>
    <row r="21" spans="1:38">
      <c r="A21" s="105" t="str">
        <f>_xlfn.CONCAT("Seed ", Feb_2026_SotM[[#This Row],[Top Seed]], " vs ",Feb_2026_SotM[[#This Row],[Low Seed]])</f>
        <v>Seed 1 vs 2</v>
      </c>
      <c r="B21" s="115">
        <v>1</v>
      </c>
      <c r="C21" s="105">
        <f>FLOOR(LOG(Feb_2026_SotM[[#This Row],[Num]], 2), 1)</f>
        <v>0</v>
      </c>
      <c r="D21" s="105">
        <f>2^(Feb_2026_SotM[[#This Row],[Round]]+1)</f>
        <v>2</v>
      </c>
      <c r="E21" s="105">
        <f>Feb_2026_SotM[[#This Row],[Max Seed]]-Feb_2026_SotM[[#This Row],[Num]]</f>
        <v>1</v>
      </c>
      <c r="F21" s="105">
        <f>Feb_2026_SotM[[#This Row],[Max Seed]]-Feb_2026_SotM[[#This Row],[Top Seed]]+1</f>
        <v>2</v>
      </c>
      <c r="G21" s="105" t="b">
        <f>IF(Feb_2026_SotM[[#This Row],[Round]]=$C$19, TRUE(), IF(Feb_2026_SotM[[#This Row],[Round]]=$B$19, Feb_2026_SotM[[#This Row],[Top Seed]]&lt;=2*Feb_2026_SotM[[#This Row],[Max Seed]]-$A$19, FALSE()))</f>
        <v>0</v>
      </c>
      <c r="H21" s="105" t="b">
        <f>IF(Feb_2026_SotM[[#This Row],[Round]]=$C$19, TRUE(), IF(Feb_2026_SotM[[#This Row],[Round]]=$B$19, Feb_2026_SotM[[#This Row],[Low Seed]]&lt;=2*Feb_2026_SotM[[#This Row],[Max Seed]]-$A$19, FALSE()))</f>
        <v>0</v>
      </c>
      <c r="I21" s="28"/>
      <c r="J21" s="31"/>
      <c r="K21" s="33" t="s">
        <v>4191</v>
      </c>
      <c r="L21" s="35"/>
      <c r="M21" s="37"/>
      <c r="N21" s="192" t="str">
        <f ca="1">IF(Feb_2026_SotM[[#This Row],[Num]]&gt;=$A$19, "-", IF(Feb_2026_SotM[[#This Row],[Initial 1]], VLOOKUP(Feb_2026_SotM[[#This Row],[Top Seed]], $Z$20:$AE$35, 6, FALSE), OFFSET(Feb_2026_SotM[[#This Row],[Winner]], Feb_2026_SotM[[#This Row],[Max Seed]], 0)))</f>
        <v>GIRLLIKEYOU</v>
      </c>
      <c r="O21" s="105">
        <f>COUNTIF(Feb_2026_SotM[[#This Row],[J]:[H]],"x")</f>
        <v>1</v>
      </c>
      <c r="P21" s="115" t="str">
        <f ca="1">IF(Feb_2026_SotM[[#This Row],[Num]]&gt;=$A$19, "-", IF(Feb_2026_SotM[[#This Row],[Score 1]]&gt;=3, Feb_2026_SotM[[#This Row],[Song 1]], IF(Feb_2026_SotM[[#This Row],[Score 2]]&gt;=3, Feb_2026_SotM[[#This Row],[Song 2]], "TBD")))</f>
        <v>あの空の向こうがわへ</v>
      </c>
      <c r="Q21" s="193">
        <f>COUNTIF(Feb_2026_SotM[[#This Row],[H ]:[J ]],"x")</f>
        <v>4</v>
      </c>
      <c r="R21" s="105" t="str">
        <f ca="1">IF(Feb_2026_SotM[[#This Row],[Num]]&gt;=$A$19, "-", IF(Feb_2026_SotM[[#This Row],[Initial 2]], VLOOKUP(Feb_2026_SotM[[#This Row],[Low Seed]], $Z$20:$AE$35, 6, FALSE), OFFSET(Feb_2026_SotM[[#This Row],[Winner]], 2*(Feb_2026_SotM[[#This Row],[Max Seed]]-Feb_2026_SotM[[#This Row],[Low Seed]])+1, 0)))</f>
        <v>あの空の向こうがわへ</v>
      </c>
      <c r="S21" s="37" t="s">
        <v>4191</v>
      </c>
      <c r="T21" s="35" t="s">
        <v>4191</v>
      </c>
      <c r="U21" s="33"/>
      <c r="V21" s="31" t="s">
        <v>4191</v>
      </c>
      <c r="W21" s="28" t="s">
        <v>4191</v>
      </c>
      <c r="X21" s="115" t="str">
        <f ca="1">IF(OR(Feb_2026_SotM[[#This Row],[Song 1]]="TBD", Feb_2026_SotM[[#This Row],[Song 2]]="TBD"), "TBD", _xlfn.CONCAT(IF(_xlfn.XOR(ISBLANK(Feb_2026_SotM[[#This Row],[J]]), ISBLANK(Feb_2026_SotM[[#This Row],[J ]])), "", "J "), IF(_xlfn.XOR(ISBLANK(Feb_2026_SotM[[#This Row],[D]]), ISBLANK(Feb_2026_SotM[[#This Row],[D ]])), "", "D "), IF(_xlfn.XOR(ISBLANK(Feb_2026_SotM[[#This Row],[L]]), ISBLANK(Feb_2026_SotM[[#This Row],[L ]])), "", "L "), IF(_xlfn.XOR(ISBLANK(Feb_2026_SotM[[#This Row],[S]]), ISBLANK(Feb_2026_SotM[[#This Row],[S ]])), "", "S "), IF(_xlfn.XOR(ISBLANK(Feb_2026_SotM[[#This Row],[H]]), ISBLANK(Feb_2026_SotM[[#This Row],[H ]])), "", "H ")))</f>
        <v/>
      </c>
      <c r="Z21" s="109">
        <f t="shared" ref="Z21:Z35" si="8">IF(AC21&gt;0, COUNTIF(AC$20:AC$35, "&lt;"&amp;AC21) + COUNTIFS(AC$20:AC$35, AC21, AD$20:AD$35, "&lt;"&amp;AD21) + COUNTIFS(AC$20:AC$35, AC21, AD$20:AD$35, AD21, AA$20:AA$35, "&lt;"&amp;AA21) + 1, "TBD")</f>
        <v>9</v>
      </c>
      <c r="AA21" s="59">
        <v>46056</v>
      </c>
      <c r="AB21" t="str">
        <v>loganworsdell</v>
      </c>
      <c r="AC21" s="3">
        <v>2.4</v>
      </c>
      <c r="AD21">
        <v>0.4898979485566356</v>
      </c>
      <c r="AE21" t="str">
        <v>Stoked</v>
      </c>
      <c r="AF21" t="str">
        <v>Weston Estate</v>
      </c>
      <c r="AG21" s="100">
        <f t="shared" si="7"/>
        <v>9</v>
      </c>
      <c r="AI21" s="115">
        <f>Feb_2026_SotM[[#This Row],[Max Seed]]/2 + 1</f>
        <v>2</v>
      </c>
      <c r="AJ21" s="105" t="str">
        <f ca="1">IF(Feb_2026_SotM[[#This Row],[Num]]&gt;=$A$19, "-", IF(Feb_2026_SotM[[#This Row],[Score 1]]&gt;=3, Feb_2026_SotM[[#This Row],[Song 2]], IF(Feb_2026_SotM[[#This Row],[Score 2]]&gt;=3, Feb_2026_SotM[[#This Row],[Song 1]], "TBD")))</f>
        <v>GIRLLIKEYOU</v>
      </c>
      <c r="AK21" s="3">
        <f ca="1">IFERROR(VLOOKUP(Feb_2025_Results50[[#This Row],[Song Title]], $AE$20:$AG$35, 3, FALSE)-Feb_2025_Results50[[#This Row],[Result]], "TBD")</f>
        <v>-1</v>
      </c>
      <c r="AL21" s="3" t="str">
        <f ca="1">IF(AK21&lt;0,"↓",IF(AK21=0,"-","↑"))</f>
        <v>↓</v>
      </c>
    </row>
    <row r="22" spans="1:38">
      <c r="A22" s="105" t="str">
        <f>_xlfn.CONCAT("Seed ", Feb_2026_SotM[[#This Row],[Top Seed]], " vs ",Feb_2026_SotM[[#This Row],[Low Seed]])</f>
        <v>Seed 2 vs 3</v>
      </c>
      <c r="B22" s="115">
        <v>2</v>
      </c>
      <c r="C22" s="105">
        <f>FLOOR(LOG(Feb_2026_SotM[[#This Row],[Num]], 2), 1)</f>
        <v>1</v>
      </c>
      <c r="D22" s="105">
        <f>2^(Feb_2026_SotM[[#This Row],[Round]]+1)</f>
        <v>4</v>
      </c>
      <c r="E22" s="105">
        <f>Feb_2026_SotM[[#This Row],[Max Seed]]-Feb_2026_SotM[[#This Row],[Num]]</f>
        <v>2</v>
      </c>
      <c r="F22" s="105">
        <f>Feb_2026_SotM[[#This Row],[Max Seed]]-Feb_2026_SotM[[#This Row],[Top Seed]]+1</f>
        <v>3</v>
      </c>
      <c r="G22" s="105" t="b">
        <f>IF(Feb_2026_SotM[[#This Row],[Round]]=$C$19, TRUE(), IF(Feb_2026_SotM[[#This Row],[Round]]=$B$19, Feb_2026_SotM[[#This Row],[Top Seed]]&lt;=2*Feb_2026_SotM[[#This Row],[Max Seed]]-$A$19, FALSE()))</f>
        <v>0</v>
      </c>
      <c r="H22" s="105" t="b">
        <f>IF(Feb_2026_SotM[[#This Row],[Round]]=$C$19, TRUE(), IF(Feb_2026_SotM[[#This Row],[Round]]=$B$19, Feb_2026_SotM[[#This Row],[Low Seed]]&lt;=2*Feb_2026_SotM[[#This Row],[Max Seed]]-$A$19, FALSE()))</f>
        <v>0</v>
      </c>
      <c r="I22" s="28"/>
      <c r="J22" s="31"/>
      <c r="K22" s="33" t="s">
        <v>4191</v>
      </c>
      <c r="L22" s="35"/>
      <c r="M22" s="37"/>
      <c r="N22" s="192" t="str">
        <f ca="1">IF(Feb_2026_SotM[[#This Row],[Num]]&gt;=$A$19, "-", IF(Feb_2026_SotM[[#This Row],[Initial 1]], VLOOKUP(Feb_2026_SotM[[#This Row],[Top Seed]], $Z$20:$AE$35, 6, FALSE), OFFSET(Feb_2026_SotM[[#This Row],[Winner]], Feb_2026_SotM[[#This Row],[Max Seed]], 0)))</f>
        <v>diamonds are forever</v>
      </c>
      <c r="O22" s="105">
        <f>COUNTIF(Feb_2026_SotM[[#This Row],[J]:[H]],"x")</f>
        <v>1</v>
      </c>
      <c r="P22" s="115" t="str">
        <f ca="1">IF(Feb_2026_SotM[[#This Row],[Num]]&gt;=$A$19, "-", IF(Feb_2026_SotM[[#This Row],[Score 1]]&gt;=3, Feb_2026_SotM[[#This Row],[Song 1]], IF(Feb_2026_SotM[[#This Row],[Score 2]]&gt;=3, Feb_2026_SotM[[#This Row],[Song 2]], "TBD")))</f>
        <v>あの空の向こうがわへ</v>
      </c>
      <c r="Q22" s="193">
        <f>COUNTIF(Feb_2026_SotM[[#This Row],[H ]:[J ]],"x")</f>
        <v>4</v>
      </c>
      <c r="R22" s="105" t="str">
        <f ca="1">IF(Feb_2026_SotM[[#This Row],[Num]]&gt;=$A$19, "-", IF(Feb_2026_SotM[[#This Row],[Initial 2]], VLOOKUP(Feb_2026_SotM[[#This Row],[Low Seed]], $Z$20:$AE$35, 6, FALSE), OFFSET(Feb_2026_SotM[[#This Row],[Winner]], 2*(Feb_2026_SotM[[#This Row],[Max Seed]]-Feb_2026_SotM[[#This Row],[Low Seed]])+1, 0)))</f>
        <v>あの空の向こうがわへ</v>
      </c>
      <c r="S22" s="37" t="s">
        <v>4191</v>
      </c>
      <c r="T22" s="35" t="s">
        <v>4191</v>
      </c>
      <c r="U22" s="33"/>
      <c r="V22" s="31" t="s">
        <v>4191</v>
      </c>
      <c r="W22" s="28" t="s">
        <v>4191</v>
      </c>
      <c r="X22" s="115" t="str">
        <f ca="1">IF(OR(Feb_2026_SotM[[#This Row],[Song 1]]="TBD", Feb_2026_SotM[[#This Row],[Song 2]]="TBD"), "TBD", _xlfn.CONCAT(IF(_xlfn.XOR(ISBLANK(Feb_2026_SotM[[#This Row],[J]]), ISBLANK(Feb_2026_SotM[[#This Row],[J ]])), "", "J "), IF(_xlfn.XOR(ISBLANK(Feb_2026_SotM[[#This Row],[D]]), ISBLANK(Feb_2026_SotM[[#This Row],[D ]])), "", "D "), IF(_xlfn.XOR(ISBLANK(Feb_2026_SotM[[#This Row],[L]]), ISBLANK(Feb_2026_SotM[[#This Row],[L ]])), "", "L "), IF(_xlfn.XOR(ISBLANK(Feb_2026_SotM[[#This Row],[S]]), ISBLANK(Feb_2026_SotM[[#This Row],[S ]])), "", "S "), IF(_xlfn.XOR(ISBLANK(Feb_2026_SotM[[#This Row],[H]]), ISBLANK(Feb_2026_SotM[[#This Row],[H ]])), "", "H ")))</f>
        <v/>
      </c>
      <c r="Z22" s="109">
        <f t="shared" si="8"/>
        <v>1</v>
      </c>
      <c r="AA22" s="59">
        <v>46057</v>
      </c>
      <c r="AB22" t="str">
        <v>currydestroyer27</v>
      </c>
      <c r="AC22" s="3">
        <v>1.4</v>
      </c>
      <c r="AD22">
        <v>0.4898979485566356</v>
      </c>
      <c r="AE22" t="str">
        <v>GIRLLIKEYOU</v>
      </c>
      <c r="AF22" t="str">
        <v>3ee, aria., karinovaa</v>
      </c>
      <c r="AG22" s="100">
        <f t="shared" si="7"/>
        <v>1</v>
      </c>
      <c r="AI22" s="115">
        <f>Feb_2026_SotM[[#This Row],[Max Seed]]/2 + 1</f>
        <v>3</v>
      </c>
      <c r="AJ22" s="105" t="str">
        <f ca="1">IF(Feb_2026_SotM[[#This Row],[Num]]&gt;=$A$19, "-", IF(Feb_2026_SotM[[#This Row],[Score 1]]&gt;=3, Feb_2026_SotM[[#This Row],[Song 2]], IF(Feb_2026_SotM[[#This Row],[Score 2]]&gt;=3, Feb_2026_SotM[[#This Row],[Song 1]], "TBD")))</f>
        <v>diamonds are forever</v>
      </c>
      <c r="AK22" s="3">
        <f ca="1">IFERROR(VLOOKUP(Feb_2025_Results50[[#This Row],[Song Title]], $AE$20:$AG$35, 3, FALSE)-Feb_2025_Results50[[#This Row],[Result]], "TBD")</f>
        <v>6</v>
      </c>
      <c r="AL22" s="3" t="str">
        <f t="shared" ref="AL22:AL35" ca="1" si="9">IF(AK22&lt;0,"↓",IF(AK22=0,"-","↑"))</f>
        <v>↑</v>
      </c>
    </row>
    <row r="23" spans="1:38">
      <c r="A23" s="105" t="str">
        <f>_xlfn.CONCAT("Seed ", Feb_2026_SotM[[#This Row],[Top Seed]], " vs ",Feb_2026_SotM[[#This Row],[Low Seed]])</f>
        <v>Seed 1 vs 4</v>
      </c>
      <c r="B23" s="115">
        <v>3</v>
      </c>
      <c r="C23" s="105">
        <f>FLOOR(LOG(Feb_2026_SotM[[#This Row],[Num]], 2), 1)</f>
        <v>1</v>
      </c>
      <c r="D23" s="105">
        <f>2^(Feb_2026_SotM[[#This Row],[Round]]+1)</f>
        <v>4</v>
      </c>
      <c r="E23" s="105">
        <f>Feb_2026_SotM[[#This Row],[Max Seed]]-Feb_2026_SotM[[#This Row],[Num]]</f>
        <v>1</v>
      </c>
      <c r="F23" s="105">
        <f>Feb_2026_SotM[[#This Row],[Max Seed]]-Feb_2026_SotM[[#This Row],[Top Seed]]+1</f>
        <v>4</v>
      </c>
      <c r="G23" s="105" t="b">
        <f>IF(Feb_2026_SotM[[#This Row],[Round]]=$C$19, TRUE(), IF(Feb_2026_SotM[[#This Row],[Round]]=$B$19, Feb_2026_SotM[[#This Row],[Top Seed]]&lt;=2*Feb_2026_SotM[[#This Row],[Max Seed]]-$A$19, FALSE()))</f>
        <v>0</v>
      </c>
      <c r="H23" s="105" t="b">
        <f>IF(Feb_2026_SotM[[#This Row],[Round]]=$C$19, TRUE(), IF(Feb_2026_SotM[[#This Row],[Round]]=$B$19, Feb_2026_SotM[[#This Row],[Low Seed]]&lt;=2*Feb_2026_SotM[[#This Row],[Max Seed]]-$A$19, FALSE()))</f>
        <v>0</v>
      </c>
      <c r="I23" s="28" t="s">
        <v>4191</v>
      </c>
      <c r="J23" s="31" t="s">
        <v>4191</v>
      </c>
      <c r="K23" s="33"/>
      <c r="L23" s="35"/>
      <c r="M23" s="37" t="s">
        <v>4191</v>
      </c>
      <c r="N23" s="192" t="str">
        <f ca="1">IF(Feb_2026_SotM[[#This Row],[Num]]&gt;=$A$19, "-", IF(Feb_2026_SotM[[#This Row],[Initial 1]], VLOOKUP(Feb_2026_SotM[[#This Row],[Top Seed]], $Z$20:$AE$35, 6, FALSE), OFFSET(Feb_2026_SotM[[#This Row],[Winner]], Feb_2026_SotM[[#This Row],[Max Seed]], 0)))</f>
        <v>GIRLLIKEYOU</v>
      </c>
      <c r="O23" s="105">
        <f>COUNTIF(Feb_2026_SotM[[#This Row],[J]:[H]],"x")</f>
        <v>3</v>
      </c>
      <c r="P23" s="115" t="str">
        <f ca="1">IF(Feb_2026_SotM[[#This Row],[Num]]&gt;=$A$19, "-", IF(Feb_2026_SotM[[#This Row],[Score 1]]&gt;=3, Feb_2026_SotM[[#This Row],[Song 1]], IF(Feb_2026_SotM[[#This Row],[Score 2]]&gt;=3, Feb_2026_SotM[[#This Row],[Song 2]], "TBD")))</f>
        <v>GIRLLIKEYOU</v>
      </c>
      <c r="Q23" s="193">
        <f>COUNTIF(Feb_2026_SotM[[#This Row],[H ]:[J ]],"x")</f>
        <v>2</v>
      </c>
      <c r="R23" s="105" t="str">
        <f ca="1">IF(Feb_2026_SotM[[#This Row],[Num]]&gt;=$A$19, "-", IF(Feb_2026_SotM[[#This Row],[Initial 2]], VLOOKUP(Feb_2026_SotM[[#This Row],[Low Seed]], $Z$20:$AE$35, 6, FALSE), OFFSET(Feb_2026_SotM[[#This Row],[Winner]], 2*(Feb_2026_SotM[[#This Row],[Max Seed]]-Feb_2026_SotM[[#This Row],[Low Seed]])+1, 0)))</f>
        <v>Black Butterflies and déjà vu</v>
      </c>
      <c r="S23" s="37"/>
      <c r="T23" s="35" t="s">
        <v>4191</v>
      </c>
      <c r="U23" s="33" t="s">
        <v>4191</v>
      </c>
      <c r="V23" s="31"/>
      <c r="W23" s="28"/>
      <c r="X23" s="115" t="str">
        <f ca="1">IF(OR(Feb_2026_SotM[[#This Row],[Song 1]]="TBD", Feb_2026_SotM[[#This Row],[Song 2]]="TBD"), "TBD", _xlfn.CONCAT(IF(_xlfn.XOR(ISBLANK(Feb_2026_SotM[[#This Row],[J]]), ISBLANK(Feb_2026_SotM[[#This Row],[J ]])), "", "J "), IF(_xlfn.XOR(ISBLANK(Feb_2026_SotM[[#This Row],[D]]), ISBLANK(Feb_2026_SotM[[#This Row],[D ]])), "", "D "), IF(_xlfn.XOR(ISBLANK(Feb_2026_SotM[[#This Row],[L]]), ISBLANK(Feb_2026_SotM[[#This Row],[L ]])), "", "L "), IF(_xlfn.XOR(ISBLANK(Feb_2026_SotM[[#This Row],[S]]), ISBLANK(Feb_2026_SotM[[#This Row],[S ]])), "", "S "), IF(_xlfn.XOR(ISBLANK(Feb_2026_SotM[[#This Row],[H]]), ISBLANK(Feb_2026_SotM[[#This Row],[H ]])), "", "H ")))</f>
        <v/>
      </c>
      <c r="Z23" s="109">
        <f t="shared" si="8"/>
        <v>11</v>
      </c>
      <c r="AA23" s="59">
        <v>46058</v>
      </c>
      <c r="AB23" t="str">
        <v>alappatjoe</v>
      </c>
      <c r="AC23" s="3">
        <v>2.4</v>
      </c>
      <c r="AD23">
        <v>1.2</v>
      </c>
      <c r="AE23" t="str">
        <v>Be A Flower</v>
      </c>
      <c r="AF23" t="str">
        <v>Ryokuoushoku Shakai</v>
      </c>
      <c r="AG23" s="100">
        <f t="shared" si="7"/>
        <v>9</v>
      </c>
      <c r="AI23" s="115">
        <f>Feb_2026_SotM[[#This Row],[Max Seed]]/2 + 1</f>
        <v>3</v>
      </c>
      <c r="AJ23" s="105" t="str">
        <f ca="1">IF(Feb_2026_SotM[[#This Row],[Num]]&gt;=$A$19, "-", IF(Feb_2026_SotM[[#This Row],[Score 1]]&gt;=3, Feb_2026_SotM[[#This Row],[Song 2]], IF(Feb_2026_SotM[[#This Row],[Score 2]]&gt;=3, Feb_2026_SotM[[#This Row],[Song 1]], "TBD")))</f>
        <v>Black Butterflies and déjà vu</v>
      </c>
      <c r="AK23" s="3">
        <f ca="1">IFERROR(VLOOKUP(Feb_2025_Results50[[#This Row],[Song Title]], $AE$20:$AG$35, 3, FALSE)-Feb_2025_Results50[[#This Row],[Result]], "TBD")</f>
        <v>6</v>
      </c>
      <c r="AL23" s="3" t="str">
        <f t="shared" ca="1" si="9"/>
        <v>↑</v>
      </c>
    </row>
    <row r="24" spans="1:38">
      <c r="A24" s="105" t="str">
        <f>_xlfn.CONCAT("Seed ", Feb_2026_SotM[[#This Row],[Top Seed]], " vs ",Feb_2026_SotM[[#This Row],[Low Seed]])</f>
        <v>Seed 4 vs 5</v>
      </c>
      <c r="B24" s="115">
        <v>4</v>
      </c>
      <c r="C24" s="105">
        <f>FLOOR(LOG(Feb_2026_SotM[[#This Row],[Num]], 2), 1)</f>
        <v>2</v>
      </c>
      <c r="D24" s="105">
        <f>2^(Feb_2026_SotM[[#This Row],[Round]]+1)</f>
        <v>8</v>
      </c>
      <c r="E24" s="105">
        <f>Feb_2026_SotM[[#This Row],[Max Seed]]-Feb_2026_SotM[[#This Row],[Num]]</f>
        <v>4</v>
      </c>
      <c r="F24" s="105">
        <f>Feb_2026_SotM[[#This Row],[Max Seed]]-Feb_2026_SotM[[#This Row],[Top Seed]]+1</f>
        <v>5</v>
      </c>
      <c r="G24" s="105" t="b">
        <f>IF(Feb_2026_SotM[[#This Row],[Round]]=$C$19, TRUE(), IF(Feb_2026_SotM[[#This Row],[Round]]=$B$19, Feb_2026_SotM[[#This Row],[Top Seed]]&lt;=2*Feb_2026_SotM[[#This Row],[Max Seed]]-$A$19, FALSE()))</f>
        <v>0</v>
      </c>
      <c r="H24" s="105" t="b">
        <f>IF(Feb_2026_SotM[[#This Row],[Round]]=$C$19, TRUE(), IF(Feb_2026_SotM[[#This Row],[Round]]=$B$19, Feb_2026_SotM[[#This Row],[Low Seed]]&lt;=2*Feb_2026_SotM[[#This Row],[Max Seed]]-$A$19, FALSE()))</f>
        <v>0</v>
      </c>
      <c r="I24" s="28"/>
      <c r="J24" s="31" t="s">
        <v>4191</v>
      </c>
      <c r="K24" s="33" t="s">
        <v>4191</v>
      </c>
      <c r="L24" s="35" t="s">
        <v>4191</v>
      </c>
      <c r="M24" s="37" t="s">
        <v>4191</v>
      </c>
      <c r="N24" s="192" t="str">
        <f ca="1">IF(Feb_2026_SotM[[#This Row],[Num]]&gt;=$A$19, "-", IF(Feb_2026_SotM[[#This Row],[Initial 1]], VLOOKUP(Feb_2026_SotM[[#This Row],[Top Seed]], $Z$20:$AE$35, 6, FALSE), OFFSET(Feb_2026_SotM[[#This Row],[Winner]], Feb_2026_SotM[[#This Row],[Max Seed]], 0)))</f>
        <v>Black Butterflies and déjà vu</v>
      </c>
      <c r="O24" s="105">
        <f>COUNTIF(Feb_2026_SotM[[#This Row],[J]:[H]],"x")</f>
        <v>4</v>
      </c>
      <c r="P24" s="115" t="str">
        <f ca="1">IF(Feb_2026_SotM[[#This Row],[Num]]&gt;=$A$19, "-", IF(Feb_2026_SotM[[#This Row],[Score 1]]&gt;=3, Feb_2026_SotM[[#This Row],[Song 1]], IF(Feb_2026_SotM[[#This Row],[Score 2]]&gt;=3, Feb_2026_SotM[[#This Row],[Song 2]], "TBD")))</f>
        <v>Black Butterflies and déjà vu</v>
      </c>
      <c r="Q24" s="193">
        <f>COUNTIF(Feb_2026_SotM[[#This Row],[H ]:[J ]],"x")</f>
        <v>1</v>
      </c>
      <c r="R24" s="105" t="str">
        <f ca="1">IF(Feb_2026_SotM[[#This Row],[Num]]&gt;=$A$19, "-", IF(Feb_2026_SotM[[#This Row],[Initial 2]], VLOOKUP(Feb_2026_SotM[[#This Row],[Low Seed]], $Z$20:$AE$35, 6, FALSE), OFFSET(Feb_2026_SotM[[#This Row],[Winner]], 2*(Feb_2026_SotM[[#This Row],[Max Seed]]-Feb_2026_SotM[[#This Row],[Low Seed]])+1, 0)))</f>
        <v>Prism Parade</v>
      </c>
      <c r="S24" s="37"/>
      <c r="T24" s="35"/>
      <c r="U24" s="33"/>
      <c r="V24" s="31"/>
      <c r="W24" s="28" t="s">
        <v>4191</v>
      </c>
      <c r="X24" s="115" t="str">
        <f ca="1">IF(OR(Feb_2026_SotM[[#This Row],[Song 1]]="TBD", Feb_2026_SotM[[#This Row],[Song 2]]="TBD"), "TBD", _xlfn.CONCAT(IF(_xlfn.XOR(ISBLANK(Feb_2026_SotM[[#This Row],[J]]), ISBLANK(Feb_2026_SotM[[#This Row],[J ]])), "", "J "), IF(_xlfn.XOR(ISBLANK(Feb_2026_SotM[[#This Row],[D]]), ISBLANK(Feb_2026_SotM[[#This Row],[D ]])), "", "D "), IF(_xlfn.XOR(ISBLANK(Feb_2026_SotM[[#This Row],[L]]), ISBLANK(Feb_2026_SotM[[#This Row],[L ]])), "", "L "), IF(_xlfn.XOR(ISBLANK(Feb_2026_SotM[[#This Row],[S]]), ISBLANK(Feb_2026_SotM[[#This Row],[S ]])), "", "S "), IF(_xlfn.XOR(ISBLANK(Feb_2026_SotM[[#This Row],[H]]), ISBLANK(Feb_2026_SotM[[#This Row],[H ]])), "", "H ")))</f>
        <v/>
      </c>
      <c r="Z24" s="109">
        <f t="shared" si="8"/>
        <v>4</v>
      </c>
      <c r="AA24" s="59">
        <v>46062</v>
      </c>
      <c r="AB24" t="str">
        <v>samuelbattista</v>
      </c>
      <c r="AC24" s="3">
        <v>2</v>
      </c>
      <c r="AD24">
        <v>0.63245553203367588</v>
      </c>
      <c r="AE24" t="str">
        <v>Cops &amp; Robbers</v>
      </c>
      <c r="AF24" t="str">
        <v>Sammy Virji, Skepta</v>
      </c>
      <c r="AG24" s="100">
        <f t="shared" si="7"/>
        <v>3</v>
      </c>
      <c r="AI24" s="115">
        <f>Feb_2026_SotM[[#This Row],[Max Seed]]/2 + 1</f>
        <v>5</v>
      </c>
      <c r="AJ24" s="105" t="str">
        <f ca="1">IF(Feb_2026_SotM[[#This Row],[Num]]&gt;=$A$19, "-", IF(Feb_2026_SotM[[#This Row],[Score 1]]&gt;=3, Feb_2026_SotM[[#This Row],[Song 2]], IF(Feb_2026_SotM[[#This Row],[Score 2]]&gt;=3, Feb_2026_SotM[[#This Row],[Song 1]], "TBD")))</f>
        <v>Prism Parade</v>
      </c>
      <c r="AK24" s="3">
        <f ca="1">IFERROR(VLOOKUP(Feb_2025_Results50[[#This Row],[Song Title]], $AE$20:$AG$35, 3, FALSE)-Feb_2025_Results50[[#This Row],[Result]], "TBD")</f>
        <v>0</v>
      </c>
      <c r="AL24" s="3" t="str">
        <f t="shared" ca="1" si="9"/>
        <v>-</v>
      </c>
    </row>
    <row r="25" spans="1:38">
      <c r="A25" s="105" t="str">
        <f>_xlfn.CONCAT("Seed ", Feb_2026_SotM[[#This Row],[Top Seed]], " vs ",Feb_2026_SotM[[#This Row],[Low Seed]])</f>
        <v>Seed 3 vs 6</v>
      </c>
      <c r="B25" s="115">
        <v>5</v>
      </c>
      <c r="C25" s="105">
        <f>FLOOR(LOG(Feb_2026_SotM[[#This Row],[Num]], 2), 1)</f>
        <v>2</v>
      </c>
      <c r="D25" s="105">
        <f>2^(Feb_2026_SotM[[#This Row],[Round]]+1)</f>
        <v>8</v>
      </c>
      <c r="E25" s="105">
        <f>Feb_2026_SotM[[#This Row],[Max Seed]]-Feb_2026_SotM[[#This Row],[Num]]</f>
        <v>3</v>
      </c>
      <c r="F25" s="105">
        <f>Feb_2026_SotM[[#This Row],[Max Seed]]-Feb_2026_SotM[[#This Row],[Top Seed]]+1</f>
        <v>6</v>
      </c>
      <c r="G25" s="105" t="b">
        <f>IF(Feb_2026_SotM[[#This Row],[Round]]=$C$19, TRUE(), IF(Feb_2026_SotM[[#This Row],[Round]]=$B$19, Feb_2026_SotM[[#This Row],[Top Seed]]&lt;=2*Feb_2026_SotM[[#This Row],[Max Seed]]-$A$19, FALSE()))</f>
        <v>0</v>
      </c>
      <c r="H25" s="105" t="b">
        <f>IF(Feb_2026_SotM[[#This Row],[Round]]=$C$19, TRUE(), IF(Feb_2026_SotM[[#This Row],[Round]]=$B$19, Feb_2026_SotM[[#This Row],[Low Seed]]&lt;=2*Feb_2026_SotM[[#This Row],[Max Seed]]-$A$19, FALSE()))</f>
        <v>0</v>
      </c>
      <c r="I25" s="28" t="s">
        <v>4191</v>
      </c>
      <c r="J25" s="31" t="s">
        <v>4191</v>
      </c>
      <c r="K25" s="33" t="s">
        <v>4191</v>
      </c>
      <c r="L25" s="35"/>
      <c r="M25" s="37" t="s">
        <v>4191</v>
      </c>
      <c r="N25" s="192" t="str">
        <f ca="1">IF(Feb_2026_SotM[[#This Row],[Num]]&gt;=$A$19, "-", IF(Feb_2026_SotM[[#This Row],[Initial 1]], VLOOKUP(Feb_2026_SotM[[#This Row],[Top Seed]], $Z$20:$AE$35, 6, FALSE), OFFSET(Feb_2026_SotM[[#This Row],[Winner]], Feb_2026_SotM[[#This Row],[Max Seed]], 0)))</f>
        <v>あの空の向こうがわへ</v>
      </c>
      <c r="O25" s="105">
        <f>COUNTIF(Feb_2026_SotM[[#This Row],[J]:[H]],"x")</f>
        <v>4</v>
      </c>
      <c r="P25" s="115" t="str">
        <f ca="1">IF(Feb_2026_SotM[[#This Row],[Num]]&gt;=$A$19, "-", IF(Feb_2026_SotM[[#This Row],[Score 1]]&gt;=3, Feb_2026_SotM[[#This Row],[Song 1]], IF(Feb_2026_SotM[[#This Row],[Score 2]]&gt;=3, Feb_2026_SotM[[#This Row],[Song 2]], "TBD")))</f>
        <v>あの空の向こうがわへ</v>
      </c>
      <c r="Q25" s="193">
        <f>COUNTIF(Feb_2026_SotM[[#This Row],[H ]:[J ]],"x")</f>
        <v>1</v>
      </c>
      <c r="R25" s="105" t="str">
        <f ca="1">IF(Feb_2026_SotM[[#This Row],[Num]]&gt;=$A$19, "-", IF(Feb_2026_SotM[[#This Row],[Initial 2]], VLOOKUP(Feb_2026_SotM[[#This Row],[Low Seed]], $Z$20:$AE$35, 6, FALSE), OFFSET(Feb_2026_SotM[[#This Row],[Winner]], 2*(Feb_2026_SotM[[#This Row],[Max Seed]]-Feb_2026_SotM[[#This Row],[Low Seed]])+1, 0)))</f>
        <v>Buddy Holly</v>
      </c>
      <c r="S25" s="37"/>
      <c r="T25" s="35" t="s">
        <v>4191</v>
      </c>
      <c r="U25" s="33"/>
      <c r="V25" s="31"/>
      <c r="W25" s="28"/>
      <c r="X25" s="115" t="str">
        <f ca="1">IF(OR(Feb_2026_SotM[[#This Row],[Song 1]]="TBD", Feb_2026_SotM[[#This Row],[Song 2]]="TBD"), "TBD", _xlfn.CONCAT(IF(_xlfn.XOR(ISBLANK(Feb_2026_SotM[[#This Row],[J]]), ISBLANK(Feb_2026_SotM[[#This Row],[J ]])), "", "J "), IF(_xlfn.XOR(ISBLANK(Feb_2026_SotM[[#This Row],[D]]), ISBLANK(Feb_2026_SotM[[#This Row],[D ]])), "", "D "), IF(_xlfn.XOR(ISBLANK(Feb_2026_SotM[[#This Row],[L]]), ISBLANK(Feb_2026_SotM[[#This Row],[L ]])), "", "L "), IF(_xlfn.XOR(ISBLANK(Feb_2026_SotM[[#This Row],[S]]), ISBLANK(Feb_2026_SotM[[#This Row],[S ]])), "", "S "), IF(_xlfn.XOR(ISBLANK(Feb_2026_SotM[[#This Row],[H]]), ISBLANK(Feb_2026_SotM[[#This Row],[H ]])), "", "H ")))</f>
        <v/>
      </c>
      <c r="Z25" s="109">
        <f t="shared" si="8"/>
        <v>2</v>
      </c>
      <c r="AA25" s="59">
        <v>46063</v>
      </c>
      <c r="AB25" t="str">
        <v>currydestroyer27</v>
      </c>
      <c r="AC25" s="3">
        <v>1.8</v>
      </c>
      <c r="AD25">
        <v>0.74833147735478833</v>
      </c>
      <c r="AE25" t="str">
        <v>Body</v>
      </c>
      <c r="AF25" t="str">
        <v>Don Toliver</v>
      </c>
      <c r="AG25" s="100">
        <f t="shared" si="7"/>
        <v>2</v>
      </c>
      <c r="AI25" s="115">
        <f>Feb_2026_SotM[[#This Row],[Max Seed]]/2 + 1</f>
        <v>5</v>
      </c>
      <c r="AJ25" s="105" t="str">
        <f ca="1">IF(Feb_2026_SotM[[#This Row],[Num]]&gt;=$A$19, "-", IF(Feb_2026_SotM[[#This Row],[Score 1]]&gt;=3, Feb_2026_SotM[[#This Row],[Song 2]], IF(Feb_2026_SotM[[#This Row],[Score 2]]&gt;=3, Feb_2026_SotM[[#This Row],[Song 1]], "TBD")))</f>
        <v>Buddy Holly</v>
      </c>
      <c r="AK25" s="3">
        <f ca="1">IFERROR(VLOOKUP(Feb_2025_Results50[[#This Row],[Song Title]], $AE$20:$AG$35, 3, FALSE)-Feb_2025_Results50[[#This Row],[Result]], "TBD")</f>
        <v>0</v>
      </c>
      <c r="AL25" s="3" t="str">
        <f t="shared" ca="1" si="9"/>
        <v>-</v>
      </c>
    </row>
    <row r="26" spans="1:38">
      <c r="A26" s="105" t="str">
        <f>_xlfn.CONCAT("Seed ", Feb_2026_SotM[[#This Row],[Top Seed]], " vs ",Feb_2026_SotM[[#This Row],[Low Seed]])</f>
        <v>Seed 2 vs 7</v>
      </c>
      <c r="B26" s="115">
        <v>6</v>
      </c>
      <c r="C26" s="105">
        <f>FLOOR(LOG(Feb_2026_SotM[[#This Row],[Num]], 2), 1)</f>
        <v>2</v>
      </c>
      <c r="D26" s="105">
        <f>2^(Feb_2026_SotM[[#This Row],[Round]]+1)</f>
        <v>8</v>
      </c>
      <c r="E26" s="105">
        <f>Feb_2026_SotM[[#This Row],[Max Seed]]-Feb_2026_SotM[[#This Row],[Num]]</f>
        <v>2</v>
      </c>
      <c r="F26" s="105">
        <f>Feb_2026_SotM[[#This Row],[Max Seed]]-Feb_2026_SotM[[#This Row],[Top Seed]]+1</f>
        <v>7</v>
      </c>
      <c r="G26" s="105" t="b">
        <f>IF(Feb_2026_SotM[[#This Row],[Round]]=$C$19, TRUE(), IF(Feb_2026_SotM[[#This Row],[Round]]=$B$19, Feb_2026_SotM[[#This Row],[Top Seed]]&lt;=2*Feb_2026_SotM[[#This Row],[Max Seed]]-$A$19, FALSE()))</f>
        <v>0</v>
      </c>
      <c r="H26" s="105" t="b">
        <f>IF(Feb_2026_SotM[[#This Row],[Round]]=$C$19, TRUE(), IF(Feb_2026_SotM[[#This Row],[Round]]=$B$19, Feb_2026_SotM[[#This Row],[Low Seed]]&lt;=2*Feb_2026_SotM[[#This Row],[Max Seed]]-$A$19, FALSE()))</f>
        <v>0</v>
      </c>
      <c r="I26" s="28"/>
      <c r="J26" s="31"/>
      <c r="K26" s="33"/>
      <c r="L26" s="35"/>
      <c r="M26" s="37" t="s">
        <v>4191</v>
      </c>
      <c r="N26" s="192" t="str">
        <f ca="1">IF(Feb_2026_SotM[[#This Row],[Num]]&gt;=$A$19, "-", IF(Feb_2026_SotM[[#This Row],[Initial 1]], VLOOKUP(Feb_2026_SotM[[#This Row],[Top Seed]], $Z$20:$AE$35, 6, FALSE), OFFSET(Feb_2026_SotM[[#This Row],[Winner]], Feb_2026_SotM[[#This Row],[Max Seed]], 0)))</f>
        <v>Body</v>
      </c>
      <c r="O26" s="105">
        <f>COUNTIF(Feb_2026_SotM[[#This Row],[J]:[H]],"x")</f>
        <v>1</v>
      </c>
      <c r="P26" s="115" t="str">
        <f ca="1">IF(Feb_2026_SotM[[#This Row],[Num]]&gt;=$A$19, "-", IF(Feb_2026_SotM[[#This Row],[Score 1]]&gt;=3, Feb_2026_SotM[[#This Row],[Song 1]], IF(Feb_2026_SotM[[#This Row],[Score 2]]&gt;=3, Feb_2026_SotM[[#This Row],[Song 2]], "TBD")))</f>
        <v>diamonds are forever</v>
      </c>
      <c r="Q26" s="193">
        <f>COUNTIF(Feb_2026_SotM[[#This Row],[H ]:[J ]],"x")</f>
        <v>4</v>
      </c>
      <c r="R26" s="105" t="str">
        <f ca="1">IF(Feb_2026_SotM[[#This Row],[Num]]&gt;=$A$19, "-", IF(Feb_2026_SotM[[#This Row],[Initial 2]], VLOOKUP(Feb_2026_SotM[[#This Row],[Low Seed]], $Z$20:$AE$35, 6, FALSE), OFFSET(Feb_2026_SotM[[#This Row],[Winner]], 2*(Feb_2026_SotM[[#This Row],[Max Seed]]-Feb_2026_SotM[[#This Row],[Low Seed]])+1, 0)))</f>
        <v>diamonds are forever</v>
      </c>
      <c r="S26" s="37"/>
      <c r="T26" s="35" t="s">
        <v>4191</v>
      </c>
      <c r="U26" s="33" t="s">
        <v>4191</v>
      </c>
      <c r="V26" s="31" t="s">
        <v>4191</v>
      </c>
      <c r="W26" s="28" t="s">
        <v>4191</v>
      </c>
      <c r="X26" s="115" t="str">
        <f ca="1">IF(OR(Feb_2026_SotM[[#This Row],[Song 1]]="TBD", Feb_2026_SotM[[#This Row],[Song 2]]="TBD"), "TBD", _xlfn.CONCAT(IF(_xlfn.XOR(ISBLANK(Feb_2026_SotM[[#This Row],[J]]), ISBLANK(Feb_2026_SotM[[#This Row],[J ]])), "", "J "), IF(_xlfn.XOR(ISBLANK(Feb_2026_SotM[[#This Row],[D]]), ISBLANK(Feb_2026_SotM[[#This Row],[D ]])), "", "D "), IF(_xlfn.XOR(ISBLANK(Feb_2026_SotM[[#This Row],[L]]), ISBLANK(Feb_2026_SotM[[#This Row],[L ]])), "", "L "), IF(_xlfn.XOR(ISBLANK(Feb_2026_SotM[[#This Row],[S]]), ISBLANK(Feb_2026_SotM[[#This Row],[S ]])), "", "S "), IF(_xlfn.XOR(ISBLANK(Feb_2026_SotM[[#This Row],[H]]), ISBLANK(Feb_2026_SotM[[#This Row],[H ]])), "", "H ")))</f>
        <v/>
      </c>
      <c r="Z26" s="109">
        <f t="shared" si="8"/>
        <v>13</v>
      </c>
      <c r="AA26" s="59">
        <v>46064</v>
      </c>
      <c r="AB26" t="str">
        <v>samuelbattista</v>
      </c>
      <c r="AC26" s="3">
        <v>2.4</v>
      </c>
      <c r="AD26">
        <v>1.3564659966250536</v>
      </c>
      <c r="AE26" t="str">
        <v>Black Butterflies and déjà vu</v>
      </c>
      <c r="AF26" t="str">
        <v>The Maine</v>
      </c>
      <c r="AG26" s="100">
        <f t="shared" si="7"/>
        <v>9</v>
      </c>
      <c r="AI26" s="115">
        <f>Feb_2026_SotM[[#This Row],[Max Seed]]/2 + 1</f>
        <v>5</v>
      </c>
      <c r="AJ26" s="105" t="str">
        <f ca="1">IF(Feb_2026_SotM[[#This Row],[Num]]&gt;=$A$19, "-", IF(Feb_2026_SotM[[#This Row],[Score 1]]&gt;=3, Feb_2026_SotM[[#This Row],[Song 2]], IF(Feb_2026_SotM[[#This Row],[Score 2]]&gt;=3, Feb_2026_SotM[[#This Row],[Song 1]], "TBD")))</f>
        <v>Body</v>
      </c>
      <c r="AK26" s="3">
        <f ca="1">IFERROR(VLOOKUP(Feb_2025_Results50[[#This Row],[Song Title]], $AE$20:$AG$35, 3, FALSE)-Feb_2025_Results50[[#This Row],[Result]], "TBD")</f>
        <v>-3</v>
      </c>
      <c r="AL26" s="3" t="str">
        <f t="shared" ca="1" si="9"/>
        <v>↓</v>
      </c>
    </row>
    <row r="27" spans="1:38">
      <c r="A27" s="105" t="str">
        <f>_xlfn.CONCAT("Seed ", Feb_2026_SotM[[#This Row],[Top Seed]], " vs ",Feb_2026_SotM[[#This Row],[Low Seed]])</f>
        <v>Seed 1 vs 8</v>
      </c>
      <c r="B27" s="115">
        <v>7</v>
      </c>
      <c r="C27" s="105">
        <f>FLOOR(LOG(Feb_2026_SotM[[#This Row],[Num]], 2), 1)</f>
        <v>2</v>
      </c>
      <c r="D27" s="105">
        <f>2^(Feb_2026_SotM[[#This Row],[Round]]+1)</f>
        <v>8</v>
      </c>
      <c r="E27" s="105">
        <f>Feb_2026_SotM[[#This Row],[Max Seed]]-Feb_2026_SotM[[#This Row],[Num]]</f>
        <v>1</v>
      </c>
      <c r="F27" s="105">
        <f>Feb_2026_SotM[[#This Row],[Max Seed]]-Feb_2026_SotM[[#This Row],[Top Seed]]+1</f>
        <v>8</v>
      </c>
      <c r="G27" s="105" t="b">
        <f>IF(Feb_2026_SotM[[#This Row],[Round]]=$C$19, TRUE(), IF(Feb_2026_SotM[[#This Row],[Round]]=$B$19, Feb_2026_SotM[[#This Row],[Top Seed]]&lt;=2*Feb_2026_SotM[[#This Row],[Max Seed]]-$A$19, FALSE()))</f>
        <v>0</v>
      </c>
      <c r="H27" s="105" t="b">
        <f>IF(Feb_2026_SotM[[#This Row],[Round]]=$C$19, TRUE(), IF(Feb_2026_SotM[[#This Row],[Round]]=$B$19, Feb_2026_SotM[[#This Row],[Low Seed]]&lt;=2*Feb_2026_SotM[[#This Row],[Max Seed]]-$A$19, FALSE()))</f>
        <v>0</v>
      </c>
      <c r="I27" s="28" t="s">
        <v>4191</v>
      </c>
      <c r="J27" s="31" t="s">
        <v>4191</v>
      </c>
      <c r="K27" s="33" t="s">
        <v>4191</v>
      </c>
      <c r="L27" s="35"/>
      <c r="M27" s="37" t="s">
        <v>4191</v>
      </c>
      <c r="N27" s="192" t="str">
        <f ca="1">IF(Feb_2026_SotM[[#This Row],[Num]]&gt;=$A$19, "-", IF(Feb_2026_SotM[[#This Row],[Initial 1]], VLOOKUP(Feb_2026_SotM[[#This Row],[Top Seed]], $Z$20:$AE$35, 6, FALSE), OFFSET(Feb_2026_SotM[[#This Row],[Winner]], Feb_2026_SotM[[#This Row],[Max Seed]], 0)))</f>
        <v>GIRLLIKEYOU</v>
      </c>
      <c r="O27" s="105">
        <f>COUNTIF(Feb_2026_SotM[[#This Row],[J]:[H]],"x")</f>
        <v>4</v>
      </c>
      <c r="P27" s="115" t="str">
        <f ca="1">IF(Feb_2026_SotM[[#This Row],[Num]]&gt;=$A$19, "-", IF(Feb_2026_SotM[[#This Row],[Score 1]]&gt;=3, Feb_2026_SotM[[#This Row],[Song 1]], IF(Feb_2026_SotM[[#This Row],[Score 2]]&gt;=3, Feb_2026_SotM[[#This Row],[Song 2]], "TBD")))</f>
        <v>GIRLLIKEYOU</v>
      </c>
      <c r="Q27" s="193">
        <f>COUNTIF(Feb_2026_SotM[[#This Row],[H ]:[J ]],"x")</f>
        <v>1</v>
      </c>
      <c r="R27" s="105" t="str">
        <f ca="1">IF(Feb_2026_SotM[[#This Row],[Num]]&gt;=$A$19, "-", IF(Feb_2026_SotM[[#This Row],[Initial 2]], VLOOKUP(Feb_2026_SotM[[#This Row],[Low Seed]], $Z$20:$AE$35, 6, FALSE), OFFSET(Feb_2026_SotM[[#This Row],[Winner]], 2*(Feb_2026_SotM[[#This Row],[Max Seed]]-Feb_2026_SotM[[#This Row],[Low Seed]])+1, 0)))</f>
        <v>Stoked</v>
      </c>
      <c r="S27" s="37"/>
      <c r="T27" s="35" t="s">
        <v>4191</v>
      </c>
      <c r="U27" s="33"/>
      <c r="V27" s="31"/>
      <c r="W27" s="28"/>
      <c r="X27" s="115" t="str">
        <f ca="1">IF(OR(Feb_2026_SotM[[#This Row],[Song 1]]="TBD", Feb_2026_SotM[[#This Row],[Song 2]]="TBD"), "TBD", _xlfn.CONCAT(IF(_xlfn.XOR(ISBLANK(Feb_2026_SotM[[#This Row],[J]]), ISBLANK(Feb_2026_SotM[[#This Row],[J ]])), "", "J "), IF(_xlfn.XOR(ISBLANK(Feb_2026_SotM[[#This Row],[D]]), ISBLANK(Feb_2026_SotM[[#This Row],[D ]])), "", "D "), IF(_xlfn.XOR(ISBLANK(Feb_2026_SotM[[#This Row],[L]]), ISBLANK(Feb_2026_SotM[[#This Row],[L ]])), "", "L "), IF(_xlfn.XOR(ISBLANK(Feb_2026_SotM[[#This Row],[S]]), ISBLANK(Feb_2026_SotM[[#This Row],[S ]])), "", "S "), IF(_xlfn.XOR(ISBLANK(Feb_2026_SotM[[#This Row],[H]]), ISBLANK(Feb_2026_SotM[[#This Row],[H ]])), "", "H ")))</f>
        <v/>
      </c>
      <c r="Z27" s="109">
        <f t="shared" si="8"/>
        <v>14</v>
      </c>
      <c r="AA27" s="59">
        <v>46065</v>
      </c>
      <c r="AB27" t="str">
        <v>samuelbattista</v>
      </c>
      <c r="AC27" s="3">
        <v>2.4</v>
      </c>
      <c r="AD27">
        <v>1.3564659966250536</v>
      </c>
      <c r="AE27" t="str">
        <v>あの空の向こうがわへ</v>
      </c>
      <c r="AF27" t="str">
        <v>Junk Fujiyama</v>
      </c>
      <c r="AG27" s="100">
        <f t="shared" si="7"/>
        <v>9</v>
      </c>
      <c r="AI27" s="115">
        <f>Feb_2026_SotM[[#This Row],[Max Seed]]/2 + 1</f>
        <v>5</v>
      </c>
      <c r="AJ27" s="105" t="str">
        <f ca="1">IF(Feb_2026_SotM[[#This Row],[Num]]&gt;=$A$19, "-", IF(Feb_2026_SotM[[#This Row],[Score 1]]&gt;=3, Feb_2026_SotM[[#This Row],[Song 2]], IF(Feb_2026_SotM[[#This Row],[Score 2]]&gt;=3, Feb_2026_SotM[[#This Row],[Song 1]], "TBD")))</f>
        <v>Stoked</v>
      </c>
      <c r="AK27" s="3">
        <f ca="1">IFERROR(VLOOKUP(Feb_2025_Results50[[#This Row],[Song Title]], $AE$20:$AG$35, 3, FALSE)-Feb_2025_Results50[[#This Row],[Result]], "TBD")</f>
        <v>4</v>
      </c>
      <c r="AL27" s="3" t="str">
        <f t="shared" ca="1" si="9"/>
        <v>↑</v>
      </c>
    </row>
    <row r="28" spans="1:38">
      <c r="A28" s="105" t="str">
        <f>_xlfn.CONCAT("Seed ", Feb_2026_SotM[[#This Row],[Top Seed]], " vs ",Feb_2026_SotM[[#This Row],[Low Seed]])</f>
        <v>Seed 8 vs 9</v>
      </c>
      <c r="B28" s="115">
        <v>8</v>
      </c>
      <c r="C28" s="105">
        <f>FLOOR(LOG(Feb_2026_SotM[[#This Row],[Num]], 2), 1)</f>
        <v>3</v>
      </c>
      <c r="D28" s="105">
        <f>2^(Feb_2026_SotM[[#This Row],[Round]]+1)</f>
        <v>16</v>
      </c>
      <c r="E28" s="105">
        <f>Feb_2026_SotM[[#This Row],[Max Seed]]-Feb_2026_SotM[[#This Row],[Num]]</f>
        <v>8</v>
      </c>
      <c r="F28" s="105">
        <f>Feb_2026_SotM[[#This Row],[Max Seed]]-Feb_2026_SotM[[#This Row],[Top Seed]]+1</f>
        <v>9</v>
      </c>
      <c r="G28" s="105" t="b">
        <f>IF(Feb_2026_SotM[[#This Row],[Round]]=$C$19, TRUE(), IF(Feb_2026_SotM[[#This Row],[Round]]=$B$19, Feb_2026_SotM[[#This Row],[Top Seed]]&lt;=2*Feb_2026_SotM[[#This Row],[Max Seed]]-$A$19, FALSE()))</f>
        <v>1</v>
      </c>
      <c r="H28" s="105" t="b">
        <f>IF(Feb_2026_SotM[[#This Row],[Round]]=$C$19, TRUE(), IF(Feb_2026_SotM[[#This Row],[Round]]=$B$19, Feb_2026_SotM[[#This Row],[Low Seed]]&lt;=2*Feb_2026_SotM[[#This Row],[Max Seed]]-$A$19, FALSE()))</f>
        <v>1</v>
      </c>
      <c r="I28" s="28" t="s">
        <v>4191</v>
      </c>
      <c r="J28" s="31"/>
      <c r="K28" s="33"/>
      <c r="L28" s="35" t="s">
        <v>4191</v>
      </c>
      <c r="M28" s="37"/>
      <c r="N28" s="192" t="str">
        <f ca="1">IF(Feb_2026_SotM[[#This Row],[Num]]&gt;=$A$19, "-", IF(Feb_2026_SotM[[#This Row],[Initial 1]], VLOOKUP(Feb_2026_SotM[[#This Row],[Top Seed]], $Z$20:$AE$35, 6, FALSE), OFFSET(Feb_2026_SotM[[#This Row],[Winner]], Feb_2026_SotM[[#This Row],[Max Seed]], 0)))</f>
        <v>Tank!</v>
      </c>
      <c r="O28" s="105">
        <f>COUNTIF(Feb_2026_SotM[[#This Row],[J]:[H]],"x")</f>
        <v>2</v>
      </c>
      <c r="P28" s="115" t="str">
        <f ca="1">IF(Feb_2026_SotM[[#This Row],[Num]]&gt;=$A$19, "-", IF(Feb_2026_SotM[[#This Row],[Score 1]]&gt;=3, Feb_2026_SotM[[#This Row],[Song 1]], IF(Feb_2026_SotM[[#This Row],[Score 2]]&gt;=3, Feb_2026_SotM[[#This Row],[Song 2]], "TBD")))</f>
        <v>Stoked</v>
      </c>
      <c r="Q28" s="193">
        <f>COUNTIF(Feb_2026_SotM[[#This Row],[H ]:[J ]],"x")</f>
        <v>3</v>
      </c>
      <c r="R28" s="105" t="str">
        <f ca="1">IF(Feb_2026_SotM[[#This Row],[Num]]&gt;=$A$19, "-", IF(Feb_2026_SotM[[#This Row],[Initial 2]], VLOOKUP(Feb_2026_SotM[[#This Row],[Low Seed]], $Z$20:$AE$35, 6, FALSE), OFFSET(Feb_2026_SotM[[#This Row],[Winner]], 2*(Feb_2026_SotM[[#This Row],[Max Seed]]-Feb_2026_SotM[[#This Row],[Low Seed]])+1, 0)))</f>
        <v>Stoked</v>
      </c>
      <c r="S28" s="37" t="s">
        <v>4191</v>
      </c>
      <c r="T28" s="35"/>
      <c r="U28" s="33" t="s">
        <v>4191</v>
      </c>
      <c r="V28" s="31" t="s">
        <v>4191</v>
      </c>
      <c r="W28" s="28"/>
      <c r="X28" s="115" t="str">
        <f ca="1">IF(OR(Feb_2026_SotM[[#This Row],[Song 1]]="TBD", Feb_2026_SotM[[#This Row],[Song 2]]="TBD"), "TBD", _xlfn.CONCAT(IF(_xlfn.XOR(ISBLANK(Feb_2026_SotM[[#This Row],[J]]), ISBLANK(Feb_2026_SotM[[#This Row],[J ]])), "", "J "), IF(_xlfn.XOR(ISBLANK(Feb_2026_SotM[[#This Row],[D]]), ISBLANK(Feb_2026_SotM[[#This Row],[D ]])), "", "D "), IF(_xlfn.XOR(ISBLANK(Feb_2026_SotM[[#This Row],[L]]), ISBLANK(Feb_2026_SotM[[#This Row],[L ]])), "", "L "), IF(_xlfn.XOR(ISBLANK(Feb_2026_SotM[[#This Row],[S]]), ISBLANK(Feb_2026_SotM[[#This Row],[S ]])), "", "S "), IF(_xlfn.XOR(ISBLANK(Feb_2026_SotM[[#This Row],[H]]), ISBLANK(Feb_2026_SotM[[#This Row],[H ]])), "", "H ")))</f>
        <v/>
      </c>
      <c r="Z28" s="109">
        <f t="shared" si="8"/>
        <v>6</v>
      </c>
      <c r="AA28" s="59">
        <v>46069</v>
      </c>
      <c r="AB28" t="str">
        <v>samuelbattista</v>
      </c>
      <c r="AC28" s="3">
        <v>2.2000000000000002</v>
      </c>
      <c r="AD28">
        <v>1.1661903789690602</v>
      </c>
      <c r="AE28" t="str">
        <v>Buddy Holly</v>
      </c>
      <c r="AF28" t="str">
        <v>Weezer</v>
      </c>
      <c r="AG28" s="100">
        <f t="shared" si="7"/>
        <v>5</v>
      </c>
      <c r="AI28" s="115">
        <f>Feb_2026_SotM[[#This Row],[Max Seed]]/2 + 1</f>
        <v>9</v>
      </c>
      <c r="AJ28" s="105" t="str">
        <f ca="1">IF(Feb_2026_SotM[[#This Row],[Num]]&gt;=$A$19, "-", IF(Feb_2026_SotM[[#This Row],[Score 1]]&gt;=3, Feb_2026_SotM[[#This Row],[Song 2]], IF(Feb_2026_SotM[[#This Row],[Score 2]]&gt;=3, Feb_2026_SotM[[#This Row],[Song 1]], "TBD")))</f>
        <v>Tank!</v>
      </c>
      <c r="AK28" s="3">
        <f ca="1">IFERROR(VLOOKUP(Feb_2025_Results50[[#This Row],[Song Title]], $AE$20:$AG$35, 3, FALSE)-Feb_2025_Results50[[#This Row],[Result]], "TBD")</f>
        <v>-4</v>
      </c>
      <c r="AL28" s="3" t="str">
        <f t="shared" ca="1" si="9"/>
        <v>↓</v>
      </c>
    </row>
    <row r="29" spans="1:38">
      <c r="A29" s="105" t="str">
        <f>_xlfn.CONCAT("Seed ", Feb_2026_SotM[[#This Row],[Top Seed]], " vs ",Feb_2026_SotM[[#This Row],[Low Seed]])</f>
        <v>Seed 7 vs 10</v>
      </c>
      <c r="B29" s="115">
        <v>9</v>
      </c>
      <c r="C29" s="105">
        <f>FLOOR(LOG(Feb_2026_SotM[[#This Row],[Num]], 2), 1)</f>
        <v>3</v>
      </c>
      <c r="D29" s="105">
        <f>2^(Feb_2026_SotM[[#This Row],[Round]]+1)</f>
        <v>16</v>
      </c>
      <c r="E29" s="105">
        <f>Feb_2026_SotM[[#This Row],[Max Seed]]-Feb_2026_SotM[[#This Row],[Num]]</f>
        <v>7</v>
      </c>
      <c r="F29" s="105">
        <f>Feb_2026_SotM[[#This Row],[Max Seed]]-Feb_2026_SotM[[#This Row],[Top Seed]]+1</f>
        <v>10</v>
      </c>
      <c r="G29" s="105" t="b">
        <f>IF(Feb_2026_SotM[[#This Row],[Round]]=$C$19, TRUE(), IF(Feb_2026_SotM[[#This Row],[Round]]=$B$19, Feb_2026_SotM[[#This Row],[Top Seed]]&lt;=2*Feb_2026_SotM[[#This Row],[Max Seed]]-$A$19, FALSE()))</f>
        <v>1</v>
      </c>
      <c r="H29" s="105" t="b">
        <f>IF(Feb_2026_SotM[[#This Row],[Round]]=$C$19, TRUE(), IF(Feb_2026_SotM[[#This Row],[Round]]=$B$19, Feb_2026_SotM[[#This Row],[Low Seed]]&lt;=2*Feb_2026_SotM[[#This Row],[Max Seed]]-$A$19, FALSE()))</f>
        <v>1</v>
      </c>
      <c r="I29" s="28" t="s">
        <v>4191</v>
      </c>
      <c r="J29" s="31"/>
      <c r="K29" s="33"/>
      <c r="L29" s="35"/>
      <c r="M29" s="37"/>
      <c r="N29" s="192" t="str">
        <f ca="1">IF(Feb_2026_SotM[[#This Row],[Num]]&gt;=$A$19, "-", IF(Feb_2026_SotM[[#This Row],[Initial 1]], VLOOKUP(Feb_2026_SotM[[#This Row],[Top Seed]], $Z$20:$AE$35, 6, FALSE), OFFSET(Feb_2026_SotM[[#This Row],[Winner]], Feb_2026_SotM[[#This Row],[Max Seed]], 0)))</f>
        <v>Velvet</v>
      </c>
      <c r="O29" s="105">
        <f>COUNTIF(Feb_2026_SotM[[#This Row],[J]:[H]],"x")</f>
        <v>1</v>
      </c>
      <c r="P29" s="115" t="str">
        <f ca="1">IF(Feb_2026_SotM[[#This Row],[Num]]&gt;=$A$19, "-", IF(Feb_2026_SotM[[#This Row],[Score 1]]&gt;=3, Feb_2026_SotM[[#This Row],[Song 1]], IF(Feb_2026_SotM[[#This Row],[Score 2]]&gt;=3, Feb_2026_SotM[[#This Row],[Song 2]], "TBD")))</f>
        <v>diamonds are forever</v>
      </c>
      <c r="Q29" s="193">
        <f>COUNTIF(Feb_2026_SotM[[#This Row],[H ]:[J ]],"x")</f>
        <v>4</v>
      </c>
      <c r="R29" s="105" t="str">
        <f ca="1">IF(Feb_2026_SotM[[#This Row],[Num]]&gt;=$A$19, "-", IF(Feb_2026_SotM[[#This Row],[Initial 2]], VLOOKUP(Feb_2026_SotM[[#This Row],[Low Seed]], $Z$20:$AE$35, 6, FALSE), OFFSET(Feb_2026_SotM[[#This Row],[Winner]], 2*(Feb_2026_SotM[[#This Row],[Max Seed]]-Feb_2026_SotM[[#This Row],[Low Seed]])+1, 0)))</f>
        <v>diamonds are forever</v>
      </c>
      <c r="S29" s="37" t="s">
        <v>4191</v>
      </c>
      <c r="T29" s="35" t="s">
        <v>4191</v>
      </c>
      <c r="U29" s="33" t="s">
        <v>4191</v>
      </c>
      <c r="V29" s="31" t="s">
        <v>4191</v>
      </c>
      <c r="W29" s="28"/>
      <c r="X29" s="115" t="str">
        <f ca="1">IF(OR(Feb_2026_SotM[[#This Row],[Song 1]]="TBD", Feb_2026_SotM[[#This Row],[Song 2]]="TBD"), "TBD", _xlfn.CONCAT(IF(_xlfn.XOR(ISBLANK(Feb_2026_SotM[[#This Row],[J]]), ISBLANK(Feb_2026_SotM[[#This Row],[J ]])), "", "J "), IF(_xlfn.XOR(ISBLANK(Feb_2026_SotM[[#This Row],[D]]), ISBLANK(Feb_2026_SotM[[#This Row],[D ]])), "", "D "), IF(_xlfn.XOR(ISBLANK(Feb_2026_SotM[[#This Row],[L]]), ISBLANK(Feb_2026_SotM[[#This Row],[L ]])), "", "L "), IF(_xlfn.XOR(ISBLANK(Feb_2026_SotM[[#This Row],[S]]), ISBLANK(Feb_2026_SotM[[#This Row],[S ]])), "", "S "), IF(_xlfn.XOR(ISBLANK(Feb_2026_SotM[[#This Row],[H]]), ISBLANK(Feb_2026_SotM[[#This Row],[H ]])), "", "H ")))</f>
        <v/>
      </c>
      <c r="Z29" s="109">
        <f t="shared" si="8"/>
        <v>12</v>
      </c>
      <c r="AA29" s="59">
        <v>46070</v>
      </c>
      <c r="AB29" t="str">
        <v>samuelbattista</v>
      </c>
      <c r="AC29" s="3">
        <v>2.4</v>
      </c>
      <c r="AD29">
        <v>1.2</v>
      </c>
      <c r="AE29" t="str">
        <v>Carry on Wayward Son</v>
      </c>
      <c r="AF29" t="str">
        <v>Kansas</v>
      </c>
      <c r="AG29" s="100">
        <f t="shared" si="7"/>
        <v>9</v>
      </c>
      <c r="AI29" s="115">
        <f>Feb_2026_SotM[[#This Row],[Max Seed]]/2 + 1</f>
        <v>9</v>
      </c>
      <c r="AJ29" s="105" t="str">
        <f ca="1">IF(Feb_2026_SotM[[#This Row],[Num]]&gt;=$A$19, "-", IF(Feb_2026_SotM[[#This Row],[Score 1]]&gt;=3, Feb_2026_SotM[[#This Row],[Song 2]], IF(Feb_2026_SotM[[#This Row],[Score 2]]&gt;=3, Feb_2026_SotM[[#This Row],[Song 1]], "TBD")))</f>
        <v>Velvet</v>
      </c>
      <c r="AK29" s="3">
        <f ca="1">IFERROR(VLOOKUP(Feb_2025_Results50[[#This Row],[Song Title]], $AE$20:$AG$35, 3, FALSE)-Feb_2025_Results50[[#This Row],[Result]], "TBD")</f>
        <v>-4</v>
      </c>
      <c r="AL29" s="3" t="str">
        <f t="shared" ca="1" si="9"/>
        <v>↓</v>
      </c>
    </row>
    <row r="30" spans="1:38">
      <c r="A30" s="105" t="str">
        <f>_xlfn.CONCAT("Seed ", Feb_2026_SotM[[#This Row],[Top Seed]], " vs ",Feb_2026_SotM[[#This Row],[Low Seed]])</f>
        <v>Seed 6 vs 11</v>
      </c>
      <c r="B30" s="115">
        <v>10</v>
      </c>
      <c r="C30" s="105">
        <f>FLOOR(LOG(Feb_2026_SotM[[#This Row],[Num]], 2), 1)</f>
        <v>3</v>
      </c>
      <c r="D30" s="105">
        <f>2^(Feb_2026_SotM[[#This Row],[Round]]+1)</f>
        <v>16</v>
      </c>
      <c r="E30" s="105">
        <f>Feb_2026_SotM[[#This Row],[Max Seed]]-Feb_2026_SotM[[#This Row],[Num]]</f>
        <v>6</v>
      </c>
      <c r="F30" s="105">
        <f>Feb_2026_SotM[[#This Row],[Max Seed]]-Feb_2026_SotM[[#This Row],[Top Seed]]+1</f>
        <v>11</v>
      </c>
      <c r="G30" s="105" t="b">
        <f>IF(Feb_2026_SotM[[#This Row],[Round]]=$C$19, TRUE(), IF(Feb_2026_SotM[[#This Row],[Round]]=$B$19, Feb_2026_SotM[[#This Row],[Top Seed]]&lt;=2*Feb_2026_SotM[[#This Row],[Max Seed]]-$A$19, FALSE()))</f>
        <v>1</v>
      </c>
      <c r="H30" s="105" t="b">
        <f>IF(Feb_2026_SotM[[#This Row],[Round]]=$C$19, TRUE(), IF(Feb_2026_SotM[[#This Row],[Round]]=$B$19, Feb_2026_SotM[[#This Row],[Low Seed]]&lt;=2*Feb_2026_SotM[[#This Row],[Max Seed]]-$A$19, FALSE()))</f>
        <v>1</v>
      </c>
      <c r="I30" s="28"/>
      <c r="J30" s="31" t="s">
        <v>4191</v>
      </c>
      <c r="K30" s="33" t="s">
        <v>4191</v>
      </c>
      <c r="L30" s="35" t="s">
        <v>4191</v>
      </c>
      <c r="M30" s="37"/>
      <c r="N30" s="192" t="str">
        <f ca="1">IF(Feb_2026_SotM[[#This Row],[Num]]&gt;=$A$19, "-", IF(Feb_2026_SotM[[#This Row],[Initial 1]], VLOOKUP(Feb_2026_SotM[[#This Row],[Top Seed]], $Z$20:$AE$35, 6, FALSE), OFFSET(Feb_2026_SotM[[#This Row],[Winner]], Feb_2026_SotM[[#This Row],[Max Seed]], 0)))</f>
        <v>Buddy Holly</v>
      </c>
      <c r="O30" s="105">
        <f>COUNTIF(Feb_2026_SotM[[#This Row],[J]:[H]],"x")</f>
        <v>3</v>
      </c>
      <c r="P30" s="115" t="str">
        <f ca="1">IF(Feb_2026_SotM[[#This Row],[Num]]&gt;=$A$19, "-", IF(Feb_2026_SotM[[#This Row],[Score 1]]&gt;=3, Feb_2026_SotM[[#This Row],[Song 1]], IF(Feb_2026_SotM[[#This Row],[Score 2]]&gt;=3, Feb_2026_SotM[[#This Row],[Song 2]], "TBD")))</f>
        <v>Buddy Holly</v>
      </c>
      <c r="Q30" s="193">
        <f>COUNTIF(Feb_2026_SotM[[#This Row],[H ]:[J ]],"x")</f>
        <v>2</v>
      </c>
      <c r="R30" s="105" t="str">
        <f ca="1">IF(Feb_2026_SotM[[#This Row],[Num]]&gt;=$A$19, "-", IF(Feb_2026_SotM[[#This Row],[Initial 2]], VLOOKUP(Feb_2026_SotM[[#This Row],[Low Seed]], $Z$20:$AE$35, 6, FALSE), OFFSET(Feb_2026_SotM[[#This Row],[Winner]], 2*(Feb_2026_SotM[[#This Row],[Max Seed]]-Feb_2026_SotM[[#This Row],[Low Seed]])+1, 0)))</f>
        <v>Be A Flower</v>
      </c>
      <c r="S30" s="37" t="s">
        <v>4191</v>
      </c>
      <c r="T30" s="35"/>
      <c r="U30" s="33"/>
      <c r="V30" s="31"/>
      <c r="W30" s="28" t="s">
        <v>4191</v>
      </c>
      <c r="X30" s="115" t="str">
        <f ca="1">IF(OR(Feb_2026_SotM[[#This Row],[Song 1]]="TBD", Feb_2026_SotM[[#This Row],[Song 2]]="TBD"), "TBD", _xlfn.CONCAT(IF(_xlfn.XOR(ISBLANK(Feb_2026_SotM[[#This Row],[J]]), ISBLANK(Feb_2026_SotM[[#This Row],[J ]])), "", "J "), IF(_xlfn.XOR(ISBLANK(Feb_2026_SotM[[#This Row],[D]]), ISBLANK(Feb_2026_SotM[[#This Row],[D ]])), "", "D "), IF(_xlfn.XOR(ISBLANK(Feb_2026_SotM[[#This Row],[L]]), ISBLANK(Feb_2026_SotM[[#This Row],[L ]])), "", "L "), IF(_xlfn.XOR(ISBLANK(Feb_2026_SotM[[#This Row],[S]]), ISBLANK(Feb_2026_SotM[[#This Row],[S ]])), "", "S "), IF(_xlfn.XOR(ISBLANK(Feb_2026_SotM[[#This Row],[H]]), ISBLANK(Feb_2026_SotM[[#This Row],[H ]])), "", "H ")))</f>
        <v/>
      </c>
      <c r="Z30" s="109">
        <f t="shared" si="8"/>
        <v>5</v>
      </c>
      <c r="AA30" s="59">
        <v>46071</v>
      </c>
      <c r="AB30" t="str">
        <v>alappatjoe</v>
      </c>
      <c r="AC30" s="3">
        <v>2</v>
      </c>
      <c r="AD30">
        <v>0.63245553203367588</v>
      </c>
      <c r="AE30" t="str">
        <v>Prism Parade</v>
      </c>
      <c r="AF30" t="str">
        <v>Kuma Slaps</v>
      </c>
      <c r="AG30" s="100">
        <f t="shared" si="7"/>
        <v>5</v>
      </c>
      <c r="AI30" s="115">
        <f>Feb_2026_SotM[[#This Row],[Max Seed]]/2 + 1</f>
        <v>9</v>
      </c>
      <c r="AJ30" s="105" t="str">
        <f ca="1">IF(Feb_2026_SotM[[#This Row],[Num]]&gt;=$A$19, "-", IF(Feb_2026_SotM[[#This Row],[Score 1]]&gt;=3, Feb_2026_SotM[[#This Row],[Song 2]], IF(Feb_2026_SotM[[#This Row],[Score 2]]&gt;=3, Feb_2026_SotM[[#This Row],[Song 1]], "TBD")))</f>
        <v>Be A Flower</v>
      </c>
      <c r="AK30" s="3">
        <f ca="1">IFERROR(VLOOKUP(Feb_2025_Results50[[#This Row],[Song Title]], $AE$20:$AG$35, 3, FALSE)-Feb_2025_Results50[[#This Row],[Result]], "TBD")</f>
        <v>0</v>
      </c>
      <c r="AL30" s="3" t="str">
        <f t="shared" ca="1" si="9"/>
        <v>-</v>
      </c>
    </row>
    <row r="31" spans="1:38">
      <c r="A31" s="105" t="str">
        <f>_xlfn.CONCAT("Seed ", Feb_2026_SotM[[#This Row],[Top Seed]], " vs ",Feb_2026_SotM[[#This Row],[Low Seed]])</f>
        <v>Seed 5 vs 12</v>
      </c>
      <c r="B31" s="115">
        <v>11</v>
      </c>
      <c r="C31" s="105">
        <f>FLOOR(LOG(Feb_2026_SotM[[#This Row],[Num]], 2), 1)</f>
        <v>3</v>
      </c>
      <c r="D31" s="105">
        <f>2^(Feb_2026_SotM[[#This Row],[Round]]+1)</f>
        <v>16</v>
      </c>
      <c r="E31" s="105">
        <f>Feb_2026_SotM[[#This Row],[Max Seed]]-Feb_2026_SotM[[#This Row],[Num]]</f>
        <v>5</v>
      </c>
      <c r="F31" s="105">
        <f>Feb_2026_SotM[[#This Row],[Max Seed]]-Feb_2026_SotM[[#This Row],[Top Seed]]+1</f>
        <v>12</v>
      </c>
      <c r="G31" s="105" t="b">
        <f>IF(Feb_2026_SotM[[#This Row],[Round]]=$C$19, TRUE(), IF(Feb_2026_SotM[[#This Row],[Round]]=$B$19, Feb_2026_SotM[[#This Row],[Top Seed]]&lt;=2*Feb_2026_SotM[[#This Row],[Max Seed]]-$A$19, FALSE()))</f>
        <v>1</v>
      </c>
      <c r="H31" s="105" t="b">
        <f>IF(Feb_2026_SotM[[#This Row],[Round]]=$C$19, TRUE(), IF(Feb_2026_SotM[[#This Row],[Round]]=$B$19, Feb_2026_SotM[[#This Row],[Low Seed]]&lt;=2*Feb_2026_SotM[[#This Row],[Max Seed]]-$A$19, FALSE()))</f>
        <v>1</v>
      </c>
      <c r="I31" s="28" t="s">
        <v>4191</v>
      </c>
      <c r="J31" s="31"/>
      <c r="K31" s="33" t="s">
        <v>4191</v>
      </c>
      <c r="L31" s="35"/>
      <c r="M31" s="37" t="s">
        <v>4191</v>
      </c>
      <c r="N31" s="192" t="str">
        <f ca="1">IF(Feb_2026_SotM[[#This Row],[Num]]&gt;=$A$19, "-", IF(Feb_2026_SotM[[#This Row],[Initial 1]], VLOOKUP(Feb_2026_SotM[[#This Row],[Top Seed]], $Z$20:$AE$35, 6, FALSE), OFFSET(Feb_2026_SotM[[#This Row],[Winner]], Feb_2026_SotM[[#This Row],[Max Seed]], 0)))</f>
        <v>Prism Parade</v>
      </c>
      <c r="O31" s="105">
        <f>COUNTIF(Feb_2026_SotM[[#This Row],[J]:[H]],"x")</f>
        <v>3</v>
      </c>
      <c r="P31" s="115" t="str">
        <f ca="1">IF(Feb_2026_SotM[[#This Row],[Num]]&gt;=$A$19, "-", IF(Feb_2026_SotM[[#This Row],[Score 1]]&gt;=3, Feb_2026_SotM[[#This Row],[Song 1]], IF(Feb_2026_SotM[[#This Row],[Score 2]]&gt;=3, Feb_2026_SotM[[#This Row],[Song 2]], "TBD")))</f>
        <v>Prism Parade</v>
      </c>
      <c r="Q31" s="193">
        <f>COUNTIF(Feb_2026_SotM[[#This Row],[H ]:[J ]],"x")</f>
        <v>2</v>
      </c>
      <c r="R31" s="105" t="str">
        <f ca="1">IF(Feb_2026_SotM[[#This Row],[Num]]&gt;=$A$19, "-", IF(Feb_2026_SotM[[#This Row],[Initial 2]], VLOOKUP(Feb_2026_SotM[[#This Row],[Low Seed]], $Z$20:$AE$35, 6, FALSE), OFFSET(Feb_2026_SotM[[#This Row],[Winner]], 2*(Feb_2026_SotM[[#This Row],[Max Seed]]-Feb_2026_SotM[[#This Row],[Low Seed]])+1, 0)))</f>
        <v>Carry on Wayward Son</v>
      </c>
      <c r="S31" s="37"/>
      <c r="T31" s="35" t="s">
        <v>4191</v>
      </c>
      <c r="U31" s="33"/>
      <c r="V31" s="31" t="s">
        <v>4191</v>
      </c>
      <c r="W31" s="28"/>
      <c r="X31" s="115" t="str">
        <f ca="1">IF(OR(Feb_2026_SotM[[#This Row],[Song 1]]="TBD", Feb_2026_SotM[[#This Row],[Song 2]]="TBD"), "TBD", _xlfn.CONCAT(IF(_xlfn.XOR(ISBLANK(Feb_2026_SotM[[#This Row],[J]]), ISBLANK(Feb_2026_SotM[[#This Row],[J ]])), "", "J "), IF(_xlfn.XOR(ISBLANK(Feb_2026_SotM[[#This Row],[D]]), ISBLANK(Feb_2026_SotM[[#This Row],[D ]])), "", "D "), IF(_xlfn.XOR(ISBLANK(Feb_2026_SotM[[#This Row],[L]]), ISBLANK(Feb_2026_SotM[[#This Row],[L ]])), "", "L "), IF(_xlfn.XOR(ISBLANK(Feb_2026_SotM[[#This Row],[S]]), ISBLANK(Feb_2026_SotM[[#This Row],[S ]])), "", "S "), IF(_xlfn.XOR(ISBLANK(Feb_2026_SotM[[#This Row],[H]]), ISBLANK(Feb_2026_SotM[[#This Row],[H ]])), "", "H ")))</f>
        <v/>
      </c>
      <c r="Z31" s="109">
        <f t="shared" si="8"/>
        <v>3</v>
      </c>
      <c r="AA31" s="59">
        <v>46072</v>
      </c>
      <c r="AB31" t="str">
        <v>danram</v>
      </c>
      <c r="AC31" s="3">
        <v>1.8</v>
      </c>
      <c r="AD31">
        <v>0.74833147735478833</v>
      </c>
      <c r="AE31" t="str">
        <v>GIMME CHEESEBURGER</v>
      </c>
      <c r="AF31" t="str">
        <v>Kill Karl</v>
      </c>
      <c r="AG31" s="100">
        <f t="shared" si="7"/>
        <v>3</v>
      </c>
      <c r="AI31" s="115">
        <f>Feb_2026_SotM[[#This Row],[Max Seed]]/2 + 1</f>
        <v>9</v>
      </c>
      <c r="AJ31" s="105" t="str">
        <f ca="1">IF(Feb_2026_SotM[[#This Row],[Num]]&gt;=$A$19, "-", IF(Feb_2026_SotM[[#This Row],[Score 1]]&gt;=3, Feb_2026_SotM[[#This Row],[Song 2]], IF(Feb_2026_SotM[[#This Row],[Score 2]]&gt;=3, Feb_2026_SotM[[#This Row],[Song 1]], "TBD")))</f>
        <v>Carry on Wayward Son</v>
      </c>
      <c r="AK31" s="3">
        <f ca="1">IFERROR(VLOOKUP(Feb_2025_Results50[[#This Row],[Song Title]], $AE$20:$AG$35, 3, FALSE)-Feb_2025_Results50[[#This Row],[Result]], "TBD")</f>
        <v>0</v>
      </c>
      <c r="AL31" s="3" t="str">
        <f t="shared" ca="1" si="9"/>
        <v>-</v>
      </c>
    </row>
    <row r="32" spans="1:38">
      <c r="A32" s="105" t="str">
        <f>_xlfn.CONCAT("Seed ", Feb_2026_SotM[[#This Row],[Top Seed]], " vs ",Feb_2026_SotM[[#This Row],[Low Seed]])</f>
        <v>Seed 4 vs 13</v>
      </c>
      <c r="B32" s="115">
        <v>12</v>
      </c>
      <c r="C32" s="105">
        <f>FLOOR(LOG(Feb_2026_SotM[[#This Row],[Num]], 2), 1)</f>
        <v>3</v>
      </c>
      <c r="D32" s="105">
        <f>2^(Feb_2026_SotM[[#This Row],[Round]]+1)</f>
        <v>16</v>
      </c>
      <c r="E32" s="105">
        <f>Feb_2026_SotM[[#This Row],[Max Seed]]-Feb_2026_SotM[[#This Row],[Num]]</f>
        <v>4</v>
      </c>
      <c r="F32" s="105">
        <f>Feb_2026_SotM[[#This Row],[Max Seed]]-Feb_2026_SotM[[#This Row],[Top Seed]]+1</f>
        <v>13</v>
      </c>
      <c r="G32" s="105" t="b">
        <f>IF(Feb_2026_SotM[[#This Row],[Round]]=$C$19, TRUE(), IF(Feb_2026_SotM[[#This Row],[Round]]=$B$19, Feb_2026_SotM[[#This Row],[Top Seed]]&lt;=2*Feb_2026_SotM[[#This Row],[Max Seed]]-$A$19, FALSE()))</f>
        <v>1</v>
      </c>
      <c r="H32" s="105" t="b">
        <f>IF(Feb_2026_SotM[[#This Row],[Round]]=$C$19, TRUE(), IF(Feb_2026_SotM[[#This Row],[Round]]=$B$19, Feb_2026_SotM[[#This Row],[Low Seed]]&lt;=2*Feb_2026_SotM[[#This Row],[Max Seed]]-$A$19, FALSE()))</f>
        <v>1</v>
      </c>
      <c r="I32" s="28"/>
      <c r="J32" s="31"/>
      <c r="K32" s="33"/>
      <c r="L32" s="35"/>
      <c r="M32" s="37"/>
      <c r="N32" s="192" t="str">
        <f ca="1">IF(Feb_2026_SotM[[#This Row],[Num]]&gt;=$A$19, "-", IF(Feb_2026_SotM[[#This Row],[Initial 1]], VLOOKUP(Feb_2026_SotM[[#This Row],[Top Seed]], $Z$20:$AE$35, 6, FALSE), OFFSET(Feb_2026_SotM[[#This Row],[Winner]], Feb_2026_SotM[[#This Row],[Max Seed]], 0)))</f>
        <v>Cops &amp; Robbers</v>
      </c>
      <c r="O32" s="105">
        <f>COUNTIF(Feb_2026_SotM[[#This Row],[J]:[H]],"x")</f>
        <v>0</v>
      </c>
      <c r="P32" s="115" t="str">
        <f ca="1">IF(Feb_2026_SotM[[#This Row],[Num]]&gt;=$A$19, "-", IF(Feb_2026_SotM[[#This Row],[Score 1]]&gt;=3, Feb_2026_SotM[[#This Row],[Song 1]], IF(Feb_2026_SotM[[#This Row],[Score 2]]&gt;=3, Feb_2026_SotM[[#This Row],[Song 2]], "TBD")))</f>
        <v>Black Butterflies and déjà vu</v>
      </c>
      <c r="Q32" s="193">
        <f>COUNTIF(Feb_2026_SotM[[#This Row],[H ]:[J ]],"x")</f>
        <v>5</v>
      </c>
      <c r="R32" s="105" t="str">
        <f ca="1">IF(Feb_2026_SotM[[#This Row],[Num]]&gt;=$A$19, "-", IF(Feb_2026_SotM[[#This Row],[Initial 2]], VLOOKUP(Feb_2026_SotM[[#This Row],[Low Seed]], $Z$20:$AE$35, 6, FALSE), OFFSET(Feb_2026_SotM[[#This Row],[Winner]], 2*(Feb_2026_SotM[[#This Row],[Max Seed]]-Feb_2026_SotM[[#This Row],[Low Seed]])+1, 0)))</f>
        <v>Black Butterflies and déjà vu</v>
      </c>
      <c r="S32" s="37" t="s">
        <v>4191</v>
      </c>
      <c r="T32" s="35" t="s">
        <v>4191</v>
      </c>
      <c r="U32" s="33" t="s">
        <v>4191</v>
      </c>
      <c r="V32" s="31" t="s">
        <v>4191</v>
      </c>
      <c r="W32" s="28" t="s">
        <v>4191</v>
      </c>
      <c r="X32" s="115" t="str">
        <f ca="1">IF(OR(Feb_2026_SotM[[#This Row],[Song 1]]="TBD", Feb_2026_SotM[[#This Row],[Song 2]]="TBD"), "TBD", _xlfn.CONCAT(IF(_xlfn.XOR(ISBLANK(Feb_2026_SotM[[#This Row],[J]]), ISBLANK(Feb_2026_SotM[[#This Row],[J ]])), "", "J "), IF(_xlfn.XOR(ISBLANK(Feb_2026_SotM[[#This Row],[D]]), ISBLANK(Feb_2026_SotM[[#This Row],[D ]])), "", "D "), IF(_xlfn.XOR(ISBLANK(Feb_2026_SotM[[#This Row],[L]]), ISBLANK(Feb_2026_SotM[[#This Row],[L ]])), "", "L "), IF(_xlfn.XOR(ISBLANK(Feb_2026_SotM[[#This Row],[S]]), ISBLANK(Feb_2026_SotM[[#This Row],[S ]])), "", "S "), IF(_xlfn.XOR(ISBLANK(Feb_2026_SotM[[#This Row],[H]]), ISBLANK(Feb_2026_SotM[[#This Row],[H ]])), "", "H ")))</f>
        <v/>
      </c>
      <c r="Z32" s="109">
        <f t="shared" si="8"/>
        <v>7</v>
      </c>
      <c r="AA32" s="59">
        <v>46076</v>
      </c>
      <c r="AB32" t="str">
        <v>alappatjoe</v>
      </c>
      <c r="AC32" s="3">
        <v>2.2000000000000002</v>
      </c>
      <c r="AD32">
        <v>1.1661903789690602</v>
      </c>
      <c r="AE32" t="str">
        <v>Velvet</v>
      </c>
      <c r="AF32" t="str">
        <v>Koven Wei, SUGAR</v>
      </c>
      <c r="AG32" s="100">
        <f t="shared" si="7"/>
        <v>5</v>
      </c>
      <c r="AI32" s="115">
        <f>Feb_2026_SotM[[#This Row],[Max Seed]]/2 + 1</f>
        <v>9</v>
      </c>
      <c r="AJ32" s="105" t="str">
        <f ca="1">IF(Feb_2026_SotM[[#This Row],[Num]]&gt;=$A$19, "-", IF(Feb_2026_SotM[[#This Row],[Score 1]]&gt;=3, Feb_2026_SotM[[#This Row],[Song 2]], IF(Feb_2026_SotM[[#This Row],[Score 2]]&gt;=3, Feb_2026_SotM[[#This Row],[Song 1]], "TBD")))</f>
        <v>Cops &amp; Robbers</v>
      </c>
      <c r="AK32" s="3">
        <f ca="1">IFERROR(VLOOKUP(Feb_2025_Results50[[#This Row],[Song Title]], $AE$20:$AG$35, 3, FALSE)-Feb_2025_Results50[[#This Row],[Result]], "TBD")</f>
        <v>-6</v>
      </c>
      <c r="AL32" s="3" t="str">
        <f t="shared" ca="1" si="9"/>
        <v>↓</v>
      </c>
    </row>
    <row r="33" spans="1:38">
      <c r="A33" s="105" t="str">
        <f>_xlfn.CONCAT("Seed ", Feb_2026_SotM[[#This Row],[Top Seed]], " vs ",Feb_2026_SotM[[#This Row],[Low Seed]])</f>
        <v>Seed 3 vs 14</v>
      </c>
      <c r="B33" s="115">
        <v>13</v>
      </c>
      <c r="C33" s="105">
        <f>FLOOR(LOG(Feb_2026_SotM[[#This Row],[Num]], 2), 1)</f>
        <v>3</v>
      </c>
      <c r="D33" s="105">
        <f>2^(Feb_2026_SotM[[#This Row],[Round]]+1)</f>
        <v>16</v>
      </c>
      <c r="E33" s="105">
        <f>Feb_2026_SotM[[#This Row],[Max Seed]]-Feb_2026_SotM[[#This Row],[Num]]</f>
        <v>3</v>
      </c>
      <c r="F33" s="105">
        <f>Feb_2026_SotM[[#This Row],[Max Seed]]-Feb_2026_SotM[[#This Row],[Top Seed]]+1</f>
        <v>14</v>
      </c>
      <c r="G33" s="105" t="b">
        <f>IF(Feb_2026_SotM[[#This Row],[Round]]=$C$19, TRUE(), IF(Feb_2026_SotM[[#This Row],[Round]]=$B$19, Feb_2026_SotM[[#This Row],[Top Seed]]&lt;=2*Feb_2026_SotM[[#This Row],[Max Seed]]-$A$19, FALSE()))</f>
        <v>1</v>
      </c>
      <c r="H33" s="105" t="b">
        <f>IF(Feb_2026_SotM[[#This Row],[Round]]=$C$19, TRUE(), IF(Feb_2026_SotM[[#This Row],[Round]]=$B$19, Feb_2026_SotM[[#This Row],[Low Seed]]&lt;=2*Feb_2026_SotM[[#This Row],[Max Seed]]-$A$19, FALSE()))</f>
        <v>1</v>
      </c>
      <c r="I33" s="28"/>
      <c r="J33" s="31"/>
      <c r="K33" s="33"/>
      <c r="L33" s="35"/>
      <c r="M33" s="37"/>
      <c r="N33" s="192" t="str">
        <f ca="1">IF(Feb_2026_SotM[[#This Row],[Num]]&gt;=$A$19, "-", IF(Feb_2026_SotM[[#This Row],[Initial 1]], VLOOKUP(Feb_2026_SotM[[#This Row],[Top Seed]], $Z$20:$AE$35, 6, FALSE), OFFSET(Feb_2026_SotM[[#This Row],[Winner]], Feb_2026_SotM[[#This Row],[Max Seed]], 0)))</f>
        <v>GIMME CHEESEBURGER</v>
      </c>
      <c r="O33" s="105">
        <f>COUNTIF(Feb_2026_SotM[[#This Row],[J]:[H]],"x")</f>
        <v>0</v>
      </c>
      <c r="P33" s="115" t="str">
        <f ca="1">IF(Feb_2026_SotM[[#This Row],[Num]]&gt;=$A$19, "-", IF(Feb_2026_SotM[[#This Row],[Score 1]]&gt;=3, Feb_2026_SotM[[#This Row],[Song 1]], IF(Feb_2026_SotM[[#This Row],[Score 2]]&gt;=3, Feb_2026_SotM[[#This Row],[Song 2]], "TBD")))</f>
        <v>あの空の向こうがわへ</v>
      </c>
      <c r="Q33" s="193">
        <f>COUNTIF(Feb_2026_SotM[[#This Row],[H ]:[J ]],"x")</f>
        <v>5</v>
      </c>
      <c r="R33" s="105" t="str">
        <f ca="1">IF(Feb_2026_SotM[[#This Row],[Num]]&gt;=$A$19, "-", IF(Feb_2026_SotM[[#This Row],[Initial 2]], VLOOKUP(Feb_2026_SotM[[#This Row],[Low Seed]], $Z$20:$AE$35, 6, FALSE), OFFSET(Feb_2026_SotM[[#This Row],[Winner]], 2*(Feb_2026_SotM[[#This Row],[Max Seed]]-Feb_2026_SotM[[#This Row],[Low Seed]])+1, 0)))</f>
        <v>あの空の向こうがわへ</v>
      </c>
      <c r="S33" s="37" t="s">
        <v>4191</v>
      </c>
      <c r="T33" s="35" t="s">
        <v>4191</v>
      </c>
      <c r="U33" s="33" t="s">
        <v>4191</v>
      </c>
      <c r="V33" s="31" t="s">
        <v>4191</v>
      </c>
      <c r="W33" s="28" t="s">
        <v>4191</v>
      </c>
      <c r="X33" s="115" t="str">
        <f ca="1">IF(OR(Feb_2026_SotM[[#This Row],[Song 1]]="TBD", Feb_2026_SotM[[#This Row],[Song 2]]="TBD"), "TBD", _xlfn.CONCAT(IF(_xlfn.XOR(ISBLANK(Feb_2026_SotM[[#This Row],[J]]), ISBLANK(Feb_2026_SotM[[#This Row],[J ]])), "", "J "), IF(_xlfn.XOR(ISBLANK(Feb_2026_SotM[[#This Row],[D]]), ISBLANK(Feb_2026_SotM[[#This Row],[D ]])), "", "D "), IF(_xlfn.XOR(ISBLANK(Feb_2026_SotM[[#This Row],[L]]), ISBLANK(Feb_2026_SotM[[#This Row],[L ]])), "", "L "), IF(_xlfn.XOR(ISBLANK(Feb_2026_SotM[[#This Row],[S]]), ISBLANK(Feb_2026_SotM[[#This Row],[S ]])), "", "S "), IF(_xlfn.XOR(ISBLANK(Feb_2026_SotM[[#This Row],[H]]), ISBLANK(Feb_2026_SotM[[#This Row],[H ]])), "", "H ")))</f>
        <v/>
      </c>
      <c r="Z33" s="109">
        <f t="shared" si="8"/>
        <v>16</v>
      </c>
      <c r="AA33" s="59">
        <v>46077</v>
      </c>
      <c r="AB33" t="str">
        <v>loganworsdell</v>
      </c>
      <c r="AC33" s="3">
        <v>2.6</v>
      </c>
      <c r="AD33">
        <v>0.8</v>
      </c>
      <c r="AE33" t="str">
        <v>SADLY, I STILL LOVE YOU</v>
      </c>
      <c r="AF33" t="str">
        <v>Evenson</v>
      </c>
      <c r="AG33" s="100">
        <f t="shared" si="7"/>
        <v>9</v>
      </c>
      <c r="AI33" s="115">
        <f>Feb_2026_SotM[[#This Row],[Max Seed]]/2 + 1</f>
        <v>9</v>
      </c>
      <c r="AJ33" s="105" t="str">
        <f ca="1">IF(Feb_2026_SotM[[#This Row],[Num]]&gt;=$A$19, "-", IF(Feb_2026_SotM[[#This Row],[Score 1]]&gt;=3, Feb_2026_SotM[[#This Row],[Song 2]], IF(Feb_2026_SotM[[#This Row],[Score 2]]&gt;=3, Feb_2026_SotM[[#This Row],[Song 1]], "TBD")))</f>
        <v>GIMME CHEESEBURGER</v>
      </c>
      <c r="AK33" s="3">
        <f ca="1">IFERROR(VLOOKUP(Feb_2025_Results50[[#This Row],[Song Title]], $AE$20:$AG$35, 3, FALSE)-Feb_2025_Results50[[#This Row],[Result]], "TBD")</f>
        <v>-6</v>
      </c>
      <c r="AL33" s="3" t="str">
        <f t="shared" ca="1" si="9"/>
        <v>↓</v>
      </c>
    </row>
    <row r="34" spans="1:38">
      <c r="A34" s="105" t="str">
        <f>_xlfn.CONCAT("Seed ", Feb_2026_SotM[[#This Row],[Top Seed]], " vs ",Feb_2026_SotM[[#This Row],[Low Seed]])</f>
        <v>Seed 2 vs 15</v>
      </c>
      <c r="B34" s="115">
        <v>14</v>
      </c>
      <c r="C34" s="105">
        <f>FLOOR(LOG(Feb_2026_SotM[[#This Row],[Num]], 2), 1)</f>
        <v>3</v>
      </c>
      <c r="D34" s="105">
        <f>2^(Feb_2026_SotM[[#This Row],[Round]]+1)</f>
        <v>16</v>
      </c>
      <c r="E34" s="105">
        <f>Feb_2026_SotM[[#This Row],[Max Seed]]-Feb_2026_SotM[[#This Row],[Num]]</f>
        <v>2</v>
      </c>
      <c r="F34" s="105">
        <f>Feb_2026_SotM[[#This Row],[Max Seed]]-Feb_2026_SotM[[#This Row],[Top Seed]]+1</f>
        <v>15</v>
      </c>
      <c r="G34" s="105" t="b">
        <f>IF(Feb_2026_SotM[[#This Row],[Round]]=$C$19, TRUE(), IF(Feb_2026_SotM[[#This Row],[Round]]=$B$19, Feb_2026_SotM[[#This Row],[Top Seed]]&lt;=2*Feb_2026_SotM[[#This Row],[Max Seed]]-$A$19, FALSE()))</f>
        <v>1</v>
      </c>
      <c r="H34" s="105" t="b">
        <f>IF(Feb_2026_SotM[[#This Row],[Round]]=$C$19, TRUE(), IF(Feb_2026_SotM[[#This Row],[Round]]=$B$19, Feb_2026_SotM[[#This Row],[Low Seed]]&lt;=2*Feb_2026_SotM[[#This Row],[Max Seed]]-$A$19, FALSE()))</f>
        <v>1</v>
      </c>
      <c r="I34" s="28" t="s">
        <v>4191</v>
      </c>
      <c r="J34" s="31"/>
      <c r="K34" s="33" t="s">
        <v>4191</v>
      </c>
      <c r="L34" s="35"/>
      <c r="M34" s="37" t="s">
        <v>4191</v>
      </c>
      <c r="N34" s="192" t="str">
        <f ca="1">IF(Feb_2026_SotM[[#This Row],[Num]]&gt;=$A$19, "-", IF(Feb_2026_SotM[[#This Row],[Initial 1]], VLOOKUP(Feb_2026_SotM[[#This Row],[Top Seed]], $Z$20:$AE$35, 6, FALSE), OFFSET(Feb_2026_SotM[[#This Row],[Winner]], Feb_2026_SotM[[#This Row],[Max Seed]], 0)))</f>
        <v>Body</v>
      </c>
      <c r="O34" s="105">
        <f>COUNTIF(Feb_2026_SotM[[#This Row],[J]:[H]],"x")</f>
        <v>3</v>
      </c>
      <c r="P34" s="115" t="str">
        <f ca="1">IF(Feb_2026_SotM[[#This Row],[Num]]&gt;=$A$19, "-", IF(Feb_2026_SotM[[#This Row],[Score 1]]&gt;=3, Feb_2026_SotM[[#This Row],[Song 1]], IF(Feb_2026_SotM[[#This Row],[Score 2]]&gt;=3, Feb_2026_SotM[[#This Row],[Song 2]], "TBD")))</f>
        <v>Body</v>
      </c>
      <c r="Q34" s="193">
        <f>COUNTIF(Feb_2026_SotM[[#This Row],[H ]:[J ]],"x")</f>
        <v>2</v>
      </c>
      <c r="R34" s="105" t="str">
        <f ca="1">IF(Feb_2026_SotM[[#This Row],[Num]]&gt;=$A$19, "-", IF(Feb_2026_SotM[[#This Row],[Initial 2]], VLOOKUP(Feb_2026_SotM[[#This Row],[Low Seed]], $Z$20:$AE$35, 6, FALSE), OFFSET(Feb_2026_SotM[[#This Row],[Winner]], 2*(Feb_2026_SotM[[#This Row],[Max Seed]]-Feb_2026_SotM[[#This Row],[Low Seed]])+1, 0)))</f>
        <v>Even Flow</v>
      </c>
      <c r="S34" s="37"/>
      <c r="T34" s="35" t="s">
        <v>4191</v>
      </c>
      <c r="U34" s="33"/>
      <c r="V34" s="31" t="s">
        <v>4191</v>
      </c>
      <c r="W34" s="28"/>
      <c r="X34" s="115" t="str">
        <f ca="1">IF(OR(Feb_2026_SotM[[#This Row],[Song 1]]="TBD", Feb_2026_SotM[[#This Row],[Song 2]]="TBD"), "TBD", _xlfn.CONCAT(IF(_xlfn.XOR(ISBLANK(Feb_2026_SotM[[#This Row],[J]]), ISBLANK(Feb_2026_SotM[[#This Row],[J ]])), "", "J "), IF(_xlfn.XOR(ISBLANK(Feb_2026_SotM[[#This Row],[D]]), ISBLANK(Feb_2026_SotM[[#This Row],[D ]])), "", "D "), IF(_xlfn.XOR(ISBLANK(Feb_2026_SotM[[#This Row],[L]]), ISBLANK(Feb_2026_SotM[[#This Row],[L ]])), "", "L "), IF(_xlfn.XOR(ISBLANK(Feb_2026_SotM[[#This Row],[S]]), ISBLANK(Feb_2026_SotM[[#This Row],[S ]])), "", "S "), IF(_xlfn.XOR(ISBLANK(Feb_2026_SotM[[#This Row],[H]]), ISBLANK(Feb_2026_SotM[[#This Row],[H ]])), "", "H ")))</f>
        <v/>
      </c>
      <c r="Z34" s="109">
        <f t="shared" si="8"/>
        <v>15</v>
      </c>
      <c r="AA34" s="59">
        <v>46078</v>
      </c>
      <c r="AB34" t="str">
        <v>danram</v>
      </c>
      <c r="AC34" s="3">
        <v>2.4</v>
      </c>
      <c r="AD34">
        <v>1.7435595774162693</v>
      </c>
      <c r="AE34" t="str">
        <v>Even Flow</v>
      </c>
      <c r="AF34" t="str">
        <v>Pearl Jam</v>
      </c>
      <c r="AG34" s="100">
        <f t="shared" si="7"/>
        <v>9</v>
      </c>
      <c r="AI34" s="115">
        <f>Feb_2026_SotM[[#This Row],[Max Seed]]/2 + 1</f>
        <v>9</v>
      </c>
      <c r="AJ34" s="105" t="str">
        <f ca="1">IF(Feb_2026_SotM[[#This Row],[Num]]&gt;=$A$19, "-", IF(Feb_2026_SotM[[#This Row],[Score 1]]&gt;=3, Feb_2026_SotM[[#This Row],[Song 2]], IF(Feb_2026_SotM[[#This Row],[Score 2]]&gt;=3, Feb_2026_SotM[[#This Row],[Song 1]], "TBD")))</f>
        <v>Even Flow</v>
      </c>
      <c r="AK34" s="3">
        <f ca="1">IFERROR(VLOOKUP(Feb_2025_Results50[[#This Row],[Song Title]], $AE$20:$AG$35, 3, FALSE)-Feb_2025_Results50[[#This Row],[Result]], "TBD")</f>
        <v>0</v>
      </c>
      <c r="AL34" s="3" t="str">
        <f t="shared" ca="1" si="9"/>
        <v>-</v>
      </c>
    </row>
    <row r="35" spans="1:38">
      <c r="A35" s="105" t="str">
        <f>_xlfn.CONCAT("Seed ", Feb_2026_SotM[[#This Row],[Top Seed]], " vs ",Feb_2026_SotM[[#This Row],[Low Seed]])</f>
        <v>Seed 1 vs 16</v>
      </c>
      <c r="B35" s="115">
        <v>15</v>
      </c>
      <c r="C35" s="105">
        <f>FLOOR(LOG(Feb_2026_SotM[[#This Row],[Num]], 2), 1)</f>
        <v>3</v>
      </c>
      <c r="D35" s="105">
        <f>2^(Feb_2026_SotM[[#This Row],[Round]]+1)</f>
        <v>16</v>
      </c>
      <c r="E35" s="105">
        <f>Feb_2026_SotM[[#This Row],[Max Seed]]-Feb_2026_SotM[[#This Row],[Num]]</f>
        <v>1</v>
      </c>
      <c r="F35" s="105">
        <f>Feb_2026_SotM[[#This Row],[Max Seed]]-Feb_2026_SotM[[#This Row],[Top Seed]]+1</f>
        <v>16</v>
      </c>
      <c r="G35" s="105" t="b">
        <f>IF(Feb_2026_SotM[[#This Row],[Round]]=$C$19, TRUE(), IF(Feb_2026_SotM[[#This Row],[Round]]=$B$19, Feb_2026_SotM[[#This Row],[Top Seed]]&lt;=2*Feb_2026_SotM[[#This Row],[Max Seed]]-$A$19, FALSE()))</f>
        <v>1</v>
      </c>
      <c r="H35" s="105" t="b">
        <f>IF(Feb_2026_SotM[[#This Row],[Round]]=$C$19, TRUE(), IF(Feb_2026_SotM[[#This Row],[Round]]=$B$19, Feb_2026_SotM[[#This Row],[Low Seed]]&lt;=2*Feb_2026_SotM[[#This Row],[Max Seed]]-$A$19, FALSE()))</f>
        <v>1</v>
      </c>
      <c r="I35" s="28" t="s">
        <v>4191</v>
      </c>
      <c r="J35" s="31" t="s">
        <v>4191</v>
      </c>
      <c r="K35" s="33" t="s">
        <v>4191</v>
      </c>
      <c r="L35" s="35" t="s">
        <v>4191</v>
      </c>
      <c r="M35" s="37" t="s">
        <v>4191</v>
      </c>
      <c r="N35" s="192" t="str">
        <f ca="1">IF(Feb_2026_SotM[[#This Row],[Num]]&gt;=$A$19, "-", IF(Feb_2026_SotM[[#This Row],[Initial 1]], VLOOKUP(Feb_2026_SotM[[#This Row],[Top Seed]], $Z$20:$AE$35, 6, FALSE), OFFSET(Feb_2026_SotM[[#This Row],[Winner]], Feb_2026_SotM[[#This Row],[Max Seed]], 0)))</f>
        <v>GIRLLIKEYOU</v>
      </c>
      <c r="O35" s="105">
        <f>COUNTIF(Feb_2026_SotM[[#This Row],[J]:[H]],"x")</f>
        <v>5</v>
      </c>
      <c r="P35" s="115" t="str">
        <f ca="1">IF(Feb_2026_SotM[[#This Row],[Num]]&gt;=$A$19, "-", IF(Feb_2026_SotM[[#This Row],[Score 1]]&gt;=3, Feb_2026_SotM[[#This Row],[Song 1]], IF(Feb_2026_SotM[[#This Row],[Score 2]]&gt;=3, Feb_2026_SotM[[#This Row],[Song 2]], "TBD")))</f>
        <v>GIRLLIKEYOU</v>
      </c>
      <c r="Q35" s="193">
        <f>COUNTIF(Feb_2026_SotM[[#This Row],[H ]:[J ]],"x")</f>
        <v>0</v>
      </c>
      <c r="R35" s="105" t="str">
        <f ca="1">IF(Feb_2026_SotM[[#This Row],[Num]]&gt;=$A$19, "-", IF(Feb_2026_SotM[[#This Row],[Initial 2]], VLOOKUP(Feb_2026_SotM[[#This Row],[Low Seed]], $Z$20:$AE$35, 6, FALSE), OFFSET(Feb_2026_SotM[[#This Row],[Winner]], 2*(Feb_2026_SotM[[#This Row],[Max Seed]]-Feb_2026_SotM[[#This Row],[Low Seed]])+1, 0)))</f>
        <v>SADLY, I STILL LOVE YOU</v>
      </c>
      <c r="S35" s="37"/>
      <c r="T35" s="35"/>
      <c r="U35" s="33"/>
      <c r="V35" s="31"/>
      <c r="W35" s="28"/>
      <c r="X35" s="115" t="str">
        <f ca="1">IF(OR(Feb_2026_SotM[[#This Row],[Song 1]]="TBD", Feb_2026_SotM[[#This Row],[Song 2]]="TBD"), "TBD", _xlfn.CONCAT(IF(_xlfn.XOR(ISBLANK(Feb_2026_SotM[[#This Row],[J]]), ISBLANK(Feb_2026_SotM[[#This Row],[J ]])), "", "J "), IF(_xlfn.XOR(ISBLANK(Feb_2026_SotM[[#This Row],[D]]), ISBLANK(Feb_2026_SotM[[#This Row],[D ]])), "", "D "), IF(_xlfn.XOR(ISBLANK(Feb_2026_SotM[[#This Row],[L]]), ISBLANK(Feb_2026_SotM[[#This Row],[L ]])), "", "L "), IF(_xlfn.XOR(ISBLANK(Feb_2026_SotM[[#This Row],[S]]), ISBLANK(Feb_2026_SotM[[#This Row],[S ]])), "", "S "), IF(_xlfn.XOR(ISBLANK(Feb_2026_SotM[[#This Row],[H]]), ISBLANK(Feb_2026_SotM[[#This Row],[H ]])), "", "H ")))</f>
        <v/>
      </c>
      <c r="Z35" s="110">
        <f t="shared" si="8"/>
        <v>8</v>
      </c>
      <c r="AA35" s="211">
        <v>46079</v>
      </c>
      <c r="AB35" s="157" t="str">
        <v>alappatjoe</v>
      </c>
      <c r="AC35" s="101">
        <v>2.2000000000000002</v>
      </c>
      <c r="AD35" s="157">
        <v>1.4696938456699069</v>
      </c>
      <c r="AE35" s="157" t="str">
        <v>Tank!</v>
      </c>
      <c r="AF35" s="157" t="str">
        <v>Plantina Jazz</v>
      </c>
      <c r="AG35" s="102">
        <f t="shared" si="7"/>
        <v>5</v>
      </c>
      <c r="AI35" s="115">
        <f>Feb_2026_SotM[[#This Row],[Max Seed]]/2 + 1</f>
        <v>9</v>
      </c>
      <c r="AJ35" s="105" t="str">
        <f ca="1">IF(Feb_2026_SotM[[#This Row],[Num]]&gt;=$A$19, "-", IF(Feb_2026_SotM[[#This Row],[Score 1]]&gt;=3, Feb_2026_SotM[[#This Row],[Song 2]], IF(Feb_2026_SotM[[#This Row],[Score 2]]&gt;=3, Feb_2026_SotM[[#This Row],[Song 1]], "TBD")))</f>
        <v>SADLY, I STILL LOVE YOU</v>
      </c>
      <c r="AK35" s="3">
        <f ca="1">IFERROR(VLOOKUP(Feb_2025_Results50[[#This Row],[Song Title]], $AE$20:$AG$35, 3, FALSE)-Feb_2025_Results50[[#This Row],[Result]], "TBD")</f>
        <v>0</v>
      </c>
      <c r="AL35" s="3" t="str">
        <f t="shared" ca="1" si="9"/>
        <v>-</v>
      </c>
    </row>
    <row r="37" spans="1:38">
      <c r="A37" s="302">
        <f>MAX(Z38:Z55)</f>
        <v>18</v>
      </c>
      <c r="B37" s="302">
        <f t="shared" ref="B37" si="10">FLOOR(LOG(A37, 2), 1)-1</f>
        <v>3</v>
      </c>
      <c r="C37" s="302">
        <f t="shared" ref="C37" si="11">_xlfn.CEILING.MATH(LOG(A37, 2), 1)-1</f>
        <v>4</v>
      </c>
      <c r="D37" s="302"/>
      <c r="E37" s="302"/>
      <c r="F37" s="302"/>
      <c r="G37" s="302"/>
      <c r="H37" s="302"/>
      <c r="I37" s="348" t="s">
        <v>4193</v>
      </c>
      <c r="J37" s="348"/>
      <c r="K37" s="348"/>
      <c r="L37" s="348"/>
      <c r="M37" s="348"/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02"/>
      <c r="Z37" s="221" t="s">
        <v>4163</v>
      </c>
      <c r="AA37" s="222" t="s">
        <v>29</v>
      </c>
      <c r="AB37" s="220" t="s">
        <v>32</v>
      </c>
      <c r="AC37" s="221" t="s">
        <v>33</v>
      </c>
      <c r="AD37" s="220" t="s">
        <v>34</v>
      </c>
      <c r="AE37" s="220" t="s">
        <v>4161</v>
      </c>
      <c r="AF37" s="220" t="s">
        <v>36</v>
      </c>
      <c r="AG37" s="221" t="s">
        <v>4164</v>
      </c>
      <c r="AI37" s="3" t="s">
        <v>4165</v>
      </c>
      <c r="AJ37" t="s">
        <v>35</v>
      </c>
      <c r="AK37" s="3" t="s">
        <v>4166</v>
      </c>
      <c r="AL37" s="3" t="s">
        <v>4167</v>
      </c>
    </row>
    <row r="38" spans="1:38">
      <c r="A38" t="s">
        <v>4168</v>
      </c>
      <c r="B38" s="3" t="s">
        <v>4169</v>
      </c>
      <c r="C38" t="s">
        <v>4170</v>
      </c>
      <c r="D38" t="s">
        <v>4171</v>
      </c>
      <c r="E38" t="s">
        <v>4172</v>
      </c>
      <c r="F38" t="s">
        <v>4173</v>
      </c>
      <c r="G38" t="s">
        <v>4174</v>
      </c>
      <c r="H38" t="s">
        <v>4175</v>
      </c>
      <c r="I38" t="s">
        <v>4176</v>
      </c>
      <c r="J38" t="s">
        <v>4177</v>
      </c>
      <c r="K38" t="s">
        <v>4178</v>
      </c>
      <c r="L38" t="s">
        <v>4179</v>
      </c>
      <c r="M38" t="s">
        <v>4180</v>
      </c>
      <c r="N38" s="3" t="s">
        <v>4181</v>
      </c>
      <c r="O38" t="s">
        <v>4182</v>
      </c>
      <c r="P38" s="3" t="s">
        <v>47</v>
      </c>
      <c r="Q38" s="123" t="s">
        <v>4183</v>
      </c>
      <c r="R38" s="3" t="s">
        <v>4184</v>
      </c>
      <c r="S38" t="s">
        <v>4185</v>
      </c>
      <c r="T38" t="s">
        <v>4186</v>
      </c>
      <c r="U38" t="s">
        <v>4187</v>
      </c>
      <c r="V38" t="s">
        <v>4188</v>
      </c>
      <c r="W38" t="s">
        <v>4189</v>
      </c>
      <c r="X38" s="3" t="s">
        <v>4190</v>
      </c>
      <c r="Z38" s="109">
        <f t="shared" ref="Z38:Z55" si="12">IF(AC38&gt;0, COUNTIF(AC$38:AC$55, "&lt;"&amp;AC38) + COUNTIFS(AC$38:AC$55, AC38, AD$38:AD$55, "&lt;"&amp;AD38) + COUNTIFS(AC$38:AC$55, AC38, AD$38:AD$55, AD38, AA$38:AA$55, "&lt;"&amp;AA38) + 1, "TBD")</f>
        <v>4</v>
      </c>
      <c r="AA38" s="59" cm="1">
        <f t="array" ref="AA38:AF55">_xlfn._xlws.FILTER(Data[Date]:Data[Artist], (Data[Date]&gt;=DATE(2026,3,1))*(Data[Date]&lt;=DATE(2026,3,31))*(Data[Winner]=TRUE()), "TBD")</f>
        <v>46083</v>
      </c>
      <c r="AB38" t="str">
        <v>loganworsdell</v>
      </c>
      <c r="AC38" s="3">
        <v>1.8</v>
      </c>
      <c r="AD38">
        <v>0.74833147735478833</v>
      </c>
      <c r="AE38" t="str">
        <v>Circus</v>
      </c>
      <c r="AF38" t="str">
        <v>Britney Spears</v>
      </c>
      <c r="AG38" s="100">
        <f t="shared" ref="AG38:AG54" si="13">IF(Z38&gt;1, 2^FLOOR(LOG(Z38-1, 2), 1)+1, 1)</f>
        <v>3</v>
      </c>
      <c r="AI38" s="115">
        <v>1</v>
      </c>
      <c r="AJ38" s="105" t="str">
        <f ca="1">P39</f>
        <v>Circus</v>
      </c>
      <c r="AK38" s="3">
        <f ca="1">IFERROR(VLOOKUP(Mar_2025_Results61[[#This Row],[Song Title]], $AE$38:$AG$55, 3, FALSE)-Mar_2025_Results61[[#This Row],[Result]], "TBD")</f>
        <v>2</v>
      </c>
      <c r="AL38" s="3" t="str">
        <f ca="1">IF(AK38&lt;0,"↓",IF(AK38=0,"-","↑"))</f>
        <v>↑</v>
      </c>
    </row>
    <row r="39" spans="1:38">
      <c r="A39" s="105" t="str">
        <f>_xlfn.CONCAT("Seed ", Mar_2026_SotM[[#This Row],[Top Seed]], " vs ",Mar_2026_SotM[[#This Row],[Low Seed]])</f>
        <v>Seed 1 vs 2</v>
      </c>
      <c r="B39" s="115">
        <v>1</v>
      </c>
      <c r="C39" s="105">
        <f>FLOOR(LOG(Mar_2026_SotM[[#This Row],[Num]], 2), 1)</f>
        <v>0</v>
      </c>
      <c r="D39" s="105">
        <f>2^(Mar_2026_SotM[[#This Row],[Round]]+1)</f>
        <v>2</v>
      </c>
      <c r="E39" s="105">
        <f>Mar_2026_SotM[[#This Row],[Max Seed]]-Mar_2026_SotM[[#This Row],[Num]]</f>
        <v>1</v>
      </c>
      <c r="F39" s="105">
        <f>Mar_2026_SotM[[#This Row],[Max Seed]]-Mar_2026_SotM[[#This Row],[Top Seed]]+1</f>
        <v>2</v>
      </c>
      <c r="G39" s="105" t="b">
        <f>IF(Mar_2026_SotM[[#This Row],[Round]]=$C$37, TRUE(), IF(Mar_2026_SotM[[#This Row],[Round]]=$B$37, Mar_2026_SotM[[#This Row],[Top Seed]]&lt;=2*Mar_2026_SotM[[#This Row],[Max Seed]]-$A$37, FALSE()))</f>
        <v>0</v>
      </c>
      <c r="H39" s="105" t="b">
        <f>IF(Mar_2026_SotM[[#This Row],[Round]]=$C$37, TRUE(), IF(Mar_2026_SotM[[#This Row],[Round]]=$B$37, Mar_2026_SotM[[#This Row],[Low Seed]]&lt;=2*Mar_2026_SotM[[#This Row],[Max Seed]]-$A$37, FALSE()))</f>
        <v>0</v>
      </c>
      <c r="I39" s="28" t="s">
        <v>4191</v>
      </c>
      <c r="J39" s="31" t="s">
        <v>4191</v>
      </c>
      <c r="K39" s="33" t="s">
        <v>4191</v>
      </c>
      <c r="L39" s="35"/>
      <c r="M39" s="37"/>
      <c r="N39" s="192" t="str">
        <f ca="1">IF(Mar_2026_SotM[[#This Row],[Num]]&gt;=$A$37, "-", IF(Mar_2026_SotM[[#This Row],[Initial 1]], VLOOKUP(Mar_2026_SotM[[#This Row],[Top Seed]], $Z$38:$AE$55, 6, FALSE), OFFSET(Mar_2026_SotM[[#This Row],[Winner]], Mar_2026_SotM[[#This Row],[Max Seed]], 0)))</f>
        <v>Circus</v>
      </c>
      <c r="O39" s="105">
        <f>COUNTIF(Mar_2026_SotM[[#This Row],[J]:[H]],"x")</f>
        <v>3</v>
      </c>
      <c r="P39" s="115" t="str">
        <f ca="1">IF(Mar_2026_SotM[[#This Row],[Num]]&gt;=$A$37, "-", IF(Mar_2026_SotM[[#This Row],[Score 1]]&gt;=3, Mar_2026_SotM[[#This Row],[Song 1]], IF(Mar_2026_SotM[[#This Row],[Score 2]]&gt;=3, Mar_2026_SotM[[#This Row],[Song 2]], "TBD")))</f>
        <v>Circus</v>
      </c>
      <c r="Q39" s="193">
        <f>COUNTIF(Mar_2026_SotM[[#This Row],[H ]:[J ]],"x")</f>
        <v>2</v>
      </c>
      <c r="R39" s="105" t="str">
        <f ca="1"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f>
        <v>Stateside</v>
      </c>
      <c r="S39" s="37" t="s">
        <v>4191</v>
      </c>
      <c r="T39" s="35" t="s">
        <v>4191</v>
      </c>
      <c r="U39" s="33"/>
      <c r="V39" s="31"/>
      <c r="W39" s="28"/>
      <c r="X39" s="115" t="str">
        <f ca="1"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f>
        <v/>
      </c>
      <c r="Z39" s="109">
        <f t="shared" si="12"/>
        <v>14</v>
      </c>
      <c r="AA39" s="59">
        <v>46084</v>
      </c>
      <c r="AB39" t="str">
        <v>currydestroyer27</v>
      </c>
      <c r="AC39" s="3">
        <v>2.2000000000000002</v>
      </c>
      <c r="AD39">
        <v>1.1661903789690602</v>
      </c>
      <c r="AE39" t="str">
        <v>Stateside</v>
      </c>
      <c r="AF39" t="str">
        <v>PinkPantheress, Zara Larsson</v>
      </c>
      <c r="AG39" s="100">
        <f t="shared" si="13"/>
        <v>9</v>
      </c>
      <c r="AI39" s="115">
        <f>Mar_2026_SotM[[#This Row],[Max Seed]]/2 + 1</f>
        <v>2</v>
      </c>
      <c r="AJ39" s="105" t="str">
        <f ca="1">IF(Mar_2026_SotM[[#This Row],[Num]]&gt;=$A$37, "-", IF(Mar_2026_SotM[[#This Row],[Score 1]]&gt;=3, Mar_2026_SotM[[#This Row],[Song 2]], IF(Mar_2026_SotM[[#This Row],[Score 2]]&gt;=3, Mar_2026_SotM[[#This Row],[Song 1]], "TBD")))</f>
        <v>Stateside</v>
      </c>
      <c r="AK39" s="3">
        <f ca="1">IFERROR(VLOOKUP(Mar_2025_Results61[[#This Row],[Song Title]], $AE$38:$AG$55, 3, FALSE)-Mar_2025_Results61[[#This Row],[Result]], "TBD")</f>
        <v>7</v>
      </c>
      <c r="AL39" s="3" t="str">
        <f ca="1">IF(AK39&lt;0,"↓",IF(AK39=0,"-","↑"))</f>
        <v>↑</v>
      </c>
    </row>
    <row r="40" spans="1:38">
      <c r="A40" s="105" t="str">
        <f>_xlfn.CONCAT("Seed ", Mar_2026_SotM[[#This Row],[Top Seed]], " vs ",Mar_2026_SotM[[#This Row],[Low Seed]])</f>
        <v>Seed 2 vs 3</v>
      </c>
      <c r="B40" s="115">
        <v>2</v>
      </c>
      <c r="C40" s="105">
        <f>FLOOR(LOG(Mar_2026_SotM[[#This Row],[Num]], 2), 1)</f>
        <v>1</v>
      </c>
      <c r="D40" s="105">
        <f>2^(Mar_2026_SotM[[#This Row],[Round]]+1)</f>
        <v>4</v>
      </c>
      <c r="E40" s="105">
        <f>Mar_2026_SotM[[#This Row],[Max Seed]]-Mar_2026_SotM[[#This Row],[Num]]</f>
        <v>2</v>
      </c>
      <c r="F40" s="105">
        <f>Mar_2026_SotM[[#This Row],[Max Seed]]-Mar_2026_SotM[[#This Row],[Top Seed]]+1</f>
        <v>3</v>
      </c>
      <c r="G40" s="105" t="b">
        <f>IF(Mar_2026_SotM[[#This Row],[Round]]=$C$37, TRUE(), IF(Mar_2026_SotM[[#This Row],[Round]]=$B$37, Mar_2026_SotM[[#This Row],[Top Seed]]&lt;=2*Mar_2026_SotM[[#This Row],[Max Seed]]-$A$37, FALSE()))</f>
        <v>0</v>
      </c>
      <c r="H40" s="105" t="b">
        <f>IF(Mar_2026_SotM[[#This Row],[Round]]=$C$37, TRUE(), IF(Mar_2026_SotM[[#This Row],[Round]]=$B$37, Mar_2026_SotM[[#This Row],[Low Seed]]&lt;=2*Mar_2026_SotM[[#This Row],[Max Seed]]-$A$37, FALSE()))</f>
        <v>0</v>
      </c>
      <c r="I40" s="28" t="s">
        <v>4191</v>
      </c>
      <c r="J40" s="31"/>
      <c r="K40" s="33"/>
      <c r="L40" s="35"/>
      <c r="M40" s="37"/>
      <c r="N40" s="192" t="str">
        <f ca="1">IF(Mar_2026_SotM[[#This Row],[Num]]&gt;=$A$37, "-", IF(Mar_2026_SotM[[#This Row],[Initial 1]], VLOOKUP(Mar_2026_SotM[[#This Row],[Top Seed]], $Z$38:$AE$55, 6, FALSE), OFFSET(Mar_2026_SotM[[#This Row],[Winner]], Mar_2026_SotM[[#This Row],[Max Seed]], 0)))</f>
        <v>Medellín Takai</v>
      </c>
      <c r="O40" s="105">
        <f>COUNTIF(Mar_2026_SotM[[#This Row],[J]:[H]],"x")</f>
        <v>1</v>
      </c>
      <c r="P40" s="115" t="str">
        <f ca="1">IF(Mar_2026_SotM[[#This Row],[Num]]&gt;=$A$37, "-", IF(Mar_2026_SotM[[#This Row],[Score 1]]&gt;=3, Mar_2026_SotM[[#This Row],[Song 1]], IF(Mar_2026_SotM[[#This Row],[Score 2]]&gt;=3, Mar_2026_SotM[[#This Row],[Song 2]], "TBD")))</f>
        <v>Stateside</v>
      </c>
      <c r="Q40" s="193">
        <f>COUNTIF(Mar_2026_SotM[[#This Row],[H ]:[J ]],"x")</f>
        <v>4</v>
      </c>
      <c r="R40" s="105" t="str">
        <f ca="1"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f>
        <v>Stateside</v>
      </c>
      <c r="S40" s="37" t="s">
        <v>4191</v>
      </c>
      <c r="T40" s="35" t="s">
        <v>4191</v>
      </c>
      <c r="U40" s="33" t="s">
        <v>4191</v>
      </c>
      <c r="V40" s="31" t="s">
        <v>4191</v>
      </c>
      <c r="W40" s="28"/>
      <c r="X40" s="115" t="str">
        <f ca="1"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f>
        <v/>
      </c>
      <c r="Z40" s="109">
        <f t="shared" si="12"/>
        <v>12</v>
      </c>
      <c r="AA40" s="59">
        <v>46085</v>
      </c>
      <c r="AB40" t="str">
        <v>danram</v>
      </c>
      <c r="AC40" s="3">
        <v>2.2000000000000002</v>
      </c>
      <c r="AD40">
        <v>0.74833147735478833</v>
      </c>
      <c r="AE40" t="str">
        <v>Ca$ino</v>
      </c>
      <c r="AF40" t="str">
        <v>Baby Keem</v>
      </c>
      <c r="AG40" s="100">
        <f t="shared" si="13"/>
        <v>9</v>
      </c>
      <c r="AI40" s="115">
        <f>Mar_2026_SotM[[#This Row],[Max Seed]]/2 + 1</f>
        <v>3</v>
      </c>
      <c r="AJ40" s="105" t="str">
        <f ca="1">IF(Mar_2026_SotM[[#This Row],[Num]]&gt;=$A$37, "-", IF(Mar_2026_SotM[[#This Row],[Score 1]]&gt;=3, Mar_2026_SotM[[#This Row],[Song 2]], IF(Mar_2026_SotM[[#This Row],[Score 2]]&gt;=3, Mar_2026_SotM[[#This Row],[Song 1]], "TBD")))</f>
        <v>Medellín Takai</v>
      </c>
      <c r="AK40" s="3">
        <f ca="1">IFERROR(VLOOKUP(Mar_2025_Results61[[#This Row],[Song Title]], $AE$38:$AG$55, 3, FALSE)-Mar_2025_Results61[[#This Row],[Result]], "TBD")</f>
        <v>2</v>
      </c>
      <c r="AL40" s="3" t="str">
        <f t="shared" ref="AL40:AL54" ca="1" si="14">IF(AK40&lt;0,"↓",IF(AK40=0,"-","↑"))</f>
        <v>↑</v>
      </c>
    </row>
    <row r="41" spans="1:38">
      <c r="A41" s="105" t="str">
        <f>_xlfn.CONCAT("Seed ", Mar_2026_SotM[[#This Row],[Top Seed]], " vs ",Mar_2026_SotM[[#This Row],[Low Seed]])</f>
        <v>Seed 1 vs 4</v>
      </c>
      <c r="B41" s="115">
        <v>3</v>
      </c>
      <c r="C41" s="105">
        <f>FLOOR(LOG(Mar_2026_SotM[[#This Row],[Num]], 2), 1)</f>
        <v>1</v>
      </c>
      <c r="D41" s="105">
        <f>2^(Mar_2026_SotM[[#This Row],[Round]]+1)</f>
        <v>4</v>
      </c>
      <c r="E41" s="105">
        <f>Mar_2026_SotM[[#This Row],[Max Seed]]-Mar_2026_SotM[[#This Row],[Num]]</f>
        <v>1</v>
      </c>
      <c r="F41" s="105">
        <f>Mar_2026_SotM[[#This Row],[Max Seed]]-Mar_2026_SotM[[#This Row],[Top Seed]]+1</f>
        <v>4</v>
      </c>
      <c r="G41" s="105" t="b">
        <f>IF(Mar_2026_SotM[[#This Row],[Round]]=$C$37, TRUE(), IF(Mar_2026_SotM[[#This Row],[Round]]=$B$37, Mar_2026_SotM[[#This Row],[Top Seed]]&lt;=2*Mar_2026_SotM[[#This Row],[Max Seed]]-$A$37, FALSE()))</f>
        <v>0</v>
      </c>
      <c r="H41" s="105" t="b">
        <f>IF(Mar_2026_SotM[[#This Row],[Round]]=$C$37, TRUE(), IF(Mar_2026_SotM[[#This Row],[Round]]=$B$37, Mar_2026_SotM[[#This Row],[Low Seed]]&lt;=2*Mar_2026_SotM[[#This Row],[Max Seed]]-$A$37, FALSE()))</f>
        <v>0</v>
      </c>
      <c r="I41" s="28"/>
      <c r="J41" s="31"/>
      <c r="K41" s="33"/>
      <c r="L41" s="35" t="s">
        <v>4191</v>
      </c>
      <c r="M41" s="37" t="s">
        <v>4191</v>
      </c>
      <c r="N41" s="192" t="str">
        <f ca="1">IF(Mar_2026_SotM[[#This Row],[Num]]&gt;=$A$37, "-", IF(Mar_2026_SotM[[#This Row],[Initial 1]], VLOOKUP(Mar_2026_SotM[[#This Row],[Top Seed]], $Z$38:$AE$55, 6, FALSE), OFFSET(Mar_2026_SotM[[#This Row],[Winner]], Mar_2026_SotM[[#This Row],[Max Seed]], 0)))</f>
        <v>Fire Burning</v>
      </c>
      <c r="O41" s="105">
        <f>COUNTIF(Mar_2026_SotM[[#This Row],[J]:[H]],"x")</f>
        <v>2</v>
      </c>
      <c r="P41" s="115" t="str">
        <f ca="1">IF(Mar_2026_SotM[[#This Row],[Num]]&gt;=$A$37, "-", IF(Mar_2026_SotM[[#This Row],[Score 1]]&gt;=3, Mar_2026_SotM[[#This Row],[Song 1]], IF(Mar_2026_SotM[[#This Row],[Score 2]]&gt;=3, Mar_2026_SotM[[#This Row],[Song 2]], "TBD")))</f>
        <v>Circus</v>
      </c>
      <c r="Q41" s="193">
        <f>COUNTIF(Mar_2026_SotM[[#This Row],[H ]:[J ]],"x")</f>
        <v>3</v>
      </c>
      <c r="R41" s="105" t="str">
        <f ca="1"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f>
        <v>Circus</v>
      </c>
      <c r="S41" s="37"/>
      <c r="T41" s="35"/>
      <c r="U41" s="33" t="s">
        <v>4191</v>
      </c>
      <c r="V41" s="31" t="s">
        <v>4191</v>
      </c>
      <c r="W41" s="28" t="s">
        <v>4191</v>
      </c>
      <c r="X41" s="115" t="str">
        <f ca="1"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f>
        <v/>
      </c>
      <c r="Z41" s="109">
        <f t="shared" si="12"/>
        <v>3</v>
      </c>
      <c r="AA41" s="59">
        <v>46086</v>
      </c>
      <c r="AB41" t="str">
        <v>danram</v>
      </c>
      <c r="AC41" s="3">
        <v>1.6</v>
      </c>
      <c r="AD41">
        <v>0.8</v>
      </c>
      <c r="AE41" t="str">
        <v>Smooth Criminal</v>
      </c>
      <c r="AF41" t="str">
        <v>Michael Jackson</v>
      </c>
      <c r="AG41" s="100">
        <f t="shared" si="13"/>
        <v>3</v>
      </c>
      <c r="AI41" s="115">
        <f>Mar_2026_SotM[[#This Row],[Max Seed]]/2 + 1</f>
        <v>3</v>
      </c>
      <c r="AJ41" s="105" t="str">
        <f ca="1">IF(Mar_2026_SotM[[#This Row],[Num]]&gt;=$A$37, "-", IF(Mar_2026_SotM[[#This Row],[Score 1]]&gt;=3, Mar_2026_SotM[[#This Row],[Song 2]], IF(Mar_2026_SotM[[#This Row],[Score 2]]&gt;=3, Mar_2026_SotM[[#This Row],[Song 1]], "TBD")))</f>
        <v>Fire Burning</v>
      </c>
      <c r="AK41" s="3">
        <f ca="1">IFERROR(VLOOKUP(Mar_2025_Results61[[#This Row],[Song Title]], $AE$38:$AG$55, 3, FALSE)-Mar_2025_Results61[[#This Row],[Result]], "TBD")</f>
        <v>-2</v>
      </c>
      <c r="AL41" s="3" t="str">
        <f t="shared" ca="1" si="14"/>
        <v>↓</v>
      </c>
    </row>
    <row r="42" spans="1:38">
      <c r="A42" s="105" t="str">
        <f>_xlfn.CONCAT("Seed ", Mar_2026_SotM[[#This Row],[Top Seed]], " vs ",Mar_2026_SotM[[#This Row],[Low Seed]])</f>
        <v>Seed 4 vs 5</v>
      </c>
      <c r="B42" s="115">
        <v>4</v>
      </c>
      <c r="C42" s="105">
        <f>FLOOR(LOG(Mar_2026_SotM[[#This Row],[Num]], 2), 1)</f>
        <v>2</v>
      </c>
      <c r="D42" s="105">
        <f>2^(Mar_2026_SotM[[#This Row],[Round]]+1)</f>
        <v>8</v>
      </c>
      <c r="E42" s="105">
        <f>Mar_2026_SotM[[#This Row],[Max Seed]]-Mar_2026_SotM[[#This Row],[Num]]</f>
        <v>4</v>
      </c>
      <c r="F42" s="105">
        <f>Mar_2026_SotM[[#This Row],[Max Seed]]-Mar_2026_SotM[[#This Row],[Top Seed]]+1</f>
        <v>5</v>
      </c>
      <c r="G42" s="105" t="b">
        <f>IF(Mar_2026_SotM[[#This Row],[Round]]=$C$37, TRUE(), IF(Mar_2026_SotM[[#This Row],[Round]]=$B$37, Mar_2026_SotM[[#This Row],[Top Seed]]&lt;=2*Mar_2026_SotM[[#This Row],[Max Seed]]-$A$37, FALSE()))</f>
        <v>0</v>
      </c>
      <c r="H42" s="105" t="b">
        <f>IF(Mar_2026_SotM[[#This Row],[Round]]=$C$37, TRUE(), IF(Mar_2026_SotM[[#This Row],[Round]]=$B$37, Mar_2026_SotM[[#This Row],[Low Seed]]&lt;=2*Mar_2026_SotM[[#This Row],[Max Seed]]-$A$37, FALSE()))</f>
        <v>0</v>
      </c>
      <c r="I42" s="28" t="s">
        <v>4191</v>
      </c>
      <c r="J42" s="31" t="s">
        <v>4191</v>
      </c>
      <c r="K42" s="33" t="s">
        <v>4191</v>
      </c>
      <c r="L42" s="35"/>
      <c r="M42" s="37" t="s">
        <v>4191</v>
      </c>
      <c r="N42" s="192" t="str">
        <f ca="1">IF(Mar_2026_SotM[[#This Row],[Num]]&gt;=$A$37, "-", IF(Mar_2026_SotM[[#This Row],[Initial 1]], VLOOKUP(Mar_2026_SotM[[#This Row],[Top Seed]], $Z$38:$AE$55, 6, FALSE), OFFSET(Mar_2026_SotM[[#This Row],[Winner]], Mar_2026_SotM[[#This Row],[Max Seed]], 0)))</f>
        <v>Circus</v>
      </c>
      <c r="O42" s="105">
        <f>COUNTIF(Mar_2026_SotM[[#This Row],[J]:[H]],"x")</f>
        <v>4</v>
      </c>
      <c r="P42" s="115" t="str">
        <f ca="1">IF(Mar_2026_SotM[[#This Row],[Num]]&gt;=$A$37, "-", IF(Mar_2026_SotM[[#This Row],[Score 1]]&gt;=3, Mar_2026_SotM[[#This Row],[Song 1]], IF(Mar_2026_SotM[[#This Row],[Score 2]]&gt;=3, Mar_2026_SotM[[#This Row],[Song 2]], "TBD")))</f>
        <v>Circus</v>
      </c>
      <c r="Q42" s="193">
        <f>COUNTIF(Mar_2026_SotM[[#This Row],[H ]:[J ]],"x")</f>
        <v>1</v>
      </c>
      <c r="R42" s="105" t="str">
        <f ca="1"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f>
        <v>Suavemente</v>
      </c>
      <c r="S42" s="37"/>
      <c r="T42" s="35" t="s">
        <v>4191</v>
      </c>
      <c r="U42" s="33"/>
      <c r="V42" s="31"/>
      <c r="W42" s="28"/>
      <c r="X42" s="115" t="str">
        <f ca="1"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f>
        <v/>
      </c>
      <c r="Z42" s="109">
        <f t="shared" si="12"/>
        <v>1</v>
      </c>
      <c r="AA42" s="59">
        <v>46090</v>
      </c>
      <c r="AB42" t="str">
        <v>loganworsdell</v>
      </c>
      <c r="AC42" s="3">
        <v>1.6</v>
      </c>
      <c r="AD42">
        <v>0.4898979485566356</v>
      </c>
      <c r="AE42" t="str">
        <v>Fire Burning</v>
      </c>
      <c r="AF42" t="str">
        <v>Sean Kingston</v>
      </c>
      <c r="AG42" s="100">
        <f t="shared" si="13"/>
        <v>1</v>
      </c>
      <c r="AI42" s="115">
        <f>Mar_2026_SotM[[#This Row],[Max Seed]]/2 + 1</f>
        <v>5</v>
      </c>
      <c r="AJ42" s="105" t="str">
        <f ca="1">IF(Mar_2026_SotM[[#This Row],[Num]]&gt;=$A$37, "-", IF(Mar_2026_SotM[[#This Row],[Score 1]]&gt;=3, Mar_2026_SotM[[#This Row],[Song 2]], IF(Mar_2026_SotM[[#This Row],[Score 2]]&gt;=3, Mar_2026_SotM[[#This Row],[Song 1]], "TBD")))</f>
        <v>Suavemente</v>
      </c>
      <c r="AK42" s="3">
        <f ca="1">IFERROR(VLOOKUP(Mar_2025_Results61[[#This Row],[Song Title]], $AE$38:$AG$55, 3, FALSE)-Mar_2025_Results61[[#This Row],[Result]], "TBD")</f>
        <v>0</v>
      </c>
      <c r="AL42" s="3" t="str">
        <f t="shared" ca="1" si="14"/>
        <v>-</v>
      </c>
    </row>
    <row r="43" spans="1:38">
      <c r="A43" s="105" t="str">
        <f>_xlfn.CONCAT("Seed ", Mar_2026_SotM[[#This Row],[Top Seed]], " vs ",Mar_2026_SotM[[#This Row],[Low Seed]])</f>
        <v>Seed 3 vs 6</v>
      </c>
      <c r="B43" s="115">
        <v>5</v>
      </c>
      <c r="C43" s="105">
        <f>FLOOR(LOG(Mar_2026_SotM[[#This Row],[Num]], 2), 1)</f>
        <v>2</v>
      </c>
      <c r="D43" s="105">
        <f>2^(Mar_2026_SotM[[#This Row],[Round]]+1)</f>
        <v>8</v>
      </c>
      <c r="E43" s="105">
        <f>Mar_2026_SotM[[#This Row],[Max Seed]]-Mar_2026_SotM[[#This Row],[Num]]</f>
        <v>3</v>
      </c>
      <c r="F43" s="105">
        <f>Mar_2026_SotM[[#This Row],[Max Seed]]-Mar_2026_SotM[[#This Row],[Top Seed]]+1</f>
        <v>6</v>
      </c>
      <c r="G43" s="105" t="b">
        <f>IF(Mar_2026_SotM[[#This Row],[Round]]=$C$37, TRUE(), IF(Mar_2026_SotM[[#This Row],[Round]]=$B$37, Mar_2026_SotM[[#This Row],[Top Seed]]&lt;=2*Mar_2026_SotM[[#This Row],[Max Seed]]-$A$37, FALSE()))</f>
        <v>0</v>
      </c>
      <c r="H43" s="105" t="b">
        <f>IF(Mar_2026_SotM[[#This Row],[Round]]=$C$37, TRUE(), IF(Mar_2026_SotM[[#This Row],[Round]]=$B$37, Mar_2026_SotM[[#This Row],[Low Seed]]&lt;=2*Mar_2026_SotM[[#This Row],[Max Seed]]-$A$37, FALSE()))</f>
        <v>0</v>
      </c>
      <c r="I43" s="28"/>
      <c r="J43" s="31" t="s">
        <v>4191</v>
      </c>
      <c r="K43" s="33" t="s">
        <v>4191</v>
      </c>
      <c r="L43" s="35" t="s">
        <v>4191</v>
      </c>
      <c r="M43" s="37" t="s">
        <v>4191</v>
      </c>
      <c r="N43" s="192" t="str">
        <f ca="1">IF(Mar_2026_SotM[[#This Row],[Num]]&gt;=$A$37, "-", IF(Mar_2026_SotM[[#This Row],[Initial 1]], VLOOKUP(Mar_2026_SotM[[#This Row],[Top Seed]], $Z$38:$AE$55, 6, FALSE), OFFSET(Mar_2026_SotM[[#This Row],[Winner]], Mar_2026_SotM[[#This Row],[Max Seed]], 0)))</f>
        <v>Stateside</v>
      </c>
      <c r="O43" s="105">
        <f>COUNTIF(Mar_2026_SotM[[#This Row],[J]:[H]],"x")</f>
        <v>4</v>
      </c>
      <c r="P43" s="115" t="str">
        <f ca="1">IF(Mar_2026_SotM[[#This Row],[Num]]&gt;=$A$37, "-", IF(Mar_2026_SotM[[#This Row],[Score 1]]&gt;=3, Mar_2026_SotM[[#This Row],[Song 1]], IF(Mar_2026_SotM[[#This Row],[Score 2]]&gt;=3, Mar_2026_SotM[[#This Row],[Song 2]], "TBD")))</f>
        <v>Stateside</v>
      </c>
      <c r="Q43" s="193">
        <f>COUNTIF(Mar_2026_SotM[[#This Row],[H ]:[J ]],"x")</f>
        <v>1</v>
      </c>
      <c r="R43" s="105" t="str">
        <f ca="1"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f>
        <v>Shape Of My Heart</v>
      </c>
      <c r="S43" s="37"/>
      <c r="T43" s="35"/>
      <c r="U43" s="33"/>
      <c r="V43" s="31"/>
      <c r="W43" s="28" t="s">
        <v>4191</v>
      </c>
      <c r="X43" s="115" t="str">
        <f ca="1"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f>
        <v/>
      </c>
      <c r="Z43" s="109">
        <f t="shared" si="12"/>
        <v>18</v>
      </c>
      <c r="AA43" s="59">
        <v>46091</v>
      </c>
      <c r="AB43" t="str">
        <v>alappatjoe</v>
      </c>
      <c r="AC43" s="3">
        <v>2.6</v>
      </c>
      <c r="AD43">
        <v>1.019803902718557</v>
      </c>
      <c r="AE43" t="str">
        <v>Bloom</v>
      </c>
      <c r="AF43" t="str">
        <v>Systems Nominal</v>
      </c>
      <c r="AG43" s="100">
        <f t="shared" si="13"/>
        <v>17</v>
      </c>
      <c r="AI43" s="115">
        <f>Mar_2026_SotM[[#This Row],[Max Seed]]/2 + 1</f>
        <v>5</v>
      </c>
      <c r="AJ43" s="105" t="str">
        <f ca="1">IF(Mar_2026_SotM[[#This Row],[Num]]&gt;=$A$37, "-", IF(Mar_2026_SotM[[#This Row],[Score 1]]&gt;=3, Mar_2026_SotM[[#This Row],[Song 2]], IF(Mar_2026_SotM[[#This Row],[Score 2]]&gt;=3, Mar_2026_SotM[[#This Row],[Song 1]], "TBD")))</f>
        <v>Shape Of My Heart</v>
      </c>
      <c r="AK43" s="3">
        <f ca="1">IFERROR(VLOOKUP(Mar_2025_Results61[[#This Row],[Song Title]], $AE$38:$AG$55, 3, FALSE)-Mar_2025_Results61[[#This Row],[Result]], "TBD")</f>
        <v>4</v>
      </c>
      <c r="AL43" s="3" t="str">
        <f t="shared" ca="1" si="14"/>
        <v>↑</v>
      </c>
    </row>
    <row r="44" spans="1:38">
      <c r="A44" s="105" t="str">
        <f>_xlfn.CONCAT("Seed ", Mar_2026_SotM[[#This Row],[Top Seed]], " vs ",Mar_2026_SotM[[#This Row],[Low Seed]])</f>
        <v>Seed 2 vs 7</v>
      </c>
      <c r="B44" s="115">
        <v>6</v>
      </c>
      <c r="C44" s="105">
        <f>FLOOR(LOG(Mar_2026_SotM[[#This Row],[Num]], 2), 1)</f>
        <v>2</v>
      </c>
      <c r="D44" s="105">
        <f>2^(Mar_2026_SotM[[#This Row],[Round]]+1)</f>
        <v>8</v>
      </c>
      <c r="E44" s="105">
        <f>Mar_2026_SotM[[#This Row],[Max Seed]]-Mar_2026_SotM[[#This Row],[Num]]</f>
        <v>2</v>
      </c>
      <c r="F44" s="105">
        <f>Mar_2026_SotM[[#This Row],[Max Seed]]-Mar_2026_SotM[[#This Row],[Top Seed]]+1</f>
        <v>7</v>
      </c>
      <c r="G44" s="105" t="b">
        <f>IF(Mar_2026_SotM[[#This Row],[Round]]=$C$37, TRUE(), IF(Mar_2026_SotM[[#This Row],[Round]]=$B$37, Mar_2026_SotM[[#This Row],[Top Seed]]&lt;=2*Mar_2026_SotM[[#This Row],[Max Seed]]-$A$37, FALSE()))</f>
        <v>0</v>
      </c>
      <c r="H44" s="105" t="b">
        <f>IF(Mar_2026_SotM[[#This Row],[Round]]=$C$37, TRUE(), IF(Mar_2026_SotM[[#This Row],[Round]]=$B$37, Mar_2026_SotM[[#This Row],[Low Seed]]&lt;=2*Mar_2026_SotM[[#This Row],[Max Seed]]-$A$37, FALSE()))</f>
        <v>0</v>
      </c>
      <c r="I44" s="28" t="s">
        <v>4191</v>
      </c>
      <c r="J44" s="31"/>
      <c r="K44" s="33"/>
      <c r="L44" s="35"/>
      <c r="M44" s="37"/>
      <c r="N44" s="192" t="str">
        <f ca="1">IF(Mar_2026_SotM[[#This Row],[Num]]&gt;=$A$37, "-", IF(Mar_2026_SotM[[#This Row],[Initial 1]], VLOOKUP(Mar_2026_SotM[[#This Row],[Top Seed]], $Z$38:$AE$55, 6, FALSE), OFFSET(Mar_2026_SotM[[#This Row],[Winner]], Mar_2026_SotM[[#This Row],[Max Seed]], 0)))</f>
        <v>On My Soul</v>
      </c>
      <c r="O44" s="105">
        <f>COUNTIF(Mar_2026_SotM[[#This Row],[J]:[H]],"x")</f>
        <v>1</v>
      </c>
      <c r="P44" s="115" t="str">
        <f ca="1">IF(Mar_2026_SotM[[#This Row],[Num]]&gt;=$A$37, "-", IF(Mar_2026_SotM[[#This Row],[Score 1]]&gt;=3, Mar_2026_SotM[[#This Row],[Song 1]], IF(Mar_2026_SotM[[#This Row],[Score 2]]&gt;=3, Mar_2026_SotM[[#This Row],[Song 2]], "TBD")))</f>
        <v>Medellín Takai</v>
      </c>
      <c r="Q44" s="193">
        <f>COUNTIF(Mar_2026_SotM[[#This Row],[H ]:[J ]],"x")</f>
        <v>4</v>
      </c>
      <c r="R44" s="105" t="str">
        <f ca="1"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f>
        <v>Medellín Takai</v>
      </c>
      <c r="S44" s="37" t="s">
        <v>4191</v>
      </c>
      <c r="T44" s="35" t="s">
        <v>4191</v>
      </c>
      <c r="U44" s="33" t="s">
        <v>4191</v>
      </c>
      <c r="V44" s="31" t="s">
        <v>4191</v>
      </c>
      <c r="W44" s="28"/>
      <c r="X44" s="115" t="str">
        <f ca="1"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f>
        <v/>
      </c>
      <c r="Z44" s="109">
        <f t="shared" si="12"/>
        <v>9</v>
      </c>
      <c r="AA44" s="59">
        <v>46092</v>
      </c>
      <c r="AB44" t="str">
        <v>loganworsdell</v>
      </c>
      <c r="AC44" s="3">
        <v>2</v>
      </c>
      <c r="AD44">
        <v>1.2649110640673518</v>
      </c>
      <c r="AE44" t="str">
        <v>22:22</v>
      </c>
      <c r="AF44" t="str">
        <v>Ghali</v>
      </c>
      <c r="AG44" s="100">
        <f t="shared" si="13"/>
        <v>9</v>
      </c>
      <c r="AI44" s="115">
        <f>Mar_2026_SotM[[#This Row],[Max Seed]]/2 + 1</f>
        <v>5</v>
      </c>
      <c r="AJ44" s="105" t="str">
        <f ca="1">IF(Mar_2026_SotM[[#This Row],[Num]]&gt;=$A$37, "-", IF(Mar_2026_SotM[[#This Row],[Score 1]]&gt;=3, Mar_2026_SotM[[#This Row],[Song 2]], IF(Mar_2026_SotM[[#This Row],[Score 2]]&gt;=3, Mar_2026_SotM[[#This Row],[Song 1]], "TBD")))</f>
        <v>On My Soul</v>
      </c>
      <c r="AK44" s="3">
        <f ca="1">IFERROR(VLOOKUP(Mar_2025_Results61[[#This Row],[Song Title]], $AE$38:$AG$55, 3, FALSE)-Mar_2025_Results61[[#This Row],[Result]], "TBD")</f>
        <v>4</v>
      </c>
      <c r="AL44" s="3" t="str">
        <f t="shared" ca="1" si="14"/>
        <v>↑</v>
      </c>
    </row>
    <row r="45" spans="1:38">
      <c r="A45" s="105" t="str">
        <f>_xlfn.CONCAT("Seed ", Mar_2026_SotM[[#This Row],[Top Seed]], " vs ",Mar_2026_SotM[[#This Row],[Low Seed]])</f>
        <v>Seed 1 vs 8</v>
      </c>
      <c r="B45" s="115">
        <v>7</v>
      </c>
      <c r="C45" s="105">
        <f>FLOOR(LOG(Mar_2026_SotM[[#This Row],[Num]], 2), 1)</f>
        <v>2</v>
      </c>
      <c r="D45" s="105">
        <f>2^(Mar_2026_SotM[[#This Row],[Round]]+1)</f>
        <v>8</v>
      </c>
      <c r="E45" s="105">
        <f>Mar_2026_SotM[[#This Row],[Max Seed]]-Mar_2026_SotM[[#This Row],[Num]]</f>
        <v>1</v>
      </c>
      <c r="F45" s="105">
        <f>Mar_2026_SotM[[#This Row],[Max Seed]]-Mar_2026_SotM[[#This Row],[Top Seed]]+1</f>
        <v>8</v>
      </c>
      <c r="G45" s="105" t="b">
        <f>IF(Mar_2026_SotM[[#This Row],[Round]]=$C$37, TRUE(), IF(Mar_2026_SotM[[#This Row],[Round]]=$B$37, Mar_2026_SotM[[#This Row],[Top Seed]]&lt;=2*Mar_2026_SotM[[#This Row],[Max Seed]]-$A$37, FALSE()))</f>
        <v>0</v>
      </c>
      <c r="H45" s="105" t="b">
        <f>IF(Mar_2026_SotM[[#This Row],[Round]]=$C$37, TRUE(), IF(Mar_2026_SotM[[#This Row],[Round]]=$B$37, Mar_2026_SotM[[#This Row],[Low Seed]]&lt;=2*Mar_2026_SotM[[#This Row],[Max Seed]]-$A$37, FALSE()))</f>
        <v>0</v>
      </c>
      <c r="I45" s="28" t="s">
        <v>4191</v>
      </c>
      <c r="J45" s="31" t="s">
        <v>4191</v>
      </c>
      <c r="K45" s="33" t="s">
        <v>4191</v>
      </c>
      <c r="L45" s="35" t="s">
        <v>4191</v>
      </c>
      <c r="M45" s="37" t="s">
        <v>4191</v>
      </c>
      <c r="N45" s="192" t="str">
        <f ca="1">IF(Mar_2026_SotM[[#This Row],[Num]]&gt;=$A$37, "-", IF(Mar_2026_SotM[[#This Row],[Initial 1]], VLOOKUP(Mar_2026_SotM[[#This Row],[Top Seed]], $Z$38:$AE$55, 6, FALSE), OFFSET(Mar_2026_SotM[[#This Row],[Winner]], Mar_2026_SotM[[#This Row],[Max Seed]], 0)))</f>
        <v>Fire Burning</v>
      </c>
      <c r="O45" s="105">
        <f>COUNTIF(Mar_2026_SotM[[#This Row],[J]:[H]],"x")</f>
        <v>5</v>
      </c>
      <c r="P45" s="115" t="str">
        <f ca="1">IF(Mar_2026_SotM[[#This Row],[Num]]&gt;=$A$37, "-", IF(Mar_2026_SotM[[#This Row],[Score 1]]&gt;=3, Mar_2026_SotM[[#This Row],[Song 1]], IF(Mar_2026_SotM[[#This Row],[Score 2]]&gt;=3, Mar_2026_SotM[[#This Row],[Song 2]], "TBD")))</f>
        <v>Fire Burning</v>
      </c>
      <c r="Q45" s="193">
        <f>COUNTIF(Mar_2026_SotM[[#This Row],[H ]:[J ]],"x")</f>
        <v>0</v>
      </c>
      <c r="R45" s="105" t="str">
        <f ca="1"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f>
        <v>22:22</v>
      </c>
      <c r="S45" s="37"/>
      <c r="T45" s="35"/>
      <c r="U45" s="33"/>
      <c r="V45" s="31"/>
      <c r="W45" s="28"/>
      <c r="X45" s="115" t="str">
        <f ca="1"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f>
        <v/>
      </c>
      <c r="Z45" s="109">
        <f t="shared" si="12"/>
        <v>6</v>
      </c>
      <c r="AA45" s="59">
        <v>46093</v>
      </c>
      <c r="AB45" t="str">
        <v>samuelbattista</v>
      </c>
      <c r="AC45" s="3">
        <v>2</v>
      </c>
      <c r="AD45">
        <v>0.89442719099991586</v>
      </c>
      <c r="AE45" t="str">
        <v>DNA</v>
      </c>
      <c r="AF45" t="str">
        <v>HENGE</v>
      </c>
      <c r="AG45" s="100">
        <f t="shared" si="13"/>
        <v>5</v>
      </c>
      <c r="AI45" s="115">
        <f>Mar_2026_SotM[[#This Row],[Max Seed]]/2 + 1</f>
        <v>5</v>
      </c>
      <c r="AJ45" s="105" t="str">
        <f ca="1">IF(Mar_2026_SotM[[#This Row],[Num]]&gt;=$A$37, "-", IF(Mar_2026_SotM[[#This Row],[Score 1]]&gt;=3, Mar_2026_SotM[[#This Row],[Song 2]], IF(Mar_2026_SotM[[#This Row],[Score 2]]&gt;=3, Mar_2026_SotM[[#This Row],[Song 1]], "TBD")))</f>
        <v>22:22</v>
      </c>
      <c r="AK45" s="3">
        <f ca="1">IFERROR(VLOOKUP(Mar_2025_Results61[[#This Row],[Song Title]], $AE$38:$AG$55, 3, FALSE)-Mar_2025_Results61[[#This Row],[Result]], "TBD")</f>
        <v>4</v>
      </c>
      <c r="AL45" s="3" t="str">
        <f t="shared" ca="1" si="14"/>
        <v>↑</v>
      </c>
    </row>
    <row r="46" spans="1:38">
      <c r="A46" s="105" t="str">
        <f>_xlfn.CONCAT("Seed ", Mar_2026_SotM[[#This Row],[Top Seed]], " vs ",Mar_2026_SotM[[#This Row],[Low Seed]])</f>
        <v>Seed 8 vs 9</v>
      </c>
      <c r="B46" s="115">
        <v>8</v>
      </c>
      <c r="C46" s="105">
        <f>FLOOR(LOG(Mar_2026_SotM[[#This Row],[Num]], 2), 1)</f>
        <v>3</v>
      </c>
      <c r="D46" s="105">
        <f>2^(Mar_2026_SotM[[#This Row],[Round]]+1)</f>
        <v>16</v>
      </c>
      <c r="E46" s="105">
        <f>Mar_2026_SotM[[#This Row],[Max Seed]]-Mar_2026_SotM[[#This Row],[Num]]</f>
        <v>8</v>
      </c>
      <c r="F46" s="105">
        <f>Mar_2026_SotM[[#This Row],[Max Seed]]-Mar_2026_SotM[[#This Row],[Top Seed]]+1</f>
        <v>9</v>
      </c>
      <c r="G46" s="105" t="b">
        <f>IF(Mar_2026_SotM[[#This Row],[Round]]=$C$37, TRUE(), IF(Mar_2026_SotM[[#This Row],[Round]]=$B$37, Mar_2026_SotM[[#This Row],[Top Seed]]&lt;=2*Mar_2026_SotM[[#This Row],[Max Seed]]-$A$37, FALSE()))</f>
        <v>1</v>
      </c>
      <c r="H46" s="105" t="b">
        <f>IF(Mar_2026_SotM[[#This Row],[Round]]=$C$37, TRUE(), IF(Mar_2026_SotM[[#This Row],[Round]]=$B$37, Mar_2026_SotM[[#This Row],[Low Seed]]&lt;=2*Mar_2026_SotM[[#This Row],[Max Seed]]-$A$37, FALSE()))</f>
        <v>1</v>
      </c>
      <c r="I46" s="28"/>
      <c r="J46" s="31"/>
      <c r="K46" s="33"/>
      <c r="L46" s="35"/>
      <c r="M46" s="37" t="s">
        <v>4191</v>
      </c>
      <c r="N46" s="192" t="str">
        <f ca="1">IF(Mar_2026_SotM[[#This Row],[Num]]&gt;=$A$37, "-", IF(Mar_2026_SotM[[#This Row],[Initial 1]], VLOOKUP(Mar_2026_SotM[[#This Row],[Top Seed]], $Z$38:$AE$55, 6, FALSE), OFFSET(Mar_2026_SotM[[#This Row],[Winner]], Mar_2026_SotM[[#This Row],[Max Seed]], 0)))</f>
        <v>Hello Juliet</v>
      </c>
      <c r="O46" s="105">
        <f>COUNTIF(Mar_2026_SotM[[#This Row],[J]:[H]],"x")</f>
        <v>1</v>
      </c>
      <c r="P46" s="115" t="str">
        <f ca="1">IF(Mar_2026_SotM[[#This Row],[Num]]&gt;=$A$37, "-", IF(Mar_2026_SotM[[#This Row],[Score 1]]&gt;=3, Mar_2026_SotM[[#This Row],[Song 1]], IF(Mar_2026_SotM[[#This Row],[Score 2]]&gt;=3, Mar_2026_SotM[[#This Row],[Song 2]], "TBD")))</f>
        <v>22:22</v>
      </c>
      <c r="Q46" s="193">
        <f>COUNTIF(Mar_2026_SotM[[#This Row],[H ]:[J ]],"x")</f>
        <v>4</v>
      </c>
      <c r="R46" s="105" t="str">
        <f ca="1"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f>
        <v>22:22</v>
      </c>
      <c r="S46" s="37"/>
      <c r="T46" s="35" t="s">
        <v>4191</v>
      </c>
      <c r="U46" s="33" t="s">
        <v>4191</v>
      </c>
      <c r="V46" s="31" t="s">
        <v>4191</v>
      </c>
      <c r="W46" s="28" t="s">
        <v>4191</v>
      </c>
      <c r="X46" s="115" t="str">
        <f ca="1"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f>
        <v/>
      </c>
      <c r="Z46" s="109">
        <f t="shared" si="12"/>
        <v>13</v>
      </c>
      <c r="AA46" s="59">
        <v>46097</v>
      </c>
      <c r="AB46" t="str">
        <v>danram</v>
      </c>
      <c r="AC46" s="3">
        <v>2.2000000000000002</v>
      </c>
      <c r="AD46">
        <v>0.74833147735478833</v>
      </c>
      <c r="AE46" t="str">
        <v>All Of My Friends</v>
      </c>
      <c r="AF46" t="str">
        <v>Jack Harlow</v>
      </c>
      <c r="AG46" s="100">
        <f t="shared" si="13"/>
        <v>9</v>
      </c>
      <c r="AI46" s="115">
        <f>Mar_2026_SotM[[#This Row],[Max Seed]]/2 + 1</f>
        <v>9</v>
      </c>
      <c r="AJ46" s="105" t="str">
        <f ca="1">IF(Mar_2026_SotM[[#This Row],[Num]]&gt;=$A$37, "-", IF(Mar_2026_SotM[[#This Row],[Score 1]]&gt;=3, Mar_2026_SotM[[#This Row],[Song 2]], IF(Mar_2026_SotM[[#This Row],[Score 2]]&gt;=3, Mar_2026_SotM[[#This Row],[Song 1]], "TBD")))</f>
        <v>Hello Juliet</v>
      </c>
      <c r="AK46" s="3">
        <f ca="1">IFERROR(VLOOKUP(Mar_2025_Results61[[#This Row],[Song Title]], $AE$38:$AG$55, 3, FALSE)-Mar_2025_Results61[[#This Row],[Result]], "TBD")</f>
        <v>-4</v>
      </c>
      <c r="AL46" s="3" t="str">
        <f t="shared" ca="1" si="14"/>
        <v>↓</v>
      </c>
    </row>
    <row r="47" spans="1:38">
      <c r="A47" s="105" t="str">
        <f>_xlfn.CONCAT("Seed ", Mar_2026_SotM[[#This Row],[Top Seed]], " vs ",Mar_2026_SotM[[#This Row],[Low Seed]])</f>
        <v>Seed 7 vs 10</v>
      </c>
      <c r="B47" s="115">
        <v>9</v>
      </c>
      <c r="C47" s="105">
        <f>FLOOR(LOG(Mar_2026_SotM[[#This Row],[Num]], 2), 1)</f>
        <v>3</v>
      </c>
      <c r="D47" s="105">
        <f>2^(Mar_2026_SotM[[#This Row],[Round]]+1)</f>
        <v>16</v>
      </c>
      <c r="E47" s="105">
        <f>Mar_2026_SotM[[#This Row],[Max Seed]]-Mar_2026_SotM[[#This Row],[Num]]</f>
        <v>7</v>
      </c>
      <c r="F47" s="105">
        <f>Mar_2026_SotM[[#This Row],[Max Seed]]-Mar_2026_SotM[[#This Row],[Top Seed]]+1</f>
        <v>10</v>
      </c>
      <c r="G47" s="105" t="b">
        <f>IF(Mar_2026_SotM[[#This Row],[Round]]=$C$37, TRUE(), IF(Mar_2026_SotM[[#This Row],[Round]]=$B$37, Mar_2026_SotM[[#This Row],[Top Seed]]&lt;=2*Mar_2026_SotM[[#This Row],[Max Seed]]-$A$37, FALSE()))</f>
        <v>1</v>
      </c>
      <c r="H47" s="105" t="b">
        <f>IF(Mar_2026_SotM[[#This Row],[Round]]=$C$37, TRUE(), IF(Mar_2026_SotM[[#This Row],[Round]]=$B$37, Mar_2026_SotM[[#This Row],[Low Seed]]&lt;=2*Mar_2026_SotM[[#This Row],[Max Seed]]-$A$37, FALSE()))</f>
        <v>1</v>
      </c>
      <c r="I47" s="28"/>
      <c r="J47" s="31" t="s">
        <v>4191</v>
      </c>
      <c r="K47" s="33" t="s">
        <v>4191</v>
      </c>
      <c r="L47" s="35" t="s">
        <v>4191</v>
      </c>
      <c r="M47" s="37" t="s">
        <v>4191</v>
      </c>
      <c r="N47" s="192" t="str">
        <f ca="1">IF(Mar_2026_SotM[[#This Row],[Num]]&gt;=$A$37, "-", IF(Mar_2026_SotM[[#This Row],[Initial 1]], VLOOKUP(Mar_2026_SotM[[#This Row],[Top Seed]], $Z$38:$AE$55, 6, FALSE), OFFSET(Mar_2026_SotM[[#This Row],[Winner]], Mar_2026_SotM[[#This Row],[Max Seed]], 0)))</f>
        <v>Medellín Takai</v>
      </c>
      <c r="O47" s="105">
        <f>COUNTIF(Mar_2026_SotM[[#This Row],[J]:[H]],"x")</f>
        <v>4</v>
      </c>
      <c r="P47" s="115" t="str">
        <f ca="1">IF(Mar_2026_SotM[[#This Row],[Num]]&gt;=$A$37, "-", IF(Mar_2026_SotM[[#This Row],[Score 1]]&gt;=3, Mar_2026_SotM[[#This Row],[Song 1]], IF(Mar_2026_SotM[[#This Row],[Score 2]]&gt;=3, Mar_2026_SotM[[#This Row],[Song 2]], "TBD")))</f>
        <v>Medellín Takai</v>
      </c>
      <c r="Q47" s="193">
        <f>COUNTIF(Mar_2026_SotM[[#This Row],[H ]:[J ]],"x")</f>
        <v>1</v>
      </c>
      <c r="R47" s="105" t="str">
        <f ca="1"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f>
        <v>il vento d'oro</v>
      </c>
      <c r="S47" s="37"/>
      <c r="T47" s="35"/>
      <c r="U47" s="33"/>
      <c r="V47" s="31"/>
      <c r="W47" s="28" t="s">
        <v>4191</v>
      </c>
      <c r="X47" s="115" t="str">
        <f ca="1"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f>
        <v/>
      </c>
      <c r="Z47" s="109">
        <f t="shared" si="12"/>
        <v>16</v>
      </c>
      <c r="AA47" s="59">
        <v>46098</v>
      </c>
      <c r="AB47" t="str">
        <v>danram</v>
      </c>
      <c r="AC47" s="3">
        <v>2.4</v>
      </c>
      <c r="AD47">
        <v>1.3564659966250536</v>
      </c>
      <c r="AE47" t="str">
        <v>Aquel Lugar</v>
      </c>
      <c r="AF47" t="str">
        <v>Adolescent's Orquesta</v>
      </c>
      <c r="AG47" s="100">
        <f t="shared" si="13"/>
        <v>9</v>
      </c>
      <c r="AI47" s="115">
        <f>Mar_2026_SotM[[#This Row],[Max Seed]]/2 + 1</f>
        <v>9</v>
      </c>
      <c r="AJ47" s="105" t="str">
        <f ca="1">IF(Mar_2026_SotM[[#This Row],[Num]]&gt;=$A$37, "-", IF(Mar_2026_SotM[[#This Row],[Score 1]]&gt;=3, Mar_2026_SotM[[#This Row],[Song 2]], IF(Mar_2026_SotM[[#This Row],[Score 2]]&gt;=3, Mar_2026_SotM[[#This Row],[Song 1]], "TBD")))</f>
        <v>il vento d'oro</v>
      </c>
      <c r="AK47" s="3">
        <f ca="1">IFERROR(VLOOKUP(Mar_2025_Results61[[#This Row],[Song Title]], $AE$38:$AG$55, 3, FALSE)-Mar_2025_Results61[[#This Row],[Result]], "TBD")</f>
        <v>0</v>
      </c>
      <c r="AL47" s="3" t="str">
        <f t="shared" ca="1" si="14"/>
        <v>-</v>
      </c>
    </row>
    <row r="48" spans="1:38">
      <c r="A48" s="105" t="str">
        <f>_xlfn.CONCAT("Seed ", Mar_2026_SotM[[#This Row],[Top Seed]], " vs ",Mar_2026_SotM[[#This Row],[Low Seed]])</f>
        <v>Seed 6 vs 11</v>
      </c>
      <c r="B48" s="115">
        <v>10</v>
      </c>
      <c r="C48" s="105">
        <f>FLOOR(LOG(Mar_2026_SotM[[#This Row],[Num]], 2), 1)</f>
        <v>3</v>
      </c>
      <c r="D48" s="105">
        <f>2^(Mar_2026_SotM[[#This Row],[Round]]+1)</f>
        <v>16</v>
      </c>
      <c r="E48" s="105">
        <f>Mar_2026_SotM[[#This Row],[Max Seed]]-Mar_2026_SotM[[#This Row],[Num]]</f>
        <v>6</v>
      </c>
      <c r="F48" s="105">
        <f>Mar_2026_SotM[[#This Row],[Max Seed]]-Mar_2026_SotM[[#This Row],[Top Seed]]+1</f>
        <v>11</v>
      </c>
      <c r="G48" s="105" t="b">
        <f>IF(Mar_2026_SotM[[#This Row],[Round]]=$C$37, TRUE(), IF(Mar_2026_SotM[[#This Row],[Round]]=$B$37, Mar_2026_SotM[[#This Row],[Top Seed]]&lt;=2*Mar_2026_SotM[[#This Row],[Max Seed]]-$A$37, FALSE()))</f>
        <v>1</v>
      </c>
      <c r="H48" s="105" t="b">
        <f>IF(Mar_2026_SotM[[#This Row],[Round]]=$C$37, TRUE(), IF(Mar_2026_SotM[[#This Row],[Round]]=$B$37, Mar_2026_SotM[[#This Row],[Low Seed]]&lt;=2*Mar_2026_SotM[[#This Row],[Max Seed]]-$A$37, FALSE()))</f>
        <v>1</v>
      </c>
      <c r="I48" s="28"/>
      <c r="J48" s="31"/>
      <c r="K48" s="33"/>
      <c r="L48" s="35" t="s">
        <v>4191</v>
      </c>
      <c r="M48" s="37"/>
      <c r="N48" s="192" t="str">
        <f ca="1">IF(Mar_2026_SotM[[#This Row],[Num]]&gt;=$A$37, "-", IF(Mar_2026_SotM[[#This Row],[Initial 1]], VLOOKUP(Mar_2026_SotM[[#This Row],[Top Seed]], $Z$38:$AE$55, 6, FALSE), OFFSET(Mar_2026_SotM[[#This Row],[Winner]], Mar_2026_SotM[[#This Row],[Max Seed]], 0)))</f>
        <v>DNA</v>
      </c>
      <c r="O48" s="105">
        <f>COUNTIF(Mar_2026_SotM[[#This Row],[J]:[H]],"x")</f>
        <v>1</v>
      </c>
      <c r="P48" s="115" t="str">
        <f ca="1">IF(Mar_2026_SotM[[#This Row],[Num]]&gt;=$A$37, "-", IF(Mar_2026_SotM[[#This Row],[Score 1]]&gt;=3, Mar_2026_SotM[[#This Row],[Song 1]], IF(Mar_2026_SotM[[#This Row],[Score 2]]&gt;=3, Mar_2026_SotM[[#This Row],[Song 2]], "TBD")))</f>
        <v>Shape Of My Heart</v>
      </c>
      <c r="Q48" s="193">
        <f>COUNTIF(Mar_2026_SotM[[#This Row],[H ]:[J ]],"x")</f>
        <v>4</v>
      </c>
      <c r="R48" s="105" t="str">
        <f ca="1"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f>
        <v>Shape Of My Heart</v>
      </c>
      <c r="S48" s="37" t="s">
        <v>4191</v>
      </c>
      <c r="T48" s="35"/>
      <c r="U48" s="33" t="s">
        <v>4191</v>
      </c>
      <c r="V48" s="31" t="s">
        <v>4191</v>
      </c>
      <c r="W48" s="28" t="s">
        <v>4191</v>
      </c>
      <c r="X48" s="115" t="str">
        <f ca="1"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f>
        <v/>
      </c>
      <c r="Z48" s="109">
        <f t="shared" si="12"/>
        <v>15</v>
      </c>
      <c r="AA48" s="59">
        <v>46099</v>
      </c>
      <c r="AB48" t="str">
        <v>alappatjoe</v>
      </c>
      <c r="AC48" s="3">
        <v>2.4</v>
      </c>
      <c r="AD48">
        <v>0.8</v>
      </c>
      <c r="AE48" t="str">
        <v>On My Soul</v>
      </c>
      <c r="AF48" t="str">
        <v>Bruno Mars</v>
      </c>
      <c r="AG48" s="100">
        <f t="shared" si="13"/>
        <v>9</v>
      </c>
      <c r="AI48" s="115">
        <f>Mar_2026_SotM[[#This Row],[Max Seed]]/2 + 1</f>
        <v>9</v>
      </c>
      <c r="AJ48" s="105" t="str">
        <f ca="1">IF(Mar_2026_SotM[[#This Row],[Num]]&gt;=$A$37, "-", IF(Mar_2026_SotM[[#This Row],[Score 1]]&gt;=3, Mar_2026_SotM[[#This Row],[Song 2]], IF(Mar_2026_SotM[[#This Row],[Score 2]]&gt;=3, Mar_2026_SotM[[#This Row],[Song 1]], "TBD")))</f>
        <v>DNA</v>
      </c>
      <c r="AK48" s="3">
        <f ca="1">IFERROR(VLOOKUP(Mar_2025_Results61[[#This Row],[Song Title]], $AE$38:$AG$55, 3, FALSE)-Mar_2025_Results61[[#This Row],[Result]], "TBD")</f>
        <v>-4</v>
      </c>
      <c r="AL48" s="3" t="str">
        <f t="shared" ca="1" si="14"/>
        <v>↓</v>
      </c>
    </row>
    <row r="49" spans="1:38">
      <c r="A49" s="105" t="str">
        <f>_xlfn.CONCAT("Seed ", Mar_2026_SotM[[#This Row],[Top Seed]], " vs ",Mar_2026_SotM[[#This Row],[Low Seed]])</f>
        <v>Seed 5 vs 12</v>
      </c>
      <c r="B49" s="115">
        <v>11</v>
      </c>
      <c r="C49" s="105">
        <f>FLOOR(LOG(Mar_2026_SotM[[#This Row],[Num]], 2), 1)</f>
        <v>3</v>
      </c>
      <c r="D49" s="105">
        <f>2^(Mar_2026_SotM[[#This Row],[Round]]+1)</f>
        <v>16</v>
      </c>
      <c r="E49" s="105">
        <f>Mar_2026_SotM[[#This Row],[Max Seed]]-Mar_2026_SotM[[#This Row],[Num]]</f>
        <v>5</v>
      </c>
      <c r="F49" s="105">
        <f>Mar_2026_SotM[[#This Row],[Max Seed]]-Mar_2026_SotM[[#This Row],[Top Seed]]+1</f>
        <v>12</v>
      </c>
      <c r="G49" s="105" t="b">
        <f>IF(Mar_2026_SotM[[#This Row],[Round]]=$C$37, TRUE(), IF(Mar_2026_SotM[[#This Row],[Round]]=$B$37, Mar_2026_SotM[[#This Row],[Top Seed]]&lt;=2*Mar_2026_SotM[[#This Row],[Max Seed]]-$A$37, FALSE()))</f>
        <v>1</v>
      </c>
      <c r="H49" s="105" t="b">
        <f>IF(Mar_2026_SotM[[#This Row],[Round]]=$C$37, TRUE(), IF(Mar_2026_SotM[[#This Row],[Round]]=$B$37, Mar_2026_SotM[[#This Row],[Low Seed]]&lt;=2*Mar_2026_SotM[[#This Row],[Max Seed]]-$A$37, FALSE()))</f>
        <v>1</v>
      </c>
      <c r="I49" s="28" t="s">
        <v>4191</v>
      </c>
      <c r="J49" s="31"/>
      <c r="K49" s="33" t="s">
        <v>4191</v>
      </c>
      <c r="L49" s="35" t="s">
        <v>4191</v>
      </c>
      <c r="M49" s="37"/>
      <c r="N49" s="192" t="str">
        <f ca="1">IF(Mar_2026_SotM[[#This Row],[Num]]&gt;=$A$37, "-", IF(Mar_2026_SotM[[#This Row],[Initial 1]], VLOOKUP(Mar_2026_SotM[[#This Row],[Top Seed]], $Z$38:$AE$55, 6, FALSE), OFFSET(Mar_2026_SotM[[#This Row],[Winner]], Mar_2026_SotM[[#This Row],[Max Seed]], 0)))</f>
        <v>Suavemente</v>
      </c>
      <c r="O49" s="105">
        <f>COUNTIF(Mar_2026_SotM[[#This Row],[J]:[H]],"x")</f>
        <v>3</v>
      </c>
      <c r="P49" s="115" t="str">
        <f ca="1">IF(Mar_2026_SotM[[#This Row],[Num]]&gt;=$A$37, "-", IF(Mar_2026_SotM[[#This Row],[Score 1]]&gt;=3, Mar_2026_SotM[[#This Row],[Song 1]], IF(Mar_2026_SotM[[#This Row],[Score 2]]&gt;=3, Mar_2026_SotM[[#This Row],[Song 2]], "TBD")))</f>
        <v>Suavemente</v>
      </c>
      <c r="Q49" s="193">
        <f>COUNTIF(Mar_2026_SotM[[#This Row],[H ]:[J ]],"x")</f>
        <v>2</v>
      </c>
      <c r="R49" s="105" t="str">
        <f ca="1"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f>
        <v>Ca$ino</v>
      </c>
      <c r="S49" s="37" t="s">
        <v>4191</v>
      </c>
      <c r="T49" s="35"/>
      <c r="U49" s="33"/>
      <c r="V49" s="31" t="s">
        <v>4191</v>
      </c>
      <c r="W49" s="28"/>
      <c r="X49" s="115" t="str">
        <f ca="1"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f>
        <v/>
      </c>
      <c r="Z49" s="109">
        <f t="shared" si="12"/>
        <v>10</v>
      </c>
      <c r="AA49" s="59">
        <v>46100</v>
      </c>
      <c r="AB49" t="str">
        <v>loganworsdell</v>
      </c>
      <c r="AC49" s="3">
        <v>2.2000000000000002</v>
      </c>
      <c r="AD49">
        <v>0.4</v>
      </c>
      <c r="AE49" t="str">
        <v>il vento d'oro</v>
      </c>
      <c r="AF49" t="str">
        <v>Yugo Kanno</v>
      </c>
      <c r="AG49" s="100">
        <f t="shared" si="13"/>
        <v>9</v>
      </c>
      <c r="AI49" s="115">
        <f>Mar_2026_SotM[[#This Row],[Max Seed]]/2 + 1</f>
        <v>9</v>
      </c>
      <c r="AJ49" s="105" t="str">
        <f ca="1">IF(Mar_2026_SotM[[#This Row],[Num]]&gt;=$A$37, "-", IF(Mar_2026_SotM[[#This Row],[Score 1]]&gt;=3, Mar_2026_SotM[[#This Row],[Song 2]], IF(Mar_2026_SotM[[#This Row],[Score 2]]&gt;=3, Mar_2026_SotM[[#This Row],[Song 1]], "TBD")))</f>
        <v>Ca$ino</v>
      </c>
      <c r="AK49" s="3">
        <f ca="1">IFERROR(VLOOKUP(Mar_2025_Results61[[#This Row],[Song Title]], $AE$38:$AG$55, 3, FALSE)-Mar_2025_Results61[[#This Row],[Result]], "TBD")</f>
        <v>0</v>
      </c>
      <c r="AL49" s="3" t="str">
        <f t="shared" ca="1" si="14"/>
        <v>-</v>
      </c>
    </row>
    <row r="50" spans="1:38">
      <c r="A50" s="105" t="str">
        <f>_xlfn.CONCAT("Seed ", Mar_2026_SotM[[#This Row],[Top Seed]], " vs ",Mar_2026_SotM[[#This Row],[Low Seed]])</f>
        <v>Seed 4 vs 13</v>
      </c>
      <c r="B50" s="115">
        <v>12</v>
      </c>
      <c r="C50" s="105">
        <f>FLOOR(LOG(Mar_2026_SotM[[#This Row],[Num]], 2), 1)</f>
        <v>3</v>
      </c>
      <c r="D50" s="105">
        <f>2^(Mar_2026_SotM[[#This Row],[Round]]+1)</f>
        <v>16</v>
      </c>
      <c r="E50" s="105">
        <f>Mar_2026_SotM[[#This Row],[Max Seed]]-Mar_2026_SotM[[#This Row],[Num]]</f>
        <v>4</v>
      </c>
      <c r="F50" s="105">
        <f>Mar_2026_SotM[[#This Row],[Max Seed]]-Mar_2026_SotM[[#This Row],[Top Seed]]+1</f>
        <v>13</v>
      </c>
      <c r="G50" s="105" t="b">
        <f>IF(Mar_2026_SotM[[#This Row],[Round]]=$C$37, TRUE(), IF(Mar_2026_SotM[[#This Row],[Round]]=$B$37, Mar_2026_SotM[[#This Row],[Top Seed]]&lt;=2*Mar_2026_SotM[[#This Row],[Max Seed]]-$A$37, FALSE()))</f>
        <v>1</v>
      </c>
      <c r="H50" s="105" t="b">
        <f>IF(Mar_2026_SotM[[#This Row],[Round]]=$C$37, TRUE(), IF(Mar_2026_SotM[[#This Row],[Round]]=$B$37, Mar_2026_SotM[[#This Row],[Low Seed]]&lt;=2*Mar_2026_SotM[[#This Row],[Max Seed]]-$A$37, FALSE()))</f>
        <v>1</v>
      </c>
      <c r="I50" s="28" t="s">
        <v>4191</v>
      </c>
      <c r="J50" s="31" t="s">
        <v>4191</v>
      </c>
      <c r="K50" s="33" t="s">
        <v>4191</v>
      </c>
      <c r="L50" s="35"/>
      <c r="M50" s="37" t="s">
        <v>4191</v>
      </c>
      <c r="N50" s="192" t="str">
        <f ca="1">IF(Mar_2026_SotM[[#This Row],[Num]]&gt;=$A$37, "-", IF(Mar_2026_SotM[[#This Row],[Initial 1]], VLOOKUP(Mar_2026_SotM[[#This Row],[Top Seed]], $Z$38:$AE$55, 6, FALSE), OFFSET(Mar_2026_SotM[[#This Row],[Winner]], Mar_2026_SotM[[#This Row],[Max Seed]], 0)))</f>
        <v>Circus</v>
      </c>
      <c r="O50" s="105">
        <f>COUNTIF(Mar_2026_SotM[[#This Row],[J]:[H]],"x")</f>
        <v>4</v>
      </c>
      <c r="P50" s="115" t="str">
        <f ca="1">IF(Mar_2026_SotM[[#This Row],[Num]]&gt;=$A$37, "-", IF(Mar_2026_SotM[[#This Row],[Score 1]]&gt;=3, Mar_2026_SotM[[#This Row],[Song 1]], IF(Mar_2026_SotM[[#This Row],[Score 2]]&gt;=3, Mar_2026_SotM[[#This Row],[Song 2]], "TBD")))</f>
        <v>Circus</v>
      </c>
      <c r="Q50" s="193">
        <f>COUNTIF(Mar_2026_SotM[[#This Row],[H ]:[J ]],"x")</f>
        <v>1</v>
      </c>
      <c r="R50" s="105" t="str">
        <f ca="1"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f>
        <v>All Of My Friends</v>
      </c>
      <c r="S50" s="37"/>
      <c r="T50" s="35" t="s">
        <v>4191</v>
      </c>
      <c r="U50" s="33"/>
      <c r="V50" s="31"/>
      <c r="W50" s="28"/>
      <c r="X50" s="115" t="str">
        <f ca="1"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f>
        <v/>
      </c>
      <c r="Z50" s="109">
        <f t="shared" si="12"/>
        <v>2</v>
      </c>
      <c r="AA50" s="59">
        <v>46104</v>
      </c>
      <c r="AB50" t="str">
        <v>danram</v>
      </c>
      <c r="AC50" s="3">
        <v>1.6</v>
      </c>
      <c r="AD50">
        <v>0.4898979485566356</v>
      </c>
      <c r="AE50" t="str">
        <v>La rebuena mi fai</v>
      </c>
      <c r="AF50" t="str">
        <v>Feid</v>
      </c>
      <c r="AG50" s="100">
        <f t="shared" si="13"/>
        <v>2</v>
      </c>
      <c r="AI50" s="115">
        <f>Mar_2026_SotM[[#This Row],[Max Seed]]/2 + 1</f>
        <v>9</v>
      </c>
      <c r="AJ50" s="105" t="str">
        <f ca="1">IF(Mar_2026_SotM[[#This Row],[Num]]&gt;=$A$37, "-", IF(Mar_2026_SotM[[#This Row],[Score 1]]&gt;=3, Mar_2026_SotM[[#This Row],[Song 2]], IF(Mar_2026_SotM[[#This Row],[Score 2]]&gt;=3, Mar_2026_SotM[[#This Row],[Song 1]], "TBD")))</f>
        <v>All Of My Friends</v>
      </c>
      <c r="AK50" s="3">
        <f ca="1">IFERROR(VLOOKUP(Mar_2025_Results61[[#This Row],[Song Title]], $AE$38:$AG$55, 3, FALSE)-Mar_2025_Results61[[#This Row],[Result]], "TBD")</f>
        <v>0</v>
      </c>
      <c r="AL50" s="3" t="str">
        <f t="shared" ca="1" si="14"/>
        <v>-</v>
      </c>
    </row>
    <row r="51" spans="1:38">
      <c r="A51" s="105" t="str">
        <f>_xlfn.CONCAT("Seed ", Mar_2026_SotM[[#This Row],[Top Seed]], " vs ",Mar_2026_SotM[[#This Row],[Low Seed]])</f>
        <v>Seed 3 vs 14</v>
      </c>
      <c r="B51" s="115">
        <v>13</v>
      </c>
      <c r="C51" s="105">
        <f>FLOOR(LOG(Mar_2026_SotM[[#This Row],[Num]], 2), 1)</f>
        <v>3</v>
      </c>
      <c r="D51" s="105">
        <f>2^(Mar_2026_SotM[[#This Row],[Round]]+1)</f>
        <v>16</v>
      </c>
      <c r="E51" s="105">
        <f>Mar_2026_SotM[[#This Row],[Max Seed]]-Mar_2026_SotM[[#This Row],[Num]]</f>
        <v>3</v>
      </c>
      <c r="F51" s="105">
        <f>Mar_2026_SotM[[#This Row],[Max Seed]]-Mar_2026_SotM[[#This Row],[Top Seed]]+1</f>
        <v>14</v>
      </c>
      <c r="G51" s="105" t="b">
        <f>IF(Mar_2026_SotM[[#This Row],[Round]]=$C$37, TRUE(), IF(Mar_2026_SotM[[#This Row],[Round]]=$B$37, Mar_2026_SotM[[#This Row],[Top Seed]]&lt;=2*Mar_2026_SotM[[#This Row],[Max Seed]]-$A$37, FALSE()))</f>
        <v>1</v>
      </c>
      <c r="H51" s="105" t="b">
        <f>IF(Mar_2026_SotM[[#This Row],[Round]]=$C$37, TRUE(), IF(Mar_2026_SotM[[#This Row],[Round]]=$B$37, Mar_2026_SotM[[#This Row],[Low Seed]]&lt;=2*Mar_2026_SotM[[#This Row],[Max Seed]]-$A$37, FALSE()))</f>
        <v>1</v>
      </c>
      <c r="I51" s="28" t="s">
        <v>4191</v>
      </c>
      <c r="J51" s="31" t="s">
        <v>4191</v>
      </c>
      <c r="K51" s="33"/>
      <c r="L51" s="35"/>
      <c r="M51" s="37"/>
      <c r="N51" s="192" t="str">
        <f ca="1">IF(Mar_2026_SotM[[#This Row],[Num]]&gt;=$A$37, "-", IF(Mar_2026_SotM[[#This Row],[Initial 1]], VLOOKUP(Mar_2026_SotM[[#This Row],[Top Seed]], $Z$38:$AE$55, 6, FALSE), OFFSET(Mar_2026_SotM[[#This Row],[Winner]], Mar_2026_SotM[[#This Row],[Max Seed]], 0)))</f>
        <v>Smooth Criminal</v>
      </c>
      <c r="O51" s="105">
        <f>COUNTIF(Mar_2026_SotM[[#This Row],[J]:[H]],"x")</f>
        <v>2</v>
      </c>
      <c r="P51" s="115" t="str">
        <f ca="1">IF(Mar_2026_SotM[[#This Row],[Num]]&gt;=$A$37, "-", IF(Mar_2026_SotM[[#This Row],[Score 1]]&gt;=3, Mar_2026_SotM[[#This Row],[Song 1]], IF(Mar_2026_SotM[[#This Row],[Score 2]]&gt;=3, Mar_2026_SotM[[#This Row],[Song 2]], "TBD")))</f>
        <v>Stateside</v>
      </c>
      <c r="Q51" s="193">
        <f>COUNTIF(Mar_2026_SotM[[#This Row],[H ]:[J ]],"x")</f>
        <v>3</v>
      </c>
      <c r="R51" s="105" t="str">
        <f ca="1"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f>
        <v>Stateside</v>
      </c>
      <c r="S51" s="37" t="s">
        <v>4191</v>
      </c>
      <c r="T51" s="35" t="s">
        <v>4191</v>
      </c>
      <c r="U51" s="33" t="s">
        <v>4191</v>
      </c>
      <c r="V51" s="31"/>
      <c r="W51" s="28"/>
      <c r="X51" s="115" t="str">
        <f ca="1"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f>
        <v/>
      </c>
      <c r="Z51" s="109">
        <f t="shared" si="12"/>
        <v>17</v>
      </c>
      <c r="AA51" s="59">
        <v>46105</v>
      </c>
      <c r="AB51" t="str">
        <v>alappatjoe</v>
      </c>
      <c r="AC51" s="3">
        <v>2.4</v>
      </c>
      <c r="AD51">
        <v>1.3564659966250536</v>
      </c>
      <c r="AE51" t="str">
        <v>Casanova</v>
      </c>
      <c r="AF51" t="str">
        <v>I'MIN, King Sis</v>
      </c>
      <c r="AG51" s="100">
        <f t="shared" si="13"/>
        <v>17</v>
      </c>
      <c r="AI51" s="115">
        <f>Mar_2026_SotM[[#This Row],[Max Seed]]/2 + 1</f>
        <v>9</v>
      </c>
      <c r="AJ51" s="105" t="str">
        <f ca="1">IF(Mar_2026_SotM[[#This Row],[Num]]&gt;=$A$37, "-", IF(Mar_2026_SotM[[#This Row],[Score 1]]&gt;=3, Mar_2026_SotM[[#This Row],[Song 2]], IF(Mar_2026_SotM[[#This Row],[Score 2]]&gt;=3, Mar_2026_SotM[[#This Row],[Song 1]], "TBD")))</f>
        <v>Smooth Criminal</v>
      </c>
      <c r="AK51" s="3">
        <f ca="1">IFERROR(VLOOKUP(Mar_2025_Results61[[#This Row],[Song Title]], $AE$38:$AG$55, 3, FALSE)-Mar_2025_Results61[[#This Row],[Result]], "TBD")</f>
        <v>-6</v>
      </c>
      <c r="AL51" s="3" t="str">
        <f t="shared" ca="1" si="14"/>
        <v>↓</v>
      </c>
    </row>
    <row r="52" spans="1:38">
      <c r="A52" s="105" t="str">
        <f>_xlfn.CONCAT("Seed ", Mar_2026_SotM[[#This Row],[Top Seed]], " vs ",Mar_2026_SotM[[#This Row],[Low Seed]])</f>
        <v>Seed 2 vs 15</v>
      </c>
      <c r="B52" s="115">
        <v>14</v>
      </c>
      <c r="C52" s="105">
        <f>FLOOR(LOG(Mar_2026_SotM[[#This Row],[Num]], 2), 1)</f>
        <v>3</v>
      </c>
      <c r="D52" s="105">
        <f>2^(Mar_2026_SotM[[#This Row],[Round]]+1)</f>
        <v>16</v>
      </c>
      <c r="E52" s="105">
        <f>Mar_2026_SotM[[#This Row],[Max Seed]]-Mar_2026_SotM[[#This Row],[Num]]</f>
        <v>2</v>
      </c>
      <c r="F52" s="105">
        <f>Mar_2026_SotM[[#This Row],[Max Seed]]-Mar_2026_SotM[[#This Row],[Top Seed]]+1</f>
        <v>15</v>
      </c>
      <c r="G52" s="105" t="b">
        <f>IF(Mar_2026_SotM[[#This Row],[Round]]=$C$37, TRUE(), IF(Mar_2026_SotM[[#This Row],[Round]]=$B$37, Mar_2026_SotM[[#This Row],[Top Seed]]&lt;=2*Mar_2026_SotM[[#This Row],[Max Seed]]-$A$37, FALSE()))</f>
        <v>1</v>
      </c>
      <c r="H52" s="105" t="b">
        <f>IF(Mar_2026_SotM[[#This Row],[Round]]=$C$37, TRUE(), IF(Mar_2026_SotM[[#This Row],[Round]]=$B$37, Mar_2026_SotM[[#This Row],[Low Seed]]&lt;=2*Mar_2026_SotM[[#This Row],[Max Seed]]-$A$37, FALSE()))</f>
        <v>0</v>
      </c>
      <c r="I52" s="28"/>
      <c r="J52" s="31" t="s">
        <v>4191</v>
      </c>
      <c r="K52" s="33"/>
      <c r="L52" s="35" t="s">
        <v>4191</v>
      </c>
      <c r="M52" s="37"/>
      <c r="N52" s="192" t="str">
        <f ca="1">IF(Mar_2026_SotM[[#This Row],[Num]]&gt;=$A$37, "-", IF(Mar_2026_SotM[[#This Row],[Initial 1]], VLOOKUP(Mar_2026_SotM[[#This Row],[Top Seed]], $Z$38:$AE$55, 6, FALSE), OFFSET(Mar_2026_SotM[[#This Row],[Winner]], Mar_2026_SotM[[#This Row],[Max Seed]], 0)))</f>
        <v>La rebuena mi fai</v>
      </c>
      <c r="O52" s="105">
        <f>COUNTIF(Mar_2026_SotM[[#This Row],[J]:[H]],"x")</f>
        <v>2</v>
      </c>
      <c r="P52" s="115" t="str">
        <f ca="1">IF(Mar_2026_SotM[[#This Row],[Num]]&gt;=$A$37, "-", IF(Mar_2026_SotM[[#This Row],[Score 1]]&gt;=3, Mar_2026_SotM[[#This Row],[Song 1]], IF(Mar_2026_SotM[[#This Row],[Score 2]]&gt;=3, Mar_2026_SotM[[#This Row],[Song 2]], "TBD")))</f>
        <v>On My Soul</v>
      </c>
      <c r="Q52" s="193">
        <f>COUNTIF(Mar_2026_SotM[[#This Row],[H ]:[J ]],"x")</f>
        <v>3</v>
      </c>
      <c r="R52" s="105" t="str">
        <f ca="1"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f>
        <v>On My Soul</v>
      </c>
      <c r="S52" s="37" t="s">
        <v>4191</v>
      </c>
      <c r="T52" s="35"/>
      <c r="U52" s="33" t="s">
        <v>4191</v>
      </c>
      <c r="V52" s="31"/>
      <c r="W52" s="28" t="s">
        <v>4191</v>
      </c>
      <c r="X52" s="115" t="str">
        <f ca="1"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f>
        <v/>
      </c>
      <c r="Z52" s="109">
        <f t="shared" si="12"/>
        <v>11</v>
      </c>
      <c r="AA52" s="59">
        <v>46106</v>
      </c>
      <c r="AB52" t="str">
        <v>samuelbattista</v>
      </c>
      <c r="AC52" s="3">
        <v>2.2000000000000002</v>
      </c>
      <c r="AD52">
        <v>0.4</v>
      </c>
      <c r="AE52" t="str">
        <v>Shape Of My Heart</v>
      </c>
      <c r="AF52" t="str">
        <v>Sting</v>
      </c>
      <c r="AG52" s="100">
        <f t="shared" si="13"/>
        <v>9</v>
      </c>
      <c r="AI52" s="115">
        <f>Mar_2026_SotM[[#This Row],[Max Seed]]/2 + 1</f>
        <v>9</v>
      </c>
      <c r="AJ52" s="105" t="str">
        <f ca="1">IF(Mar_2026_SotM[[#This Row],[Num]]&gt;=$A$37, "-", IF(Mar_2026_SotM[[#This Row],[Score 1]]&gt;=3, Mar_2026_SotM[[#This Row],[Song 2]], IF(Mar_2026_SotM[[#This Row],[Score 2]]&gt;=3, Mar_2026_SotM[[#This Row],[Song 1]], "TBD")))</f>
        <v>La rebuena mi fai</v>
      </c>
      <c r="AK52" s="3">
        <f ca="1">IFERROR(VLOOKUP(Mar_2025_Results61[[#This Row],[Song Title]], $AE$38:$AG$55, 3, FALSE)-Mar_2025_Results61[[#This Row],[Result]], "TBD")</f>
        <v>-7</v>
      </c>
      <c r="AL52" s="3" t="str">
        <f t="shared" ca="1" si="14"/>
        <v>↓</v>
      </c>
    </row>
    <row r="53" spans="1:38">
      <c r="A53" s="105" t="str">
        <f>_xlfn.CONCAT("Seed ", Mar_2026_SotM[[#This Row],[Top Seed]], " vs ",Mar_2026_SotM[[#This Row],[Low Seed]])</f>
        <v>Seed 1 vs 16</v>
      </c>
      <c r="B53" s="115">
        <v>15</v>
      </c>
      <c r="C53" s="105">
        <f>FLOOR(LOG(Mar_2026_SotM[[#This Row],[Num]], 2), 1)</f>
        <v>3</v>
      </c>
      <c r="D53" s="105">
        <f>2^(Mar_2026_SotM[[#This Row],[Round]]+1)</f>
        <v>16</v>
      </c>
      <c r="E53" s="105">
        <f>Mar_2026_SotM[[#This Row],[Max Seed]]-Mar_2026_SotM[[#This Row],[Num]]</f>
        <v>1</v>
      </c>
      <c r="F53" s="105">
        <f>Mar_2026_SotM[[#This Row],[Max Seed]]-Mar_2026_SotM[[#This Row],[Top Seed]]+1</f>
        <v>16</v>
      </c>
      <c r="G53" s="105" t="b">
        <f>IF(Mar_2026_SotM[[#This Row],[Round]]=$C$37, TRUE(), IF(Mar_2026_SotM[[#This Row],[Round]]=$B$37, Mar_2026_SotM[[#This Row],[Top Seed]]&lt;=2*Mar_2026_SotM[[#This Row],[Max Seed]]-$A$37, FALSE()))</f>
        <v>1</v>
      </c>
      <c r="H53" s="105" t="b">
        <f>IF(Mar_2026_SotM[[#This Row],[Round]]=$C$37, TRUE(), IF(Mar_2026_SotM[[#This Row],[Round]]=$B$37, Mar_2026_SotM[[#This Row],[Low Seed]]&lt;=2*Mar_2026_SotM[[#This Row],[Max Seed]]-$A$37, FALSE()))</f>
        <v>0</v>
      </c>
      <c r="I53" s="28"/>
      <c r="J53" s="31" t="s">
        <v>4191</v>
      </c>
      <c r="K53" s="33" t="s">
        <v>4191</v>
      </c>
      <c r="L53" s="35" t="s">
        <v>4191</v>
      </c>
      <c r="M53" s="37" t="s">
        <v>4191</v>
      </c>
      <c r="N53" s="192" t="str">
        <f ca="1">IF(Mar_2026_SotM[[#This Row],[Num]]&gt;=$A$37, "-", IF(Mar_2026_SotM[[#This Row],[Initial 1]], VLOOKUP(Mar_2026_SotM[[#This Row],[Top Seed]], $Z$38:$AE$55, 6, FALSE), OFFSET(Mar_2026_SotM[[#This Row],[Winner]], Mar_2026_SotM[[#This Row],[Max Seed]], 0)))</f>
        <v>Fire Burning</v>
      </c>
      <c r="O53" s="105">
        <f>COUNTIF(Mar_2026_SotM[[#This Row],[J]:[H]],"x")</f>
        <v>4</v>
      </c>
      <c r="P53" s="115" t="str">
        <f ca="1">IF(Mar_2026_SotM[[#This Row],[Num]]&gt;=$A$37, "-", IF(Mar_2026_SotM[[#This Row],[Score 1]]&gt;=3, Mar_2026_SotM[[#This Row],[Song 1]], IF(Mar_2026_SotM[[#This Row],[Score 2]]&gt;=3, Mar_2026_SotM[[#This Row],[Song 2]], "TBD")))</f>
        <v>Fire Burning</v>
      </c>
      <c r="Q53" s="193">
        <f>COUNTIF(Mar_2026_SotM[[#This Row],[H ]:[J ]],"x")</f>
        <v>1</v>
      </c>
      <c r="R53" s="105" t="str">
        <f ca="1"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f>
        <v>Casanova</v>
      </c>
      <c r="S53" s="37"/>
      <c r="T53" s="35"/>
      <c r="U53" s="33"/>
      <c r="V53" s="31"/>
      <c r="W53" s="28" t="s">
        <v>4191</v>
      </c>
      <c r="X53" s="115" t="str">
        <f ca="1"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f>
        <v/>
      </c>
      <c r="Z53" s="109">
        <f t="shared" si="12"/>
        <v>5</v>
      </c>
      <c r="AA53" s="59">
        <v>46107</v>
      </c>
      <c r="AB53" t="str">
        <v>currydestroyer27</v>
      </c>
      <c r="AC53" s="3">
        <v>1.8</v>
      </c>
      <c r="AD53">
        <v>0.74833147735478833</v>
      </c>
      <c r="AE53" t="str">
        <v>Suavemente</v>
      </c>
      <c r="AF53" t="str">
        <v>Elvis Crespo</v>
      </c>
      <c r="AG53" s="100">
        <f t="shared" si="13"/>
        <v>5</v>
      </c>
      <c r="AI53" s="115">
        <f>Mar_2026_SotM[[#This Row],[Max Seed]]/2 + 1</f>
        <v>9</v>
      </c>
      <c r="AJ53" s="105" t="str">
        <f ca="1">IF(Mar_2026_SotM[[#This Row],[Num]]&gt;=$A$37, "-", IF(Mar_2026_SotM[[#This Row],[Score 1]]&gt;=3, Mar_2026_SotM[[#This Row],[Song 2]], IF(Mar_2026_SotM[[#This Row],[Score 2]]&gt;=3, Mar_2026_SotM[[#This Row],[Song 1]], "TBD")))</f>
        <v>Casanova</v>
      </c>
      <c r="AK53" s="3">
        <f ca="1">IFERROR(VLOOKUP(Mar_2025_Results61[[#This Row],[Song Title]], $AE$38:$AG$55, 3, FALSE)-Mar_2025_Results61[[#This Row],[Result]], "TBD")</f>
        <v>8</v>
      </c>
      <c r="AL53" s="3" t="str">
        <f t="shared" ca="1" si="14"/>
        <v>↑</v>
      </c>
    </row>
    <row r="54" spans="1:38">
      <c r="A54" s="105" t="str">
        <f>_xlfn.CONCAT("Seed ", Mar_2026_SotM[[#This Row],[Top Seed]], " vs ",Mar_2026_SotM[[#This Row],[Low Seed]])</f>
        <v>Seed 16 vs 17</v>
      </c>
      <c r="B54" s="115">
        <v>16</v>
      </c>
      <c r="C54" s="105">
        <f>FLOOR(LOG(Mar_2026_SotM[[#This Row],[Num]], 2), 1)</f>
        <v>4</v>
      </c>
      <c r="D54" s="105">
        <f>2^(Mar_2026_SotM[[#This Row],[Round]]+1)</f>
        <v>32</v>
      </c>
      <c r="E54" s="105">
        <f>Mar_2026_SotM[[#This Row],[Max Seed]]-Mar_2026_SotM[[#This Row],[Num]]</f>
        <v>16</v>
      </c>
      <c r="F54" s="105">
        <f>Mar_2026_SotM[[#This Row],[Max Seed]]-Mar_2026_SotM[[#This Row],[Top Seed]]+1</f>
        <v>17</v>
      </c>
      <c r="G54" s="105" t="b">
        <f>IF(Mar_2026_SotM[[#This Row],[Round]]=$C$37, TRUE(), IF(Mar_2026_SotM[[#This Row],[Round]]=$B$37, Mar_2026_SotM[[#This Row],[Top Seed]]&lt;=2*Mar_2026_SotM[[#This Row],[Max Seed]]-$A$37, FALSE()))</f>
        <v>1</v>
      </c>
      <c r="H54" s="105" t="b">
        <f>IF(Mar_2026_SotM[[#This Row],[Round]]=$C$37, TRUE(), IF(Mar_2026_SotM[[#This Row],[Round]]=$B$37, Mar_2026_SotM[[#This Row],[Low Seed]]&lt;=2*Mar_2026_SotM[[#This Row],[Max Seed]]-$A$37, FALSE()))</f>
        <v>1</v>
      </c>
      <c r="I54" s="28"/>
      <c r="J54" s="31" t="s">
        <v>4191</v>
      </c>
      <c r="K54" s="33"/>
      <c r="L54" s="35" t="s">
        <v>4191</v>
      </c>
      <c r="M54" s="37"/>
      <c r="N54" s="192" t="str">
        <f ca="1">IF(Mar_2026_SotM[[#This Row],[Num]]&gt;=$A$37, "-", IF(Mar_2026_SotM[[#This Row],[Initial 1]], VLOOKUP(Mar_2026_SotM[[#This Row],[Top Seed]], $Z$38:$AE$55, 6, FALSE), OFFSET(Mar_2026_SotM[[#This Row],[Winner]], Mar_2026_SotM[[#This Row],[Max Seed]], 0)))</f>
        <v>Aquel Lugar</v>
      </c>
      <c r="O54" s="105">
        <f>COUNTIF(Mar_2026_SotM[[#This Row],[J]:[H]],"x")</f>
        <v>2</v>
      </c>
      <c r="P54" s="115" t="str">
        <f ca="1">IF(Mar_2026_SotM[[#This Row],[Num]]&gt;=$A$37, "-", IF(Mar_2026_SotM[[#This Row],[Score 1]]&gt;=3, Mar_2026_SotM[[#This Row],[Song 1]], IF(Mar_2026_SotM[[#This Row],[Score 2]]&gt;=3, Mar_2026_SotM[[#This Row],[Song 2]], "TBD")))</f>
        <v>Casanova</v>
      </c>
      <c r="Q54" s="193">
        <f>COUNTIF(Mar_2026_SotM[[#This Row],[H ]:[J ]],"x")</f>
        <v>3</v>
      </c>
      <c r="R54" s="105" t="str">
        <f ca="1"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f>
        <v>Casanova</v>
      </c>
      <c r="S54" s="37" t="s">
        <v>4191</v>
      </c>
      <c r="T54" s="35"/>
      <c r="U54" s="33" t="s">
        <v>4191</v>
      </c>
      <c r="V54" s="31"/>
      <c r="W54" s="28" t="s">
        <v>4191</v>
      </c>
      <c r="X54" s="115" t="str">
        <f ca="1"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f>
        <v/>
      </c>
      <c r="Z54" s="109">
        <f t="shared" si="12"/>
        <v>7</v>
      </c>
      <c r="AA54" s="59">
        <v>46111</v>
      </c>
      <c r="AB54" t="str">
        <v>loganworsdell</v>
      </c>
      <c r="AC54" s="3">
        <v>2</v>
      </c>
      <c r="AD54">
        <v>0.89442719099991586</v>
      </c>
      <c r="AE54" t="str">
        <v>Medellín Takai</v>
      </c>
      <c r="AF54" t="str">
        <v>Feid, Yuki Chiba</v>
      </c>
      <c r="AG54" s="100">
        <f t="shared" si="13"/>
        <v>5</v>
      </c>
      <c r="AI54" s="115">
        <f>Mar_2026_SotM[[#This Row],[Max Seed]]/2 + 1</f>
        <v>17</v>
      </c>
      <c r="AJ54" s="105" t="str">
        <f ca="1">IF(Mar_2026_SotM[[#This Row],[Num]]&gt;=$A$37, "-", IF(Mar_2026_SotM[[#This Row],[Score 1]]&gt;=3, Mar_2026_SotM[[#This Row],[Song 2]], IF(Mar_2026_SotM[[#This Row],[Score 2]]&gt;=3, Mar_2026_SotM[[#This Row],[Song 1]], "TBD")))</f>
        <v>Aquel Lugar</v>
      </c>
      <c r="AK54" s="3">
        <f ca="1">IFERROR(VLOOKUP(Mar_2025_Results61[[#This Row],[Song Title]], $AE$38:$AG$55, 3, FALSE)-Mar_2025_Results61[[#This Row],[Result]], "TBD")</f>
        <v>-8</v>
      </c>
      <c r="AL54" s="3" t="str">
        <f t="shared" ca="1" si="14"/>
        <v>↓</v>
      </c>
    </row>
    <row r="55" spans="1:38">
      <c r="A55" s="200" t="str">
        <f>_xlfn.CONCAT("Seed ", Mar_2026_SotM[[#This Row],[Top Seed]], " vs ",Mar_2026_SotM[[#This Row],[Low Seed]])</f>
        <v>Seed 15 vs 18</v>
      </c>
      <c r="B55" s="201">
        <v>17</v>
      </c>
      <c r="C55" s="200">
        <f>FLOOR(LOG(Mar_2026_SotM[[#This Row],[Num]], 2), 1)</f>
        <v>4</v>
      </c>
      <c r="D55" s="200">
        <f>2^(Mar_2026_SotM[[#This Row],[Round]]+1)</f>
        <v>32</v>
      </c>
      <c r="E55" s="200">
        <f>Mar_2026_SotM[[#This Row],[Max Seed]]-Mar_2026_SotM[[#This Row],[Num]]</f>
        <v>15</v>
      </c>
      <c r="F55" s="200">
        <f>Mar_2026_SotM[[#This Row],[Max Seed]]-Mar_2026_SotM[[#This Row],[Top Seed]]+1</f>
        <v>18</v>
      </c>
      <c r="G55" s="200" t="b">
        <f>IF(Mar_2026_SotM[[#This Row],[Round]]=$C$37, TRUE(), IF(Mar_2026_SotM[[#This Row],[Round]]=$B$37, Mar_2026_SotM[[#This Row],[Top Seed]]&lt;=2*Mar_2026_SotM[[#This Row],[Max Seed]]-$A$37, FALSE()))</f>
        <v>1</v>
      </c>
      <c r="H55" s="200" t="b">
        <f>IF(Mar_2026_SotM[[#This Row],[Round]]=$C$37, TRUE(), IF(Mar_2026_SotM[[#This Row],[Round]]=$B$37, Mar_2026_SotM[[#This Row],[Low Seed]]&lt;=2*Mar_2026_SotM[[#This Row],[Max Seed]]-$A$37, FALSE()))</f>
        <v>1</v>
      </c>
      <c r="I55" s="65" t="s">
        <v>4191</v>
      </c>
      <c r="J55" s="66" t="s">
        <v>4191</v>
      </c>
      <c r="K55" s="67" t="s">
        <v>4191</v>
      </c>
      <c r="L55" s="68"/>
      <c r="M55" s="69"/>
      <c r="N55" s="203" t="str">
        <f ca="1">IF(Mar_2026_SotM[[#This Row],[Num]]&gt;=$A$37, "-", IF(Mar_2026_SotM[[#This Row],[Initial 1]], VLOOKUP(Mar_2026_SotM[[#This Row],[Top Seed]], $Z$38:$AE$55, 6, FALSE), OFFSET(Mar_2026_SotM[[#This Row],[Winner]], Mar_2026_SotM[[#This Row],[Max Seed]], 0)))</f>
        <v>On My Soul</v>
      </c>
      <c r="O55" s="200">
        <f>COUNTIF(Mar_2026_SotM[[#This Row],[J]:[H]],"x")</f>
        <v>3</v>
      </c>
      <c r="P55" s="201" t="str">
        <f ca="1">IF(Mar_2026_SotM[[#This Row],[Num]]&gt;=$A$37, "-", IF(Mar_2026_SotM[[#This Row],[Score 1]]&gt;=3, Mar_2026_SotM[[#This Row],[Song 1]], IF(Mar_2026_SotM[[#This Row],[Score 2]]&gt;=3, Mar_2026_SotM[[#This Row],[Song 2]], "TBD")))</f>
        <v>On My Soul</v>
      </c>
      <c r="Q55" s="206">
        <f>COUNTIF(Mar_2026_SotM[[#This Row],[H ]:[J ]],"x")</f>
        <v>2</v>
      </c>
      <c r="R55" s="200" t="str">
        <f ca="1">IF(Mar_2026_SotM[[#This Row],[Num]]&gt;=$A$37, "-", IF(Mar_2026_SotM[[#This Row],[Initial 2]], VLOOKUP(Mar_2026_SotM[[#This Row],[Low Seed]], $Z$38:$AE$55, 6, FALSE), OFFSET(Mar_2026_SotM[[#This Row],[Winner]], 2*(Mar_2026_SotM[[#This Row],[Max Seed]]-Mar_2026_SotM[[#This Row],[Low Seed]])+1, 0)))</f>
        <v>Bloom</v>
      </c>
      <c r="S55" s="69" t="s">
        <v>4191</v>
      </c>
      <c r="T55" s="68" t="s">
        <v>4191</v>
      </c>
      <c r="U55" s="67"/>
      <c r="V55" s="66"/>
      <c r="W55" s="65"/>
      <c r="X55" s="201" t="str">
        <f ca="1">IF(OR(Mar_2026_SotM[[#This Row],[Song 1]]="TBD", Mar_2026_SotM[[#This Row],[Song 2]]="TBD"), "TBD", _xlfn.CONCAT(IF(_xlfn.XOR(ISBLANK(Mar_2026_SotM[[#This Row],[J]]), ISBLANK(Mar_2026_SotM[[#This Row],[J ]])), "", "J "), IF(_xlfn.XOR(ISBLANK(Mar_2026_SotM[[#This Row],[D]]), ISBLANK(Mar_2026_SotM[[#This Row],[D ]])), "", "D "), IF(_xlfn.XOR(ISBLANK(Mar_2026_SotM[[#This Row],[L]]), ISBLANK(Mar_2026_SotM[[#This Row],[L ]])), "", "L "), IF(_xlfn.XOR(ISBLANK(Mar_2026_SotM[[#This Row],[S]]), ISBLANK(Mar_2026_SotM[[#This Row],[S ]])), "", "S "), IF(_xlfn.XOR(ISBLANK(Mar_2026_SotM[[#This Row],[H]]), ISBLANK(Mar_2026_SotM[[#This Row],[H ]])), "", "H ")))</f>
        <v/>
      </c>
      <c r="Z55" s="110">
        <f t="shared" si="12"/>
        <v>8</v>
      </c>
      <c r="AA55" s="211">
        <v>46112</v>
      </c>
      <c r="AB55" s="157" t="str">
        <v>currydestroyer27</v>
      </c>
      <c r="AC55" s="101">
        <v>2</v>
      </c>
      <c r="AD55" s="157">
        <v>1.0954451150103321</v>
      </c>
      <c r="AE55" s="157" t="str">
        <v>Hello Juliet</v>
      </c>
      <c r="AF55" s="157" t="str">
        <v>Clarion</v>
      </c>
      <c r="AG55" s="102">
        <f t="shared" ref="AG55" si="15">IF(Z55&gt;1, 2^FLOOR(LOG(Z55-1, 2), 1)+1, 1)</f>
        <v>5</v>
      </c>
      <c r="AI55" s="115">
        <f>Mar_2026_SotM[[#This Row],[Max Seed]]/2 + 1</f>
        <v>17</v>
      </c>
      <c r="AJ55" s="105" t="str">
        <f ca="1">IF(Mar_2026_SotM[[#This Row],[Num]]&gt;=$A$37, "-", IF(Mar_2026_SotM[[#This Row],[Score 1]]&gt;=3, Mar_2026_SotM[[#This Row],[Song 2]], IF(Mar_2026_SotM[[#This Row],[Score 2]]&gt;=3, Mar_2026_SotM[[#This Row],[Song 1]], "TBD")))</f>
        <v>Bloom</v>
      </c>
      <c r="AK55" s="3">
        <f ca="1">IFERROR(VLOOKUP(Mar_2025_Results61[[#This Row],[Song Title]], $AE$38:$AG$55, 3, FALSE)-Mar_2025_Results61[[#This Row],[Result]], "TBD")</f>
        <v>0</v>
      </c>
      <c r="AL55" s="3" t="str">
        <f t="shared" ref="AL55" ca="1" si="16">IF(AK55&lt;0,"↓",IF(AK55=0,"-","↑"))</f>
        <v>-</v>
      </c>
    </row>
    <row r="57" spans="1:38">
      <c r="A57" s="302">
        <f>MAX(Z58:Z75)</f>
        <v>18</v>
      </c>
      <c r="B57" s="302">
        <f t="shared" ref="B57" si="17">FLOOR(LOG(A57, 2), 1)-1</f>
        <v>3</v>
      </c>
      <c r="C57" s="302">
        <f t="shared" ref="C57" si="18">_xlfn.CEILING.MATH(LOG(A57, 2), 1)-1</f>
        <v>4</v>
      </c>
      <c r="D57" s="302"/>
      <c r="E57" s="302"/>
      <c r="F57" s="302"/>
      <c r="G57" s="302"/>
      <c r="H57" s="302"/>
      <c r="I57" s="348" t="s">
        <v>4194</v>
      </c>
      <c r="J57" s="348"/>
      <c r="K57" s="348"/>
      <c r="L57" s="348"/>
      <c r="M57" s="348"/>
      <c r="N57" s="348"/>
      <c r="O57" s="348"/>
      <c r="P57" s="348"/>
      <c r="Q57" s="348"/>
      <c r="R57" s="348"/>
      <c r="S57" s="348"/>
      <c r="T57" s="348"/>
      <c r="U57" s="348"/>
      <c r="V57" s="348"/>
      <c r="W57" s="348"/>
      <c r="X57" s="302"/>
      <c r="Z57" s="221" t="s">
        <v>4163</v>
      </c>
      <c r="AA57" s="222" t="s">
        <v>29</v>
      </c>
      <c r="AB57" s="220" t="s">
        <v>32</v>
      </c>
      <c r="AC57" s="221" t="s">
        <v>33</v>
      </c>
      <c r="AD57" s="220" t="s">
        <v>34</v>
      </c>
      <c r="AE57" s="220" t="s">
        <v>4161</v>
      </c>
      <c r="AF57" s="220" t="s">
        <v>36</v>
      </c>
      <c r="AG57" s="221" t="s">
        <v>4164</v>
      </c>
      <c r="AI57" s="3" t="s">
        <v>4165</v>
      </c>
      <c r="AJ57" t="s">
        <v>35</v>
      </c>
      <c r="AK57" s="3" t="s">
        <v>4166</v>
      </c>
      <c r="AL57" s="3" t="s">
        <v>4167</v>
      </c>
    </row>
    <row r="58" spans="1:38">
      <c r="A58" s="218" t="s">
        <v>4168</v>
      </c>
      <c r="B58" s="213" t="s">
        <v>4169</v>
      </c>
      <c r="C58" s="219" t="s">
        <v>4170</v>
      </c>
      <c r="D58" s="219" t="s">
        <v>4171</v>
      </c>
      <c r="E58" s="219" t="s">
        <v>4172</v>
      </c>
      <c r="F58" s="219" t="s">
        <v>4173</v>
      </c>
      <c r="G58" s="219" t="s">
        <v>4174</v>
      </c>
      <c r="H58" s="219" t="s">
        <v>4175</v>
      </c>
      <c r="I58" s="219" t="s">
        <v>4176</v>
      </c>
      <c r="J58" s="219" t="s">
        <v>4177</v>
      </c>
      <c r="K58" s="219" t="s">
        <v>4178</v>
      </c>
      <c r="L58" s="219" t="s">
        <v>4179</v>
      </c>
      <c r="M58" s="219" t="s">
        <v>4180</v>
      </c>
      <c r="N58" s="226" t="s">
        <v>4181</v>
      </c>
      <c r="O58" s="219" t="s">
        <v>4182</v>
      </c>
      <c r="P58" s="213" t="s">
        <v>47</v>
      </c>
      <c r="Q58" s="231" t="s">
        <v>4183</v>
      </c>
      <c r="R58" s="219" t="s">
        <v>4184</v>
      </c>
      <c r="S58" s="219" t="s">
        <v>4185</v>
      </c>
      <c r="T58" s="219" t="s">
        <v>4186</v>
      </c>
      <c r="U58" s="219" t="s">
        <v>4187</v>
      </c>
      <c r="V58" s="219" t="s">
        <v>4188</v>
      </c>
      <c r="W58" s="219" t="s">
        <v>4189</v>
      </c>
      <c r="X58" s="110" t="s">
        <v>4190</v>
      </c>
      <c r="Z58" s="109">
        <f>IF(AC58&gt;0, COUNTIF(AC$58:AC$75, "&lt;"&amp;AC58) + COUNTIFS(AC$58:AC$75, AC58, AD$58:AD$75, "&lt;"&amp;AD58) + COUNTIFS(AC$58:AC$75, AC58, AD$58:AD$75, AD58, AA$58:AA$75, "&lt;"&amp;AA58) + 1, "TBD")</f>
        <v>9</v>
      </c>
      <c r="AA58" s="59" cm="1">
        <f t="array" ref="AA58:AF75">_xlfn._xlws.FILTER(Data[Date]:Data[Artist], (Data[Date]&gt;=DATE(2026,4,1))*(Data[Date]&lt;=DATE(2026,4,30))*(Data[Winner]=TRUE()), "TBD")</f>
        <v>46113</v>
      </c>
      <c r="AB58" t="str">
        <v>danram</v>
      </c>
      <c r="AC58" s="3">
        <v>2</v>
      </c>
      <c r="AD58">
        <v>0.89442719099991586</v>
      </c>
      <c r="AE58" t="str">
        <v>Ojitos Lindos</v>
      </c>
      <c r="AF58" t="str">
        <v>Bad Bunny</v>
      </c>
      <c r="AG58" s="100">
        <f t="shared" ref="AG58:AG75" si="19">IF(Z58&gt;1, 2^FLOOR(LOG(Z58-1, 2), 1)+1, 1)</f>
        <v>9</v>
      </c>
      <c r="AI58" s="115">
        <v>1</v>
      </c>
      <c r="AJ58" s="105" t="str">
        <f ca="1">P59</f>
        <v>Krillin's Fumble</v>
      </c>
      <c r="AK58" s="3">
        <f ca="1">IFERROR(VLOOKUP(Apr_2025_Results62[[#This Row],[Song Title]], $AE$58:$AG$75, 3, FALSE)-Apr_2025_Results62[[#This Row],[Result]], "TBD")</f>
        <v>8</v>
      </c>
      <c r="AL58" s="3" t="str">
        <f ca="1">IF(AK58&lt;0,"↓",IF(AK58=0,"-","↑"))</f>
        <v>↑</v>
      </c>
    </row>
    <row r="59" spans="1:38">
      <c r="A59" s="197" t="str">
        <f>_xlfn.CONCAT("Seed ", Apr_2026_SotM[[#This Row],[Top Seed]], " vs ",Apr_2026_SotM[[#This Row],[Low Seed]])</f>
        <v>Seed 1 vs 2</v>
      </c>
      <c r="B59" s="115">
        <v>1</v>
      </c>
      <c r="C59" s="105">
        <f>FLOOR(LOG(Apr_2026_SotM[[#This Row],[Num]], 2), 1)</f>
        <v>0</v>
      </c>
      <c r="D59" s="105">
        <f>2^(Apr_2026_SotM[[#This Row],[Round]]+1)</f>
        <v>2</v>
      </c>
      <c r="E59" s="105">
        <f>Apr_2026_SotM[[#This Row],[Max Seed]]-Apr_2026_SotM[[#This Row],[Num]]</f>
        <v>1</v>
      </c>
      <c r="F59" s="105">
        <f>Apr_2026_SotM[[#This Row],[Max Seed]]-Apr_2026_SotM[[#This Row],[Top Seed]]+1</f>
        <v>2</v>
      </c>
      <c r="G59" s="105" t="b">
        <f>IF(Apr_2026_SotM[[#This Row],[Round]]=$C$57, TRUE(), IF(Apr_2026_SotM[[#This Row],[Round]]=$B$57, Apr_2026_SotM[[#This Row],[Top Seed]]&lt;=2*Apr_2026_SotM[[#This Row],[Max Seed]]-$A$57, FALSE()))</f>
        <v>0</v>
      </c>
      <c r="H59" s="105" t="b">
        <f>IF(Apr_2026_SotM[[#This Row],[Round]]=$C$57, TRUE(), IF(Apr_2026_SotM[[#This Row],[Round]]=$B$57, Apr_2026_SotM[[#This Row],[Low Seed]]&lt;=2*Apr_2026_SotM[[#This Row],[Max Seed]]-$A$57, FALSE()))</f>
        <v>0</v>
      </c>
      <c r="I59" s="28" t="s">
        <v>4191</v>
      </c>
      <c r="J59" s="31"/>
      <c r="K59" s="33"/>
      <c r="L59" s="35"/>
      <c r="M59" s="37" t="s">
        <v>4191</v>
      </c>
      <c r="N59" s="192" t="str">
        <f ca="1">IF(Apr_2026_SotM[[#This Row],[Num]]&gt;=$A$57, "-", IF(Apr_2026_SotM[[#This Row],[Initial 1]], VLOOKUP(Apr_2026_SotM[[#This Row],[Top Seed]], $Z$58:$AE$75, 6, FALSE), OFFSET(Apr_2026_SotM[[#This Row],[Winner]], Apr_2026_SotM[[#This Row],[Max Seed]], 0)))</f>
        <v>TOP NOTCH</v>
      </c>
      <c r="O59" s="105">
        <f>COUNTIF(Apr_2026_SotM[[#This Row],[J]:[H]],"x")</f>
        <v>2</v>
      </c>
      <c r="P59" s="115" t="str">
        <f ca="1">IF(Apr_2026_SotM[[#This Row],[Num]]&gt;=$A$57, "-", IF(Apr_2026_SotM[[#This Row],[Score 1]]&gt;=3, Apr_2026_SotM[[#This Row],[Song 1]], IF(Apr_2026_SotM[[#This Row],[Score 2]]&gt;=3, Apr_2026_SotM[[#This Row],[Song 2]], "TBD")))</f>
        <v>Krillin's Fumble</v>
      </c>
      <c r="Q59" s="193">
        <f>COUNTIF(Apr_2026_SotM[[#This Row],[H ]:[J ]],"x")</f>
        <v>3</v>
      </c>
      <c r="R59" s="105" t="str">
        <f ca="1"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f>
        <v>Krillin's Fumble</v>
      </c>
      <c r="S59" s="37"/>
      <c r="T59" s="35" t="s">
        <v>4191</v>
      </c>
      <c r="U59" s="33" t="s">
        <v>4191</v>
      </c>
      <c r="V59" s="31" t="s">
        <v>4191</v>
      </c>
      <c r="W59" s="28"/>
      <c r="X59" s="112" t="str">
        <f ca="1"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f>
        <v/>
      </c>
      <c r="Z59" s="109">
        <f>IF(AC59&gt;0, COUNTIF(AC$58:AC$75, "&lt;"&amp;AC59) + COUNTIFS(AC$58:AC$75, AC59, AD$58:AD$75, "&lt;"&amp;AD59) + COUNTIFS(AC$58:AC$75, AC59, AD$58:AD$75, AD59, AA$58:AA$75, "&lt;"&amp;AA59) + 1, "TBD")</f>
        <v>17</v>
      </c>
      <c r="AA59" s="59">
        <v>46114</v>
      </c>
      <c r="AB59" t="str">
        <v>danram</v>
      </c>
      <c r="AC59" s="3">
        <v>2.6</v>
      </c>
      <c r="AD59">
        <v>1.3564659966250536</v>
      </c>
      <c r="AE59" t="str">
        <v>Starboy</v>
      </c>
      <c r="AF59" t="str">
        <v>The Weeknd</v>
      </c>
      <c r="AG59" s="100">
        <f t="shared" si="19"/>
        <v>17</v>
      </c>
      <c r="AI59" s="115">
        <f>Apr_2026_SotM[[#This Row],[Max Seed]]/2 + 1</f>
        <v>2</v>
      </c>
      <c r="AJ59" s="105" t="str">
        <f ca="1">IF(Apr_2026_SotM[[#This Row],[Num]]&gt;=$A$57, "-", IF(Apr_2026_SotM[[#This Row],[Score 1]]&gt;=3, Apr_2026_SotM[[#This Row],[Song 2]], IF(Apr_2026_SotM[[#This Row],[Score 2]]&gt;=3, Apr_2026_SotM[[#This Row],[Song 1]], "TBD")))</f>
        <v>TOP NOTCH</v>
      </c>
      <c r="AK59" s="3">
        <f ca="1">IFERROR(VLOOKUP(Apr_2025_Results62[[#This Row],[Song Title]], $AE$58:$AG$75, 3, FALSE)-Apr_2025_Results62[[#This Row],[Result]], "TBD")</f>
        <v>7</v>
      </c>
      <c r="AL59" s="3" t="str">
        <f ca="1">IF(AK59&lt;0,"↓",IF(AK59=0,"-","↑"))</f>
        <v>↑</v>
      </c>
    </row>
    <row r="60" spans="1:38">
      <c r="A60" s="197" t="str">
        <f>_xlfn.CONCAT("Seed ", Apr_2026_SotM[[#This Row],[Top Seed]], " vs ",Apr_2026_SotM[[#This Row],[Low Seed]])</f>
        <v>Seed 2 vs 3</v>
      </c>
      <c r="B60" s="115">
        <v>2</v>
      </c>
      <c r="C60" s="105">
        <f>FLOOR(LOG(Apr_2026_SotM[[#This Row],[Num]], 2), 1)</f>
        <v>1</v>
      </c>
      <c r="D60" s="105">
        <f>2^(Apr_2026_SotM[[#This Row],[Round]]+1)</f>
        <v>4</v>
      </c>
      <c r="E60" s="105">
        <f>Apr_2026_SotM[[#This Row],[Max Seed]]-Apr_2026_SotM[[#This Row],[Num]]</f>
        <v>2</v>
      </c>
      <c r="F60" s="105">
        <f>Apr_2026_SotM[[#This Row],[Max Seed]]-Apr_2026_SotM[[#This Row],[Top Seed]]+1</f>
        <v>3</v>
      </c>
      <c r="G60" s="105" t="b">
        <f>IF(Apr_2026_SotM[[#This Row],[Round]]=$C$57, TRUE(), IF(Apr_2026_SotM[[#This Row],[Round]]=$B$57, Apr_2026_SotM[[#This Row],[Top Seed]]&lt;=2*Apr_2026_SotM[[#This Row],[Max Seed]]-$A$57, FALSE()))</f>
        <v>0</v>
      </c>
      <c r="H60" s="105" t="b">
        <f>IF(Apr_2026_SotM[[#This Row],[Round]]=$C$57, TRUE(), IF(Apr_2026_SotM[[#This Row],[Round]]=$B$57, Apr_2026_SotM[[#This Row],[Low Seed]]&lt;=2*Apr_2026_SotM[[#This Row],[Max Seed]]-$A$57, FALSE()))</f>
        <v>0</v>
      </c>
      <c r="I60" s="28"/>
      <c r="J60" s="31" t="s">
        <v>4191</v>
      </c>
      <c r="K60" s="33" t="s">
        <v>4191</v>
      </c>
      <c r="L60" s="35"/>
      <c r="M60" s="37" t="s">
        <v>4191</v>
      </c>
      <c r="N60" s="192" t="str">
        <f ca="1">IF(Apr_2026_SotM[[#This Row],[Num]]&gt;=$A$57, "-", IF(Apr_2026_SotM[[#This Row],[Initial 1]], VLOOKUP(Apr_2026_SotM[[#This Row],[Top Seed]], $Z$58:$AE$75, 6, FALSE), OFFSET(Apr_2026_SotM[[#This Row],[Winner]], Apr_2026_SotM[[#This Row],[Max Seed]], 0)))</f>
        <v>Krillin's Fumble</v>
      </c>
      <c r="O60" s="105">
        <f>COUNTIF(Apr_2026_SotM[[#This Row],[J]:[H]],"x")</f>
        <v>3</v>
      </c>
      <c r="P60" s="115" t="str">
        <f ca="1">IF(Apr_2026_SotM[[#This Row],[Num]]&gt;=$A$57, "-", IF(Apr_2026_SotM[[#This Row],[Score 1]]&gt;=3, Apr_2026_SotM[[#This Row],[Song 1]], IF(Apr_2026_SotM[[#This Row],[Score 2]]&gt;=3, Apr_2026_SotM[[#This Row],[Song 2]], "TBD")))</f>
        <v>Krillin's Fumble</v>
      </c>
      <c r="Q60" s="193">
        <f>COUNTIF(Apr_2026_SotM[[#This Row],[H ]:[J ]],"x")</f>
        <v>2</v>
      </c>
      <c r="R60" s="105" t="str">
        <f ca="1"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f>
        <v>Hey Ya!</v>
      </c>
      <c r="S60" s="37"/>
      <c r="T60" s="35" t="s">
        <v>4191</v>
      </c>
      <c r="U60" s="33"/>
      <c r="V60" s="31"/>
      <c r="W60" s="28" t="s">
        <v>4191</v>
      </c>
      <c r="X60" s="112" t="str">
        <f ca="1"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f>
        <v/>
      </c>
      <c r="Z60" s="109">
        <f t="shared" ref="Z60:Z75" si="20">IF(AC60&gt;0, COUNTIF(AC$58:AC$75, "&lt;"&amp;AC60) + COUNTIFS(AC$58:AC$75, AC60, AD$58:AD$75, "&lt;"&amp;AD60) + COUNTIFS(AC$58:AC$75, AC60, AD$58:AD$75, AD60, AA$58:AA$75, "&lt;"&amp;AA60) + 1, "TBD")</f>
        <v>14</v>
      </c>
      <c r="AA60" s="59">
        <v>46118</v>
      </c>
      <c r="AB60" t="str">
        <v>samuelbattista</v>
      </c>
      <c r="AC60" s="3">
        <v>2.4</v>
      </c>
      <c r="AD60">
        <v>1.019803902718557</v>
      </c>
      <c r="AE60" t="str">
        <v>Hey Ya!</v>
      </c>
      <c r="AF60" t="str">
        <v>Outkast</v>
      </c>
      <c r="AG60" s="100">
        <f t="shared" si="19"/>
        <v>9</v>
      </c>
      <c r="AI60" s="115">
        <f>Apr_2026_SotM[[#This Row],[Max Seed]]/2 + 1</f>
        <v>3</v>
      </c>
      <c r="AJ60" s="105" t="str">
        <f ca="1">IF(Apr_2026_SotM[[#This Row],[Num]]&gt;=$A$57, "-", IF(Apr_2026_SotM[[#This Row],[Score 1]]&gt;=3, Apr_2026_SotM[[#This Row],[Song 2]], IF(Apr_2026_SotM[[#This Row],[Score 2]]&gt;=3, Apr_2026_SotM[[#This Row],[Song 1]], "TBD")))</f>
        <v>Hey Ya!</v>
      </c>
      <c r="AK60" s="3">
        <f ca="1">IFERROR(VLOOKUP(Apr_2025_Results62[[#This Row],[Song Title]], $AE$58:$AG$75, 3, FALSE)-Apr_2025_Results62[[#This Row],[Result]], "TBD")</f>
        <v>6</v>
      </c>
      <c r="AL60" s="3" t="str">
        <f t="shared" ref="AL60:AL75" ca="1" si="21">IF(AK60&lt;0,"↓",IF(AK60=0,"-","↑"))</f>
        <v>↑</v>
      </c>
    </row>
    <row r="61" spans="1:38">
      <c r="A61" s="197" t="str">
        <f>_xlfn.CONCAT("Seed ", Apr_2026_SotM[[#This Row],[Top Seed]], " vs ",Apr_2026_SotM[[#This Row],[Low Seed]])</f>
        <v>Seed 1 vs 4</v>
      </c>
      <c r="B61" s="115">
        <v>3</v>
      </c>
      <c r="C61" s="105">
        <f>FLOOR(LOG(Apr_2026_SotM[[#This Row],[Num]], 2), 1)</f>
        <v>1</v>
      </c>
      <c r="D61" s="105">
        <f>2^(Apr_2026_SotM[[#This Row],[Round]]+1)</f>
        <v>4</v>
      </c>
      <c r="E61" s="105">
        <f>Apr_2026_SotM[[#This Row],[Max Seed]]-Apr_2026_SotM[[#This Row],[Num]]</f>
        <v>1</v>
      </c>
      <c r="F61" s="105">
        <f>Apr_2026_SotM[[#This Row],[Max Seed]]-Apr_2026_SotM[[#This Row],[Top Seed]]+1</f>
        <v>4</v>
      </c>
      <c r="G61" s="105" t="b">
        <f>IF(Apr_2026_SotM[[#This Row],[Round]]=$C$57, TRUE(), IF(Apr_2026_SotM[[#This Row],[Round]]=$B$57, Apr_2026_SotM[[#This Row],[Top Seed]]&lt;=2*Apr_2026_SotM[[#This Row],[Max Seed]]-$A$57, FALSE()))</f>
        <v>0</v>
      </c>
      <c r="H61" s="105" t="b">
        <f>IF(Apr_2026_SotM[[#This Row],[Round]]=$C$57, TRUE(), IF(Apr_2026_SotM[[#This Row],[Round]]=$B$57, Apr_2026_SotM[[#This Row],[Low Seed]]&lt;=2*Apr_2026_SotM[[#This Row],[Max Seed]]-$A$57, FALSE()))</f>
        <v>0</v>
      </c>
      <c r="I61" s="28" t="s">
        <v>4191</v>
      </c>
      <c r="J61" s="31"/>
      <c r="K61" s="33"/>
      <c r="L61" s="35" t="s">
        <v>4191</v>
      </c>
      <c r="M61" s="37"/>
      <c r="N61" s="192" t="str">
        <f ca="1">IF(Apr_2026_SotM[[#This Row],[Num]]&gt;=$A$57, "-", IF(Apr_2026_SotM[[#This Row],[Initial 1]], VLOOKUP(Apr_2026_SotM[[#This Row],[Top Seed]], $Z$58:$AE$75, 6, FALSE), OFFSET(Apr_2026_SotM[[#This Row],[Winner]], Apr_2026_SotM[[#This Row],[Max Seed]], 0)))</f>
        <v>So Easy (To Fall In Love)</v>
      </c>
      <c r="O61" s="105">
        <f>COUNTIF(Apr_2026_SotM[[#This Row],[J]:[H]],"x")</f>
        <v>2</v>
      </c>
      <c r="P61" s="115" t="str">
        <f ca="1">IF(Apr_2026_SotM[[#This Row],[Num]]&gt;=$A$57, "-", IF(Apr_2026_SotM[[#This Row],[Score 1]]&gt;=3, Apr_2026_SotM[[#This Row],[Song 1]], IF(Apr_2026_SotM[[#This Row],[Score 2]]&gt;=3, Apr_2026_SotM[[#This Row],[Song 2]], "TBD")))</f>
        <v>TOP NOTCH</v>
      </c>
      <c r="Q61" s="193">
        <f>COUNTIF(Apr_2026_SotM[[#This Row],[H ]:[J ]],"x")</f>
        <v>3</v>
      </c>
      <c r="R61" s="105" t="str">
        <f ca="1"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f>
        <v>TOP NOTCH</v>
      </c>
      <c r="S61" s="37" t="s">
        <v>4191</v>
      </c>
      <c r="T61" s="35"/>
      <c r="U61" s="33" t="s">
        <v>4191</v>
      </c>
      <c r="V61" s="31" t="s">
        <v>4191</v>
      </c>
      <c r="W61" s="28"/>
      <c r="X61" s="112" t="str">
        <f ca="1"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f>
        <v/>
      </c>
      <c r="Z61" s="109">
        <f t="shared" si="20"/>
        <v>1</v>
      </c>
      <c r="AA61" s="59">
        <v>46119</v>
      </c>
      <c r="AB61" t="str">
        <v>alappatjoe</v>
      </c>
      <c r="AC61" s="3">
        <v>1.4</v>
      </c>
      <c r="AD61">
        <v>0.4898979485566356</v>
      </c>
      <c r="AE61" t="str">
        <v>So Easy (To Fall In Love)</v>
      </c>
      <c r="AF61" t="str">
        <v>Olivia Dean</v>
      </c>
      <c r="AG61" s="100">
        <f t="shared" si="19"/>
        <v>1</v>
      </c>
      <c r="AI61" s="115">
        <f>Apr_2026_SotM[[#This Row],[Max Seed]]/2 + 1</f>
        <v>3</v>
      </c>
      <c r="AJ61" s="105" t="str">
        <f ca="1">IF(Apr_2026_SotM[[#This Row],[Num]]&gt;=$A$57, "-", IF(Apr_2026_SotM[[#This Row],[Score 1]]&gt;=3, Apr_2026_SotM[[#This Row],[Song 2]], IF(Apr_2026_SotM[[#This Row],[Score 2]]&gt;=3, Apr_2026_SotM[[#This Row],[Song 1]], "TBD")))</f>
        <v>So Easy (To Fall In Love)</v>
      </c>
      <c r="AK61" s="3">
        <f ca="1">IFERROR(VLOOKUP(Apr_2025_Results62[[#This Row],[Song Title]], $AE$58:$AG$75, 3, FALSE)-Apr_2025_Results62[[#This Row],[Result]], "TBD")</f>
        <v>-2</v>
      </c>
      <c r="AL61" s="3" t="str">
        <f t="shared" ca="1" si="21"/>
        <v>↓</v>
      </c>
    </row>
    <row r="62" spans="1:38">
      <c r="A62" s="197" t="str">
        <f>_xlfn.CONCAT("Seed ", Apr_2026_SotM[[#This Row],[Top Seed]], " vs ",Apr_2026_SotM[[#This Row],[Low Seed]])</f>
        <v>Seed 4 vs 5</v>
      </c>
      <c r="B62" s="115">
        <v>4</v>
      </c>
      <c r="C62" s="105">
        <f>FLOOR(LOG(Apr_2026_SotM[[#This Row],[Num]], 2), 1)</f>
        <v>2</v>
      </c>
      <c r="D62" s="105">
        <f>2^(Apr_2026_SotM[[#This Row],[Round]]+1)</f>
        <v>8</v>
      </c>
      <c r="E62" s="105">
        <f>Apr_2026_SotM[[#This Row],[Max Seed]]-Apr_2026_SotM[[#This Row],[Num]]</f>
        <v>4</v>
      </c>
      <c r="F62" s="105">
        <f>Apr_2026_SotM[[#This Row],[Max Seed]]-Apr_2026_SotM[[#This Row],[Top Seed]]+1</f>
        <v>5</v>
      </c>
      <c r="G62" s="105" t="b">
        <f>IF(Apr_2026_SotM[[#This Row],[Round]]=$C$57, TRUE(), IF(Apr_2026_SotM[[#This Row],[Round]]=$B$57, Apr_2026_SotM[[#This Row],[Top Seed]]&lt;=2*Apr_2026_SotM[[#This Row],[Max Seed]]-$A$57, FALSE()))</f>
        <v>0</v>
      </c>
      <c r="H62" s="105" t="b">
        <f>IF(Apr_2026_SotM[[#This Row],[Round]]=$C$57, TRUE(), IF(Apr_2026_SotM[[#This Row],[Round]]=$B$57, Apr_2026_SotM[[#This Row],[Low Seed]]&lt;=2*Apr_2026_SotM[[#This Row],[Max Seed]]-$A$57, FALSE()))</f>
        <v>0</v>
      </c>
      <c r="I62" s="28"/>
      <c r="J62" s="31" t="s">
        <v>4191</v>
      </c>
      <c r="K62" s="33"/>
      <c r="L62" s="35"/>
      <c r="M62" s="37"/>
      <c r="N62" s="192" t="str">
        <f ca="1">IF(Apr_2026_SotM[[#This Row],[Num]]&gt;=$A$57, "-", IF(Apr_2026_SotM[[#This Row],[Initial 1]], VLOOKUP(Apr_2026_SotM[[#This Row],[Top Seed]], $Z$58:$AE$75, 6, FALSE), OFFSET(Apr_2026_SotM[[#This Row],[Winner]], Apr_2026_SotM[[#This Row],[Max Seed]], 0)))</f>
        <v>TRANKAITO</v>
      </c>
      <c r="O62" s="105">
        <f>COUNTIF(Apr_2026_SotM[[#This Row],[J]:[H]],"x")</f>
        <v>1</v>
      </c>
      <c r="P62" s="115" t="str">
        <f ca="1">IF(Apr_2026_SotM[[#This Row],[Num]]&gt;=$A$57, "-", IF(Apr_2026_SotM[[#This Row],[Score 1]]&gt;=3, Apr_2026_SotM[[#This Row],[Song 1]], IF(Apr_2026_SotM[[#This Row],[Score 2]]&gt;=3, Apr_2026_SotM[[#This Row],[Song 2]], "TBD")))</f>
        <v>TOP NOTCH</v>
      </c>
      <c r="Q62" s="193">
        <f>COUNTIF(Apr_2026_SotM[[#This Row],[H ]:[J ]],"x")</f>
        <v>4</v>
      </c>
      <c r="R62" s="105" t="str">
        <f ca="1"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f>
        <v>TOP NOTCH</v>
      </c>
      <c r="S62" s="37" t="s">
        <v>4191</v>
      </c>
      <c r="T62" s="35" t="s">
        <v>4191</v>
      </c>
      <c r="U62" s="33" t="s">
        <v>4191</v>
      </c>
      <c r="V62" s="31"/>
      <c r="W62" s="28" t="s">
        <v>4191</v>
      </c>
      <c r="X62" s="112" t="str">
        <f ca="1"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f>
        <v/>
      </c>
      <c r="Z62" s="109">
        <f t="shared" si="20"/>
        <v>8</v>
      </c>
      <c r="AA62" s="59">
        <v>46120</v>
      </c>
      <c r="AB62" t="str">
        <v>currydestroyer27</v>
      </c>
      <c r="AC62" s="3">
        <v>2</v>
      </c>
      <c r="AD62">
        <v>0.63245553203367588</v>
      </c>
      <c r="AE62" t="str">
        <v>Aggression from Saturn</v>
      </c>
      <c r="AF62" t="str">
        <v>Tory Lanez</v>
      </c>
      <c r="AG62" s="100">
        <f t="shared" si="19"/>
        <v>5</v>
      </c>
      <c r="AI62" s="115">
        <f>Apr_2026_SotM[[#This Row],[Max Seed]]/2 + 1</f>
        <v>5</v>
      </c>
      <c r="AJ62" s="105" t="str">
        <f ca="1">IF(Apr_2026_SotM[[#This Row],[Num]]&gt;=$A$57, "-", IF(Apr_2026_SotM[[#This Row],[Score 1]]&gt;=3, Apr_2026_SotM[[#This Row],[Song 2]], IF(Apr_2026_SotM[[#This Row],[Score 2]]&gt;=3, Apr_2026_SotM[[#This Row],[Song 1]], "TBD")))</f>
        <v>TRANKAITO</v>
      </c>
      <c r="AK62" s="3">
        <f ca="1">IFERROR(VLOOKUP(Apr_2025_Results62[[#This Row],[Song Title]], $AE$58:$AG$75, 3, FALSE)-Apr_2025_Results62[[#This Row],[Result]], "TBD")</f>
        <v>-2</v>
      </c>
      <c r="AL62" s="3" t="str">
        <f t="shared" ca="1" si="21"/>
        <v>↓</v>
      </c>
    </row>
    <row r="63" spans="1:38">
      <c r="A63" s="197" t="str">
        <f>_xlfn.CONCAT("Seed ", Apr_2026_SotM[[#This Row],[Top Seed]], " vs ",Apr_2026_SotM[[#This Row],[Low Seed]])</f>
        <v>Seed 3 vs 6</v>
      </c>
      <c r="B63" s="115">
        <v>5</v>
      </c>
      <c r="C63" s="105">
        <f>FLOOR(LOG(Apr_2026_SotM[[#This Row],[Num]], 2), 1)</f>
        <v>2</v>
      </c>
      <c r="D63" s="105">
        <f>2^(Apr_2026_SotM[[#This Row],[Round]]+1)</f>
        <v>8</v>
      </c>
      <c r="E63" s="105">
        <f>Apr_2026_SotM[[#This Row],[Max Seed]]-Apr_2026_SotM[[#This Row],[Num]]</f>
        <v>3</v>
      </c>
      <c r="F63" s="105">
        <f>Apr_2026_SotM[[#This Row],[Max Seed]]-Apr_2026_SotM[[#This Row],[Top Seed]]+1</f>
        <v>6</v>
      </c>
      <c r="G63" s="105" t="b">
        <f>IF(Apr_2026_SotM[[#This Row],[Round]]=$C$57, TRUE(), IF(Apr_2026_SotM[[#This Row],[Round]]=$B$57, Apr_2026_SotM[[#This Row],[Top Seed]]&lt;=2*Apr_2026_SotM[[#This Row],[Max Seed]]-$A$57, FALSE()))</f>
        <v>0</v>
      </c>
      <c r="H63" s="105" t="b">
        <f>IF(Apr_2026_SotM[[#This Row],[Round]]=$C$57, TRUE(), IF(Apr_2026_SotM[[#This Row],[Round]]=$B$57, Apr_2026_SotM[[#This Row],[Low Seed]]&lt;=2*Apr_2026_SotM[[#This Row],[Max Seed]]-$A$57, FALSE()))</f>
        <v>0</v>
      </c>
      <c r="I63" s="28" t="s">
        <v>4191</v>
      </c>
      <c r="J63" s="31" t="s">
        <v>4191</v>
      </c>
      <c r="K63" s="33"/>
      <c r="L63" s="35" t="s">
        <v>4191</v>
      </c>
      <c r="M63" s="37"/>
      <c r="N63" s="192" t="str">
        <f ca="1">IF(Apr_2026_SotM[[#This Row],[Num]]&gt;=$A$57, "-", IF(Apr_2026_SotM[[#This Row],[Initial 1]], VLOOKUP(Apr_2026_SotM[[#This Row],[Top Seed]], $Z$58:$AE$75, 6, FALSE), OFFSET(Apr_2026_SotM[[#This Row],[Winner]], Apr_2026_SotM[[#This Row],[Max Seed]], 0)))</f>
        <v>Hey Ya!</v>
      </c>
      <c r="O63" s="105">
        <f>COUNTIF(Apr_2026_SotM[[#This Row],[J]:[H]],"x")</f>
        <v>3</v>
      </c>
      <c r="P63" s="115" t="str">
        <f ca="1">IF(Apr_2026_SotM[[#This Row],[Num]]&gt;=$A$57, "-", IF(Apr_2026_SotM[[#This Row],[Score 1]]&gt;=3, Apr_2026_SotM[[#This Row],[Song 1]], IF(Apr_2026_SotM[[#This Row],[Score 2]]&gt;=3, Apr_2026_SotM[[#This Row],[Song 2]], "TBD")))</f>
        <v>Hey Ya!</v>
      </c>
      <c r="Q63" s="193">
        <f>COUNTIF(Apr_2026_SotM[[#This Row],[H ]:[J ]],"x")</f>
        <v>2</v>
      </c>
      <c r="R63" s="105" t="str">
        <f ca="1"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f>
        <v>Rift</v>
      </c>
      <c r="S63" s="37" t="s">
        <v>4191</v>
      </c>
      <c r="T63" s="35"/>
      <c r="U63" s="33" t="s">
        <v>4191</v>
      </c>
      <c r="V63" s="31"/>
      <c r="W63" s="28"/>
      <c r="X63" s="112" t="str">
        <f ca="1"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f>
        <v/>
      </c>
      <c r="Z63" s="109">
        <f t="shared" si="20"/>
        <v>13</v>
      </c>
      <c r="AA63" s="59">
        <v>46121</v>
      </c>
      <c r="AB63" t="str">
        <v>alappatjoe</v>
      </c>
      <c r="AC63" s="3">
        <v>2.2000000000000002</v>
      </c>
      <c r="AD63">
        <v>1.6</v>
      </c>
      <c r="AE63" t="str">
        <v>Playing God</v>
      </c>
      <c r="AF63" t="str">
        <v>Polyphia</v>
      </c>
      <c r="AG63" s="100">
        <f t="shared" si="19"/>
        <v>9</v>
      </c>
      <c r="AI63" s="115">
        <f>Apr_2026_SotM[[#This Row],[Max Seed]]/2 + 1</f>
        <v>5</v>
      </c>
      <c r="AJ63" s="105" t="str">
        <f ca="1">IF(Apr_2026_SotM[[#This Row],[Num]]&gt;=$A$57, "-", IF(Apr_2026_SotM[[#This Row],[Score 1]]&gt;=3, Apr_2026_SotM[[#This Row],[Song 2]], IF(Apr_2026_SotM[[#This Row],[Score 2]]&gt;=3, Apr_2026_SotM[[#This Row],[Song 1]], "TBD")))</f>
        <v>Rift</v>
      </c>
      <c r="AK63" s="3">
        <f ca="1">IFERROR(VLOOKUP(Apr_2025_Results62[[#This Row],[Song Title]], $AE$58:$AG$75, 3, FALSE)-Apr_2025_Results62[[#This Row],[Result]], "TBD")</f>
        <v>4</v>
      </c>
      <c r="AL63" s="3" t="str">
        <f t="shared" ca="1" si="21"/>
        <v>↑</v>
      </c>
    </row>
    <row r="64" spans="1:38">
      <c r="A64" s="197" t="str">
        <f>_xlfn.CONCAT("Seed ", Apr_2026_SotM[[#This Row],[Top Seed]], " vs ",Apr_2026_SotM[[#This Row],[Low Seed]])</f>
        <v>Seed 2 vs 7</v>
      </c>
      <c r="B64" s="115">
        <v>6</v>
      </c>
      <c r="C64" s="105">
        <f>FLOOR(LOG(Apr_2026_SotM[[#This Row],[Num]], 2), 1)</f>
        <v>2</v>
      </c>
      <c r="D64" s="105">
        <f>2^(Apr_2026_SotM[[#This Row],[Round]]+1)</f>
        <v>8</v>
      </c>
      <c r="E64" s="105">
        <f>Apr_2026_SotM[[#This Row],[Max Seed]]-Apr_2026_SotM[[#This Row],[Num]]</f>
        <v>2</v>
      </c>
      <c r="F64" s="105">
        <f>Apr_2026_SotM[[#This Row],[Max Seed]]-Apr_2026_SotM[[#This Row],[Top Seed]]+1</f>
        <v>7</v>
      </c>
      <c r="G64" s="105" t="b">
        <f>IF(Apr_2026_SotM[[#This Row],[Round]]=$C$57, TRUE(), IF(Apr_2026_SotM[[#This Row],[Round]]=$B$57, Apr_2026_SotM[[#This Row],[Top Seed]]&lt;=2*Apr_2026_SotM[[#This Row],[Max Seed]]-$A$57, FALSE()))</f>
        <v>0</v>
      </c>
      <c r="H64" s="105" t="b">
        <f>IF(Apr_2026_SotM[[#This Row],[Round]]=$C$57, TRUE(), IF(Apr_2026_SotM[[#This Row],[Round]]=$B$57, Apr_2026_SotM[[#This Row],[Low Seed]]&lt;=2*Apr_2026_SotM[[#This Row],[Max Seed]]-$A$57, FALSE()))</f>
        <v>0</v>
      </c>
      <c r="I64" s="28"/>
      <c r="J64" s="31" t="s">
        <v>4191</v>
      </c>
      <c r="K64" s="33" t="s">
        <v>4191</v>
      </c>
      <c r="L64" s="35" t="s">
        <v>4191</v>
      </c>
      <c r="M64" s="37"/>
      <c r="N64" s="192" t="str">
        <f ca="1">IF(Apr_2026_SotM[[#This Row],[Num]]&gt;=$A$57, "-", IF(Apr_2026_SotM[[#This Row],[Initial 1]], VLOOKUP(Apr_2026_SotM[[#This Row],[Top Seed]], $Z$58:$AE$75, 6, FALSE), OFFSET(Apr_2026_SotM[[#This Row],[Winner]], Apr_2026_SotM[[#This Row],[Max Seed]], 0)))</f>
        <v>Krillin's Fumble</v>
      </c>
      <c r="O64" s="105">
        <f>COUNTIF(Apr_2026_SotM[[#This Row],[J]:[H]],"x")</f>
        <v>3</v>
      </c>
      <c r="P64" s="115" t="str">
        <f ca="1">IF(Apr_2026_SotM[[#This Row],[Num]]&gt;=$A$57, "-", IF(Apr_2026_SotM[[#This Row],[Score 1]]&gt;=3, Apr_2026_SotM[[#This Row],[Song 1]], IF(Apr_2026_SotM[[#This Row],[Score 2]]&gt;=3, Apr_2026_SotM[[#This Row],[Song 2]], "TBD")))</f>
        <v>Krillin's Fumble</v>
      </c>
      <c r="Q64" s="193">
        <f>COUNTIF(Apr_2026_SotM[[#This Row],[H ]:[J ]],"x")</f>
        <v>2</v>
      </c>
      <c r="R64" s="105" t="str">
        <f ca="1"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f>
        <v>Dive Into Me</v>
      </c>
      <c r="S64" s="37" t="s">
        <v>4191</v>
      </c>
      <c r="T64" s="35"/>
      <c r="U64" s="33"/>
      <c r="V64" s="31"/>
      <c r="W64" s="28" t="s">
        <v>4191</v>
      </c>
      <c r="X64" s="112" t="str">
        <f ca="1"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f>
        <v/>
      </c>
      <c r="Z64" s="109">
        <f t="shared" si="20"/>
        <v>10</v>
      </c>
      <c r="AA64" s="59">
        <v>46125</v>
      </c>
      <c r="AB64" t="str">
        <v>loganworsdell</v>
      </c>
      <c r="AC64" s="3">
        <v>2.2000000000000002</v>
      </c>
      <c r="AD64">
        <v>1.1661903789690602</v>
      </c>
      <c r="AE64" t="str">
        <v>Layaway Luv</v>
      </c>
      <c r="AF64" t="str">
        <v>Ariel</v>
      </c>
      <c r="AG64" s="100">
        <f t="shared" si="19"/>
        <v>9</v>
      </c>
      <c r="AI64" s="115">
        <f>Apr_2026_SotM[[#This Row],[Max Seed]]/2 + 1</f>
        <v>5</v>
      </c>
      <c r="AJ64" s="105" t="str">
        <f ca="1">IF(Apr_2026_SotM[[#This Row],[Num]]&gt;=$A$57, "-", IF(Apr_2026_SotM[[#This Row],[Score 1]]&gt;=3, Apr_2026_SotM[[#This Row],[Song 2]], IF(Apr_2026_SotM[[#This Row],[Score 2]]&gt;=3, Apr_2026_SotM[[#This Row],[Song 1]], "TBD")))</f>
        <v>Dive Into Me</v>
      </c>
      <c r="AK64" s="3">
        <f ca="1">IFERROR(VLOOKUP(Apr_2025_Results62[[#This Row],[Song Title]], $AE$58:$AG$75, 3, FALSE)-Apr_2025_Results62[[#This Row],[Result]], "TBD")</f>
        <v>0</v>
      </c>
      <c r="AL64" s="3" t="str">
        <f t="shared" ca="1" si="21"/>
        <v>-</v>
      </c>
    </row>
    <row r="65" spans="1:38">
      <c r="A65" s="197" t="str">
        <f>_xlfn.CONCAT("Seed ", Apr_2026_SotM[[#This Row],[Top Seed]], " vs ",Apr_2026_SotM[[#This Row],[Low Seed]])</f>
        <v>Seed 1 vs 8</v>
      </c>
      <c r="B65" s="115">
        <v>7</v>
      </c>
      <c r="C65" s="105">
        <f>FLOOR(LOG(Apr_2026_SotM[[#This Row],[Num]], 2), 1)</f>
        <v>2</v>
      </c>
      <c r="D65" s="105">
        <f>2^(Apr_2026_SotM[[#This Row],[Round]]+1)</f>
        <v>8</v>
      </c>
      <c r="E65" s="105">
        <f>Apr_2026_SotM[[#This Row],[Max Seed]]-Apr_2026_SotM[[#This Row],[Num]]</f>
        <v>1</v>
      </c>
      <c r="F65" s="105">
        <f>Apr_2026_SotM[[#This Row],[Max Seed]]-Apr_2026_SotM[[#This Row],[Top Seed]]+1</f>
        <v>8</v>
      </c>
      <c r="G65" s="105" t="b">
        <f>IF(Apr_2026_SotM[[#This Row],[Round]]=$C$57, TRUE(), IF(Apr_2026_SotM[[#This Row],[Round]]=$B$57, Apr_2026_SotM[[#This Row],[Top Seed]]&lt;=2*Apr_2026_SotM[[#This Row],[Max Seed]]-$A$57, FALSE()))</f>
        <v>0</v>
      </c>
      <c r="H65" s="105" t="b">
        <f>IF(Apr_2026_SotM[[#This Row],[Round]]=$C$57, TRUE(), IF(Apr_2026_SotM[[#This Row],[Round]]=$B$57, Apr_2026_SotM[[#This Row],[Low Seed]]&lt;=2*Apr_2026_SotM[[#This Row],[Max Seed]]-$A$57, FALSE()))</f>
        <v>0</v>
      </c>
      <c r="I65" s="28" t="s">
        <v>4191</v>
      </c>
      <c r="J65" s="31"/>
      <c r="K65" s="33" t="s">
        <v>4191</v>
      </c>
      <c r="L65" s="35" t="s">
        <v>4191</v>
      </c>
      <c r="M65" s="37" t="s">
        <v>4191</v>
      </c>
      <c r="N65" s="192" t="str">
        <f ca="1">IF(Apr_2026_SotM[[#This Row],[Num]]&gt;=$A$57, "-", IF(Apr_2026_SotM[[#This Row],[Initial 1]], VLOOKUP(Apr_2026_SotM[[#This Row],[Top Seed]], $Z$58:$AE$75, 6, FALSE), OFFSET(Apr_2026_SotM[[#This Row],[Winner]], Apr_2026_SotM[[#This Row],[Max Seed]], 0)))</f>
        <v>So Easy (To Fall In Love)</v>
      </c>
      <c r="O65" s="105">
        <f>COUNTIF(Apr_2026_SotM[[#This Row],[J]:[H]],"x")</f>
        <v>4</v>
      </c>
      <c r="P65" s="115" t="str">
        <f ca="1">IF(Apr_2026_SotM[[#This Row],[Num]]&gt;=$A$57, "-", IF(Apr_2026_SotM[[#This Row],[Score 1]]&gt;=3, Apr_2026_SotM[[#This Row],[Song 1]], IF(Apr_2026_SotM[[#This Row],[Score 2]]&gt;=3, Apr_2026_SotM[[#This Row],[Song 2]], "TBD")))</f>
        <v>So Easy (To Fall In Love)</v>
      </c>
      <c r="Q65" s="193">
        <f>COUNTIF(Apr_2026_SotM[[#This Row],[H ]:[J ]],"x")</f>
        <v>1</v>
      </c>
      <c r="R65" s="105" t="str">
        <f ca="1"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f>
        <v>Ojitos Lindos</v>
      </c>
      <c r="S65" s="37"/>
      <c r="T65" s="35"/>
      <c r="U65" s="33"/>
      <c r="V65" s="31" t="s">
        <v>4191</v>
      </c>
      <c r="W65" s="28"/>
      <c r="X65" s="112" t="str">
        <f ca="1"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f>
        <v/>
      </c>
      <c r="Z65" s="109">
        <f t="shared" si="20"/>
        <v>7</v>
      </c>
      <c r="AA65" s="59">
        <v>46126</v>
      </c>
      <c r="AB65" t="str">
        <v>loganworsdell</v>
      </c>
      <c r="AC65" s="3">
        <v>2</v>
      </c>
      <c r="AD65">
        <v>0</v>
      </c>
      <c r="AE65" t="str">
        <v>Dive Into Me</v>
      </c>
      <c r="AF65" t="str">
        <v>Alok, Khalid</v>
      </c>
      <c r="AG65" s="100">
        <f t="shared" si="19"/>
        <v>5</v>
      </c>
      <c r="AI65" s="115">
        <f>Apr_2026_SotM[[#This Row],[Max Seed]]/2 + 1</f>
        <v>5</v>
      </c>
      <c r="AJ65" s="105" t="str">
        <f ca="1">IF(Apr_2026_SotM[[#This Row],[Num]]&gt;=$A$57, "-", IF(Apr_2026_SotM[[#This Row],[Score 1]]&gt;=3, Apr_2026_SotM[[#This Row],[Song 2]], IF(Apr_2026_SotM[[#This Row],[Score 2]]&gt;=3, Apr_2026_SotM[[#This Row],[Song 1]], "TBD")))</f>
        <v>Ojitos Lindos</v>
      </c>
      <c r="AK65" s="3">
        <f ca="1">IFERROR(VLOOKUP(Apr_2025_Results62[[#This Row],[Song Title]], $AE$58:$AG$75, 3, FALSE)-Apr_2025_Results62[[#This Row],[Result]], "TBD")</f>
        <v>4</v>
      </c>
      <c r="AL65" s="3" t="str">
        <f t="shared" ca="1" si="21"/>
        <v>↑</v>
      </c>
    </row>
    <row r="66" spans="1:38">
      <c r="A66" s="197" t="str">
        <f>_xlfn.CONCAT("Seed ", Apr_2026_SotM[[#This Row],[Top Seed]], " vs ",Apr_2026_SotM[[#This Row],[Low Seed]])</f>
        <v>Seed 8 vs 9</v>
      </c>
      <c r="B66" s="115">
        <v>8</v>
      </c>
      <c r="C66" s="105">
        <f>FLOOR(LOG(Apr_2026_SotM[[#This Row],[Num]], 2), 1)</f>
        <v>3</v>
      </c>
      <c r="D66" s="105">
        <f>2^(Apr_2026_SotM[[#This Row],[Round]]+1)</f>
        <v>16</v>
      </c>
      <c r="E66" s="105">
        <f>Apr_2026_SotM[[#This Row],[Max Seed]]-Apr_2026_SotM[[#This Row],[Num]]</f>
        <v>8</v>
      </c>
      <c r="F66" s="105">
        <f>Apr_2026_SotM[[#This Row],[Max Seed]]-Apr_2026_SotM[[#This Row],[Top Seed]]+1</f>
        <v>9</v>
      </c>
      <c r="G66" s="105" t="b">
        <f>IF(Apr_2026_SotM[[#This Row],[Round]]=$C$57, TRUE(), IF(Apr_2026_SotM[[#This Row],[Round]]=$B$57, Apr_2026_SotM[[#This Row],[Top Seed]]&lt;=2*Apr_2026_SotM[[#This Row],[Max Seed]]-$A$57, FALSE()))</f>
        <v>1</v>
      </c>
      <c r="H66" s="105" t="b">
        <f>IF(Apr_2026_SotM[[#This Row],[Round]]=$C$57, TRUE(), IF(Apr_2026_SotM[[#This Row],[Round]]=$B$57, Apr_2026_SotM[[#This Row],[Low Seed]]&lt;=2*Apr_2026_SotM[[#This Row],[Max Seed]]-$A$57, FALSE()))</f>
        <v>1</v>
      </c>
      <c r="I66" s="28"/>
      <c r="J66" s="31"/>
      <c r="K66" s="33" t="s">
        <v>4191</v>
      </c>
      <c r="L66" s="35"/>
      <c r="M66" s="37" t="s">
        <v>4191</v>
      </c>
      <c r="N66" s="192" t="str">
        <f ca="1">IF(Apr_2026_SotM[[#This Row],[Num]]&gt;=$A$57, "-", IF(Apr_2026_SotM[[#This Row],[Initial 1]], VLOOKUP(Apr_2026_SotM[[#This Row],[Top Seed]], $Z$58:$AE$75, 6, FALSE), OFFSET(Apr_2026_SotM[[#This Row],[Winner]], Apr_2026_SotM[[#This Row],[Max Seed]], 0)))</f>
        <v>Aggression from Saturn</v>
      </c>
      <c r="O66" s="105">
        <f>COUNTIF(Apr_2026_SotM[[#This Row],[J]:[H]],"x")</f>
        <v>2</v>
      </c>
      <c r="P66" s="115" t="str">
        <f ca="1">IF(Apr_2026_SotM[[#This Row],[Num]]&gt;=$A$57, "-", IF(Apr_2026_SotM[[#This Row],[Score 1]]&gt;=3, Apr_2026_SotM[[#This Row],[Song 1]], IF(Apr_2026_SotM[[#This Row],[Score 2]]&gt;=3, Apr_2026_SotM[[#This Row],[Song 2]], "TBD")))</f>
        <v>Ojitos Lindos</v>
      </c>
      <c r="Q66" s="193">
        <f>COUNTIF(Apr_2026_SotM[[#This Row],[H ]:[J ]],"x")</f>
        <v>3</v>
      </c>
      <c r="R66" s="105" t="str">
        <f ca="1"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f>
        <v>Ojitos Lindos</v>
      </c>
      <c r="S66" s="37"/>
      <c r="T66" s="35" t="s">
        <v>4191</v>
      </c>
      <c r="U66" s="33"/>
      <c r="V66" s="31" t="s">
        <v>4191</v>
      </c>
      <c r="W66" s="28" t="s">
        <v>4191</v>
      </c>
      <c r="X66" s="112" t="str">
        <f ca="1"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f>
        <v/>
      </c>
      <c r="Z66" s="109">
        <f t="shared" si="20"/>
        <v>15</v>
      </c>
      <c r="AA66" s="59">
        <v>46127</v>
      </c>
      <c r="AB66" t="str">
        <v>loganworsdell</v>
      </c>
      <c r="AC66" s="3">
        <v>2.4</v>
      </c>
      <c r="AD66">
        <v>1.2</v>
      </c>
      <c r="AE66" t="str">
        <v>Krillin's Fumble</v>
      </c>
      <c r="AF66" t="str">
        <v>Tory Lanez</v>
      </c>
      <c r="AG66" s="100">
        <f t="shared" si="19"/>
        <v>9</v>
      </c>
      <c r="AI66" s="115">
        <f>Apr_2026_SotM[[#This Row],[Max Seed]]/2 + 1</f>
        <v>9</v>
      </c>
      <c r="AJ66" s="105" t="str">
        <f ca="1">IF(Apr_2026_SotM[[#This Row],[Num]]&gt;=$A$57, "-", IF(Apr_2026_SotM[[#This Row],[Score 1]]&gt;=3, Apr_2026_SotM[[#This Row],[Song 2]], IF(Apr_2026_SotM[[#This Row],[Score 2]]&gt;=3, Apr_2026_SotM[[#This Row],[Song 1]], "TBD")))</f>
        <v>Aggression from Saturn</v>
      </c>
      <c r="AK66" s="3">
        <f ca="1">IFERROR(VLOOKUP(Apr_2025_Results62[[#This Row],[Song Title]], $AE$58:$AG$75, 3, FALSE)-Apr_2025_Results62[[#This Row],[Result]], "TBD")</f>
        <v>-4</v>
      </c>
      <c r="AL66" s="3" t="str">
        <f t="shared" ca="1" si="21"/>
        <v>↓</v>
      </c>
    </row>
    <row r="67" spans="1:38">
      <c r="A67" s="197" t="str">
        <f>_xlfn.CONCAT("Seed ", Apr_2026_SotM[[#This Row],[Top Seed]], " vs ",Apr_2026_SotM[[#This Row],[Low Seed]])</f>
        <v>Seed 7 vs 10</v>
      </c>
      <c r="B67" s="115">
        <v>9</v>
      </c>
      <c r="C67" s="105">
        <f>FLOOR(LOG(Apr_2026_SotM[[#This Row],[Num]], 2), 1)</f>
        <v>3</v>
      </c>
      <c r="D67" s="105">
        <f>2^(Apr_2026_SotM[[#This Row],[Round]]+1)</f>
        <v>16</v>
      </c>
      <c r="E67" s="105">
        <f>Apr_2026_SotM[[#This Row],[Max Seed]]-Apr_2026_SotM[[#This Row],[Num]]</f>
        <v>7</v>
      </c>
      <c r="F67" s="105">
        <f>Apr_2026_SotM[[#This Row],[Max Seed]]-Apr_2026_SotM[[#This Row],[Top Seed]]+1</f>
        <v>10</v>
      </c>
      <c r="G67" s="105" t="b">
        <f>IF(Apr_2026_SotM[[#This Row],[Round]]=$C$57, TRUE(), IF(Apr_2026_SotM[[#This Row],[Round]]=$B$57, Apr_2026_SotM[[#This Row],[Top Seed]]&lt;=2*Apr_2026_SotM[[#This Row],[Max Seed]]-$A$57, FALSE()))</f>
        <v>1</v>
      </c>
      <c r="H67" s="105" t="b">
        <f>IF(Apr_2026_SotM[[#This Row],[Round]]=$C$57, TRUE(), IF(Apr_2026_SotM[[#This Row],[Round]]=$B$57, Apr_2026_SotM[[#This Row],[Low Seed]]&lt;=2*Apr_2026_SotM[[#This Row],[Max Seed]]-$A$57, FALSE()))</f>
        <v>1</v>
      </c>
      <c r="I67" s="28"/>
      <c r="J67" s="31"/>
      <c r="K67" s="33" t="s">
        <v>4191</v>
      </c>
      <c r="L67" s="35" t="s">
        <v>4191</v>
      </c>
      <c r="M67" s="37" t="s">
        <v>4191</v>
      </c>
      <c r="N67" s="192" t="str">
        <f ca="1">IF(Apr_2026_SotM[[#This Row],[Num]]&gt;=$A$57, "-", IF(Apr_2026_SotM[[#This Row],[Initial 1]], VLOOKUP(Apr_2026_SotM[[#This Row],[Top Seed]], $Z$58:$AE$75, 6, FALSE), OFFSET(Apr_2026_SotM[[#This Row],[Winner]], Apr_2026_SotM[[#This Row],[Max Seed]], 0)))</f>
        <v>Dive Into Me</v>
      </c>
      <c r="O67" s="105">
        <f>COUNTIF(Apr_2026_SotM[[#This Row],[J]:[H]],"x")</f>
        <v>3</v>
      </c>
      <c r="P67" s="115" t="str">
        <f ca="1">IF(Apr_2026_SotM[[#This Row],[Num]]&gt;=$A$57, "-", IF(Apr_2026_SotM[[#This Row],[Score 1]]&gt;=3, Apr_2026_SotM[[#This Row],[Song 1]], IF(Apr_2026_SotM[[#This Row],[Score 2]]&gt;=3, Apr_2026_SotM[[#This Row],[Song 2]], "TBD")))</f>
        <v>Dive Into Me</v>
      </c>
      <c r="Q67" s="193">
        <f>COUNTIF(Apr_2026_SotM[[#This Row],[H ]:[J ]],"x")</f>
        <v>2</v>
      </c>
      <c r="R67" s="105" t="str">
        <f ca="1"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f>
        <v>Layaway Luv</v>
      </c>
      <c r="S67" s="37"/>
      <c r="T67" s="35"/>
      <c r="U67" s="33"/>
      <c r="V67" s="31" t="s">
        <v>4191</v>
      </c>
      <c r="W67" s="28" t="s">
        <v>4191</v>
      </c>
      <c r="X67" s="112" t="str">
        <f ca="1"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f>
        <v/>
      </c>
      <c r="Z67" s="109">
        <f t="shared" si="20"/>
        <v>4</v>
      </c>
      <c r="AA67" s="59">
        <v>46128</v>
      </c>
      <c r="AB67" t="str">
        <v>danram</v>
      </c>
      <c r="AC67" s="3">
        <v>1.8</v>
      </c>
      <c r="AD67">
        <v>0.74833147735478833</v>
      </c>
      <c r="AE67" t="str">
        <v>TRANKAITO</v>
      </c>
      <c r="AF67" t="str">
        <v>Feid</v>
      </c>
      <c r="AG67" s="100">
        <f t="shared" si="19"/>
        <v>3</v>
      </c>
      <c r="AI67" s="115">
        <f>Apr_2026_SotM[[#This Row],[Max Seed]]/2 + 1</f>
        <v>9</v>
      </c>
      <c r="AJ67" s="105" t="str">
        <f ca="1">IF(Apr_2026_SotM[[#This Row],[Num]]&gt;=$A$57, "-", IF(Apr_2026_SotM[[#This Row],[Score 1]]&gt;=3, Apr_2026_SotM[[#This Row],[Song 2]], IF(Apr_2026_SotM[[#This Row],[Score 2]]&gt;=3, Apr_2026_SotM[[#This Row],[Song 1]], "TBD")))</f>
        <v>Layaway Luv</v>
      </c>
      <c r="AK67" s="3">
        <f ca="1">IFERROR(VLOOKUP(Apr_2025_Results62[[#This Row],[Song Title]], $AE$58:$AG$75, 3, FALSE)-Apr_2025_Results62[[#This Row],[Result]], "TBD")</f>
        <v>0</v>
      </c>
      <c r="AL67" s="3" t="str">
        <f t="shared" ca="1" si="21"/>
        <v>-</v>
      </c>
    </row>
    <row r="68" spans="1:38">
      <c r="A68" s="197" t="str">
        <f>_xlfn.CONCAT("Seed ", Apr_2026_SotM[[#This Row],[Top Seed]], " vs ",Apr_2026_SotM[[#This Row],[Low Seed]])</f>
        <v>Seed 6 vs 11</v>
      </c>
      <c r="B68" s="115">
        <v>10</v>
      </c>
      <c r="C68" s="105">
        <f>FLOOR(LOG(Apr_2026_SotM[[#This Row],[Num]], 2), 1)</f>
        <v>3</v>
      </c>
      <c r="D68" s="105">
        <f>2^(Apr_2026_SotM[[#This Row],[Round]]+1)</f>
        <v>16</v>
      </c>
      <c r="E68" s="105">
        <f>Apr_2026_SotM[[#This Row],[Max Seed]]-Apr_2026_SotM[[#This Row],[Num]]</f>
        <v>6</v>
      </c>
      <c r="F68" s="105">
        <f>Apr_2026_SotM[[#This Row],[Max Seed]]-Apr_2026_SotM[[#This Row],[Top Seed]]+1</f>
        <v>11</v>
      </c>
      <c r="G68" s="105" t="b">
        <f>IF(Apr_2026_SotM[[#This Row],[Round]]=$C$57, TRUE(), IF(Apr_2026_SotM[[#This Row],[Round]]=$B$57, Apr_2026_SotM[[#This Row],[Top Seed]]&lt;=2*Apr_2026_SotM[[#This Row],[Max Seed]]-$A$57, FALSE()))</f>
        <v>1</v>
      </c>
      <c r="H68" s="105" t="b">
        <f>IF(Apr_2026_SotM[[#This Row],[Round]]=$C$57, TRUE(), IF(Apr_2026_SotM[[#This Row],[Round]]=$B$57, Apr_2026_SotM[[#This Row],[Low Seed]]&lt;=2*Apr_2026_SotM[[#This Row],[Max Seed]]-$A$57, FALSE()))</f>
        <v>1</v>
      </c>
      <c r="I68" s="28"/>
      <c r="J68" s="31"/>
      <c r="K68" s="33"/>
      <c r="L68" s="35"/>
      <c r="M68" s="37"/>
      <c r="N68" s="192" t="str">
        <f ca="1">IF(Apr_2026_SotM[[#This Row],[Num]]&gt;=$A$57, "-", IF(Apr_2026_SotM[[#This Row],[Initial 1]], VLOOKUP(Apr_2026_SotM[[#This Row],[Top Seed]], $Z$58:$AE$75, 6, FALSE), OFFSET(Apr_2026_SotM[[#This Row],[Winner]], Apr_2026_SotM[[#This Row],[Max Seed]], 0)))</f>
        <v>Drifting</v>
      </c>
      <c r="O68" s="105">
        <f>COUNTIF(Apr_2026_SotM[[#This Row],[J]:[H]],"x")</f>
        <v>0</v>
      </c>
      <c r="P68" s="115" t="str">
        <f ca="1">IF(Apr_2026_SotM[[#This Row],[Num]]&gt;=$A$57, "-", IF(Apr_2026_SotM[[#This Row],[Score 1]]&gt;=3, Apr_2026_SotM[[#This Row],[Song 1]], IF(Apr_2026_SotM[[#This Row],[Score 2]]&gt;=3, Apr_2026_SotM[[#This Row],[Song 2]], "TBD")))</f>
        <v>Rift</v>
      </c>
      <c r="Q68" s="193">
        <f>COUNTIF(Apr_2026_SotM[[#This Row],[H ]:[J ]],"x")</f>
        <v>5</v>
      </c>
      <c r="R68" s="105" t="str">
        <f ca="1"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f>
        <v>Rift</v>
      </c>
      <c r="S68" s="37" t="s">
        <v>4191</v>
      </c>
      <c r="T68" s="35" t="s">
        <v>4191</v>
      </c>
      <c r="U68" s="33" t="s">
        <v>4191</v>
      </c>
      <c r="V68" s="31" t="s">
        <v>4191</v>
      </c>
      <c r="W68" s="28" t="s">
        <v>4191</v>
      </c>
      <c r="X68" s="112" t="str">
        <f ca="1"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f>
        <v/>
      </c>
      <c r="Z68" s="109">
        <f t="shared" si="20"/>
        <v>11</v>
      </c>
      <c r="AA68" s="59">
        <v>46132</v>
      </c>
      <c r="AB68" t="str">
        <v>loganworsdell</v>
      </c>
      <c r="AC68" s="3">
        <v>2.2000000000000002</v>
      </c>
      <c r="AD68">
        <v>1.1661903789690602</v>
      </c>
      <c r="AE68" t="str">
        <v>Rift</v>
      </c>
      <c r="AF68" t="str">
        <v>Good Kid</v>
      </c>
      <c r="AG68" s="100">
        <f t="shared" si="19"/>
        <v>9</v>
      </c>
      <c r="AI68" s="115">
        <f>Apr_2026_SotM[[#This Row],[Max Seed]]/2 + 1</f>
        <v>9</v>
      </c>
      <c r="AJ68" s="105" t="str">
        <f ca="1">IF(Apr_2026_SotM[[#This Row],[Num]]&gt;=$A$57, "-", IF(Apr_2026_SotM[[#This Row],[Score 1]]&gt;=3, Apr_2026_SotM[[#This Row],[Song 2]], IF(Apr_2026_SotM[[#This Row],[Score 2]]&gt;=3, Apr_2026_SotM[[#This Row],[Song 1]], "TBD")))</f>
        <v>Drifting</v>
      </c>
      <c r="AK68" s="3">
        <f ca="1">IFERROR(VLOOKUP(Apr_2025_Results62[[#This Row],[Song Title]], $AE$58:$AG$75, 3, FALSE)-Apr_2025_Results62[[#This Row],[Result]], "TBD")</f>
        <v>-4</v>
      </c>
      <c r="AL68" s="3" t="str">
        <f t="shared" ca="1" si="21"/>
        <v>↓</v>
      </c>
    </row>
    <row r="69" spans="1:38">
      <c r="A69" s="197" t="str">
        <f>_xlfn.CONCAT("Seed ", Apr_2026_SotM[[#This Row],[Top Seed]], " vs ",Apr_2026_SotM[[#This Row],[Low Seed]])</f>
        <v>Seed 5 vs 12</v>
      </c>
      <c r="B69" s="115">
        <v>11</v>
      </c>
      <c r="C69" s="105">
        <f>FLOOR(LOG(Apr_2026_SotM[[#This Row],[Num]], 2), 1)</f>
        <v>3</v>
      </c>
      <c r="D69" s="105">
        <f>2^(Apr_2026_SotM[[#This Row],[Round]]+1)</f>
        <v>16</v>
      </c>
      <c r="E69" s="105">
        <f>Apr_2026_SotM[[#This Row],[Max Seed]]-Apr_2026_SotM[[#This Row],[Num]]</f>
        <v>5</v>
      </c>
      <c r="F69" s="105">
        <f>Apr_2026_SotM[[#This Row],[Max Seed]]-Apr_2026_SotM[[#This Row],[Top Seed]]+1</f>
        <v>12</v>
      </c>
      <c r="G69" s="105" t="b">
        <f>IF(Apr_2026_SotM[[#This Row],[Round]]=$C$57, TRUE(), IF(Apr_2026_SotM[[#This Row],[Round]]=$B$57, Apr_2026_SotM[[#This Row],[Top Seed]]&lt;=2*Apr_2026_SotM[[#This Row],[Max Seed]]-$A$57, FALSE()))</f>
        <v>1</v>
      </c>
      <c r="H69" s="105" t="b">
        <f>IF(Apr_2026_SotM[[#This Row],[Round]]=$C$57, TRUE(), IF(Apr_2026_SotM[[#This Row],[Round]]=$B$57, Apr_2026_SotM[[#This Row],[Low Seed]]&lt;=2*Apr_2026_SotM[[#This Row],[Max Seed]]-$A$57, FALSE()))</f>
        <v>1</v>
      </c>
      <c r="I69" s="28"/>
      <c r="J69" s="31"/>
      <c r="K69" s="33"/>
      <c r="L69" s="35" t="s">
        <v>4191</v>
      </c>
      <c r="M69" s="37"/>
      <c r="N69" s="192" t="str">
        <f ca="1">IF(Apr_2026_SotM[[#This Row],[Num]]&gt;=$A$57, "-", IF(Apr_2026_SotM[[#This Row],[Initial 1]], VLOOKUP(Apr_2026_SotM[[#This Row],[Top Seed]], $Z$58:$AE$75, 6, FALSE), OFFSET(Apr_2026_SotM[[#This Row],[Winner]], Apr_2026_SotM[[#This Row],[Max Seed]], 0)))</f>
        <v>GESHUOU</v>
      </c>
      <c r="O69" s="105">
        <f>COUNTIF(Apr_2026_SotM[[#This Row],[J]:[H]],"x")</f>
        <v>1</v>
      </c>
      <c r="P69" s="115" t="str">
        <f ca="1">IF(Apr_2026_SotM[[#This Row],[Num]]&gt;=$A$57, "-", IF(Apr_2026_SotM[[#This Row],[Score 1]]&gt;=3, Apr_2026_SotM[[#This Row],[Song 1]], IF(Apr_2026_SotM[[#This Row],[Score 2]]&gt;=3, Apr_2026_SotM[[#This Row],[Song 2]], "TBD")))</f>
        <v>TOP NOTCH</v>
      </c>
      <c r="Q69" s="193">
        <f>COUNTIF(Apr_2026_SotM[[#This Row],[H ]:[J ]],"x")</f>
        <v>4</v>
      </c>
      <c r="R69" s="105" t="str">
        <f ca="1"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f>
        <v>TOP NOTCH</v>
      </c>
      <c r="S69" s="37" t="s">
        <v>4191</v>
      </c>
      <c r="T69" s="35"/>
      <c r="U69" s="33" t="s">
        <v>4191</v>
      </c>
      <c r="V69" s="31" t="s">
        <v>4191</v>
      </c>
      <c r="W69" s="28" t="s">
        <v>4191</v>
      </c>
      <c r="X69" s="112" t="str">
        <f ca="1"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f>
        <v/>
      </c>
      <c r="Z69" s="109">
        <f t="shared" si="20"/>
        <v>5</v>
      </c>
      <c r="AA69" s="59">
        <v>46133</v>
      </c>
      <c r="AB69" t="str">
        <v>loganworsdell</v>
      </c>
      <c r="AC69" s="3">
        <v>1.8</v>
      </c>
      <c r="AD69">
        <v>0.74833147735478833</v>
      </c>
      <c r="AE69" t="str">
        <v>GESHUOU</v>
      </c>
      <c r="AF69" t="str">
        <v>INOHA</v>
      </c>
      <c r="AG69" s="100">
        <f t="shared" si="19"/>
        <v>5</v>
      </c>
      <c r="AI69" s="115">
        <f>Apr_2026_SotM[[#This Row],[Max Seed]]/2 + 1</f>
        <v>9</v>
      </c>
      <c r="AJ69" s="105" t="str">
        <f ca="1">IF(Apr_2026_SotM[[#This Row],[Num]]&gt;=$A$57, "-", IF(Apr_2026_SotM[[#This Row],[Score 1]]&gt;=3, Apr_2026_SotM[[#This Row],[Song 2]], IF(Apr_2026_SotM[[#This Row],[Score 2]]&gt;=3, Apr_2026_SotM[[#This Row],[Song 1]], "TBD")))</f>
        <v>GESHUOU</v>
      </c>
      <c r="AK69" s="3">
        <f ca="1">IFERROR(VLOOKUP(Apr_2025_Results62[[#This Row],[Song Title]], $AE$58:$AG$75, 3, FALSE)-Apr_2025_Results62[[#This Row],[Result]], "TBD")</f>
        <v>-4</v>
      </c>
      <c r="AL69" s="3" t="str">
        <f t="shared" ca="1" si="21"/>
        <v>↓</v>
      </c>
    </row>
    <row r="70" spans="1:38">
      <c r="A70" s="197" t="str">
        <f>_xlfn.CONCAT("Seed ", Apr_2026_SotM[[#This Row],[Top Seed]], " vs ",Apr_2026_SotM[[#This Row],[Low Seed]])</f>
        <v>Seed 4 vs 13</v>
      </c>
      <c r="B70" s="115">
        <v>12</v>
      </c>
      <c r="C70" s="105">
        <f>FLOOR(LOG(Apr_2026_SotM[[#This Row],[Num]], 2), 1)</f>
        <v>3</v>
      </c>
      <c r="D70" s="105">
        <f>2^(Apr_2026_SotM[[#This Row],[Round]]+1)</f>
        <v>16</v>
      </c>
      <c r="E70" s="105">
        <f>Apr_2026_SotM[[#This Row],[Max Seed]]-Apr_2026_SotM[[#This Row],[Num]]</f>
        <v>4</v>
      </c>
      <c r="F70" s="105">
        <f>Apr_2026_SotM[[#This Row],[Max Seed]]-Apr_2026_SotM[[#This Row],[Top Seed]]+1</f>
        <v>13</v>
      </c>
      <c r="G70" s="105" t="b">
        <f>IF(Apr_2026_SotM[[#This Row],[Round]]=$C$57, TRUE(), IF(Apr_2026_SotM[[#This Row],[Round]]=$B$57, Apr_2026_SotM[[#This Row],[Top Seed]]&lt;=2*Apr_2026_SotM[[#This Row],[Max Seed]]-$A$57, FALSE()))</f>
        <v>1</v>
      </c>
      <c r="H70" s="105" t="b">
        <f>IF(Apr_2026_SotM[[#This Row],[Round]]=$C$57, TRUE(), IF(Apr_2026_SotM[[#This Row],[Round]]=$B$57, Apr_2026_SotM[[#This Row],[Low Seed]]&lt;=2*Apr_2026_SotM[[#This Row],[Max Seed]]-$A$57, FALSE()))</f>
        <v>1</v>
      </c>
      <c r="I70" s="28"/>
      <c r="J70" s="31" t="s">
        <v>4191</v>
      </c>
      <c r="K70" s="33" t="s">
        <v>4191</v>
      </c>
      <c r="L70" s="35"/>
      <c r="M70" s="37" t="s">
        <v>4191</v>
      </c>
      <c r="N70" s="192" t="str">
        <f ca="1">IF(Apr_2026_SotM[[#This Row],[Num]]&gt;=$A$57, "-", IF(Apr_2026_SotM[[#This Row],[Initial 1]], VLOOKUP(Apr_2026_SotM[[#This Row],[Top Seed]], $Z$58:$AE$75, 6, FALSE), OFFSET(Apr_2026_SotM[[#This Row],[Winner]], Apr_2026_SotM[[#This Row],[Max Seed]], 0)))</f>
        <v>TRANKAITO</v>
      </c>
      <c r="O70" s="105">
        <f>COUNTIF(Apr_2026_SotM[[#This Row],[J]:[H]],"x")</f>
        <v>3</v>
      </c>
      <c r="P70" s="115" t="str">
        <f ca="1">IF(Apr_2026_SotM[[#This Row],[Num]]&gt;=$A$57, "-", IF(Apr_2026_SotM[[#This Row],[Score 1]]&gt;=3, Apr_2026_SotM[[#This Row],[Song 1]], IF(Apr_2026_SotM[[#This Row],[Score 2]]&gt;=3, Apr_2026_SotM[[#This Row],[Song 2]], "TBD")))</f>
        <v>TRANKAITO</v>
      </c>
      <c r="Q70" s="193">
        <f>COUNTIF(Apr_2026_SotM[[#This Row],[H ]:[J ]],"x")</f>
        <v>2</v>
      </c>
      <c r="R70" s="105" t="str">
        <f ca="1"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f>
        <v>Playing God</v>
      </c>
      <c r="S70" s="37"/>
      <c r="T70" s="35" t="s">
        <v>4191</v>
      </c>
      <c r="U70" s="33"/>
      <c r="V70" s="31"/>
      <c r="W70" s="28" t="s">
        <v>4191</v>
      </c>
      <c r="X70" s="112" t="str">
        <f ca="1"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f>
        <v/>
      </c>
      <c r="Z70" s="109">
        <f t="shared" si="20"/>
        <v>3</v>
      </c>
      <c r="AA70" s="59">
        <v>46134</v>
      </c>
      <c r="AB70" t="str">
        <v>currydestroyer27</v>
      </c>
      <c r="AC70" s="3">
        <v>1.8</v>
      </c>
      <c r="AD70">
        <v>0.4</v>
      </c>
      <c r="AE70" t="str">
        <v>CATCH</v>
      </c>
      <c r="AF70" t="str">
        <v>THREEE</v>
      </c>
      <c r="AG70" s="100">
        <f t="shared" si="19"/>
        <v>3</v>
      </c>
      <c r="AI70" s="115">
        <f>Apr_2026_SotM[[#This Row],[Max Seed]]/2 + 1</f>
        <v>9</v>
      </c>
      <c r="AJ70" s="105" t="str">
        <f ca="1">IF(Apr_2026_SotM[[#This Row],[Num]]&gt;=$A$57, "-", IF(Apr_2026_SotM[[#This Row],[Score 1]]&gt;=3, Apr_2026_SotM[[#This Row],[Song 2]], IF(Apr_2026_SotM[[#This Row],[Score 2]]&gt;=3, Apr_2026_SotM[[#This Row],[Song 1]], "TBD")))</f>
        <v>Playing God</v>
      </c>
      <c r="AK70" s="3">
        <f ca="1">IFERROR(VLOOKUP(Apr_2025_Results62[[#This Row],[Song Title]], $AE$58:$AG$75, 3, FALSE)-Apr_2025_Results62[[#This Row],[Result]], "TBD")</f>
        <v>0</v>
      </c>
      <c r="AL70" s="3" t="str">
        <f t="shared" ca="1" si="21"/>
        <v>-</v>
      </c>
    </row>
    <row r="71" spans="1:38">
      <c r="A71" s="197" t="str">
        <f>_xlfn.CONCAT("Seed ", Apr_2026_SotM[[#This Row],[Top Seed]], " vs ",Apr_2026_SotM[[#This Row],[Low Seed]])</f>
        <v>Seed 3 vs 14</v>
      </c>
      <c r="B71" s="115">
        <v>13</v>
      </c>
      <c r="C71" s="105">
        <f>FLOOR(LOG(Apr_2026_SotM[[#This Row],[Num]], 2), 1)</f>
        <v>3</v>
      </c>
      <c r="D71" s="105">
        <f>2^(Apr_2026_SotM[[#This Row],[Round]]+1)</f>
        <v>16</v>
      </c>
      <c r="E71" s="105">
        <f>Apr_2026_SotM[[#This Row],[Max Seed]]-Apr_2026_SotM[[#This Row],[Num]]</f>
        <v>3</v>
      </c>
      <c r="F71" s="105">
        <f>Apr_2026_SotM[[#This Row],[Max Seed]]-Apr_2026_SotM[[#This Row],[Top Seed]]+1</f>
        <v>14</v>
      </c>
      <c r="G71" s="105" t="b">
        <f>IF(Apr_2026_SotM[[#This Row],[Round]]=$C$57, TRUE(), IF(Apr_2026_SotM[[#This Row],[Round]]=$B$57, Apr_2026_SotM[[#This Row],[Top Seed]]&lt;=2*Apr_2026_SotM[[#This Row],[Max Seed]]-$A$57, FALSE()))</f>
        <v>1</v>
      </c>
      <c r="H71" s="105" t="b">
        <f>IF(Apr_2026_SotM[[#This Row],[Round]]=$C$57, TRUE(), IF(Apr_2026_SotM[[#This Row],[Round]]=$B$57, Apr_2026_SotM[[#This Row],[Low Seed]]&lt;=2*Apr_2026_SotM[[#This Row],[Max Seed]]-$A$57, FALSE()))</f>
        <v>1</v>
      </c>
      <c r="I71" s="28"/>
      <c r="J71" s="31"/>
      <c r="K71" s="33"/>
      <c r="L71" s="35"/>
      <c r="M71" s="37" t="s">
        <v>4191</v>
      </c>
      <c r="N71" s="192" t="str">
        <f ca="1">IF(Apr_2026_SotM[[#This Row],[Num]]&gt;=$A$57, "-", IF(Apr_2026_SotM[[#This Row],[Initial 1]], VLOOKUP(Apr_2026_SotM[[#This Row],[Top Seed]], $Z$58:$AE$75, 6, FALSE), OFFSET(Apr_2026_SotM[[#This Row],[Winner]], Apr_2026_SotM[[#This Row],[Max Seed]], 0)))</f>
        <v>CATCH</v>
      </c>
      <c r="O71" s="105">
        <f>COUNTIF(Apr_2026_SotM[[#This Row],[J]:[H]],"x")</f>
        <v>1</v>
      </c>
      <c r="P71" s="115" t="str">
        <f ca="1">IF(Apr_2026_SotM[[#This Row],[Num]]&gt;=$A$57, "-", IF(Apr_2026_SotM[[#This Row],[Score 1]]&gt;=3, Apr_2026_SotM[[#This Row],[Song 1]], IF(Apr_2026_SotM[[#This Row],[Score 2]]&gt;=3, Apr_2026_SotM[[#This Row],[Song 2]], "TBD")))</f>
        <v>Hey Ya!</v>
      </c>
      <c r="Q71" s="193">
        <f>COUNTIF(Apr_2026_SotM[[#This Row],[H ]:[J ]],"x")</f>
        <v>4</v>
      </c>
      <c r="R71" s="105" t="str">
        <f ca="1"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f>
        <v>Hey Ya!</v>
      </c>
      <c r="S71" s="37"/>
      <c r="T71" s="35" t="s">
        <v>4191</v>
      </c>
      <c r="U71" s="33" t="s">
        <v>4191</v>
      </c>
      <c r="V71" s="31" t="s">
        <v>4191</v>
      </c>
      <c r="W71" s="28" t="s">
        <v>4191</v>
      </c>
      <c r="X71" s="112" t="str">
        <f ca="1"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f>
        <v/>
      </c>
      <c r="Z71" s="109">
        <f t="shared" si="20"/>
        <v>2</v>
      </c>
      <c r="AA71" s="59">
        <v>46135</v>
      </c>
      <c r="AB71" t="str">
        <v>samuelbattista</v>
      </c>
      <c r="AC71" s="3">
        <v>1.6</v>
      </c>
      <c r="AD71">
        <v>0.8</v>
      </c>
      <c r="AE71" t="str">
        <v>Brighter</v>
      </c>
      <c r="AF71" t="str">
        <v>Paramore</v>
      </c>
      <c r="AG71" s="100">
        <f t="shared" si="19"/>
        <v>2</v>
      </c>
      <c r="AI71" s="115">
        <f>Apr_2026_SotM[[#This Row],[Max Seed]]/2 + 1</f>
        <v>9</v>
      </c>
      <c r="AJ71" s="105" t="str">
        <f ca="1">IF(Apr_2026_SotM[[#This Row],[Num]]&gt;=$A$57, "-", IF(Apr_2026_SotM[[#This Row],[Score 1]]&gt;=3, Apr_2026_SotM[[#This Row],[Song 2]], IF(Apr_2026_SotM[[#This Row],[Score 2]]&gt;=3, Apr_2026_SotM[[#This Row],[Song 1]], "TBD")))</f>
        <v>CATCH</v>
      </c>
      <c r="AK71" s="3">
        <f ca="1">IFERROR(VLOOKUP(Apr_2025_Results62[[#This Row],[Song Title]], $AE$58:$AG$75, 3, FALSE)-Apr_2025_Results62[[#This Row],[Result]], "TBD")</f>
        <v>-6</v>
      </c>
      <c r="AL71" s="3" t="str">
        <f t="shared" ca="1" si="21"/>
        <v>↓</v>
      </c>
    </row>
    <row r="72" spans="1:38">
      <c r="A72" s="197" t="str">
        <f>_xlfn.CONCAT("Seed ", Apr_2026_SotM[[#This Row],[Top Seed]], " vs ",Apr_2026_SotM[[#This Row],[Low Seed]])</f>
        <v>Seed 2 vs 15</v>
      </c>
      <c r="B72" s="115">
        <v>14</v>
      </c>
      <c r="C72" s="105">
        <f>FLOOR(LOG(Apr_2026_SotM[[#This Row],[Num]], 2), 1)</f>
        <v>3</v>
      </c>
      <c r="D72" s="105">
        <f>2^(Apr_2026_SotM[[#This Row],[Round]]+1)</f>
        <v>16</v>
      </c>
      <c r="E72" s="105">
        <f>Apr_2026_SotM[[#This Row],[Max Seed]]-Apr_2026_SotM[[#This Row],[Num]]</f>
        <v>2</v>
      </c>
      <c r="F72" s="105">
        <f>Apr_2026_SotM[[#This Row],[Max Seed]]-Apr_2026_SotM[[#This Row],[Top Seed]]+1</f>
        <v>15</v>
      </c>
      <c r="G72" s="105" t="b">
        <f>IF(Apr_2026_SotM[[#This Row],[Round]]=$C$57, TRUE(), IF(Apr_2026_SotM[[#This Row],[Round]]=$B$57, Apr_2026_SotM[[#This Row],[Top Seed]]&lt;=2*Apr_2026_SotM[[#This Row],[Max Seed]]-$A$57, FALSE()))</f>
        <v>1</v>
      </c>
      <c r="H72" s="105" t="b">
        <f>IF(Apr_2026_SotM[[#This Row],[Round]]=$C$57, TRUE(), IF(Apr_2026_SotM[[#This Row],[Round]]=$B$57, Apr_2026_SotM[[#This Row],[Low Seed]]&lt;=2*Apr_2026_SotM[[#This Row],[Max Seed]]-$A$57, FALSE()))</f>
        <v>0</v>
      </c>
      <c r="I72" s="28"/>
      <c r="J72" s="31"/>
      <c r="K72" s="33"/>
      <c r="L72" s="35" t="s">
        <v>4191</v>
      </c>
      <c r="M72" s="37"/>
      <c r="N72" s="192" t="str">
        <f ca="1">IF(Apr_2026_SotM[[#This Row],[Num]]&gt;=$A$57, "-", IF(Apr_2026_SotM[[#This Row],[Initial 1]], VLOOKUP(Apr_2026_SotM[[#This Row],[Top Seed]], $Z$58:$AE$75, 6, FALSE), OFFSET(Apr_2026_SotM[[#This Row],[Winner]], Apr_2026_SotM[[#This Row],[Max Seed]], 0)))</f>
        <v>Brighter</v>
      </c>
      <c r="O72" s="105">
        <f>COUNTIF(Apr_2026_SotM[[#This Row],[J]:[H]],"x")</f>
        <v>1</v>
      </c>
      <c r="P72" s="115" t="str">
        <f ca="1">IF(Apr_2026_SotM[[#This Row],[Num]]&gt;=$A$57, "-", IF(Apr_2026_SotM[[#This Row],[Score 1]]&gt;=3, Apr_2026_SotM[[#This Row],[Song 1]], IF(Apr_2026_SotM[[#This Row],[Score 2]]&gt;=3, Apr_2026_SotM[[#This Row],[Song 2]], "TBD")))</f>
        <v>Krillin's Fumble</v>
      </c>
      <c r="Q72" s="193">
        <f>COUNTIF(Apr_2026_SotM[[#This Row],[H ]:[J ]],"x")</f>
        <v>4</v>
      </c>
      <c r="R72" s="105" t="str">
        <f ca="1"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f>
        <v>Krillin's Fumble</v>
      </c>
      <c r="S72" s="37" t="s">
        <v>4191</v>
      </c>
      <c r="T72" s="35"/>
      <c r="U72" s="33" t="s">
        <v>4191</v>
      </c>
      <c r="V72" s="31" t="s">
        <v>4191</v>
      </c>
      <c r="W72" s="28" t="s">
        <v>4191</v>
      </c>
      <c r="X72" s="112" t="str">
        <f ca="1"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f>
        <v/>
      </c>
      <c r="Z72" s="109">
        <f t="shared" si="20"/>
        <v>16</v>
      </c>
      <c r="AA72" s="59">
        <v>46139</v>
      </c>
      <c r="AB72" t="str">
        <v>loganworsdell</v>
      </c>
      <c r="AC72" s="3">
        <v>2.4</v>
      </c>
      <c r="AD72">
        <v>1.3564659966250536</v>
      </c>
      <c r="AE72" t="str">
        <v>LOVE ON ME</v>
      </c>
      <c r="AF72" t="str">
        <v>Sam Gellaitry</v>
      </c>
      <c r="AG72" s="100">
        <f t="shared" si="19"/>
        <v>9</v>
      </c>
      <c r="AI72" s="115">
        <f>Apr_2026_SotM[[#This Row],[Max Seed]]/2 + 1</f>
        <v>9</v>
      </c>
      <c r="AJ72" s="105" t="str">
        <f ca="1">IF(Apr_2026_SotM[[#This Row],[Num]]&gt;=$A$57, "-", IF(Apr_2026_SotM[[#This Row],[Score 1]]&gt;=3, Apr_2026_SotM[[#This Row],[Song 2]], IF(Apr_2026_SotM[[#This Row],[Score 2]]&gt;=3, Apr_2026_SotM[[#This Row],[Song 1]], "TBD")))</f>
        <v>Brighter</v>
      </c>
      <c r="AK72" s="3">
        <f ca="1">IFERROR(VLOOKUP(Apr_2025_Results62[[#This Row],[Song Title]], $AE$58:$AG$75, 3, FALSE)-Apr_2025_Results62[[#This Row],[Result]], "TBD")</f>
        <v>-7</v>
      </c>
      <c r="AL72" s="3" t="str">
        <f t="shared" ca="1" si="21"/>
        <v>↓</v>
      </c>
    </row>
    <row r="73" spans="1:38">
      <c r="A73" s="197" t="str">
        <f>_xlfn.CONCAT("Seed ", Apr_2026_SotM[[#This Row],[Top Seed]], " vs ",Apr_2026_SotM[[#This Row],[Low Seed]])</f>
        <v>Seed 1 vs 16</v>
      </c>
      <c r="B73" s="115">
        <v>15</v>
      </c>
      <c r="C73" s="105">
        <f>FLOOR(LOG(Apr_2026_SotM[[#This Row],[Num]], 2), 1)</f>
        <v>3</v>
      </c>
      <c r="D73" s="105">
        <f>2^(Apr_2026_SotM[[#This Row],[Round]]+1)</f>
        <v>16</v>
      </c>
      <c r="E73" s="105">
        <f>Apr_2026_SotM[[#This Row],[Max Seed]]-Apr_2026_SotM[[#This Row],[Num]]</f>
        <v>1</v>
      </c>
      <c r="F73" s="105">
        <f>Apr_2026_SotM[[#This Row],[Max Seed]]-Apr_2026_SotM[[#This Row],[Top Seed]]+1</f>
        <v>16</v>
      </c>
      <c r="G73" s="105" t="b">
        <f>IF(Apr_2026_SotM[[#This Row],[Round]]=$C$57, TRUE(), IF(Apr_2026_SotM[[#This Row],[Round]]=$B$57, Apr_2026_SotM[[#This Row],[Top Seed]]&lt;=2*Apr_2026_SotM[[#This Row],[Max Seed]]-$A$57, FALSE()))</f>
        <v>1</v>
      </c>
      <c r="H73" s="105" t="b">
        <f>IF(Apr_2026_SotM[[#This Row],[Round]]=$C$57, TRUE(), IF(Apr_2026_SotM[[#This Row],[Round]]=$B$57, Apr_2026_SotM[[#This Row],[Low Seed]]&lt;=2*Apr_2026_SotM[[#This Row],[Max Seed]]-$A$57, FALSE()))</f>
        <v>0</v>
      </c>
      <c r="I73" s="28" t="s">
        <v>4191</v>
      </c>
      <c r="J73" s="31"/>
      <c r="K73" s="33" t="s">
        <v>4191</v>
      </c>
      <c r="L73" s="35" t="s">
        <v>4191</v>
      </c>
      <c r="M73" s="37"/>
      <c r="N73" s="192" t="str">
        <f ca="1">IF(Apr_2026_SotM[[#This Row],[Num]]&gt;=$A$57, "-", IF(Apr_2026_SotM[[#This Row],[Initial 1]], VLOOKUP(Apr_2026_SotM[[#This Row],[Top Seed]], $Z$58:$AE$75, 6, FALSE), OFFSET(Apr_2026_SotM[[#This Row],[Winner]], Apr_2026_SotM[[#This Row],[Max Seed]], 0)))</f>
        <v>So Easy (To Fall In Love)</v>
      </c>
      <c r="O73" s="105">
        <f>COUNTIF(Apr_2026_SotM[[#This Row],[J]:[H]],"x")</f>
        <v>3</v>
      </c>
      <c r="P73" s="115" t="str">
        <f ca="1">IF(Apr_2026_SotM[[#This Row],[Num]]&gt;=$A$57, "-", IF(Apr_2026_SotM[[#This Row],[Score 1]]&gt;=3, Apr_2026_SotM[[#This Row],[Song 1]], IF(Apr_2026_SotM[[#This Row],[Score 2]]&gt;=3, Apr_2026_SotM[[#This Row],[Song 2]], "TBD")))</f>
        <v>So Easy (To Fall In Love)</v>
      </c>
      <c r="Q73" s="193">
        <f>COUNTIF(Apr_2026_SotM[[#This Row],[H ]:[J ]],"x")</f>
        <v>2</v>
      </c>
      <c r="R73" s="105" t="str">
        <f ca="1"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f>
        <v>Starboy</v>
      </c>
      <c r="S73" s="37" t="s">
        <v>4191</v>
      </c>
      <c r="T73" s="35"/>
      <c r="U73" s="33"/>
      <c r="V73" s="31" t="s">
        <v>4191</v>
      </c>
      <c r="W73" s="28"/>
      <c r="X73" s="112" t="str">
        <f ca="1"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f>
        <v/>
      </c>
      <c r="Z73" s="109">
        <f t="shared" si="20"/>
        <v>12</v>
      </c>
      <c r="AA73" s="59">
        <v>46140</v>
      </c>
      <c r="AB73" t="str">
        <v>alappatjoe</v>
      </c>
      <c r="AC73" s="3">
        <v>2.2000000000000002</v>
      </c>
      <c r="AD73">
        <v>1.4696938456699069</v>
      </c>
      <c r="AE73" t="str">
        <v>TOP NOTCH</v>
      </c>
      <c r="AF73" t="str">
        <v>Ace Hashimoto, 3ee</v>
      </c>
      <c r="AG73" s="100">
        <f t="shared" si="19"/>
        <v>9</v>
      </c>
      <c r="AI73" s="115">
        <f>Apr_2026_SotM[[#This Row],[Max Seed]]/2 + 1</f>
        <v>9</v>
      </c>
      <c r="AJ73" s="105" t="str">
        <f ca="1">IF(Apr_2026_SotM[[#This Row],[Num]]&gt;=$A$57, "-", IF(Apr_2026_SotM[[#This Row],[Score 1]]&gt;=3, Apr_2026_SotM[[#This Row],[Song 2]], IF(Apr_2026_SotM[[#This Row],[Score 2]]&gt;=3, Apr_2026_SotM[[#This Row],[Song 1]], "TBD")))</f>
        <v>Starboy</v>
      </c>
      <c r="AK73" s="3">
        <f ca="1">IFERROR(VLOOKUP(Apr_2025_Results62[[#This Row],[Song Title]], $AE$58:$AG$75, 3, FALSE)-Apr_2025_Results62[[#This Row],[Result]], "TBD")</f>
        <v>8</v>
      </c>
      <c r="AL73" s="3" t="str">
        <f t="shared" ca="1" si="21"/>
        <v>↑</v>
      </c>
    </row>
    <row r="74" spans="1:38">
      <c r="A74" s="197" t="str">
        <f>_xlfn.CONCAT("Seed ", Apr_2026_SotM[[#This Row],[Top Seed]], " vs ",Apr_2026_SotM[[#This Row],[Low Seed]])</f>
        <v>Seed 16 vs 17</v>
      </c>
      <c r="B74" s="115">
        <v>16</v>
      </c>
      <c r="C74" s="105">
        <f>FLOOR(LOG(Apr_2026_SotM[[#This Row],[Num]], 2), 1)</f>
        <v>4</v>
      </c>
      <c r="D74" s="105">
        <f>2^(Apr_2026_SotM[[#This Row],[Round]]+1)</f>
        <v>32</v>
      </c>
      <c r="E74" s="105">
        <f>Apr_2026_SotM[[#This Row],[Max Seed]]-Apr_2026_SotM[[#This Row],[Num]]</f>
        <v>16</v>
      </c>
      <c r="F74" s="105">
        <f>Apr_2026_SotM[[#This Row],[Max Seed]]-Apr_2026_SotM[[#This Row],[Top Seed]]+1</f>
        <v>17</v>
      </c>
      <c r="G74" s="105" t="b">
        <f>IF(Apr_2026_SotM[[#This Row],[Round]]=$C$57, TRUE(), IF(Apr_2026_SotM[[#This Row],[Round]]=$B$57, Apr_2026_SotM[[#This Row],[Top Seed]]&lt;=2*Apr_2026_SotM[[#This Row],[Max Seed]]-$A$57, FALSE()))</f>
        <v>1</v>
      </c>
      <c r="H74" s="105" t="b">
        <f>IF(Apr_2026_SotM[[#This Row],[Round]]=$C$57, TRUE(), IF(Apr_2026_SotM[[#This Row],[Round]]=$B$57, Apr_2026_SotM[[#This Row],[Low Seed]]&lt;=2*Apr_2026_SotM[[#This Row],[Max Seed]]-$A$57, FALSE()))</f>
        <v>1</v>
      </c>
      <c r="I74" s="28"/>
      <c r="J74" s="31"/>
      <c r="K74" s="33" t="s">
        <v>4191</v>
      </c>
      <c r="L74" s="35" t="s">
        <v>4191</v>
      </c>
      <c r="M74" s="37"/>
      <c r="N74" s="192" t="str">
        <f ca="1">IF(Apr_2026_SotM[[#This Row],[Num]]&gt;=$A$57, "-", IF(Apr_2026_SotM[[#This Row],[Initial 1]], VLOOKUP(Apr_2026_SotM[[#This Row],[Top Seed]], $Z$58:$AE$75, 6, FALSE), OFFSET(Apr_2026_SotM[[#This Row],[Winner]], Apr_2026_SotM[[#This Row],[Max Seed]], 0)))</f>
        <v>LOVE ON ME</v>
      </c>
      <c r="O74" s="105">
        <f>COUNTIF(Apr_2026_SotM[[#This Row],[J]:[H]],"x")</f>
        <v>2</v>
      </c>
      <c r="P74" s="115" t="str">
        <f ca="1">IF(Apr_2026_SotM[[#This Row],[Num]]&gt;=$A$57, "-", IF(Apr_2026_SotM[[#This Row],[Score 1]]&gt;=3, Apr_2026_SotM[[#This Row],[Song 1]], IF(Apr_2026_SotM[[#This Row],[Score 2]]&gt;=3, Apr_2026_SotM[[#This Row],[Song 2]], "TBD")))</f>
        <v>Starboy</v>
      </c>
      <c r="Q74" s="193">
        <f>COUNTIF(Apr_2026_SotM[[#This Row],[H ]:[J ]],"x")</f>
        <v>3</v>
      </c>
      <c r="R74" s="105" t="str">
        <f ca="1"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f>
        <v>Starboy</v>
      </c>
      <c r="S74" s="37" t="s">
        <v>4191</v>
      </c>
      <c r="T74" s="35"/>
      <c r="U74" s="33"/>
      <c r="V74" s="31" t="s">
        <v>4191</v>
      </c>
      <c r="W74" s="28" t="s">
        <v>4191</v>
      </c>
      <c r="X74" s="112" t="str">
        <f ca="1"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f>
        <v/>
      </c>
      <c r="Z74" s="109">
        <f t="shared" si="20"/>
        <v>6</v>
      </c>
      <c r="AA74" s="59">
        <v>46141</v>
      </c>
      <c r="AB74" t="str">
        <v>loganworsdell</v>
      </c>
      <c r="AC74" s="3">
        <v>1.8</v>
      </c>
      <c r="AD74">
        <v>0.74833147735478833</v>
      </c>
      <c r="AE74" t="str">
        <v>Drifting</v>
      </c>
      <c r="AF74" t="str">
        <v>Omar Apollo</v>
      </c>
      <c r="AG74" s="100">
        <f t="shared" si="19"/>
        <v>5</v>
      </c>
      <c r="AI74" s="115">
        <f>Apr_2026_SotM[[#This Row],[Max Seed]]/2 + 1</f>
        <v>17</v>
      </c>
      <c r="AJ74" s="105" t="str">
        <f ca="1">IF(Apr_2026_SotM[[#This Row],[Num]]&gt;=$A$57, "-", IF(Apr_2026_SotM[[#This Row],[Score 1]]&gt;=3, Apr_2026_SotM[[#This Row],[Song 2]], IF(Apr_2026_SotM[[#This Row],[Score 2]]&gt;=3, Apr_2026_SotM[[#This Row],[Song 1]], "TBD")))</f>
        <v>LOVE ON ME</v>
      </c>
      <c r="AK74" s="3">
        <f ca="1">IFERROR(VLOOKUP(Apr_2025_Results62[[#This Row],[Song Title]], $AE$58:$AG$75, 3, FALSE)-Apr_2025_Results62[[#This Row],[Result]], "TBD")</f>
        <v>-8</v>
      </c>
      <c r="AL74" s="3" t="str">
        <f t="shared" ca="1" si="21"/>
        <v>↓</v>
      </c>
    </row>
    <row r="75" spans="1:38">
      <c r="A75" s="197" t="str">
        <f>_xlfn.CONCAT("Seed ", Apr_2026_SotM[[#This Row],[Top Seed]], " vs ",Apr_2026_SotM[[#This Row],[Low Seed]])</f>
        <v>Seed 15 vs 18</v>
      </c>
      <c r="B75" s="115">
        <v>17</v>
      </c>
      <c r="C75" s="105">
        <f>FLOOR(LOG(Apr_2026_SotM[[#This Row],[Num]], 2), 1)</f>
        <v>4</v>
      </c>
      <c r="D75" s="105">
        <f>2^(Apr_2026_SotM[[#This Row],[Round]]+1)</f>
        <v>32</v>
      </c>
      <c r="E75" s="105">
        <f>Apr_2026_SotM[[#This Row],[Max Seed]]-Apr_2026_SotM[[#This Row],[Num]]</f>
        <v>15</v>
      </c>
      <c r="F75" s="105">
        <f>Apr_2026_SotM[[#This Row],[Max Seed]]-Apr_2026_SotM[[#This Row],[Top Seed]]+1</f>
        <v>18</v>
      </c>
      <c r="G75" s="105" t="b">
        <f>IF(Apr_2026_SotM[[#This Row],[Round]]=$C$57, TRUE(), IF(Apr_2026_SotM[[#This Row],[Round]]=$B$57, Apr_2026_SotM[[#This Row],[Top Seed]]&lt;=2*Apr_2026_SotM[[#This Row],[Max Seed]]-$A$57, FALSE()))</f>
        <v>1</v>
      </c>
      <c r="H75" s="105" t="b">
        <f>IF(Apr_2026_SotM[[#This Row],[Round]]=$C$57, TRUE(), IF(Apr_2026_SotM[[#This Row],[Round]]=$B$57, Apr_2026_SotM[[#This Row],[Low Seed]]&lt;=2*Apr_2026_SotM[[#This Row],[Max Seed]]-$A$57, FALSE()))</f>
        <v>1</v>
      </c>
      <c r="I75" s="28"/>
      <c r="J75" s="31" t="s">
        <v>4191</v>
      </c>
      <c r="K75" s="33"/>
      <c r="L75" s="35" t="s">
        <v>4191</v>
      </c>
      <c r="M75" s="37" t="s">
        <v>4191</v>
      </c>
      <c r="N75" s="192" t="str">
        <f ca="1">IF(Apr_2026_SotM[[#This Row],[Num]]&gt;=$A$57, "-", IF(Apr_2026_SotM[[#This Row],[Initial 1]], VLOOKUP(Apr_2026_SotM[[#This Row],[Top Seed]], $Z$58:$AE$75, 6, FALSE), OFFSET(Apr_2026_SotM[[#This Row],[Winner]], Apr_2026_SotM[[#This Row],[Max Seed]], 0)))</f>
        <v>Krillin's Fumble</v>
      </c>
      <c r="O75" s="105">
        <f>COUNTIF(Apr_2026_SotM[[#This Row],[J]:[H]],"x")</f>
        <v>3</v>
      </c>
      <c r="P75" s="115" t="str">
        <f ca="1">IF(Apr_2026_SotM[[#This Row],[Num]]&gt;=$A$57, "-", IF(Apr_2026_SotM[[#This Row],[Score 1]]&gt;=3, Apr_2026_SotM[[#This Row],[Song 1]], IF(Apr_2026_SotM[[#This Row],[Score 2]]&gt;=3, Apr_2026_SotM[[#This Row],[Song 2]], "TBD")))</f>
        <v>Krillin's Fumble</v>
      </c>
      <c r="Q75" s="193">
        <f>COUNTIF(Apr_2026_SotM[[#This Row],[H ]:[J ]],"x")</f>
        <v>2</v>
      </c>
      <c r="R75" s="105" t="str">
        <f ca="1">IF(Apr_2026_SotM[[#This Row],[Num]]&gt;=$A$57, "-", IF(Apr_2026_SotM[[#This Row],[Initial 2]], VLOOKUP(Apr_2026_SotM[[#This Row],[Low Seed]], $Z$58:$AE$75, 6, FALSE), OFFSET(Apr_2026_SotM[[#This Row],[Winner]], 2*(Apr_2026_SotM[[#This Row],[Max Seed]]-Apr_2026_SotM[[#This Row],[Low Seed]])+1, 0)))</f>
        <v>No Love</v>
      </c>
      <c r="S75" s="37"/>
      <c r="T75" s="35"/>
      <c r="U75" s="33" t="s">
        <v>4191</v>
      </c>
      <c r="V75" s="31"/>
      <c r="W75" s="28" t="s">
        <v>4191</v>
      </c>
      <c r="X75" s="112" t="str">
        <f ca="1">IF(OR(Apr_2026_SotM[[#This Row],[Song 1]]="TBD", Apr_2026_SotM[[#This Row],[Song 2]]="TBD"), "TBD", _xlfn.CONCAT(IF(_xlfn.XOR(ISBLANK(Apr_2026_SotM[[#This Row],[J]]), ISBLANK(Apr_2026_SotM[[#This Row],[J ]])), "", "J "), IF(_xlfn.XOR(ISBLANK(Apr_2026_SotM[[#This Row],[D]]), ISBLANK(Apr_2026_SotM[[#This Row],[D ]])), "", "D "), IF(_xlfn.XOR(ISBLANK(Apr_2026_SotM[[#This Row],[L]]), ISBLANK(Apr_2026_SotM[[#This Row],[L ]])), "", "L "), IF(_xlfn.XOR(ISBLANK(Apr_2026_SotM[[#This Row],[S]]), ISBLANK(Apr_2026_SotM[[#This Row],[S ]])), "", "S "), IF(_xlfn.XOR(ISBLANK(Apr_2026_SotM[[#This Row],[H]]), ISBLANK(Apr_2026_SotM[[#This Row],[H ]])), "", "H ")))</f>
        <v/>
      </c>
      <c r="Z75" s="110">
        <f t="shared" si="20"/>
        <v>18</v>
      </c>
      <c r="AA75" s="211">
        <v>46142</v>
      </c>
      <c r="AB75" s="157" t="str">
        <v>loganworsdell</v>
      </c>
      <c r="AC75" s="101">
        <v>2.6</v>
      </c>
      <c r="AD75" s="157">
        <v>1.6248076809271921</v>
      </c>
      <c r="AE75" s="157" t="str">
        <v>No Love</v>
      </c>
      <c r="AF75" s="157" t="str">
        <v>Eminem, Lil Wayne</v>
      </c>
      <c r="AG75" s="102">
        <f t="shared" si="19"/>
        <v>17</v>
      </c>
      <c r="AI75" s="115">
        <f>Apr_2026_SotM[[#This Row],[Max Seed]]/2 + 1</f>
        <v>17</v>
      </c>
      <c r="AJ75" s="105" t="str">
        <f ca="1">IF(Apr_2026_SotM[[#This Row],[Num]]&gt;=$A$57, "-", IF(Apr_2026_SotM[[#This Row],[Score 1]]&gt;=3, Apr_2026_SotM[[#This Row],[Song 2]], IF(Apr_2026_SotM[[#This Row],[Score 2]]&gt;=3, Apr_2026_SotM[[#This Row],[Song 1]], "TBD")))</f>
        <v>No Love</v>
      </c>
      <c r="AK75" s="3">
        <f ca="1">IFERROR(VLOOKUP(Apr_2025_Results62[[#This Row],[Song Title]], $AE$58:$AG$75, 3, FALSE)-Apr_2025_Results62[[#This Row],[Result]], "TBD")</f>
        <v>0</v>
      </c>
      <c r="AL75" s="3" t="str">
        <f t="shared" ca="1" si="21"/>
        <v>-</v>
      </c>
    </row>
    <row r="77" spans="1:38">
      <c r="A77" s="302">
        <f>MAX(Z78:Z93)</f>
        <v>16</v>
      </c>
      <c r="B77" s="302">
        <f t="shared" ref="B77" si="22">FLOOR(LOG(A77, 2), 1)-1</f>
        <v>3</v>
      </c>
      <c r="C77" s="302">
        <f t="shared" ref="C77" si="23">_xlfn.CEILING.MATH(LOG(A77, 2), 1)-1</f>
        <v>3</v>
      </c>
      <c r="D77" s="302"/>
      <c r="E77" s="302"/>
      <c r="F77" s="302"/>
      <c r="G77" s="302"/>
      <c r="H77" s="302"/>
      <c r="I77" s="348" t="s">
        <v>4195</v>
      </c>
      <c r="J77" s="348"/>
      <c r="K77" s="348"/>
      <c r="L77" s="348"/>
      <c r="M77" s="348"/>
      <c r="N77" s="348"/>
      <c r="O77" s="348"/>
      <c r="P77" s="348"/>
      <c r="Q77" s="348"/>
      <c r="R77" s="348"/>
      <c r="S77" s="348"/>
      <c r="T77" s="348"/>
      <c r="U77" s="348"/>
      <c r="V77" s="348"/>
      <c r="W77" s="348"/>
      <c r="X77" s="302"/>
      <c r="Z77" s="221" t="s">
        <v>4163</v>
      </c>
      <c r="AA77" s="222" t="s">
        <v>29</v>
      </c>
      <c r="AB77" s="220" t="s">
        <v>32</v>
      </c>
      <c r="AC77" s="221" t="s">
        <v>33</v>
      </c>
      <c r="AD77" s="220" t="s">
        <v>34</v>
      </c>
      <c r="AE77" s="220" t="s">
        <v>4161</v>
      </c>
      <c r="AF77" s="220" t="s">
        <v>36</v>
      </c>
      <c r="AG77" s="221" t="s">
        <v>4164</v>
      </c>
      <c r="AI77" s="247" t="s">
        <v>4165</v>
      </c>
      <c r="AJ77" s="248" t="s">
        <v>35</v>
      </c>
      <c r="AK77" s="249" t="s">
        <v>4166</v>
      </c>
      <c r="AL77" s="249" t="s">
        <v>4167</v>
      </c>
    </row>
    <row r="78" spans="1:38">
      <c r="A78" s="218" t="s">
        <v>4168</v>
      </c>
      <c r="B78" s="213" t="s">
        <v>4169</v>
      </c>
      <c r="C78" s="219" t="s">
        <v>4170</v>
      </c>
      <c r="D78" s="219" t="s">
        <v>4171</v>
      </c>
      <c r="E78" s="219" t="s">
        <v>4172</v>
      </c>
      <c r="F78" s="219" t="s">
        <v>4173</v>
      </c>
      <c r="G78" s="219" t="s">
        <v>4174</v>
      </c>
      <c r="H78" s="219" t="s">
        <v>4175</v>
      </c>
      <c r="I78" s="219" t="s">
        <v>4176</v>
      </c>
      <c r="J78" s="219" t="s">
        <v>4177</v>
      </c>
      <c r="K78" s="219" t="s">
        <v>4178</v>
      </c>
      <c r="L78" s="219" t="s">
        <v>4179</v>
      </c>
      <c r="M78" s="219" t="s">
        <v>4180</v>
      </c>
      <c r="N78" s="226" t="s">
        <v>4181</v>
      </c>
      <c r="O78" s="219" t="s">
        <v>4182</v>
      </c>
      <c r="P78" s="213" t="s">
        <v>47</v>
      </c>
      <c r="Q78" s="231" t="s">
        <v>4183</v>
      </c>
      <c r="R78" s="219" t="s">
        <v>4184</v>
      </c>
      <c r="S78" s="219" t="s">
        <v>4185</v>
      </c>
      <c r="T78" s="219" t="s">
        <v>4186</v>
      </c>
      <c r="U78" s="219" t="s">
        <v>4187</v>
      </c>
      <c r="V78" s="219" t="s">
        <v>4188</v>
      </c>
      <c r="W78" s="219" t="s">
        <v>4189</v>
      </c>
      <c r="X78" s="110" t="s">
        <v>4190</v>
      </c>
      <c r="Z78" s="109">
        <f>IF(AC78&gt;0, COUNTIF(AC$78:AC$93, "&lt;"&amp;AC78) + COUNTIFS(AC$78:AC$93, AC78, AD$78:AD$93, "&lt;"&amp;AD78) + COUNTIFS(AC$78:AC$93, AC78, AD$78:AD$93, AD78, AA$78:AA$93, "&lt;"&amp;AA78) + 1, "TBD")</f>
        <v>10</v>
      </c>
      <c r="AA78" s="59" cm="1">
        <f t="array" ref="AA78:AF93">_xlfn._xlws.FILTER(Data[Date]:Data[Artist], (Data[Date]&gt;=DATE(2026,5,1))*(Data[Date]&lt;=DATE(2026,5,31))*(Data[Winner]=TRUE()), "TBD")</f>
        <v>46146</v>
      </c>
      <c r="AB78" t="str">
        <v>danram</v>
      </c>
      <c r="AC78" s="3">
        <v>2.4</v>
      </c>
      <c r="AD78">
        <v>0.8</v>
      </c>
      <c r="AE78" t="str">
        <v>OLD NAVY</v>
      </c>
      <c r="AF78" t="str">
        <v>Feid, Sky Rompiendo</v>
      </c>
      <c r="AG78" s="100">
        <f t="shared" ref="AG78:AG93" si="24">IF(Z78&gt;1, 2^FLOOR(LOG(Z78-1, 2), 1)+1, 1)</f>
        <v>9</v>
      </c>
      <c r="AI78" s="115">
        <v>1</v>
      </c>
      <c r="AJ78" s="105" t="str">
        <f ca="1">P79</f>
        <v>atomic</v>
      </c>
      <c r="AK78" s="246">
        <f ca="1">IFERROR(VLOOKUP(May_2025_Results63[[#This Row],[Song Title]], $AE$78:$AG$93, 3, FALSE)-May_2025_Results63[[#This Row],[Result]], "TBD")</f>
        <v>1</v>
      </c>
      <c r="AL78" s="246" t="str">
        <f ca="1">IF(AK78&lt;0,"↓",IF(AK78=0,"-","↑"))</f>
        <v>↑</v>
      </c>
    </row>
    <row r="79" spans="1:38">
      <c r="A79" s="197" t="str">
        <f>_xlfn.CONCAT("Seed ", May_2026_SotM[[#This Row],[Top Seed]], " vs ",May_2026_SotM[[#This Row],[Low Seed]])</f>
        <v>Seed 1 vs 2</v>
      </c>
      <c r="B79" s="115">
        <v>1</v>
      </c>
      <c r="C79" s="105">
        <f>FLOOR(LOG(May_2026_SotM[[#This Row],[Num]], 2), 1)</f>
        <v>0</v>
      </c>
      <c r="D79" s="105">
        <f>2^(May_2026_SotM[[#This Row],[Round]]+1)</f>
        <v>2</v>
      </c>
      <c r="E79" s="105">
        <f>May_2026_SotM[[#This Row],[Max Seed]]-May_2026_SotM[[#This Row],[Num]]</f>
        <v>1</v>
      </c>
      <c r="F79" s="105">
        <f>May_2026_SotM[[#This Row],[Max Seed]]-May_2026_SotM[[#This Row],[Top Seed]]+1</f>
        <v>2</v>
      </c>
      <c r="G79" s="105" t="b">
        <f>IF(May_2026_SotM[[#This Row],[Round]]=$C$77, TRUE(), IF(May_2026_SotM[[#This Row],[Round]]=$B$77, May_2026_SotM[[#This Row],[Top Seed]]&lt;=2*May_2026_SotM[[#This Row],[Max Seed]]-$A$77, FALSE()))</f>
        <v>0</v>
      </c>
      <c r="H79" s="105" t="b">
        <f>IF(May_2026_SotM[[#This Row],[Round]]=$C$77, TRUE(), IF(May_2026_SotM[[#This Row],[Round]]=$B$77, May_2026_SotM[[#This Row],[Low Seed]]&lt;=2*May_2026_SotM[[#This Row],[Max Seed]]-$A$77, FALSE()))</f>
        <v>0</v>
      </c>
      <c r="I79" s="28" t="s">
        <v>4191</v>
      </c>
      <c r="J79" s="31"/>
      <c r="K79" s="33"/>
      <c r="L79" s="35" t="s">
        <v>4191</v>
      </c>
      <c r="M79" s="37"/>
      <c r="N79" s="192" t="str">
        <f ca="1">IF(May_2026_SotM[[#This Row],[Num]]&gt;=$A$77, "-", IF(May_2026_SotM[[#This Row],[Initial 1]], VLOOKUP(May_2026_SotM[[#This Row],[Top Seed]], $Z$78:$AE$93, 6, FALSE), OFFSET(May_2026_SotM[[#This Row],[Winner]], May_2026_SotM[[#This Row],[Max Seed]], 0)))</f>
        <v>Dancing Alone</v>
      </c>
      <c r="O79" s="105">
        <f>COUNTIF(May_2026_SotM[[#This Row],[J]:[H]],"x")</f>
        <v>2</v>
      </c>
      <c r="P79" s="115" t="str">
        <f ca="1">IF(May_2026_SotM[[#This Row],[Num]]&gt;=$A$77, "-", IF(May_2026_SotM[[#This Row],[Score 1]]&gt;=3, May_2026_SotM[[#This Row],[Song 1]], IF(May_2026_SotM[[#This Row],[Score 2]]&gt;=3, May_2026_SotM[[#This Row],[Song 2]], "TBD")))</f>
        <v>atomic</v>
      </c>
      <c r="Q79" s="193">
        <f>COUNTIF(May_2026_SotM[[#This Row],[H ]:[J ]],"x")</f>
        <v>3</v>
      </c>
      <c r="R79" s="105" t="str">
        <f ca="1">IF(May_2026_SotM[[#This Row],[Num]]&gt;=$A$77, "-", IF(May_2026_SotM[[#This Row],[Initial 2]], VLOOKUP(May_2026_SotM[[#This Row],[Low Seed]], $Z$78:$AE$93, 6, FALSE), OFFSET(May_2026_SotM[[#This Row],[Winner]], 2*(May_2026_SotM[[#This Row],[Max Seed]]-May_2026_SotM[[#This Row],[Low Seed]])+1, 0)))</f>
        <v>atomic</v>
      </c>
      <c r="S79" s="37" t="s">
        <v>4191</v>
      </c>
      <c r="T79" s="35"/>
      <c r="U79" s="33" t="s">
        <v>4191</v>
      </c>
      <c r="V79" s="31" t="s">
        <v>4191</v>
      </c>
      <c r="W79" s="28"/>
      <c r="X79" s="112" t="str">
        <f ca="1">IF(OR(May_2026_SotM[[#This Row],[Song 1]]="TBD", May_2026_SotM[[#This Row],[Song 2]]="TBD"), "TBD", _xlfn.CONCAT(IF(_xlfn.XOR(ISBLANK(May_2026_SotM[[#This Row],[J]]), ISBLANK(May_2026_SotM[[#This Row],[J ]])), "", "J "), IF(_xlfn.XOR(ISBLANK(May_2026_SotM[[#This Row],[D]]), ISBLANK(May_2026_SotM[[#This Row],[D ]])), "", "D "), IF(_xlfn.XOR(ISBLANK(May_2026_SotM[[#This Row],[L]]), ISBLANK(May_2026_SotM[[#This Row],[L ]])), "", "L "), IF(_xlfn.XOR(ISBLANK(May_2026_SotM[[#This Row],[S]]), ISBLANK(May_2026_SotM[[#This Row],[S ]])), "", "S "), IF(_xlfn.XOR(ISBLANK(May_2026_SotM[[#This Row],[H]]), ISBLANK(May_2026_SotM[[#This Row],[H ]])), "", "H ")))</f>
        <v/>
      </c>
      <c r="Z79" s="109">
        <f t="shared" ref="Z79:Z93" si="25">IF(AC79&gt;0, COUNTIF(AC$78:AC$93, "&lt;"&amp;AC79) + COUNTIFS(AC$78:AC$93, AC79, AD$78:AD$93, "&lt;"&amp;AD79) + COUNTIFS(AC$78:AC$93, AC79, AD$78:AD$93, AD79, AA$78:AA$93, "&lt;"&amp;AA79) + 1, "TBD")</f>
        <v>11</v>
      </c>
      <c r="AA79" s="59">
        <v>46147</v>
      </c>
      <c r="AB79" t="str">
        <v>loganworsdell</v>
      </c>
      <c r="AC79" s="3">
        <v>2.4</v>
      </c>
      <c r="AD79">
        <v>0.8</v>
      </c>
      <c r="AE79" t="str">
        <v>little too quiet</v>
      </c>
      <c r="AF79" t="str">
        <v>Scro, Venus as a boy</v>
      </c>
      <c r="AG79" s="100">
        <f t="shared" si="24"/>
        <v>9</v>
      </c>
      <c r="AI79" s="115">
        <f>May_2026_SotM[[#This Row],[Max Seed]]/2 + 1</f>
        <v>2</v>
      </c>
      <c r="AJ79" s="105" t="str">
        <f ca="1">IF(May_2026_SotM[[#This Row],[Num]]&gt;=$A$77, "-", IF(May_2026_SotM[[#This Row],[Score 1]]&gt;=3, May_2026_SotM[[#This Row],[Song 2]], IF(May_2026_SotM[[#This Row],[Score 2]]&gt;=3, May_2026_SotM[[#This Row],[Song 1]], "TBD")))</f>
        <v>Dancing Alone</v>
      </c>
      <c r="AK79" s="246">
        <f ca="1">IFERROR(VLOOKUP(May_2025_Results63[[#This Row],[Song Title]], $AE$78:$AG$93, 3, FALSE)-May_2025_Results63[[#This Row],[Result]], "TBD")</f>
        <v>7</v>
      </c>
      <c r="AL79" s="246" t="str">
        <f ca="1">IF(AK79&lt;0,"↓",IF(AK79=0,"-","↑"))</f>
        <v>↑</v>
      </c>
    </row>
    <row r="80" spans="1:38">
      <c r="A80" s="197" t="str">
        <f>_xlfn.CONCAT("Seed ", May_2026_SotM[[#This Row],[Top Seed]], " vs ",May_2026_SotM[[#This Row],[Low Seed]])</f>
        <v>Seed 2 vs 3</v>
      </c>
      <c r="B80" s="115">
        <v>2</v>
      </c>
      <c r="C80" s="105">
        <f>FLOOR(LOG(May_2026_SotM[[#This Row],[Num]], 2), 1)</f>
        <v>1</v>
      </c>
      <c r="D80" s="105">
        <f>2^(May_2026_SotM[[#This Row],[Round]]+1)</f>
        <v>4</v>
      </c>
      <c r="E80" s="105">
        <f>May_2026_SotM[[#This Row],[Max Seed]]-May_2026_SotM[[#This Row],[Num]]</f>
        <v>2</v>
      </c>
      <c r="F80" s="105">
        <f>May_2026_SotM[[#This Row],[Max Seed]]-May_2026_SotM[[#This Row],[Top Seed]]+1</f>
        <v>3</v>
      </c>
      <c r="G80" s="105" t="b">
        <f>IF(May_2026_SotM[[#This Row],[Round]]=$C$77, TRUE(), IF(May_2026_SotM[[#This Row],[Round]]=$B$77, May_2026_SotM[[#This Row],[Top Seed]]&lt;=2*May_2026_SotM[[#This Row],[Max Seed]]-$A$77, FALSE()))</f>
        <v>0</v>
      </c>
      <c r="H80" s="105" t="b">
        <f>IF(May_2026_SotM[[#This Row],[Round]]=$C$77, TRUE(), IF(May_2026_SotM[[#This Row],[Round]]=$B$77, May_2026_SotM[[#This Row],[Low Seed]]&lt;=2*May_2026_SotM[[#This Row],[Max Seed]]-$A$77, FALSE()))</f>
        <v>0</v>
      </c>
      <c r="I80" s="28"/>
      <c r="J80" s="31" t="s">
        <v>4191</v>
      </c>
      <c r="K80" s="33" t="s">
        <v>4191</v>
      </c>
      <c r="L80" s="35"/>
      <c r="M80" s="37" t="s">
        <v>4191</v>
      </c>
      <c r="N80" s="192" t="str">
        <f ca="1">IF(May_2026_SotM[[#This Row],[Num]]&gt;=$A$77, "-", IF(May_2026_SotM[[#This Row],[Initial 1]], VLOOKUP(May_2026_SotM[[#This Row],[Top Seed]], $Z$78:$AE$93, 6, FALSE), OFFSET(May_2026_SotM[[#This Row],[Winner]], May_2026_SotM[[#This Row],[Max Seed]], 0)))</f>
        <v>atomic</v>
      </c>
      <c r="O80" s="105">
        <f>COUNTIF(May_2026_SotM[[#This Row],[J]:[H]],"x")</f>
        <v>3</v>
      </c>
      <c r="P80" s="115" t="str">
        <f ca="1">IF(May_2026_SotM[[#This Row],[Num]]&gt;=$A$77, "-", IF(May_2026_SotM[[#This Row],[Score 1]]&gt;=3, May_2026_SotM[[#This Row],[Song 1]], IF(May_2026_SotM[[#This Row],[Score 2]]&gt;=3, May_2026_SotM[[#This Row],[Song 2]], "TBD")))</f>
        <v>atomic</v>
      </c>
      <c r="Q80" s="193">
        <f>COUNTIF(May_2026_SotM[[#This Row],[H ]:[J ]],"x")</f>
        <v>2</v>
      </c>
      <c r="R80" s="105" t="str">
        <f ca="1">IF(May_2026_SotM[[#This Row],[Num]]&gt;=$A$77, "-", IF(May_2026_SotM[[#This Row],[Initial 2]], VLOOKUP(May_2026_SotM[[#This Row],[Low Seed]], $Z$78:$AE$93, 6, FALSE), OFFSET(May_2026_SotM[[#This Row],[Winner]], 2*(May_2026_SotM[[#This Row],[Max Seed]]-May_2026_SotM[[#This Row],[Low Seed]])+1, 0)))</f>
        <v>Roommates</v>
      </c>
      <c r="S80" s="37"/>
      <c r="T80" s="35" t="s">
        <v>4191</v>
      </c>
      <c r="U80" s="33"/>
      <c r="V80" s="31"/>
      <c r="W80" s="28" t="s">
        <v>4191</v>
      </c>
      <c r="X80" s="112" t="str">
        <f ca="1">IF(OR(May_2026_SotM[[#This Row],[Song 1]]="TBD", May_2026_SotM[[#This Row],[Song 2]]="TBD"), "TBD", _xlfn.CONCAT(IF(_xlfn.XOR(ISBLANK(May_2026_SotM[[#This Row],[J]]), ISBLANK(May_2026_SotM[[#This Row],[J ]])), "", "J "), IF(_xlfn.XOR(ISBLANK(May_2026_SotM[[#This Row],[D]]), ISBLANK(May_2026_SotM[[#This Row],[D ]])), "", "D "), IF(_xlfn.XOR(ISBLANK(May_2026_SotM[[#This Row],[L]]), ISBLANK(May_2026_SotM[[#This Row],[L ]])), "", "L "), IF(_xlfn.XOR(ISBLANK(May_2026_SotM[[#This Row],[S]]), ISBLANK(May_2026_SotM[[#This Row],[S ]])), "", "S "), IF(_xlfn.XOR(ISBLANK(May_2026_SotM[[#This Row],[H]]), ISBLANK(May_2026_SotM[[#This Row],[H ]])), "", "H ")))</f>
        <v/>
      </c>
      <c r="Z80" s="109">
        <f t="shared" si="25"/>
        <v>12</v>
      </c>
      <c r="AA80" s="59">
        <v>46148</v>
      </c>
      <c r="AB80" t="str">
        <v>samuelbattista</v>
      </c>
      <c r="AC80" s="3">
        <v>2.6</v>
      </c>
      <c r="AD80">
        <v>1.019803902718557</v>
      </c>
      <c r="AE80" t="str">
        <v>Dancing Alone</v>
      </c>
      <c r="AF80" t="str">
        <v>David Alexander</v>
      </c>
      <c r="AG80" s="100">
        <f t="shared" si="24"/>
        <v>9</v>
      </c>
      <c r="AI80" s="115">
        <f>May_2026_SotM[[#This Row],[Max Seed]]/2 + 1</f>
        <v>3</v>
      </c>
      <c r="AJ80" s="105" t="str">
        <f ca="1">IF(May_2026_SotM[[#This Row],[Num]]&gt;=$A$77, "-", IF(May_2026_SotM[[#This Row],[Score 1]]&gt;=3, May_2026_SotM[[#This Row],[Song 2]], IF(May_2026_SotM[[#This Row],[Score 2]]&gt;=3, May_2026_SotM[[#This Row],[Song 1]], "TBD")))</f>
        <v>Roommates</v>
      </c>
      <c r="AK80" s="246">
        <f ca="1">IFERROR(VLOOKUP(May_2025_Results63[[#This Row],[Song Title]], $AE$78:$AG$93, 3, FALSE)-May_2025_Results63[[#This Row],[Result]], "TBD")</f>
        <v>0</v>
      </c>
      <c r="AL80" s="246" t="str">
        <f t="shared" ref="AL80:AL93" ca="1" si="26">IF(AK80&lt;0,"↓",IF(AK80=0,"-","↑"))</f>
        <v>-</v>
      </c>
    </row>
    <row r="81" spans="1:38">
      <c r="A81" s="197" t="str">
        <f>_xlfn.CONCAT("Seed ", May_2026_SotM[[#This Row],[Top Seed]], " vs ",May_2026_SotM[[#This Row],[Low Seed]])</f>
        <v>Seed 1 vs 4</v>
      </c>
      <c r="B81" s="115">
        <v>3</v>
      </c>
      <c r="C81" s="105">
        <f>FLOOR(LOG(May_2026_SotM[[#This Row],[Num]], 2), 1)</f>
        <v>1</v>
      </c>
      <c r="D81" s="105">
        <f>2^(May_2026_SotM[[#This Row],[Round]]+1)</f>
        <v>4</v>
      </c>
      <c r="E81" s="105">
        <f>May_2026_SotM[[#This Row],[Max Seed]]-May_2026_SotM[[#This Row],[Num]]</f>
        <v>1</v>
      </c>
      <c r="F81" s="105">
        <f>May_2026_SotM[[#This Row],[Max Seed]]-May_2026_SotM[[#This Row],[Top Seed]]+1</f>
        <v>4</v>
      </c>
      <c r="G81" s="105" t="b">
        <f>IF(May_2026_SotM[[#This Row],[Round]]=$C$77, TRUE(), IF(May_2026_SotM[[#This Row],[Round]]=$B$77, May_2026_SotM[[#This Row],[Top Seed]]&lt;=2*May_2026_SotM[[#This Row],[Max Seed]]-$A$77, FALSE()))</f>
        <v>0</v>
      </c>
      <c r="H81" s="105" t="b">
        <f>IF(May_2026_SotM[[#This Row],[Round]]=$C$77, TRUE(), IF(May_2026_SotM[[#This Row],[Round]]=$B$77, May_2026_SotM[[#This Row],[Low Seed]]&lt;=2*May_2026_SotM[[#This Row],[Max Seed]]-$A$77, FALSE()))</f>
        <v>0</v>
      </c>
      <c r="I81" s="28"/>
      <c r="J81" s="31" t="s">
        <v>4191</v>
      </c>
      <c r="K81" s="33"/>
      <c r="L81" s="35"/>
      <c r="M81" s="37" t="s">
        <v>4191</v>
      </c>
      <c r="N81" s="192" t="str">
        <f ca="1">IF(May_2026_SotM[[#This Row],[Num]]&gt;=$A$77, "-", IF(May_2026_SotM[[#This Row],[Initial 1]], VLOOKUP(May_2026_SotM[[#This Row],[Top Seed]], $Z$78:$AE$93, 6, FALSE), OFFSET(May_2026_SotM[[#This Row],[Winner]], May_2026_SotM[[#This Row],[Max Seed]], 0)))</f>
        <v>Remember When</v>
      </c>
      <c r="O81" s="105">
        <f>COUNTIF(May_2026_SotM[[#This Row],[J]:[H]],"x")</f>
        <v>2</v>
      </c>
      <c r="P81" s="115" t="str">
        <f ca="1">IF(May_2026_SotM[[#This Row],[Num]]&gt;=$A$77, "-", IF(May_2026_SotM[[#This Row],[Score 1]]&gt;=3, May_2026_SotM[[#This Row],[Song 1]], IF(May_2026_SotM[[#This Row],[Score 2]]&gt;=3, May_2026_SotM[[#This Row],[Song 2]], "TBD")))</f>
        <v>Dancing Alone</v>
      </c>
      <c r="Q81" s="193">
        <f>COUNTIF(May_2026_SotM[[#This Row],[H ]:[J ]],"x")</f>
        <v>3</v>
      </c>
      <c r="R81" s="105" t="str">
        <f ca="1">IF(May_2026_SotM[[#This Row],[Num]]&gt;=$A$77, "-", IF(May_2026_SotM[[#This Row],[Initial 2]], VLOOKUP(May_2026_SotM[[#This Row],[Low Seed]], $Z$78:$AE$93, 6, FALSE), OFFSET(May_2026_SotM[[#This Row],[Winner]], 2*(May_2026_SotM[[#This Row],[Max Seed]]-May_2026_SotM[[#This Row],[Low Seed]])+1, 0)))</f>
        <v>Dancing Alone</v>
      </c>
      <c r="S81" s="37"/>
      <c r="T81" s="35" t="s">
        <v>4191</v>
      </c>
      <c r="U81" s="33" t="s">
        <v>4191</v>
      </c>
      <c r="V81" s="31"/>
      <c r="W81" s="28" t="s">
        <v>4191</v>
      </c>
      <c r="X81" s="112" t="str">
        <f ca="1">IF(OR(May_2026_SotM[[#This Row],[Song 1]]="TBD", May_2026_SotM[[#This Row],[Song 2]]="TBD"), "TBD", _xlfn.CONCAT(IF(_xlfn.XOR(ISBLANK(May_2026_SotM[[#This Row],[J]]), ISBLANK(May_2026_SotM[[#This Row],[J ]])), "", "J "), IF(_xlfn.XOR(ISBLANK(May_2026_SotM[[#This Row],[D]]), ISBLANK(May_2026_SotM[[#This Row],[D ]])), "", "D "), IF(_xlfn.XOR(ISBLANK(May_2026_SotM[[#This Row],[L]]), ISBLANK(May_2026_SotM[[#This Row],[L ]])), "", "L "), IF(_xlfn.XOR(ISBLANK(May_2026_SotM[[#This Row],[S]]), ISBLANK(May_2026_SotM[[#This Row],[S ]])), "", "S "), IF(_xlfn.XOR(ISBLANK(May_2026_SotM[[#This Row],[H]]), ISBLANK(May_2026_SotM[[#This Row],[H ]])), "", "H ")))</f>
        <v/>
      </c>
      <c r="Z81" s="109">
        <f t="shared" si="25"/>
        <v>7</v>
      </c>
      <c r="AA81" s="59">
        <v>46149</v>
      </c>
      <c r="AB81" t="str">
        <v>loganworsdell</v>
      </c>
      <c r="AC81" s="3">
        <v>2</v>
      </c>
      <c r="AD81">
        <v>1.0954451150103321</v>
      </c>
      <c r="AE81" t="str">
        <v>over it</v>
      </c>
      <c r="AF81" t="str">
        <v>joss lockwood</v>
      </c>
      <c r="AG81" s="100">
        <f t="shared" si="24"/>
        <v>5</v>
      </c>
      <c r="AI81" s="115">
        <f>May_2026_SotM[[#This Row],[Max Seed]]/2 + 1</f>
        <v>3</v>
      </c>
      <c r="AJ81" s="105" t="str">
        <f ca="1">IF(May_2026_SotM[[#This Row],[Num]]&gt;=$A$77, "-", IF(May_2026_SotM[[#This Row],[Score 1]]&gt;=3, May_2026_SotM[[#This Row],[Song 2]], IF(May_2026_SotM[[#This Row],[Score 2]]&gt;=3, May_2026_SotM[[#This Row],[Song 1]], "TBD")))</f>
        <v>Remember When</v>
      </c>
      <c r="AK81" s="3">
        <f ca="1">IFERROR(VLOOKUP(May_2025_Results63[[#This Row],[Song Title]], $AE$78:$AG$93, 3, FALSE)-May_2025_Results63[[#This Row],[Result]], "TBD")</f>
        <v>2</v>
      </c>
      <c r="AL81" s="3" t="str">
        <f t="shared" ca="1" si="26"/>
        <v>↑</v>
      </c>
    </row>
    <row r="82" spans="1:38">
      <c r="A82" s="197" t="str">
        <f>_xlfn.CONCAT("Seed ", May_2026_SotM[[#This Row],[Top Seed]], " vs ",May_2026_SotM[[#This Row],[Low Seed]])</f>
        <v>Seed 4 vs 5</v>
      </c>
      <c r="B82" s="115">
        <v>4</v>
      </c>
      <c r="C82" s="105">
        <f>FLOOR(LOG(May_2026_SotM[[#This Row],[Num]], 2), 1)</f>
        <v>2</v>
      </c>
      <c r="D82" s="105">
        <f>2^(May_2026_SotM[[#This Row],[Round]]+1)</f>
        <v>8</v>
      </c>
      <c r="E82" s="105">
        <f>May_2026_SotM[[#This Row],[Max Seed]]-May_2026_SotM[[#This Row],[Num]]</f>
        <v>4</v>
      </c>
      <c r="F82" s="105">
        <f>May_2026_SotM[[#This Row],[Max Seed]]-May_2026_SotM[[#This Row],[Top Seed]]+1</f>
        <v>5</v>
      </c>
      <c r="G82" s="105" t="b">
        <f>IF(May_2026_SotM[[#This Row],[Round]]=$C$77, TRUE(), IF(May_2026_SotM[[#This Row],[Round]]=$B$77, May_2026_SotM[[#This Row],[Top Seed]]&lt;=2*May_2026_SotM[[#This Row],[Max Seed]]-$A$77, FALSE()))</f>
        <v>0</v>
      </c>
      <c r="H82" s="105" t="b">
        <f>IF(May_2026_SotM[[#This Row],[Round]]=$C$77, TRUE(), IF(May_2026_SotM[[#This Row],[Round]]=$B$77, May_2026_SotM[[#This Row],[Low Seed]]&lt;=2*May_2026_SotM[[#This Row],[Max Seed]]-$A$77, FALSE()))</f>
        <v>0</v>
      </c>
      <c r="I82" s="28"/>
      <c r="J82" s="31"/>
      <c r="K82" s="33"/>
      <c r="L82" s="35"/>
      <c r="M82" s="37" t="s">
        <v>4191</v>
      </c>
      <c r="N82" s="192" t="str">
        <f ca="1">IF(May_2026_SotM[[#This Row],[Num]]&gt;=$A$77, "-", IF(May_2026_SotM[[#This Row],[Initial 1]], VLOOKUP(May_2026_SotM[[#This Row],[Top Seed]], $Z$78:$AE$93, 6, FALSE), OFFSET(May_2026_SotM[[#This Row],[Winner]], May_2026_SotM[[#This Row],[Max Seed]], 0)))</f>
        <v>Lying Awake</v>
      </c>
      <c r="O82" s="105">
        <f>COUNTIF(May_2026_SotM[[#This Row],[J]:[H]],"x")</f>
        <v>1</v>
      </c>
      <c r="P82" s="115" t="str">
        <f ca="1">IF(May_2026_SotM[[#This Row],[Num]]&gt;=$A$77, "-", IF(May_2026_SotM[[#This Row],[Score 1]]&gt;=3, May_2026_SotM[[#This Row],[Song 1]], IF(May_2026_SotM[[#This Row],[Score 2]]&gt;=3, May_2026_SotM[[#This Row],[Song 2]], "TBD")))</f>
        <v>Dancing Alone</v>
      </c>
      <c r="Q82" s="193">
        <f>COUNTIF(May_2026_SotM[[#This Row],[H ]:[J ]],"x")</f>
        <v>4</v>
      </c>
      <c r="R82" s="105" t="str">
        <f ca="1">IF(May_2026_SotM[[#This Row],[Num]]&gt;=$A$77, "-", IF(May_2026_SotM[[#This Row],[Initial 2]], VLOOKUP(May_2026_SotM[[#This Row],[Low Seed]], $Z$78:$AE$93, 6, FALSE), OFFSET(May_2026_SotM[[#This Row],[Winner]], 2*(May_2026_SotM[[#This Row],[Max Seed]]-May_2026_SotM[[#This Row],[Low Seed]])+1, 0)))</f>
        <v>Dancing Alone</v>
      </c>
      <c r="S82" s="37"/>
      <c r="T82" s="35" t="s">
        <v>4191</v>
      </c>
      <c r="U82" s="33" t="s">
        <v>4191</v>
      </c>
      <c r="V82" s="31" t="s">
        <v>4191</v>
      </c>
      <c r="W82" s="28" t="s">
        <v>4191</v>
      </c>
      <c r="X82" s="112" t="str">
        <f ca="1">IF(OR(May_2026_SotM[[#This Row],[Song 1]]="TBD", May_2026_SotM[[#This Row],[Song 2]]="TBD"), "TBD", _xlfn.CONCAT(IF(_xlfn.XOR(ISBLANK(May_2026_SotM[[#This Row],[J]]), ISBLANK(May_2026_SotM[[#This Row],[J ]])), "", "J "), IF(_xlfn.XOR(ISBLANK(May_2026_SotM[[#This Row],[D]]), ISBLANK(May_2026_SotM[[#This Row],[D ]])), "", "D "), IF(_xlfn.XOR(ISBLANK(May_2026_SotM[[#This Row],[L]]), ISBLANK(May_2026_SotM[[#This Row],[L ]])), "", "L "), IF(_xlfn.XOR(ISBLANK(May_2026_SotM[[#This Row],[S]]), ISBLANK(May_2026_SotM[[#This Row],[S ]])), "", "S "), IF(_xlfn.XOR(ISBLANK(May_2026_SotM[[#This Row],[H]]), ISBLANK(May_2026_SotM[[#This Row],[H ]])), "", "H ")))</f>
        <v/>
      </c>
      <c r="Z82" s="109">
        <f t="shared" si="25"/>
        <v>6</v>
      </c>
      <c r="AA82" s="59">
        <v>46153</v>
      </c>
      <c r="AB82" t="str">
        <v>currydestroyer27</v>
      </c>
      <c r="AC82" s="3">
        <v>1.8</v>
      </c>
      <c r="AD82">
        <v>0.9797958971132712</v>
      </c>
      <c r="AE82" t="str">
        <v>Self Aware</v>
      </c>
      <c r="AF82" t="str">
        <v>Temper City</v>
      </c>
      <c r="AG82" s="100">
        <f t="shared" si="24"/>
        <v>5</v>
      </c>
      <c r="AI82" s="115">
        <f>May_2026_SotM[[#This Row],[Max Seed]]/2 + 1</f>
        <v>5</v>
      </c>
      <c r="AJ82" s="105" t="str">
        <f ca="1">IF(May_2026_SotM[[#This Row],[Num]]&gt;=$A$77, "-", IF(May_2026_SotM[[#This Row],[Score 1]]&gt;=3, May_2026_SotM[[#This Row],[Song 2]], IF(May_2026_SotM[[#This Row],[Score 2]]&gt;=3, May_2026_SotM[[#This Row],[Song 1]], "TBD")))</f>
        <v>Lying Awake</v>
      </c>
      <c r="AK82" s="3">
        <f ca="1">IFERROR(VLOOKUP(May_2025_Results63[[#This Row],[Song Title]], $AE$78:$AG$93, 3, FALSE)-May_2025_Results63[[#This Row],[Result]], "TBD")</f>
        <v>4</v>
      </c>
      <c r="AL82" s="3" t="str">
        <f t="shared" ca="1" si="26"/>
        <v>↑</v>
      </c>
    </row>
    <row r="83" spans="1:38">
      <c r="A83" s="197" t="str">
        <f>_xlfn.CONCAT("Seed ", May_2026_SotM[[#This Row],[Top Seed]], " vs ",May_2026_SotM[[#This Row],[Low Seed]])</f>
        <v>Seed 3 vs 6</v>
      </c>
      <c r="B83" s="115">
        <v>5</v>
      </c>
      <c r="C83" s="105">
        <f>FLOOR(LOG(May_2026_SotM[[#This Row],[Num]], 2), 1)</f>
        <v>2</v>
      </c>
      <c r="D83" s="105">
        <f>2^(May_2026_SotM[[#This Row],[Round]]+1)</f>
        <v>8</v>
      </c>
      <c r="E83" s="105">
        <f>May_2026_SotM[[#This Row],[Max Seed]]-May_2026_SotM[[#This Row],[Num]]</f>
        <v>3</v>
      </c>
      <c r="F83" s="105">
        <f>May_2026_SotM[[#This Row],[Max Seed]]-May_2026_SotM[[#This Row],[Top Seed]]+1</f>
        <v>6</v>
      </c>
      <c r="G83" s="105" t="b">
        <f>IF(May_2026_SotM[[#This Row],[Round]]=$C$77, TRUE(), IF(May_2026_SotM[[#This Row],[Round]]=$B$77, May_2026_SotM[[#This Row],[Top Seed]]&lt;=2*May_2026_SotM[[#This Row],[Max Seed]]-$A$77, FALSE()))</f>
        <v>0</v>
      </c>
      <c r="H83" s="105" t="b">
        <f>IF(May_2026_SotM[[#This Row],[Round]]=$C$77, TRUE(), IF(May_2026_SotM[[#This Row],[Round]]=$B$77, May_2026_SotM[[#This Row],[Low Seed]]&lt;=2*May_2026_SotM[[#This Row],[Max Seed]]-$A$77, FALSE()))</f>
        <v>0</v>
      </c>
      <c r="I83" s="28" t="s">
        <v>4191</v>
      </c>
      <c r="J83" s="31" t="s">
        <v>4191</v>
      </c>
      <c r="K83" s="33" t="s">
        <v>4191</v>
      </c>
      <c r="L83" s="35" t="s">
        <v>4191</v>
      </c>
      <c r="M83" s="37" t="s">
        <v>4191</v>
      </c>
      <c r="N83" s="192" t="str">
        <f ca="1">IF(May_2026_SotM[[#This Row],[Num]]&gt;=$A$77, "-", IF(May_2026_SotM[[#This Row],[Initial 1]], VLOOKUP(May_2026_SotM[[#This Row],[Top Seed]], $Z$78:$AE$93, 6, FALSE), OFFSET(May_2026_SotM[[#This Row],[Winner]], May_2026_SotM[[#This Row],[Max Seed]], 0)))</f>
        <v>Roommates</v>
      </c>
      <c r="O83" s="105">
        <f>COUNTIF(May_2026_SotM[[#This Row],[J]:[H]],"x")</f>
        <v>5</v>
      </c>
      <c r="P83" s="115" t="str">
        <f ca="1">IF(May_2026_SotM[[#This Row],[Num]]&gt;=$A$77, "-", IF(May_2026_SotM[[#This Row],[Score 1]]&gt;=3, May_2026_SotM[[#This Row],[Song 1]], IF(May_2026_SotM[[#This Row],[Score 2]]&gt;=3, May_2026_SotM[[#This Row],[Song 2]], "TBD")))</f>
        <v>Roommates</v>
      </c>
      <c r="Q83" s="193">
        <f>COUNTIF(May_2026_SotM[[#This Row],[H ]:[J ]],"x")</f>
        <v>0</v>
      </c>
      <c r="R83" s="105" t="str">
        <f ca="1">IF(May_2026_SotM[[#This Row],[Num]]&gt;=$A$77, "-", IF(May_2026_SotM[[#This Row],[Initial 2]], VLOOKUP(May_2026_SotM[[#This Row],[Low Seed]], $Z$78:$AE$93, 6, FALSE), OFFSET(May_2026_SotM[[#This Row],[Winner]], 2*(May_2026_SotM[[#This Row],[Max Seed]]-May_2026_SotM[[#This Row],[Low Seed]])+1, 0)))</f>
        <v>little too quiet</v>
      </c>
      <c r="S83" s="37"/>
      <c r="T83" s="35"/>
      <c r="U83" s="33"/>
      <c r="V83" s="31"/>
      <c r="W83" s="28"/>
      <c r="X83" s="112" t="str">
        <f ca="1">IF(OR(May_2026_SotM[[#This Row],[Song 1]]="TBD", May_2026_SotM[[#This Row],[Song 2]]="TBD"), "TBD", _xlfn.CONCAT(IF(_xlfn.XOR(ISBLANK(May_2026_SotM[[#This Row],[J]]), ISBLANK(May_2026_SotM[[#This Row],[J ]])), "", "J "), IF(_xlfn.XOR(ISBLANK(May_2026_SotM[[#This Row],[D]]), ISBLANK(May_2026_SotM[[#This Row],[D ]])), "", "D "), IF(_xlfn.XOR(ISBLANK(May_2026_SotM[[#This Row],[L]]), ISBLANK(May_2026_SotM[[#This Row],[L ]])), "", "L "), IF(_xlfn.XOR(ISBLANK(May_2026_SotM[[#This Row],[S]]), ISBLANK(May_2026_SotM[[#This Row],[S ]])), "", "S "), IF(_xlfn.XOR(ISBLANK(May_2026_SotM[[#This Row],[H]]), ISBLANK(May_2026_SotM[[#This Row],[H ]])), "", "H ")))</f>
        <v/>
      </c>
      <c r="Z83" s="109">
        <f t="shared" si="25"/>
        <v>1</v>
      </c>
      <c r="AA83" s="59">
        <v>46154</v>
      </c>
      <c r="AB83" t="str">
        <v>alappatjoe</v>
      </c>
      <c r="AC83" s="3">
        <v>1.4</v>
      </c>
      <c r="AD83">
        <v>0.4898979485566356</v>
      </c>
      <c r="AE83" t="str">
        <v>Girl Front</v>
      </c>
      <c r="AF83" t="str">
        <v>LOONA / ODD EYE CIRCLE</v>
      </c>
      <c r="AG83" s="100">
        <f t="shared" si="24"/>
        <v>1</v>
      </c>
      <c r="AI83" s="115">
        <f>May_2026_SotM[[#This Row],[Max Seed]]/2 + 1</f>
        <v>5</v>
      </c>
      <c r="AJ83" s="105" t="str">
        <f ca="1">IF(May_2026_SotM[[#This Row],[Num]]&gt;=$A$77, "-", IF(May_2026_SotM[[#This Row],[Score 1]]&gt;=3, May_2026_SotM[[#This Row],[Song 2]], IF(May_2026_SotM[[#This Row],[Score 2]]&gt;=3, May_2026_SotM[[#This Row],[Song 1]], "TBD")))</f>
        <v>little too quiet</v>
      </c>
      <c r="AK83" s="3">
        <f ca="1">IFERROR(VLOOKUP(May_2025_Results63[[#This Row],[Song Title]], $AE$78:$AG$93, 3, FALSE)-May_2025_Results63[[#This Row],[Result]], "TBD")</f>
        <v>4</v>
      </c>
      <c r="AL83" s="3" t="str">
        <f t="shared" ca="1" si="26"/>
        <v>↑</v>
      </c>
    </row>
    <row r="84" spans="1:38">
      <c r="A84" s="197" t="str">
        <f>_xlfn.CONCAT("Seed ", May_2026_SotM[[#This Row],[Top Seed]], " vs ",May_2026_SotM[[#This Row],[Low Seed]])</f>
        <v>Seed 2 vs 7</v>
      </c>
      <c r="B84" s="115">
        <v>6</v>
      </c>
      <c r="C84" s="105">
        <f>FLOOR(LOG(May_2026_SotM[[#This Row],[Num]], 2), 1)</f>
        <v>2</v>
      </c>
      <c r="D84" s="105">
        <f>2^(May_2026_SotM[[#This Row],[Round]]+1)</f>
        <v>8</v>
      </c>
      <c r="E84" s="105">
        <f>May_2026_SotM[[#This Row],[Max Seed]]-May_2026_SotM[[#This Row],[Num]]</f>
        <v>2</v>
      </c>
      <c r="F84" s="105">
        <f>May_2026_SotM[[#This Row],[Max Seed]]-May_2026_SotM[[#This Row],[Top Seed]]+1</f>
        <v>7</v>
      </c>
      <c r="G84" s="105" t="b">
        <f>IF(May_2026_SotM[[#This Row],[Round]]=$C$77, TRUE(), IF(May_2026_SotM[[#This Row],[Round]]=$B$77, May_2026_SotM[[#This Row],[Top Seed]]&lt;=2*May_2026_SotM[[#This Row],[Max Seed]]-$A$77, FALSE()))</f>
        <v>0</v>
      </c>
      <c r="H84" s="105" t="b">
        <f>IF(May_2026_SotM[[#This Row],[Round]]=$C$77, TRUE(), IF(May_2026_SotM[[#This Row],[Round]]=$B$77, May_2026_SotM[[#This Row],[Low Seed]]&lt;=2*May_2026_SotM[[#This Row],[Max Seed]]-$A$77, FALSE()))</f>
        <v>0</v>
      </c>
      <c r="I84" s="28"/>
      <c r="J84" s="31" t="s">
        <v>4191</v>
      </c>
      <c r="K84" s="33" t="s">
        <v>4191</v>
      </c>
      <c r="L84" s="35" t="s">
        <v>4191</v>
      </c>
      <c r="M84" s="37" t="s">
        <v>4191</v>
      </c>
      <c r="N84" s="192" t="str">
        <f ca="1">IF(May_2026_SotM[[#This Row],[Num]]&gt;=$A$77, "-", IF(May_2026_SotM[[#This Row],[Initial 1]], VLOOKUP(May_2026_SotM[[#This Row],[Top Seed]], $Z$78:$AE$93, 6, FALSE), OFFSET(May_2026_SotM[[#This Row],[Winner]], May_2026_SotM[[#This Row],[Max Seed]], 0)))</f>
        <v>atomic</v>
      </c>
      <c r="O84" s="105">
        <f>COUNTIF(May_2026_SotM[[#This Row],[J]:[H]],"x")</f>
        <v>4</v>
      </c>
      <c r="P84" s="115" t="str">
        <f ca="1">IF(May_2026_SotM[[#This Row],[Num]]&gt;=$A$77, "-", IF(May_2026_SotM[[#This Row],[Score 1]]&gt;=3, May_2026_SotM[[#This Row],[Song 1]], IF(May_2026_SotM[[#This Row],[Score 2]]&gt;=3, May_2026_SotM[[#This Row],[Song 2]], "TBD")))</f>
        <v>atomic</v>
      </c>
      <c r="Q84" s="193">
        <f>COUNTIF(May_2026_SotM[[#This Row],[H ]:[J ]],"x")</f>
        <v>1</v>
      </c>
      <c r="R84" s="105" t="str">
        <f ca="1">IF(May_2026_SotM[[#This Row],[Num]]&gt;=$A$77, "-", IF(May_2026_SotM[[#This Row],[Initial 2]], VLOOKUP(May_2026_SotM[[#This Row],[Low Seed]], $Z$78:$AE$93, 6, FALSE), OFFSET(May_2026_SotM[[#This Row],[Winner]], 2*(May_2026_SotM[[#This Row],[Max Seed]]-May_2026_SotM[[#This Row],[Low Seed]])+1, 0)))</f>
        <v>over it</v>
      </c>
      <c r="S84" s="37"/>
      <c r="T84" s="35"/>
      <c r="U84" s="33"/>
      <c r="V84" s="31"/>
      <c r="W84" s="28" t="s">
        <v>4191</v>
      </c>
      <c r="X84" s="112" t="str">
        <f ca="1">IF(OR(May_2026_SotM[[#This Row],[Song 1]]="TBD", May_2026_SotM[[#This Row],[Song 2]]="TBD"), "TBD", _xlfn.CONCAT(IF(_xlfn.XOR(ISBLANK(May_2026_SotM[[#This Row],[J]]), ISBLANK(May_2026_SotM[[#This Row],[J ]])), "", "J "), IF(_xlfn.XOR(ISBLANK(May_2026_SotM[[#This Row],[D]]), ISBLANK(May_2026_SotM[[#This Row],[D ]])), "", "D "), IF(_xlfn.XOR(ISBLANK(May_2026_SotM[[#This Row],[L]]), ISBLANK(May_2026_SotM[[#This Row],[L ]])), "", "L "), IF(_xlfn.XOR(ISBLANK(May_2026_SotM[[#This Row],[S]]), ISBLANK(May_2026_SotM[[#This Row],[S ]])), "", "S "), IF(_xlfn.XOR(ISBLANK(May_2026_SotM[[#This Row],[H]]), ISBLANK(May_2026_SotM[[#This Row],[H ]])), "", "H ")))</f>
        <v/>
      </c>
      <c r="Z84" s="109">
        <f t="shared" si="25"/>
        <v>16</v>
      </c>
      <c r="AA84" s="59">
        <v>46155</v>
      </c>
      <c r="AB84" t="str">
        <v>alappatjoe</v>
      </c>
      <c r="AC84" s="3">
        <v>2.8</v>
      </c>
      <c r="AD84">
        <v>1.1661903789690602</v>
      </c>
      <c r="AE84" t="str">
        <v>Gimmie</v>
      </c>
      <c r="AF84" t="str">
        <v>Kyle Dion</v>
      </c>
      <c r="AG84" s="100">
        <f t="shared" si="24"/>
        <v>9</v>
      </c>
      <c r="AI84" s="115">
        <f>May_2026_SotM[[#This Row],[Max Seed]]/2 + 1</f>
        <v>5</v>
      </c>
      <c r="AJ84" s="105" t="str">
        <f ca="1">IF(May_2026_SotM[[#This Row],[Num]]&gt;=$A$77, "-", IF(May_2026_SotM[[#This Row],[Score 1]]&gt;=3, May_2026_SotM[[#This Row],[Song 2]], IF(May_2026_SotM[[#This Row],[Score 2]]&gt;=3, May_2026_SotM[[#This Row],[Song 1]], "TBD")))</f>
        <v>over it</v>
      </c>
      <c r="AK84" s="3">
        <f ca="1">IFERROR(VLOOKUP(May_2025_Results63[[#This Row],[Song Title]], $AE$78:$AG$93, 3, FALSE)-May_2025_Results63[[#This Row],[Result]], "TBD")</f>
        <v>0</v>
      </c>
      <c r="AL84" s="3" t="str">
        <f t="shared" ca="1" si="26"/>
        <v>-</v>
      </c>
    </row>
    <row r="85" spans="1:38">
      <c r="A85" s="197" t="str">
        <f>_xlfn.CONCAT("Seed ", May_2026_SotM[[#This Row],[Top Seed]], " vs ",May_2026_SotM[[#This Row],[Low Seed]])</f>
        <v>Seed 1 vs 8</v>
      </c>
      <c r="B85" s="115">
        <v>7</v>
      </c>
      <c r="C85" s="105">
        <f>FLOOR(LOG(May_2026_SotM[[#This Row],[Num]], 2), 1)</f>
        <v>2</v>
      </c>
      <c r="D85" s="105">
        <f>2^(May_2026_SotM[[#This Row],[Round]]+1)</f>
        <v>8</v>
      </c>
      <c r="E85" s="105">
        <f>May_2026_SotM[[#This Row],[Max Seed]]-May_2026_SotM[[#This Row],[Num]]</f>
        <v>1</v>
      </c>
      <c r="F85" s="105">
        <f>May_2026_SotM[[#This Row],[Max Seed]]-May_2026_SotM[[#This Row],[Top Seed]]+1</f>
        <v>8</v>
      </c>
      <c r="G85" s="105" t="b">
        <f>IF(May_2026_SotM[[#This Row],[Round]]=$C$77, TRUE(), IF(May_2026_SotM[[#This Row],[Round]]=$B$77, May_2026_SotM[[#This Row],[Top Seed]]&lt;=2*May_2026_SotM[[#This Row],[Max Seed]]-$A$77, FALSE()))</f>
        <v>0</v>
      </c>
      <c r="H85" s="105" t="b">
        <f>IF(May_2026_SotM[[#This Row],[Round]]=$C$77, TRUE(), IF(May_2026_SotM[[#This Row],[Round]]=$B$77, May_2026_SotM[[#This Row],[Low Seed]]&lt;=2*May_2026_SotM[[#This Row],[Max Seed]]-$A$77, FALSE()))</f>
        <v>0</v>
      </c>
      <c r="I85" s="28" t="s">
        <v>4191</v>
      </c>
      <c r="J85" s="31"/>
      <c r="K85" s="33" t="s">
        <v>4191</v>
      </c>
      <c r="L85" s="35"/>
      <c r="M85" s="37"/>
      <c r="N85" s="192" t="str">
        <f ca="1">IF(May_2026_SotM[[#This Row],[Num]]&gt;=$A$77, "-", IF(May_2026_SotM[[#This Row],[Initial 1]], VLOOKUP(May_2026_SotM[[#This Row],[Top Seed]], $Z$78:$AE$93, 6, FALSE), OFFSET(May_2026_SotM[[#This Row],[Winner]], May_2026_SotM[[#This Row],[Max Seed]], 0)))</f>
        <v>Girl Front</v>
      </c>
      <c r="O85" s="105">
        <f>COUNTIF(May_2026_SotM[[#This Row],[J]:[H]],"x")</f>
        <v>2</v>
      </c>
      <c r="P85" s="115" t="str">
        <f ca="1">IF(May_2026_SotM[[#This Row],[Num]]&gt;=$A$77, "-", IF(May_2026_SotM[[#This Row],[Score 1]]&gt;=3, May_2026_SotM[[#This Row],[Song 1]], IF(May_2026_SotM[[#This Row],[Score 2]]&gt;=3, May_2026_SotM[[#This Row],[Song 2]], "TBD")))</f>
        <v>Remember When</v>
      </c>
      <c r="Q85" s="193">
        <f>COUNTIF(May_2026_SotM[[#This Row],[H ]:[J ]],"x")</f>
        <v>3</v>
      </c>
      <c r="R85" s="105" t="str">
        <f ca="1">IF(May_2026_SotM[[#This Row],[Num]]&gt;=$A$77, "-", IF(May_2026_SotM[[#This Row],[Initial 2]], VLOOKUP(May_2026_SotM[[#This Row],[Low Seed]], $Z$78:$AE$93, 6, FALSE), OFFSET(May_2026_SotM[[#This Row],[Winner]], 2*(May_2026_SotM[[#This Row],[Max Seed]]-May_2026_SotM[[#This Row],[Low Seed]])+1, 0)))</f>
        <v>Remember When</v>
      </c>
      <c r="S85" s="37" t="s">
        <v>4191</v>
      </c>
      <c r="T85" s="35" t="s">
        <v>4191</v>
      </c>
      <c r="U85" s="33"/>
      <c r="V85" s="31" t="s">
        <v>4191</v>
      </c>
      <c r="W85" s="28"/>
      <c r="X85" s="112" t="str">
        <f ca="1">IF(OR(May_2026_SotM[[#This Row],[Song 1]]="TBD", May_2026_SotM[[#This Row],[Song 2]]="TBD"), "TBD", _xlfn.CONCAT(IF(_xlfn.XOR(ISBLANK(May_2026_SotM[[#This Row],[J]]), ISBLANK(May_2026_SotM[[#This Row],[J ]])), "", "J "), IF(_xlfn.XOR(ISBLANK(May_2026_SotM[[#This Row],[D]]), ISBLANK(May_2026_SotM[[#This Row],[D ]])), "", "D "), IF(_xlfn.XOR(ISBLANK(May_2026_SotM[[#This Row],[L]]), ISBLANK(May_2026_SotM[[#This Row],[L ]])), "", "L "), IF(_xlfn.XOR(ISBLANK(May_2026_SotM[[#This Row],[S]]), ISBLANK(May_2026_SotM[[#This Row],[S ]])), "", "S "), IF(_xlfn.XOR(ISBLANK(May_2026_SotM[[#This Row],[H]]), ISBLANK(May_2026_SotM[[#This Row],[H ]])), "", "H ")))</f>
        <v/>
      </c>
      <c r="Z85" s="109">
        <f t="shared" si="25"/>
        <v>9</v>
      </c>
      <c r="AA85" s="59">
        <v>46156</v>
      </c>
      <c r="AB85" t="str">
        <v>currydestroyer27</v>
      </c>
      <c r="AC85" s="3">
        <v>2.2000000000000002</v>
      </c>
      <c r="AD85">
        <v>0.74833147735478833</v>
      </c>
      <c r="AE85" t="str">
        <v>Mayday</v>
      </c>
      <c r="AF85" t="str">
        <v>Tsukuyomi</v>
      </c>
      <c r="AG85" s="100">
        <f t="shared" si="24"/>
        <v>9</v>
      </c>
      <c r="AI85" s="115">
        <f>May_2026_SotM[[#This Row],[Max Seed]]/2 + 1</f>
        <v>5</v>
      </c>
      <c r="AJ85" s="105" t="str">
        <f ca="1">IF(May_2026_SotM[[#This Row],[Num]]&gt;=$A$77, "-", IF(May_2026_SotM[[#This Row],[Score 1]]&gt;=3, May_2026_SotM[[#This Row],[Song 2]], IF(May_2026_SotM[[#This Row],[Score 2]]&gt;=3, May_2026_SotM[[#This Row],[Song 1]], "TBD")))</f>
        <v>Girl Front</v>
      </c>
      <c r="AK85" s="3">
        <f ca="1">IFERROR(VLOOKUP(May_2025_Results63[[#This Row],[Song Title]], $AE$78:$AG$93, 3, FALSE)-May_2025_Results63[[#This Row],[Result]], "TBD")</f>
        <v>-4</v>
      </c>
      <c r="AL85" s="3" t="str">
        <f t="shared" ca="1" si="26"/>
        <v>↓</v>
      </c>
    </row>
    <row r="86" spans="1:38">
      <c r="A86" s="197" t="str">
        <f>_xlfn.CONCAT("Seed ", May_2026_SotM[[#This Row],[Top Seed]], " vs ",May_2026_SotM[[#This Row],[Low Seed]])</f>
        <v>Seed 8 vs 9</v>
      </c>
      <c r="B86" s="115">
        <v>8</v>
      </c>
      <c r="C86" s="105">
        <f>FLOOR(LOG(May_2026_SotM[[#This Row],[Num]], 2), 1)</f>
        <v>3</v>
      </c>
      <c r="D86" s="105">
        <f>2^(May_2026_SotM[[#This Row],[Round]]+1)</f>
        <v>16</v>
      </c>
      <c r="E86" s="105">
        <f>May_2026_SotM[[#This Row],[Max Seed]]-May_2026_SotM[[#This Row],[Num]]</f>
        <v>8</v>
      </c>
      <c r="F86" s="105">
        <f>May_2026_SotM[[#This Row],[Max Seed]]-May_2026_SotM[[#This Row],[Top Seed]]+1</f>
        <v>9</v>
      </c>
      <c r="G86" s="105" t="b">
        <f>IF(May_2026_SotM[[#This Row],[Round]]=$C$77, TRUE(), IF(May_2026_SotM[[#This Row],[Round]]=$B$77, May_2026_SotM[[#This Row],[Top Seed]]&lt;=2*May_2026_SotM[[#This Row],[Max Seed]]-$A$77, FALSE()))</f>
        <v>1</v>
      </c>
      <c r="H86" s="105" t="b">
        <f>IF(May_2026_SotM[[#This Row],[Round]]=$C$77, TRUE(), IF(May_2026_SotM[[#This Row],[Round]]=$B$77, May_2026_SotM[[#This Row],[Low Seed]]&lt;=2*May_2026_SotM[[#This Row],[Max Seed]]-$A$77, FALSE()))</f>
        <v>1</v>
      </c>
      <c r="I86" s="28"/>
      <c r="J86" s="31" t="s">
        <v>4191</v>
      </c>
      <c r="K86" s="33" t="s">
        <v>4191</v>
      </c>
      <c r="L86" s="35" t="s">
        <v>4191</v>
      </c>
      <c r="M86" s="37"/>
      <c r="N86" s="192" t="str">
        <f ca="1">IF(May_2026_SotM[[#This Row],[Num]]&gt;=$A$77, "-", IF(May_2026_SotM[[#This Row],[Initial 1]], VLOOKUP(May_2026_SotM[[#This Row],[Top Seed]], $Z$78:$AE$93, 6, FALSE), OFFSET(May_2026_SotM[[#This Row],[Winner]], May_2026_SotM[[#This Row],[Max Seed]], 0)))</f>
        <v>Remember When</v>
      </c>
      <c r="O86" s="105">
        <f>COUNTIF(May_2026_SotM[[#This Row],[J]:[H]],"x")</f>
        <v>3</v>
      </c>
      <c r="P86" s="115" t="str">
        <f ca="1">IF(May_2026_SotM[[#This Row],[Num]]&gt;=$A$77, "-", IF(May_2026_SotM[[#This Row],[Score 1]]&gt;=3, May_2026_SotM[[#This Row],[Song 1]], IF(May_2026_SotM[[#This Row],[Score 2]]&gt;=3, May_2026_SotM[[#This Row],[Song 2]], "TBD")))</f>
        <v>Remember When</v>
      </c>
      <c r="Q86" s="193">
        <f>COUNTIF(May_2026_SotM[[#This Row],[H ]:[J ]],"x")</f>
        <v>2</v>
      </c>
      <c r="R86" s="105" t="str">
        <f ca="1">IF(May_2026_SotM[[#This Row],[Num]]&gt;=$A$77, "-", IF(May_2026_SotM[[#This Row],[Initial 2]], VLOOKUP(May_2026_SotM[[#This Row],[Low Seed]], $Z$78:$AE$93, 6, FALSE), OFFSET(May_2026_SotM[[#This Row],[Winner]], 2*(May_2026_SotM[[#This Row],[Max Seed]]-May_2026_SotM[[#This Row],[Low Seed]])+1, 0)))</f>
        <v>Mayday</v>
      </c>
      <c r="S86" s="37" t="s">
        <v>4191</v>
      </c>
      <c r="T86" s="35"/>
      <c r="U86" s="33"/>
      <c r="V86" s="31"/>
      <c r="W86" s="28" t="s">
        <v>4191</v>
      </c>
      <c r="X86" s="112" t="str">
        <f ca="1">IF(OR(May_2026_SotM[[#This Row],[Song 1]]="TBD", May_2026_SotM[[#This Row],[Song 2]]="TBD"), "TBD", _xlfn.CONCAT(IF(_xlfn.XOR(ISBLANK(May_2026_SotM[[#This Row],[J]]), ISBLANK(May_2026_SotM[[#This Row],[J ]])), "", "J "), IF(_xlfn.XOR(ISBLANK(May_2026_SotM[[#This Row],[D]]), ISBLANK(May_2026_SotM[[#This Row],[D ]])), "", "D "), IF(_xlfn.XOR(ISBLANK(May_2026_SotM[[#This Row],[L]]), ISBLANK(May_2026_SotM[[#This Row],[L ]])), "", "L "), IF(_xlfn.XOR(ISBLANK(May_2026_SotM[[#This Row],[S]]), ISBLANK(May_2026_SotM[[#This Row],[S ]])), "", "S "), IF(_xlfn.XOR(ISBLANK(May_2026_SotM[[#This Row],[H]]), ISBLANK(May_2026_SotM[[#This Row],[H ]])), "", "H ")))</f>
        <v/>
      </c>
      <c r="Z86" s="109">
        <f t="shared" si="25"/>
        <v>15</v>
      </c>
      <c r="AA86" s="59">
        <v>46160</v>
      </c>
      <c r="AB86" t="str">
        <v>alappatjoe</v>
      </c>
      <c r="AC86" s="3">
        <v>2.6</v>
      </c>
      <c r="AD86">
        <v>1.3564659966250536</v>
      </c>
      <c r="AE86" t="str">
        <v>ABG</v>
      </c>
      <c r="AF86" t="str">
        <v>Joh!</v>
      </c>
      <c r="AG86" s="100">
        <f t="shared" si="24"/>
        <v>9</v>
      </c>
      <c r="AI86" s="115">
        <f>May_2026_SotM[[#This Row],[Max Seed]]/2 + 1</f>
        <v>9</v>
      </c>
      <c r="AJ86" s="105" t="str">
        <f ca="1">IF(May_2026_SotM[[#This Row],[Num]]&gt;=$A$77, "-", IF(May_2026_SotM[[#This Row],[Score 1]]&gt;=3, May_2026_SotM[[#This Row],[Song 2]], IF(May_2026_SotM[[#This Row],[Score 2]]&gt;=3, May_2026_SotM[[#This Row],[Song 1]], "TBD")))</f>
        <v>Mayday</v>
      </c>
      <c r="AK86" s="3">
        <f ca="1">IFERROR(VLOOKUP(May_2025_Results63[[#This Row],[Song Title]], $AE$78:$AG$93, 3, FALSE)-May_2025_Results63[[#This Row],[Result]], "TBD")</f>
        <v>0</v>
      </c>
      <c r="AL86" s="3" t="str">
        <f t="shared" ca="1" si="26"/>
        <v>-</v>
      </c>
    </row>
    <row r="87" spans="1:38">
      <c r="A87" s="197" t="str">
        <f>_xlfn.CONCAT("Seed ", May_2026_SotM[[#This Row],[Top Seed]], " vs ",May_2026_SotM[[#This Row],[Low Seed]])</f>
        <v>Seed 7 vs 10</v>
      </c>
      <c r="B87" s="115">
        <v>9</v>
      </c>
      <c r="C87" s="105">
        <f>FLOOR(LOG(May_2026_SotM[[#This Row],[Num]], 2), 1)</f>
        <v>3</v>
      </c>
      <c r="D87" s="105">
        <f>2^(May_2026_SotM[[#This Row],[Round]]+1)</f>
        <v>16</v>
      </c>
      <c r="E87" s="105">
        <f>May_2026_SotM[[#This Row],[Max Seed]]-May_2026_SotM[[#This Row],[Num]]</f>
        <v>7</v>
      </c>
      <c r="F87" s="105">
        <f>May_2026_SotM[[#This Row],[Max Seed]]-May_2026_SotM[[#This Row],[Top Seed]]+1</f>
        <v>10</v>
      </c>
      <c r="G87" s="105" t="b">
        <f>IF(May_2026_SotM[[#This Row],[Round]]=$C$77, TRUE(), IF(May_2026_SotM[[#This Row],[Round]]=$B$77, May_2026_SotM[[#This Row],[Top Seed]]&lt;=2*May_2026_SotM[[#This Row],[Max Seed]]-$A$77, FALSE()))</f>
        <v>1</v>
      </c>
      <c r="H87" s="105" t="b">
        <f>IF(May_2026_SotM[[#This Row],[Round]]=$C$77, TRUE(), IF(May_2026_SotM[[#This Row],[Round]]=$B$77, May_2026_SotM[[#This Row],[Low Seed]]&lt;=2*May_2026_SotM[[#This Row],[Max Seed]]-$A$77, FALSE()))</f>
        <v>1</v>
      </c>
      <c r="I87" s="28" t="s">
        <v>4191</v>
      </c>
      <c r="J87" s="31"/>
      <c r="K87" s="33" t="s">
        <v>4191</v>
      </c>
      <c r="L87" s="35" t="s">
        <v>4191</v>
      </c>
      <c r="M87" s="37" t="s">
        <v>4191</v>
      </c>
      <c r="N87" s="192" t="str">
        <f ca="1">IF(May_2026_SotM[[#This Row],[Num]]&gt;=$A$77, "-", IF(May_2026_SotM[[#This Row],[Initial 1]], VLOOKUP(May_2026_SotM[[#This Row],[Top Seed]], $Z$78:$AE$93, 6, FALSE), OFFSET(May_2026_SotM[[#This Row],[Winner]], May_2026_SotM[[#This Row],[Max Seed]], 0)))</f>
        <v>over it</v>
      </c>
      <c r="O87" s="105">
        <f>COUNTIF(May_2026_SotM[[#This Row],[J]:[H]],"x")</f>
        <v>4</v>
      </c>
      <c r="P87" s="115" t="str">
        <f ca="1">IF(May_2026_SotM[[#This Row],[Num]]&gt;=$A$77, "-", IF(May_2026_SotM[[#This Row],[Score 1]]&gt;=3, May_2026_SotM[[#This Row],[Song 1]], IF(May_2026_SotM[[#This Row],[Score 2]]&gt;=3, May_2026_SotM[[#This Row],[Song 2]], "TBD")))</f>
        <v>over it</v>
      </c>
      <c r="Q87" s="193">
        <f>COUNTIF(May_2026_SotM[[#This Row],[H ]:[J ]],"x")</f>
        <v>1</v>
      </c>
      <c r="R87" s="105" t="str">
        <f ca="1">IF(May_2026_SotM[[#This Row],[Num]]&gt;=$A$77, "-", IF(May_2026_SotM[[#This Row],[Initial 2]], VLOOKUP(May_2026_SotM[[#This Row],[Low Seed]], $Z$78:$AE$93, 6, FALSE), OFFSET(May_2026_SotM[[#This Row],[Winner]], 2*(May_2026_SotM[[#This Row],[Max Seed]]-May_2026_SotM[[#This Row],[Low Seed]])+1, 0)))</f>
        <v>OLD NAVY</v>
      </c>
      <c r="S87" s="37"/>
      <c r="T87" s="35"/>
      <c r="U87" s="33"/>
      <c r="V87" s="31" t="s">
        <v>4191</v>
      </c>
      <c r="W87" s="28"/>
      <c r="X87" s="112" t="str">
        <f ca="1">IF(OR(May_2026_SotM[[#This Row],[Song 1]]="TBD", May_2026_SotM[[#This Row],[Song 2]]="TBD"), "TBD", _xlfn.CONCAT(IF(_xlfn.XOR(ISBLANK(May_2026_SotM[[#This Row],[J]]), ISBLANK(May_2026_SotM[[#This Row],[J ]])), "", "J "), IF(_xlfn.XOR(ISBLANK(May_2026_SotM[[#This Row],[D]]), ISBLANK(May_2026_SotM[[#This Row],[D ]])), "", "D "), IF(_xlfn.XOR(ISBLANK(May_2026_SotM[[#This Row],[L]]), ISBLANK(May_2026_SotM[[#This Row],[L ]])), "", "L "), IF(_xlfn.XOR(ISBLANK(May_2026_SotM[[#This Row],[S]]), ISBLANK(May_2026_SotM[[#This Row],[S ]])), "", "S "), IF(_xlfn.XOR(ISBLANK(May_2026_SotM[[#This Row],[H]]), ISBLANK(May_2026_SotM[[#This Row],[H ]])), "", "H ")))</f>
        <v/>
      </c>
      <c r="Z87" s="109">
        <f t="shared" si="25"/>
        <v>13</v>
      </c>
      <c r="AA87" s="59">
        <v>46161</v>
      </c>
      <c r="AB87" t="str">
        <v>loganworsdell</v>
      </c>
      <c r="AC87" s="3">
        <v>2.6</v>
      </c>
      <c r="AD87">
        <v>1.019803902718557</v>
      </c>
      <c r="AE87" t="str">
        <v>Lying Awake</v>
      </c>
      <c r="AF87" t="str">
        <v>Notes From Under Ground</v>
      </c>
      <c r="AG87" s="100">
        <f t="shared" si="24"/>
        <v>9</v>
      </c>
      <c r="AI87" s="115">
        <f>May_2026_SotM[[#This Row],[Max Seed]]/2 + 1</f>
        <v>9</v>
      </c>
      <c r="AJ87" s="105" t="str">
        <f ca="1">IF(May_2026_SotM[[#This Row],[Num]]&gt;=$A$77, "-", IF(May_2026_SotM[[#This Row],[Score 1]]&gt;=3, May_2026_SotM[[#This Row],[Song 2]], IF(May_2026_SotM[[#This Row],[Score 2]]&gt;=3, May_2026_SotM[[#This Row],[Song 1]], "TBD")))</f>
        <v>OLD NAVY</v>
      </c>
      <c r="AK87" s="3">
        <f ca="1">IFERROR(VLOOKUP(May_2025_Results63[[#This Row],[Song Title]], $AE$78:$AG$93, 3, FALSE)-May_2025_Results63[[#This Row],[Result]], "TBD")</f>
        <v>0</v>
      </c>
      <c r="AL87" s="3" t="str">
        <f t="shared" ca="1" si="26"/>
        <v>-</v>
      </c>
    </row>
    <row r="88" spans="1:38">
      <c r="A88" s="197" t="str">
        <f>_xlfn.CONCAT("Seed ", May_2026_SotM[[#This Row],[Top Seed]], " vs ",May_2026_SotM[[#This Row],[Low Seed]])</f>
        <v>Seed 6 vs 11</v>
      </c>
      <c r="B88" s="115">
        <v>10</v>
      </c>
      <c r="C88" s="105">
        <f>FLOOR(LOG(May_2026_SotM[[#This Row],[Num]], 2), 1)</f>
        <v>3</v>
      </c>
      <c r="D88" s="105">
        <f>2^(May_2026_SotM[[#This Row],[Round]]+1)</f>
        <v>16</v>
      </c>
      <c r="E88" s="105">
        <f>May_2026_SotM[[#This Row],[Max Seed]]-May_2026_SotM[[#This Row],[Num]]</f>
        <v>6</v>
      </c>
      <c r="F88" s="105">
        <f>May_2026_SotM[[#This Row],[Max Seed]]-May_2026_SotM[[#This Row],[Top Seed]]+1</f>
        <v>11</v>
      </c>
      <c r="G88" s="105" t="b">
        <f>IF(May_2026_SotM[[#This Row],[Round]]=$C$77, TRUE(), IF(May_2026_SotM[[#This Row],[Round]]=$B$77, May_2026_SotM[[#This Row],[Top Seed]]&lt;=2*May_2026_SotM[[#This Row],[Max Seed]]-$A$77, FALSE()))</f>
        <v>1</v>
      </c>
      <c r="H88" s="105" t="b">
        <f>IF(May_2026_SotM[[#This Row],[Round]]=$C$77, TRUE(), IF(May_2026_SotM[[#This Row],[Round]]=$B$77, May_2026_SotM[[#This Row],[Low Seed]]&lt;=2*May_2026_SotM[[#This Row],[Max Seed]]-$A$77, FALSE()))</f>
        <v>1</v>
      </c>
      <c r="I88" s="28"/>
      <c r="J88" s="31"/>
      <c r="K88" s="33" t="s">
        <v>4191</v>
      </c>
      <c r="L88" s="35"/>
      <c r="M88" s="37" t="s">
        <v>4191</v>
      </c>
      <c r="N88" s="192" t="str">
        <f ca="1">IF(May_2026_SotM[[#This Row],[Num]]&gt;=$A$77, "-", IF(May_2026_SotM[[#This Row],[Initial 1]], VLOOKUP(May_2026_SotM[[#This Row],[Top Seed]], $Z$78:$AE$93, 6, FALSE), OFFSET(May_2026_SotM[[#This Row],[Winner]], May_2026_SotM[[#This Row],[Max Seed]], 0)))</f>
        <v>Self Aware</v>
      </c>
      <c r="O88" s="105">
        <f>COUNTIF(May_2026_SotM[[#This Row],[J]:[H]],"x")</f>
        <v>2</v>
      </c>
      <c r="P88" s="115" t="str">
        <f ca="1">IF(May_2026_SotM[[#This Row],[Num]]&gt;=$A$77, "-", IF(May_2026_SotM[[#This Row],[Score 1]]&gt;=3, May_2026_SotM[[#This Row],[Song 1]], IF(May_2026_SotM[[#This Row],[Score 2]]&gt;=3, May_2026_SotM[[#This Row],[Song 2]], "TBD")))</f>
        <v>little too quiet</v>
      </c>
      <c r="Q88" s="193">
        <f>COUNTIF(May_2026_SotM[[#This Row],[H ]:[J ]],"x")</f>
        <v>3</v>
      </c>
      <c r="R88" s="105" t="str">
        <f ca="1">IF(May_2026_SotM[[#This Row],[Num]]&gt;=$A$77, "-", IF(May_2026_SotM[[#This Row],[Initial 2]], VLOOKUP(May_2026_SotM[[#This Row],[Low Seed]], $Z$78:$AE$93, 6, FALSE), OFFSET(May_2026_SotM[[#This Row],[Winner]], 2*(May_2026_SotM[[#This Row],[Max Seed]]-May_2026_SotM[[#This Row],[Low Seed]])+1, 0)))</f>
        <v>little too quiet</v>
      </c>
      <c r="S88" s="37"/>
      <c r="T88" s="35" t="s">
        <v>4191</v>
      </c>
      <c r="U88" s="33"/>
      <c r="V88" s="31" t="s">
        <v>4191</v>
      </c>
      <c r="W88" s="28" t="s">
        <v>4191</v>
      </c>
      <c r="X88" s="112" t="str">
        <f ca="1">IF(OR(May_2026_SotM[[#This Row],[Song 1]]="TBD", May_2026_SotM[[#This Row],[Song 2]]="TBD"), "TBD", _xlfn.CONCAT(IF(_xlfn.XOR(ISBLANK(May_2026_SotM[[#This Row],[J]]), ISBLANK(May_2026_SotM[[#This Row],[J ]])), "", "J "), IF(_xlfn.XOR(ISBLANK(May_2026_SotM[[#This Row],[D]]), ISBLANK(May_2026_SotM[[#This Row],[D ]])), "", "D "), IF(_xlfn.XOR(ISBLANK(May_2026_SotM[[#This Row],[L]]), ISBLANK(May_2026_SotM[[#This Row],[L ]])), "", "L "), IF(_xlfn.XOR(ISBLANK(May_2026_SotM[[#This Row],[S]]), ISBLANK(May_2026_SotM[[#This Row],[S ]])), "", "S "), IF(_xlfn.XOR(ISBLANK(May_2026_SotM[[#This Row],[H]]), ISBLANK(May_2026_SotM[[#This Row],[H ]])), "", "H ")))</f>
        <v/>
      </c>
      <c r="Z88" s="109">
        <f t="shared" si="25"/>
        <v>2</v>
      </c>
      <c r="AA88" s="59">
        <v>46162</v>
      </c>
      <c r="AB88" t="str">
        <v>loganworsdell</v>
      </c>
      <c r="AC88" s="3">
        <v>1.6</v>
      </c>
      <c r="AD88">
        <v>0.8</v>
      </c>
      <c r="AE88" t="str">
        <v>atomic</v>
      </c>
      <c r="AF88" t="str">
        <v>Aziya</v>
      </c>
      <c r="AG88" s="100">
        <f t="shared" si="24"/>
        <v>2</v>
      </c>
      <c r="AI88" s="115">
        <f>May_2026_SotM[[#This Row],[Max Seed]]/2 + 1</f>
        <v>9</v>
      </c>
      <c r="AJ88" s="105" t="str">
        <f ca="1">IF(May_2026_SotM[[#This Row],[Num]]&gt;=$A$77, "-", IF(May_2026_SotM[[#This Row],[Score 1]]&gt;=3, May_2026_SotM[[#This Row],[Song 2]], IF(May_2026_SotM[[#This Row],[Score 2]]&gt;=3, May_2026_SotM[[#This Row],[Song 1]], "TBD")))</f>
        <v>Self Aware</v>
      </c>
      <c r="AK88" s="3">
        <f ca="1">IFERROR(VLOOKUP(May_2025_Results63[[#This Row],[Song Title]], $AE$78:$AG$93, 3, FALSE)-May_2025_Results63[[#This Row],[Result]], "TBD")</f>
        <v>-4</v>
      </c>
      <c r="AL88" s="3" t="str">
        <f t="shared" ca="1" si="26"/>
        <v>↓</v>
      </c>
    </row>
    <row r="89" spans="1:38">
      <c r="A89" s="197" t="str">
        <f>_xlfn.CONCAT("Seed ", May_2026_SotM[[#This Row],[Top Seed]], " vs ",May_2026_SotM[[#This Row],[Low Seed]])</f>
        <v>Seed 5 vs 12</v>
      </c>
      <c r="B89" s="115">
        <v>11</v>
      </c>
      <c r="C89" s="105">
        <f>FLOOR(LOG(May_2026_SotM[[#This Row],[Num]], 2), 1)</f>
        <v>3</v>
      </c>
      <c r="D89" s="105">
        <f>2^(May_2026_SotM[[#This Row],[Round]]+1)</f>
        <v>16</v>
      </c>
      <c r="E89" s="105">
        <f>May_2026_SotM[[#This Row],[Max Seed]]-May_2026_SotM[[#This Row],[Num]]</f>
        <v>5</v>
      </c>
      <c r="F89" s="105">
        <f>May_2026_SotM[[#This Row],[Max Seed]]-May_2026_SotM[[#This Row],[Top Seed]]+1</f>
        <v>12</v>
      </c>
      <c r="G89" s="105" t="b">
        <f>IF(May_2026_SotM[[#This Row],[Round]]=$C$77, TRUE(), IF(May_2026_SotM[[#This Row],[Round]]=$B$77, May_2026_SotM[[#This Row],[Top Seed]]&lt;=2*May_2026_SotM[[#This Row],[Max Seed]]-$A$77, FALSE()))</f>
        <v>1</v>
      </c>
      <c r="H89" s="105" t="b">
        <f>IF(May_2026_SotM[[#This Row],[Round]]=$C$77, TRUE(), IF(May_2026_SotM[[#This Row],[Round]]=$B$77, May_2026_SotM[[#This Row],[Low Seed]]&lt;=2*May_2026_SotM[[#This Row],[Max Seed]]-$A$77, FALSE()))</f>
        <v>1</v>
      </c>
      <c r="I89" s="28"/>
      <c r="J89" s="31"/>
      <c r="K89" s="33"/>
      <c r="L89" s="35"/>
      <c r="M89" s="37"/>
      <c r="N89" s="192" t="str">
        <f ca="1">IF(May_2026_SotM[[#This Row],[Num]]&gt;=$A$77, "-", IF(May_2026_SotM[[#This Row],[Initial 1]], VLOOKUP(May_2026_SotM[[#This Row],[Top Seed]], $Z$78:$AE$93, 6, FALSE), OFFSET(May_2026_SotM[[#This Row],[Winner]], May_2026_SotM[[#This Row],[Max Seed]], 0)))</f>
        <v>Ride</v>
      </c>
      <c r="O89" s="105">
        <f>COUNTIF(May_2026_SotM[[#This Row],[J]:[H]],"x")</f>
        <v>0</v>
      </c>
      <c r="P89" s="115" t="str">
        <f ca="1">IF(May_2026_SotM[[#This Row],[Num]]&gt;=$A$77, "-", IF(May_2026_SotM[[#This Row],[Score 1]]&gt;=3, May_2026_SotM[[#This Row],[Song 1]], IF(May_2026_SotM[[#This Row],[Score 2]]&gt;=3, May_2026_SotM[[#This Row],[Song 2]], "TBD")))</f>
        <v>Dancing Alone</v>
      </c>
      <c r="Q89" s="193">
        <f>COUNTIF(May_2026_SotM[[#This Row],[H ]:[J ]],"x")</f>
        <v>5</v>
      </c>
      <c r="R89" s="105" t="str">
        <f ca="1">IF(May_2026_SotM[[#This Row],[Num]]&gt;=$A$77, "-", IF(May_2026_SotM[[#This Row],[Initial 2]], VLOOKUP(May_2026_SotM[[#This Row],[Low Seed]], $Z$78:$AE$93, 6, FALSE), OFFSET(May_2026_SotM[[#This Row],[Winner]], 2*(May_2026_SotM[[#This Row],[Max Seed]]-May_2026_SotM[[#This Row],[Low Seed]])+1, 0)))</f>
        <v>Dancing Alone</v>
      </c>
      <c r="S89" s="37" t="s">
        <v>4191</v>
      </c>
      <c r="T89" s="35" t="s">
        <v>4191</v>
      </c>
      <c r="U89" s="33" t="s">
        <v>4191</v>
      </c>
      <c r="V89" s="31" t="s">
        <v>4191</v>
      </c>
      <c r="W89" s="28" t="s">
        <v>4191</v>
      </c>
      <c r="X89" s="112" t="str">
        <f ca="1">IF(OR(May_2026_SotM[[#This Row],[Song 1]]="TBD", May_2026_SotM[[#This Row],[Song 2]]="TBD"), "TBD", _xlfn.CONCAT(IF(_xlfn.XOR(ISBLANK(May_2026_SotM[[#This Row],[J]]), ISBLANK(May_2026_SotM[[#This Row],[J ]])), "", "J "), IF(_xlfn.XOR(ISBLANK(May_2026_SotM[[#This Row],[D]]), ISBLANK(May_2026_SotM[[#This Row],[D ]])), "", "D "), IF(_xlfn.XOR(ISBLANK(May_2026_SotM[[#This Row],[L]]), ISBLANK(May_2026_SotM[[#This Row],[L ]])), "", "L "), IF(_xlfn.XOR(ISBLANK(May_2026_SotM[[#This Row],[S]]), ISBLANK(May_2026_SotM[[#This Row],[S ]])), "", "S "), IF(_xlfn.XOR(ISBLANK(May_2026_SotM[[#This Row],[H]]), ISBLANK(May_2026_SotM[[#This Row],[H ]])), "", "H ")))</f>
        <v/>
      </c>
      <c r="Z89" s="109">
        <f t="shared" si="25"/>
        <v>4</v>
      </c>
      <c r="AA89" s="59">
        <v>46163</v>
      </c>
      <c r="AB89" t="str">
        <v>currydestroyer27</v>
      </c>
      <c r="AC89" s="3">
        <v>1.8</v>
      </c>
      <c r="AD89">
        <v>0.4</v>
      </c>
      <c r="AE89" t="str">
        <v>Kuch Kuch Hota Hai</v>
      </c>
      <c r="AF89" t="str">
        <v>Kavita Krishnamurthy, Jatin-Lalit, Udit Narayan, Alka Yagnik</v>
      </c>
      <c r="AG89" s="100">
        <f t="shared" si="24"/>
        <v>3</v>
      </c>
      <c r="AI89" s="115">
        <f>May_2026_SotM[[#This Row],[Max Seed]]/2 + 1</f>
        <v>9</v>
      </c>
      <c r="AJ89" s="105" t="str">
        <f ca="1">IF(May_2026_SotM[[#This Row],[Num]]&gt;=$A$77, "-", IF(May_2026_SotM[[#This Row],[Score 1]]&gt;=3, May_2026_SotM[[#This Row],[Song 2]], IF(May_2026_SotM[[#This Row],[Score 2]]&gt;=3, May_2026_SotM[[#This Row],[Song 1]], "TBD")))</f>
        <v>Ride</v>
      </c>
      <c r="AK89" s="3">
        <f ca="1">IFERROR(VLOOKUP(May_2025_Results63[[#This Row],[Song Title]], $AE$78:$AG$93, 3, FALSE)-May_2025_Results63[[#This Row],[Result]], "TBD")</f>
        <v>-4</v>
      </c>
      <c r="AL89" s="3" t="str">
        <f t="shared" ca="1" si="26"/>
        <v>↓</v>
      </c>
    </row>
    <row r="90" spans="1:38">
      <c r="A90" s="197" t="str">
        <f>_xlfn.CONCAT("Seed ", May_2026_SotM[[#This Row],[Top Seed]], " vs ",May_2026_SotM[[#This Row],[Low Seed]])</f>
        <v>Seed 4 vs 13</v>
      </c>
      <c r="B90" s="115">
        <v>12</v>
      </c>
      <c r="C90" s="105">
        <f>FLOOR(LOG(May_2026_SotM[[#This Row],[Num]], 2), 1)</f>
        <v>3</v>
      </c>
      <c r="D90" s="105">
        <f>2^(May_2026_SotM[[#This Row],[Round]]+1)</f>
        <v>16</v>
      </c>
      <c r="E90" s="105">
        <f>May_2026_SotM[[#This Row],[Max Seed]]-May_2026_SotM[[#This Row],[Num]]</f>
        <v>4</v>
      </c>
      <c r="F90" s="105">
        <f>May_2026_SotM[[#This Row],[Max Seed]]-May_2026_SotM[[#This Row],[Top Seed]]+1</f>
        <v>13</v>
      </c>
      <c r="G90" s="105" t="b">
        <f>IF(May_2026_SotM[[#This Row],[Round]]=$C$77, TRUE(), IF(May_2026_SotM[[#This Row],[Round]]=$B$77, May_2026_SotM[[#This Row],[Top Seed]]&lt;=2*May_2026_SotM[[#This Row],[Max Seed]]-$A$77, FALSE()))</f>
        <v>1</v>
      </c>
      <c r="H90" s="105" t="b">
        <f>IF(May_2026_SotM[[#This Row],[Round]]=$C$77, TRUE(), IF(May_2026_SotM[[#This Row],[Round]]=$B$77, May_2026_SotM[[#This Row],[Low Seed]]&lt;=2*May_2026_SotM[[#This Row],[Max Seed]]-$A$77, FALSE()))</f>
        <v>1</v>
      </c>
      <c r="I90" s="28" t="s">
        <v>4191</v>
      </c>
      <c r="J90" s="31"/>
      <c r="K90" s="33"/>
      <c r="L90" s="35"/>
      <c r="M90" s="37" t="s">
        <v>4191</v>
      </c>
      <c r="N90" s="192" t="str">
        <f ca="1">IF(May_2026_SotM[[#This Row],[Num]]&gt;=$A$77, "-", IF(May_2026_SotM[[#This Row],[Initial 1]], VLOOKUP(May_2026_SotM[[#This Row],[Top Seed]], $Z$78:$AE$93, 6, FALSE), OFFSET(May_2026_SotM[[#This Row],[Winner]], May_2026_SotM[[#This Row],[Max Seed]], 0)))</f>
        <v>Kuch Kuch Hota Hai</v>
      </c>
      <c r="O90" s="105">
        <f>COUNTIF(May_2026_SotM[[#This Row],[J]:[H]],"x")</f>
        <v>2</v>
      </c>
      <c r="P90" s="115" t="str">
        <f ca="1">IF(May_2026_SotM[[#This Row],[Num]]&gt;=$A$77, "-", IF(May_2026_SotM[[#This Row],[Score 1]]&gt;=3, May_2026_SotM[[#This Row],[Song 1]], IF(May_2026_SotM[[#This Row],[Score 2]]&gt;=3, May_2026_SotM[[#This Row],[Song 2]], "TBD")))</f>
        <v>Lying Awake</v>
      </c>
      <c r="Q90" s="193">
        <f>COUNTIF(May_2026_SotM[[#This Row],[H ]:[J ]],"x")</f>
        <v>3</v>
      </c>
      <c r="R90" s="105" t="str">
        <f ca="1">IF(May_2026_SotM[[#This Row],[Num]]&gt;=$A$77, "-", IF(May_2026_SotM[[#This Row],[Initial 2]], VLOOKUP(May_2026_SotM[[#This Row],[Low Seed]], $Z$78:$AE$93, 6, FALSE), OFFSET(May_2026_SotM[[#This Row],[Winner]], 2*(May_2026_SotM[[#This Row],[Max Seed]]-May_2026_SotM[[#This Row],[Low Seed]])+1, 0)))</f>
        <v>Lying Awake</v>
      </c>
      <c r="S90" s="37"/>
      <c r="T90" s="35" t="s">
        <v>4191</v>
      </c>
      <c r="U90" s="33" t="s">
        <v>4191</v>
      </c>
      <c r="V90" s="31" t="s">
        <v>4191</v>
      </c>
      <c r="W90" s="28"/>
      <c r="X90" s="112" t="str">
        <f ca="1">IF(OR(May_2026_SotM[[#This Row],[Song 1]]="TBD", May_2026_SotM[[#This Row],[Song 2]]="TBD"), "TBD", _xlfn.CONCAT(IF(_xlfn.XOR(ISBLANK(May_2026_SotM[[#This Row],[J]]), ISBLANK(May_2026_SotM[[#This Row],[J ]])), "", "J "), IF(_xlfn.XOR(ISBLANK(May_2026_SotM[[#This Row],[D]]), ISBLANK(May_2026_SotM[[#This Row],[D ]])), "", "D "), IF(_xlfn.XOR(ISBLANK(May_2026_SotM[[#This Row],[L]]), ISBLANK(May_2026_SotM[[#This Row],[L ]])), "", "L "), IF(_xlfn.XOR(ISBLANK(May_2026_SotM[[#This Row],[S]]), ISBLANK(May_2026_SotM[[#This Row],[S ]])), "", "S "), IF(_xlfn.XOR(ISBLANK(May_2026_SotM[[#This Row],[H]]), ISBLANK(May_2026_SotM[[#This Row],[H ]])), "", "H ")))</f>
        <v/>
      </c>
      <c r="Z90" s="109">
        <f t="shared" si="25"/>
        <v>14</v>
      </c>
      <c r="AA90" s="59">
        <v>46167</v>
      </c>
      <c r="AB90" t="str">
        <v>danram</v>
      </c>
      <c r="AC90" s="3">
        <v>2.6</v>
      </c>
      <c r="AD90">
        <v>1.019803902718557</v>
      </c>
      <c r="AE90" t="str">
        <v>DETONO</v>
      </c>
      <c r="AF90" t="str">
        <v>Sech, Kris R.</v>
      </c>
      <c r="AG90" s="100">
        <f t="shared" si="24"/>
        <v>9</v>
      </c>
      <c r="AI90" s="115">
        <f>May_2026_SotM[[#This Row],[Max Seed]]/2 + 1</f>
        <v>9</v>
      </c>
      <c r="AJ90" s="105" t="str">
        <f ca="1">IF(May_2026_SotM[[#This Row],[Num]]&gt;=$A$77, "-", IF(May_2026_SotM[[#This Row],[Score 1]]&gt;=3, May_2026_SotM[[#This Row],[Song 2]], IF(May_2026_SotM[[#This Row],[Score 2]]&gt;=3, May_2026_SotM[[#This Row],[Song 1]], "TBD")))</f>
        <v>Kuch Kuch Hota Hai</v>
      </c>
      <c r="AK90" s="3">
        <f ca="1">IFERROR(VLOOKUP(May_2025_Results63[[#This Row],[Song Title]], $AE$78:$AG$93, 3, FALSE)-May_2025_Results63[[#This Row],[Result]], "TBD")</f>
        <v>-6</v>
      </c>
      <c r="AL90" s="3" t="str">
        <f t="shared" ca="1" si="26"/>
        <v>↓</v>
      </c>
    </row>
    <row r="91" spans="1:38">
      <c r="A91" s="197" t="str">
        <f>_xlfn.CONCAT("Seed ", May_2026_SotM[[#This Row],[Top Seed]], " vs ",May_2026_SotM[[#This Row],[Low Seed]])</f>
        <v>Seed 3 vs 14</v>
      </c>
      <c r="B91" s="115">
        <v>13</v>
      </c>
      <c r="C91" s="105">
        <f>FLOOR(LOG(May_2026_SotM[[#This Row],[Num]], 2), 1)</f>
        <v>3</v>
      </c>
      <c r="D91" s="105">
        <f>2^(May_2026_SotM[[#This Row],[Round]]+1)</f>
        <v>16</v>
      </c>
      <c r="E91" s="105">
        <f>May_2026_SotM[[#This Row],[Max Seed]]-May_2026_SotM[[#This Row],[Num]]</f>
        <v>3</v>
      </c>
      <c r="F91" s="105">
        <f>May_2026_SotM[[#This Row],[Max Seed]]-May_2026_SotM[[#This Row],[Top Seed]]+1</f>
        <v>14</v>
      </c>
      <c r="G91" s="105" t="b">
        <f>IF(May_2026_SotM[[#This Row],[Round]]=$C$77, TRUE(), IF(May_2026_SotM[[#This Row],[Round]]=$B$77, May_2026_SotM[[#This Row],[Top Seed]]&lt;=2*May_2026_SotM[[#This Row],[Max Seed]]-$A$77, FALSE()))</f>
        <v>1</v>
      </c>
      <c r="H91" s="105" t="b">
        <f>IF(May_2026_SotM[[#This Row],[Round]]=$C$77, TRUE(), IF(May_2026_SotM[[#This Row],[Round]]=$B$77, May_2026_SotM[[#This Row],[Low Seed]]&lt;=2*May_2026_SotM[[#This Row],[Max Seed]]-$A$77, FALSE()))</f>
        <v>1</v>
      </c>
      <c r="I91" s="28"/>
      <c r="J91" s="31"/>
      <c r="K91" s="33" t="s">
        <v>4191</v>
      </c>
      <c r="L91" s="35" t="s">
        <v>4191</v>
      </c>
      <c r="M91" s="37" t="s">
        <v>4191</v>
      </c>
      <c r="N91" s="192" t="str">
        <f ca="1">IF(May_2026_SotM[[#This Row],[Num]]&gt;=$A$77, "-", IF(May_2026_SotM[[#This Row],[Initial 1]], VLOOKUP(May_2026_SotM[[#This Row],[Top Seed]], $Z$78:$AE$93, 6, FALSE), OFFSET(May_2026_SotM[[#This Row],[Winner]], May_2026_SotM[[#This Row],[Max Seed]], 0)))</f>
        <v>Roommates</v>
      </c>
      <c r="O91" s="105">
        <f>COUNTIF(May_2026_SotM[[#This Row],[J]:[H]],"x")</f>
        <v>3</v>
      </c>
      <c r="P91" s="115" t="str">
        <f ca="1">IF(May_2026_SotM[[#This Row],[Num]]&gt;=$A$77, "-", IF(May_2026_SotM[[#This Row],[Score 1]]&gt;=3, May_2026_SotM[[#This Row],[Song 1]], IF(May_2026_SotM[[#This Row],[Score 2]]&gt;=3, May_2026_SotM[[#This Row],[Song 2]], "TBD")))</f>
        <v>Roommates</v>
      </c>
      <c r="Q91" s="193">
        <f>COUNTIF(May_2026_SotM[[#This Row],[H ]:[J ]],"x")</f>
        <v>2</v>
      </c>
      <c r="R91" s="105" t="str">
        <f ca="1">IF(May_2026_SotM[[#This Row],[Num]]&gt;=$A$77, "-", IF(May_2026_SotM[[#This Row],[Initial 2]], VLOOKUP(May_2026_SotM[[#This Row],[Low Seed]], $Z$78:$AE$93, 6, FALSE), OFFSET(May_2026_SotM[[#This Row],[Winner]], 2*(May_2026_SotM[[#This Row],[Max Seed]]-May_2026_SotM[[#This Row],[Low Seed]])+1, 0)))</f>
        <v>DETONO</v>
      </c>
      <c r="S91" s="37"/>
      <c r="T91" s="35"/>
      <c r="U91" s="33"/>
      <c r="V91" s="31" t="s">
        <v>4191</v>
      </c>
      <c r="W91" s="28" t="s">
        <v>4191</v>
      </c>
      <c r="X91" s="112" t="str">
        <f ca="1">IF(OR(May_2026_SotM[[#This Row],[Song 1]]="TBD", May_2026_SotM[[#This Row],[Song 2]]="TBD"), "TBD", _xlfn.CONCAT(IF(_xlfn.XOR(ISBLANK(May_2026_SotM[[#This Row],[J]]), ISBLANK(May_2026_SotM[[#This Row],[J ]])), "", "J "), IF(_xlfn.XOR(ISBLANK(May_2026_SotM[[#This Row],[D]]), ISBLANK(May_2026_SotM[[#This Row],[D ]])), "", "D "), IF(_xlfn.XOR(ISBLANK(May_2026_SotM[[#This Row],[L]]), ISBLANK(May_2026_SotM[[#This Row],[L ]])), "", "L "), IF(_xlfn.XOR(ISBLANK(May_2026_SotM[[#This Row],[S]]), ISBLANK(May_2026_SotM[[#This Row],[S ]])), "", "S "), IF(_xlfn.XOR(ISBLANK(May_2026_SotM[[#This Row],[H]]), ISBLANK(May_2026_SotM[[#This Row],[H ]])), "", "H ")))</f>
        <v/>
      </c>
      <c r="Z91" s="109">
        <f t="shared" si="25"/>
        <v>3</v>
      </c>
      <c r="AA91" s="59">
        <v>46168</v>
      </c>
      <c r="AB91" t="str">
        <v>loganworsdell</v>
      </c>
      <c r="AC91" s="3">
        <v>1.6</v>
      </c>
      <c r="AD91">
        <v>0.8</v>
      </c>
      <c r="AE91" t="str">
        <v>Roommates</v>
      </c>
      <c r="AF91" t="str">
        <v>Malcolm Todd</v>
      </c>
      <c r="AG91" s="100">
        <f t="shared" si="24"/>
        <v>3</v>
      </c>
      <c r="AI91" s="115">
        <f>May_2026_SotM[[#This Row],[Max Seed]]/2 + 1</f>
        <v>9</v>
      </c>
      <c r="AJ91" s="105" t="str">
        <f ca="1">IF(May_2026_SotM[[#This Row],[Num]]&gt;=$A$77, "-", IF(May_2026_SotM[[#This Row],[Score 1]]&gt;=3, May_2026_SotM[[#This Row],[Song 2]], IF(May_2026_SotM[[#This Row],[Score 2]]&gt;=3, May_2026_SotM[[#This Row],[Song 1]], "TBD")))</f>
        <v>DETONO</v>
      </c>
      <c r="AK91" s="3">
        <f ca="1">IFERROR(VLOOKUP(May_2025_Results63[[#This Row],[Song Title]], $AE$78:$AG$93, 3, FALSE)-May_2025_Results63[[#This Row],[Result]], "TBD")</f>
        <v>0</v>
      </c>
      <c r="AL91" s="3" t="str">
        <f t="shared" ca="1" si="26"/>
        <v>-</v>
      </c>
    </row>
    <row r="92" spans="1:38">
      <c r="A92" s="197" t="str">
        <f>_xlfn.CONCAT("Seed ", May_2026_SotM[[#This Row],[Top Seed]], " vs ",May_2026_SotM[[#This Row],[Low Seed]])</f>
        <v>Seed 2 vs 15</v>
      </c>
      <c r="B92" s="115">
        <v>14</v>
      </c>
      <c r="C92" s="105">
        <f>FLOOR(LOG(May_2026_SotM[[#This Row],[Num]], 2), 1)</f>
        <v>3</v>
      </c>
      <c r="D92" s="105">
        <f>2^(May_2026_SotM[[#This Row],[Round]]+1)</f>
        <v>16</v>
      </c>
      <c r="E92" s="105">
        <f>May_2026_SotM[[#This Row],[Max Seed]]-May_2026_SotM[[#This Row],[Num]]</f>
        <v>2</v>
      </c>
      <c r="F92" s="105">
        <f>May_2026_SotM[[#This Row],[Max Seed]]-May_2026_SotM[[#This Row],[Top Seed]]+1</f>
        <v>15</v>
      </c>
      <c r="G92" s="105" t="b">
        <f>IF(May_2026_SotM[[#This Row],[Round]]=$C$77, TRUE(), IF(May_2026_SotM[[#This Row],[Round]]=$B$77, May_2026_SotM[[#This Row],[Top Seed]]&lt;=2*May_2026_SotM[[#This Row],[Max Seed]]-$A$77, FALSE()))</f>
        <v>1</v>
      </c>
      <c r="H92" s="105" t="b">
        <f>IF(May_2026_SotM[[#This Row],[Round]]=$C$77, TRUE(), IF(May_2026_SotM[[#This Row],[Round]]=$B$77, May_2026_SotM[[#This Row],[Low Seed]]&lt;=2*May_2026_SotM[[#This Row],[Max Seed]]-$A$77, FALSE()))</f>
        <v>1</v>
      </c>
      <c r="I92" s="28"/>
      <c r="J92" s="31" t="s">
        <v>4191</v>
      </c>
      <c r="K92" s="33" t="s">
        <v>4191</v>
      </c>
      <c r="L92" s="35" t="s">
        <v>4191</v>
      </c>
      <c r="M92" s="37" t="s">
        <v>4191</v>
      </c>
      <c r="N92" s="192" t="str">
        <f ca="1">IF(May_2026_SotM[[#This Row],[Num]]&gt;=$A$77, "-", IF(May_2026_SotM[[#This Row],[Initial 1]], VLOOKUP(May_2026_SotM[[#This Row],[Top Seed]], $Z$78:$AE$93, 6, FALSE), OFFSET(May_2026_SotM[[#This Row],[Winner]], May_2026_SotM[[#This Row],[Max Seed]], 0)))</f>
        <v>atomic</v>
      </c>
      <c r="O92" s="105">
        <f>COUNTIF(May_2026_SotM[[#This Row],[J]:[H]],"x")</f>
        <v>4</v>
      </c>
      <c r="P92" s="115" t="str">
        <f ca="1">IF(May_2026_SotM[[#This Row],[Num]]&gt;=$A$77, "-", IF(May_2026_SotM[[#This Row],[Score 1]]&gt;=3, May_2026_SotM[[#This Row],[Song 1]], IF(May_2026_SotM[[#This Row],[Score 2]]&gt;=3, May_2026_SotM[[#This Row],[Song 2]], "TBD")))</f>
        <v>atomic</v>
      </c>
      <c r="Q92" s="193">
        <f>COUNTIF(May_2026_SotM[[#This Row],[H ]:[J ]],"x")</f>
        <v>1</v>
      </c>
      <c r="R92" s="105" t="str">
        <f ca="1">IF(May_2026_SotM[[#This Row],[Num]]&gt;=$A$77, "-", IF(May_2026_SotM[[#This Row],[Initial 2]], VLOOKUP(May_2026_SotM[[#This Row],[Low Seed]], $Z$78:$AE$93, 6, FALSE), OFFSET(May_2026_SotM[[#This Row],[Winner]], 2*(May_2026_SotM[[#This Row],[Max Seed]]-May_2026_SotM[[#This Row],[Low Seed]])+1, 0)))</f>
        <v>ABG</v>
      </c>
      <c r="S92" s="37"/>
      <c r="T92" s="35"/>
      <c r="U92" s="33"/>
      <c r="V92" s="31"/>
      <c r="W92" s="28" t="s">
        <v>4191</v>
      </c>
      <c r="X92" s="112" t="str">
        <f ca="1">IF(OR(May_2026_SotM[[#This Row],[Song 1]]="TBD", May_2026_SotM[[#This Row],[Song 2]]="TBD"), "TBD", _xlfn.CONCAT(IF(_xlfn.XOR(ISBLANK(May_2026_SotM[[#This Row],[J]]), ISBLANK(May_2026_SotM[[#This Row],[J ]])), "", "J "), IF(_xlfn.XOR(ISBLANK(May_2026_SotM[[#This Row],[D]]), ISBLANK(May_2026_SotM[[#This Row],[D ]])), "", "D "), IF(_xlfn.XOR(ISBLANK(May_2026_SotM[[#This Row],[L]]), ISBLANK(May_2026_SotM[[#This Row],[L ]])), "", "L "), IF(_xlfn.XOR(ISBLANK(May_2026_SotM[[#This Row],[S]]), ISBLANK(May_2026_SotM[[#This Row],[S ]])), "", "S "), IF(_xlfn.XOR(ISBLANK(May_2026_SotM[[#This Row],[H]]), ISBLANK(May_2026_SotM[[#This Row],[H ]])), "", "H ")))</f>
        <v/>
      </c>
      <c r="Z92" s="109">
        <f t="shared" si="25"/>
        <v>8</v>
      </c>
      <c r="AA92" s="59">
        <v>46169</v>
      </c>
      <c r="AB92" t="str">
        <v>currydestroyer27</v>
      </c>
      <c r="AC92" s="3">
        <v>2</v>
      </c>
      <c r="AD92">
        <v>1.2649110640673518</v>
      </c>
      <c r="AE92" t="str">
        <v>Remember When</v>
      </c>
      <c r="AF92" t="str">
        <v>Wallows</v>
      </c>
      <c r="AG92" s="100">
        <f t="shared" si="24"/>
        <v>5</v>
      </c>
      <c r="AI92" s="115">
        <f>May_2026_SotM[[#This Row],[Max Seed]]/2 + 1</f>
        <v>9</v>
      </c>
      <c r="AJ92" s="105" t="str">
        <f ca="1">IF(May_2026_SotM[[#This Row],[Num]]&gt;=$A$77, "-", IF(May_2026_SotM[[#This Row],[Score 1]]&gt;=3, May_2026_SotM[[#This Row],[Song 2]], IF(May_2026_SotM[[#This Row],[Score 2]]&gt;=3, May_2026_SotM[[#This Row],[Song 1]], "TBD")))</f>
        <v>ABG</v>
      </c>
      <c r="AK92" s="3">
        <f ca="1">IFERROR(VLOOKUP(May_2025_Results63[[#This Row],[Song Title]], $AE$78:$AG$93, 3, FALSE)-May_2025_Results63[[#This Row],[Result]], "TBD")</f>
        <v>0</v>
      </c>
      <c r="AL92" s="3" t="str">
        <f t="shared" ca="1" si="26"/>
        <v>-</v>
      </c>
    </row>
    <row r="93" spans="1:38">
      <c r="A93" s="197" t="str">
        <f>_xlfn.CONCAT("Seed ", May_2026_SotM[[#This Row],[Top Seed]], " vs ",May_2026_SotM[[#This Row],[Low Seed]])</f>
        <v>Seed 1 vs 16</v>
      </c>
      <c r="B93" s="115">
        <v>15</v>
      </c>
      <c r="C93" s="105">
        <f>FLOOR(LOG(May_2026_SotM[[#This Row],[Num]], 2), 1)</f>
        <v>3</v>
      </c>
      <c r="D93" s="105">
        <f>2^(May_2026_SotM[[#This Row],[Round]]+1)</f>
        <v>16</v>
      </c>
      <c r="E93" s="105">
        <f>May_2026_SotM[[#This Row],[Max Seed]]-May_2026_SotM[[#This Row],[Num]]</f>
        <v>1</v>
      </c>
      <c r="F93" s="105">
        <f>May_2026_SotM[[#This Row],[Max Seed]]-May_2026_SotM[[#This Row],[Top Seed]]+1</f>
        <v>16</v>
      </c>
      <c r="G93" s="105" t="b">
        <f>IF(May_2026_SotM[[#This Row],[Round]]=$C$77, TRUE(), IF(May_2026_SotM[[#This Row],[Round]]=$B$77, May_2026_SotM[[#This Row],[Top Seed]]&lt;=2*May_2026_SotM[[#This Row],[Max Seed]]-$A$77, FALSE()))</f>
        <v>1</v>
      </c>
      <c r="H93" s="105" t="b">
        <f>IF(May_2026_SotM[[#This Row],[Round]]=$C$77, TRUE(), IF(May_2026_SotM[[#This Row],[Round]]=$B$77, May_2026_SotM[[#This Row],[Low Seed]]&lt;=2*May_2026_SotM[[#This Row],[Max Seed]]-$A$77, FALSE()))</f>
        <v>1</v>
      </c>
      <c r="I93" s="28" t="s">
        <v>4191</v>
      </c>
      <c r="J93" s="31" t="s">
        <v>4191</v>
      </c>
      <c r="K93" s="33" t="s">
        <v>4191</v>
      </c>
      <c r="L93" s="35" t="s">
        <v>4191</v>
      </c>
      <c r="M93" s="37" t="s">
        <v>4191</v>
      </c>
      <c r="N93" s="192" t="str">
        <f ca="1">IF(May_2026_SotM[[#This Row],[Num]]&gt;=$A$77, "-", IF(May_2026_SotM[[#This Row],[Initial 1]], VLOOKUP(May_2026_SotM[[#This Row],[Top Seed]], $Z$78:$AE$93, 6, FALSE), OFFSET(May_2026_SotM[[#This Row],[Winner]], May_2026_SotM[[#This Row],[Max Seed]], 0)))</f>
        <v>Girl Front</v>
      </c>
      <c r="O93" s="105">
        <f>COUNTIF(May_2026_SotM[[#This Row],[J]:[H]],"x")</f>
        <v>5</v>
      </c>
      <c r="P93" s="115" t="str">
        <f ca="1">IF(May_2026_SotM[[#This Row],[Num]]&gt;=$A$77, "-", IF(May_2026_SotM[[#This Row],[Score 1]]&gt;=3, May_2026_SotM[[#This Row],[Song 1]], IF(May_2026_SotM[[#This Row],[Score 2]]&gt;=3, May_2026_SotM[[#This Row],[Song 2]], "TBD")))</f>
        <v>Girl Front</v>
      </c>
      <c r="Q93" s="193">
        <f>COUNTIF(May_2026_SotM[[#This Row],[H ]:[J ]],"x")</f>
        <v>0</v>
      </c>
      <c r="R93" s="105" t="str">
        <f ca="1">IF(May_2026_SotM[[#This Row],[Num]]&gt;=$A$77, "-", IF(May_2026_SotM[[#This Row],[Initial 2]], VLOOKUP(May_2026_SotM[[#This Row],[Low Seed]], $Z$78:$AE$93, 6, FALSE), OFFSET(May_2026_SotM[[#This Row],[Winner]], 2*(May_2026_SotM[[#This Row],[Max Seed]]-May_2026_SotM[[#This Row],[Low Seed]])+1, 0)))</f>
        <v>Gimmie</v>
      </c>
      <c r="S93" s="37"/>
      <c r="T93" s="35"/>
      <c r="U93" s="33"/>
      <c r="V93" s="31"/>
      <c r="W93" s="28"/>
      <c r="X93" s="112" t="str">
        <f ca="1">IF(OR(May_2026_SotM[[#This Row],[Song 1]]="TBD", May_2026_SotM[[#This Row],[Song 2]]="TBD"), "TBD", _xlfn.CONCAT(IF(_xlfn.XOR(ISBLANK(May_2026_SotM[[#This Row],[J]]), ISBLANK(May_2026_SotM[[#This Row],[J ]])), "", "J "), IF(_xlfn.XOR(ISBLANK(May_2026_SotM[[#This Row],[D]]), ISBLANK(May_2026_SotM[[#This Row],[D ]])), "", "D "), IF(_xlfn.XOR(ISBLANK(May_2026_SotM[[#This Row],[L]]), ISBLANK(May_2026_SotM[[#This Row],[L ]])), "", "L "), IF(_xlfn.XOR(ISBLANK(May_2026_SotM[[#This Row],[S]]), ISBLANK(May_2026_SotM[[#This Row],[S ]])), "", "S "), IF(_xlfn.XOR(ISBLANK(May_2026_SotM[[#This Row],[H]]), ISBLANK(May_2026_SotM[[#This Row],[H ]])), "", "H ")))</f>
        <v/>
      </c>
      <c r="Z93" s="110">
        <f t="shared" si="25"/>
        <v>5</v>
      </c>
      <c r="AA93" s="211">
        <v>46170</v>
      </c>
      <c r="AB93" s="157" t="str">
        <v>loganworsdell</v>
      </c>
      <c r="AC93" s="101">
        <v>1.8</v>
      </c>
      <c r="AD93" s="157">
        <v>0.74833147735478833</v>
      </c>
      <c r="AE93" s="157" t="str">
        <v>Ride</v>
      </c>
      <c r="AF93" s="157" t="str">
        <v>Twenty One Pilots</v>
      </c>
      <c r="AG93" s="102">
        <f t="shared" si="24"/>
        <v>5</v>
      </c>
      <c r="AI93" s="115">
        <f>May_2026_SotM[[#This Row],[Max Seed]]/2 + 1</f>
        <v>9</v>
      </c>
      <c r="AJ93" s="105" t="str">
        <f ca="1">IF(May_2026_SotM[[#This Row],[Num]]&gt;=$A$77, "-", IF(May_2026_SotM[[#This Row],[Score 1]]&gt;=3, May_2026_SotM[[#This Row],[Song 2]], IF(May_2026_SotM[[#This Row],[Score 2]]&gt;=3, May_2026_SotM[[#This Row],[Song 1]], "TBD")))</f>
        <v>Gimmie</v>
      </c>
      <c r="AK93" s="3">
        <f ca="1">IFERROR(VLOOKUP(May_2025_Results63[[#This Row],[Song Title]], $AE$78:$AG$93, 3, FALSE)-May_2025_Results63[[#This Row],[Result]], "TBD")</f>
        <v>0</v>
      </c>
      <c r="AL93" s="3" t="str">
        <f t="shared" ca="1" si="26"/>
        <v>-</v>
      </c>
    </row>
    <row r="95" spans="1:38">
      <c r="A95" s="302">
        <f>MAX(Z96:Z113)</f>
        <v>18</v>
      </c>
      <c r="B95" s="302">
        <f t="shared" ref="B95" si="27">FLOOR(LOG(A95, 2), 1)-1</f>
        <v>3</v>
      </c>
      <c r="C95" s="302">
        <f t="shared" ref="C95" si="28">_xlfn.CEILING.MATH(LOG(A95, 2), 1)-1</f>
        <v>4</v>
      </c>
      <c r="D95" s="302"/>
      <c r="E95" s="302"/>
      <c r="F95" s="302"/>
      <c r="G95" s="302"/>
      <c r="H95" s="302"/>
      <c r="I95" s="348" t="s">
        <v>3926</v>
      </c>
      <c r="J95" s="348"/>
      <c r="K95" s="348"/>
      <c r="L95" s="348"/>
      <c r="M95" s="348"/>
      <c r="N95" s="348"/>
      <c r="O95" s="348"/>
      <c r="P95" s="348"/>
      <c r="Q95" s="348"/>
      <c r="R95" s="348"/>
      <c r="S95" s="348"/>
      <c r="T95" s="348"/>
      <c r="U95" s="348"/>
      <c r="V95" s="348"/>
      <c r="W95" s="348"/>
      <c r="X95" s="302"/>
      <c r="Z95" s="221" t="s">
        <v>4163</v>
      </c>
      <c r="AA95" s="222" t="s">
        <v>29</v>
      </c>
      <c r="AB95" s="220" t="s">
        <v>32</v>
      </c>
      <c r="AC95" s="221" t="s">
        <v>33</v>
      </c>
      <c r="AD95" s="220" t="s">
        <v>34</v>
      </c>
      <c r="AE95" s="220" t="s">
        <v>4161</v>
      </c>
      <c r="AF95" s="220" t="s">
        <v>36</v>
      </c>
      <c r="AG95" s="221" t="s">
        <v>4164</v>
      </c>
      <c r="AI95" s="247" t="s">
        <v>4165</v>
      </c>
      <c r="AJ95" s="248" t="s">
        <v>35</v>
      </c>
      <c r="AK95" s="249" t="s">
        <v>4166</v>
      </c>
      <c r="AL95" s="249" t="s">
        <v>4167</v>
      </c>
    </row>
    <row r="96" spans="1:38">
      <c r="A96" s="218" t="s">
        <v>4168</v>
      </c>
      <c r="B96" s="213" t="s">
        <v>4169</v>
      </c>
      <c r="C96" s="219" t="s">
        <v>4170</v>
      </c>
      <c r="D96" s="219" t="s">
        <v>4171</v>
      </c>
      <c r="E96" s="219" t="s">
        <v>4172</v>
      </c>
      <c r="F96" s="219" t="s">
        <v>4173</v>
      </c>
      <c r="G96" s="219" t="s">
        <v>4174</v>
      </c>
      <c r="H96" s="219" t="s">
        <v>4175</v>
      </c>
      <c r="I96" s="219" t="s">
        <v>4176</v>
      </c>
      <c r="J96" s="219" t="s">
        <v>4177</v>
      </c>
      <c r="K96" s="219" t="s">
        <v>4178</v>
      </c>
      <c r="L96" s="219" t="s">
        <v>4179</v>
      </c>
      <c r="M96" s="219" t="s">
        <v>4180</v>
      </c>
      <c r="N96" s="226" t="s">
        <v>4181</v>
      </c>
      <c r="O96" s="219" t="s">
        <v>4182</v>
      </c>
      <c r="P96" s="213" t="s">
        <v>47</v>
      </c>
      <c r="Q96" s="231" t="s">
        <v>4183</v>
      </c>
      <c r="R96" s="219" t="s">
        <v>4184</v>
      </c>
      <c r="S96" s="219" t="s">
        <v>4185</v>
      </c>
      <c r="T96" s="219" t="s">
        <v>4186</v>
      </c>
      <c r="U96" s="219" t="s">
        <v>4187</v>
      </c>
      <c r="V96" s="219" t="s">
        <v>4188</v>
      </c>
      <c r="W96" s="219" t="s">
        <v>4189</v>
      </c>
      <c r="X96" s="110" t="s">
        <v>4190</v>
      </c>
      <c r="Z96" s="109">
        <f t="shared" ref="Z96:Z113" si="29">IF(AC96&gt;0, COUNTIF(AC$96:AC$113, "&lt;"&amp;AC96) + COUNTIFS(AC$96:AC$113, AC96, AD$96:AD$113, "&lt;"&amp;AD96) + COUNTIFS(AC$96:AC$113, AC96, AD$96:AD$113, AD96, AA$96:AA$113, "&lt;"&amp;AA96) + 1, "TBD")</f>
        <v>14</v>
      </c>
      <c r="AA96" s="59" cm="1">
        <f t="array" ref="AA96:AF113">_xlfn._xlws.FILTER(Data[Date]:Data[Artist], (Data[Date]&gt;=DATE(2026,6,1))*(Data[Date]&lt;=DATE(2026,6,30))*(Data[Winner]=TRUE()), "TBD")</f>
        <v>46174</v>
      </c>
      <c r="AB96" t="str">
        <v>danram</v>
      </c>
      <c r="AC96" s="3">
        <v>2.4</v>
      </c>
      <c r="AD96">
        <v>0.8</v>
      </c>
      <c r="AE96" t="str">
        <v>Omerta</v>
      </c>
      <c r="AF96" t="str">
        <v>J Balvin, Ryan Castro</v>
      </c>
      <c r="AG96" s="100">
        <f t="shared" ref="AG96:AG112" si="30">IF(Z96&gt;1, 2^FLOOR(LOG(Z96-1, 2), 1)+1, 1)</f>
        <v>9</v>
      </c>
      <c r="AI96" s="115">
        <v>1</v>
      </c>
      <c r="AJ96" s="105" t="str">
        <f>P97</f>
        <v>TBD</v>
      </c>
      <c r="AK96" s="246" t="str">
        <f>IFERROR(VLOOKUP(Jun_2025_Results64[[#This Row],[Song Title]], $AE$96:$AG$112, 3, FALSE)-Jun_2025_Results64[[#This Row],[Result]], "TBD")</f>
        <v>TBD</v>
      </c>
      <c r="AL96" s="246" t="str">
        <f>IF(AK96&lt;0,"↓",IF(AK96=0,"-","↑"))</f>
        <v>↑</v>
      </c>
    </row>
    <row r="97" spans="1:38">
      <c r="A97" s="199" t="str">
        <f>_xlfn.CONCAT("Seed ", Jun_2026_SotM[[#This Row],[Top Seed]], " vs ",Jun_2026_SotM[[#This Row],[Low Seed]])</f>
        <v>Seed 1 vs 2</v>
      </c>
      <c r="B97" s="201">
        <v>1</v>
      </c>
      <c r="C97" s="200">
        <f>FLOOR(LOG(Jun_2026_SotM[[#This Row],[Num]], 2), 1)</f>
        <v>0</v>
      </c>
      <c r="D97" s="200">
        <f>2^(Jun_2026_SotM[[#This Row],[Round]]+1)</f>
        <v>2</v>
      </c>
      <c r="E97" s="200">
        <f>Jun_2026_SotM[[#This Row],[Max Seed]]-Jun_2026_SotM[[#This Row],[Num]]</f>
        <v>1</v>
      </c>
      <c r="F97" s="200">
        <f>Jun_2026_SotM[[#This Row],[Max Seed]]-Jun_2026_SotM[[#This Row],[Top Seed]]+1</f>
        <v>2</v>
      </c>
      <c r="G97" s="200" t="b">
        <f>IF(Jun_2026_SotM[[#This Row],[Round]]=$C$95, TRUE(), IF(Jun_2026_SotM[[#This Row],[Round]]=$B$95, Jun_2026_SotM[[#This Row],[Top Seed]]&lt;=2*Jun_2026_SotM[[#This Row],[Max Seed]]-$A$95, FALSE()))</f>
        <v>0</v>
      </c>
      <c r="H97" s="200" t="b">
        <f>IF(Jun_2026_SotM[[#This Row],[Round]]=$C$95, TRUE(), IF(Jun_2026_SotM[[#This Row],[Round]]=$B$95, Jun_2026_SotM[[#This Row],[Low Seed]]&lt;=2*Jun_2026_SotM[[#This Row],[Max Seed]]-$A$95, FALSE()))</f>
        <v>0</v>
      </c>
      <c r="I97" s="28"/>
      <c r="J97" s="31"/>
      <c r="K97" s="33"/>
      <c r="L97" s="35"/>
      <c r="M97" s="37"/>
      <c r="N97" s="203" t="str">
        <f ca="1">IF(Jun_2026_SotM[[#This Row],[Num]]&gt;=$A$95, "-", IF(Jun_2026_SotM[[#This Row],[Initial 1]], VLOOKUP(Jun_2026_SotM[[#This Row],[Top Seed]], $Z$96:$AE$113, 6, FALSE), OFFSET(Jun_2026_SotM[[#This Row],[Winner]], Jun_2026_SotM[[#This Row],[Max Seed]], 0)))</f>
        <v>TBD</v>
      </c>
      <c r="O97" s="200">
        <f>COUNTIF(Jun_2026_SotM[[#This Row],[J]:[H]],"x")</f>
        <v>0</v>
      </c>
      <c r="P97" s="201" t="str">
        <f>IF(Jun_2026_SotM[[#This Row],[Num]]&gt;=$A$95, "-", IF(Jun_2026_SotM[[#This Row],[Score 1]]&gt;=3, Jun_2026_SotM[[#This Row],[Song 1]], IF(Jun_2026_SotM[[#This Row],[Score 2]]&gt;=3, Jun_2026_SotM[[#This Row],[Song 2]], "TBD")))</f>
        <v>TBD</v>
      </c>
      <c r="Q97" s="206">
        <f>COUNTIF(Jun_2026_SotM[[#This Row],[H ]:[J ]],"x")</f>
        <v>0</v>
      </c>
      <c r="R97" s="200" t="str">
        <f ca="1"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f>
        <v>TBD</v>
      </c>
      <c r="S97" s="37"/>
      <c r="T97" s="35"/>
      <c r="U97" s="33"/>
      <c r="V97" s="31"/>
      <c r="W97" s="28"/>
      <c r="X97" s="106" t="str">
        <f ca="1"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f>
        <v>TBD</v>
      </c>
      <c r="Z97" s="109">
        <f t="shared" si="29"/>
        <v>16</v>
      </c>
      <c r="AA97" s="59">
        <v>46175</v>
      </c>
      <c r="AB97" t="str">
        <v>samuelbattista</v>
      </c>
      <c r="AC97" s="3">
        <v>2.6</v>
      </c>
      <c r="AD97">
        <v>0.8</v>
      </c>
      <c r="AE97" t="str">
        <v>Famous Last Words</v>
      </c>
      <c r="AF97" t="str">
        <v>My Chemical Romance</v>
      </c>
      <c r="AG97" s="100">
        <f t="shared" si="30"/>
        <v>9</v>
      </c>
      <c r="AI97" s="115">
        <f>Jun_2026_SotM[[#This Row],[Max Seed]]/2 + 1</f>
        <v>2</v>
      </c>
      <c r="AJ97" s="105" t="str">
        <f>IF(Jun_2026_SotM[[#This Row],[Num]]&gt;=$A$95, "-", IF(Jun_2026_SotM[[#This Row],[Score 1]]&gt;=3, Jun_2026_SotM[[#This Row],[Song 2]], IF(Jun_2026_SotM[[#This Row],[Score 2]]&gt;=3, Jun_2026_SotM[[#This Row],[Song 1]], "TBD")))</f>
        <v>TBD</v>
      </c>
      <c r="AK97" s="246" t="str">
        <f>IFERROR(VLOOKUP(Jun_2025_Results64[[#This Row],[Song Title]], $AE$96:$AG$112, 3, FALSE)-Jun_2025_Results64[[#This Row],[Result]], "TBD")</f>
        <v>TBD</v>
      </c>
      <c r="AL97" s="246" t="str">
        <f>IF(AK97&lt;0,"↓",IF(AK97=0,"-","↑"))</f>
        <v>↑</v>
      </c>
    </row>
    <row r="98" spans="1:38">
      <c r="A98" s="199" t="str">
        <f>_xlfn.CONCAT("Seed ", Jun_2026_SotM[[#This Row],[Top Seed]], " vs ",Jun_2026_SotM[[#This Row],[Low Seed]])</f>
        <v>Seed 2 vs 3</v>
      </c>
      <c r="B98" s="201">
        <v>2</v>
      </c>
      <c r="C98" s="200">
        <f>FLOOR(LOG(Jun_2026_SotM[[#This Row],[Num]], 2), 1)</f>
        <v>1</v>
      </c>
      <c r="D98" s="200">
        <f>2^(Jun_2026_SotM[[#This Row],[Round]]+1)</f>
        <v>4</v>
      </c>
      <c r="E98" s="200">
        <f>Jun_2026_SotM[[#This Row],[Max Seed]]-Jun_2026_SotM[[#This Row],[Num]]</f>
        <v>2</v>
      </c>
      <c r="F98" s="200">
        <f>Jun_2026_SotM[[#This Row],[Max Seed]]-Jun_2026_SotM[[#This Row],[Top Seed]]+1</f>
        <v>3</v>
      </c>
      <c r="G98" s="200" t="b">
        <f>IF(Jun_2026_SotM[[#This Row],[Round]]=$C$95, TRUE(), IF(Jun_2026_SotM[[#This Row],[Round]]=$B$95, Jun_2026_SotM[[#This Row],[Top Seed]]&lt;=2*Jun_2026_SotM[[#This Row],[Max Seed]]-$A$95, FALSE()))</f>
        <v>0</v>
      </c>
      <c r="H98" s="200" t="b">
        <f>IF(Jun_2026_SotM[[#This Row],[Round]]=$C$95, TRUE(), IF(Jun_2026_SotM[[#This Row],[Round]]=$B$95, Jun_2026_SotM[[#This Row],[Low Seed]]&lt;=2*Jun_2026_SotM[[#This Row],[Max Seed]]-$A$95, FALSE()))</f>
        <v>0</v>
      </c>
      <c r="I98" s="28"/>
      <c r="J98" s="31"/>
      <c r="K98" s="33"/>
      <c r="L98" s="35"/>
      <c r="M98" s="37"/>
      <c r="N98" s="203" t="str">
        <f ca="1">IF(Jun_2026_SotM[[#This Row],[Num]]&gt;=$A$95, "-", IF(Jun_2026_SotM[[#This Row],[Initial 1]], VLOOKUP(Jun_2026_SotM[[#This Row],[Top Seed]], $Z$96:$AE$113, 6, FALSE), OFFSET(Jun_2026_SotM[[#This Row],[Winner]], Jun_2026_SotM[[#This Row],[Max Seed]], 0)))</f>
        <v>TBD</v>
      </c>
      <c r="O98" s="200">
        <f>COUNTIF(Jun_2026_SotM[[#This Row],[J]:[H]],"x")</f>
        <v>0</v>
      </c>
      <c r="P98" s="201" t="str">
        <f>IF(Jun_2026_SotM[[#This Row],[Num]]&gt;=$A$95, "-", IF(Jun_2026_SotM[[#This Row],[Score 1]]&gt;=3, Jun_2026_SotM[[#This Row],[Song 1]], IF(Jun_2026_SotM[[#This Row],[Score 2]]&gt;=3, Jun_2026_SotM[[#This Row],[Song 2]], "TBD")))</f>
        <v>TBD</v>
      </c>
      <c r="Q98" s="206">
        <f>COUNTIF(Jun_2026_SotM[[#This Row],[H ]:[J ]],"x")</f>
        <v>0</v>
      </c>
      <c r="R98" s="200" t="str">
        <f ca="1"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f>
        <v>TBD</v>
      </c>
      <c r="S98" s="37"/>
      <c r="T98" s="35"/>
      <c r="U98" s="33"/>
      <c r="V98" s="31"/>
      <c r="W98" s="28"/>
      <c r="X98" s="106" t="str">
        <f ca="1"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f>
        <v>TBD</v>
      </c>
      <c r="Z98" s="109">
        <f t="shared" si="29"/>
        <v>4</v>
      </c>
      <c r="AA98" s="59">
        <v>46176</v>
      </c>
      <c r="AB98" t="str">
        <v>loganworsdell</v>
      </c>
      <c r="AC98" s="3">
        <v>1.6</v>
      </c>
      <c r="AD98">
        <v>0.8</v>
      </c>
      <c r="AE98" t="str">
        <v>Surf Swag</v>
      </c>
      <c r="AF98" t="str">
        <v>Lil Wayne</v>
      </c>
      <c r="AG98" s="100">
        <f t="shared" si="30"/>
        <v>3</v>
      </c>
      <c r="AI98" s="115">
        <f>Jun_2026_SotM[[#This Row],[Max Seed]]/2 + 1</f>
        <v>3</v>
      </c>
      <c r="AJ98" s="105" t="str">
        <f>IF(Jun_2026_SotM[[#This Row],[Num]]&gt;=$A$95, "-", IF(Jun_2026_SotM[[#This Row],[Score 1]]&gt;=3, Jun_2026_SotM[[#This Row],[Song 2]], IF(Jun_2026_SotM[[#This Row],[Score 2]]&gt;=3, Jun_2026_SotM[[#This Row],[Song 1]], "TBD")))</f>
        <v>TBD</v>
      </c>
      <c r="AK98" s="246" t="str">
        <f>IFERROR(VLOOKUP(Jun_2025_Results64[[#This Row],[Song Title]], $AE$96:$AG$112, 3, FALSE)-Jun_2025_Results64[[#This Row],[Result]], "TBD")</f>
        <v>TBD</v>
      </c>
      <c r="AL98" s="246" t="str">
        <f t="shared" ref="AL98:AL112" si="31">IF(AK98&lt;0,"↓",IF(AK98=0,"-","↑"))</f>
        <v>↑</v>
      </c>
    </row>
    <row r="99" spans="1:38">
      <c r="A99" s="199" t="str">
        <f>_xlfn.CONCAT("Seed ", Jun_2026_SotM[[#This Row],[Top Seed]], " vs ",Jun_2026_SotM[[#This Row],[Low Seed]])</f>
        <v>Seed 1 vs 4</v>
      </c>
      <c r="B99" s="201">
        <v>3</v>
      </c>
      <c r="C99" s="200">
        <f>FLOOR(LOG(Jun_2026_SotM[[#This Row],[Num]], 2), 1)</f>
        <v>1</v>
      </c>
      <c r="D99" s="200">
        <f>2^(Jun_2026_SotM[[#This Row],[Round]]+1)</f>
        <v>4</v>
      </c>
      <c r="E99" s="200">
        <f>Jun_2026_SotM[[#This Row],[Max Seed]]-Jun_2026_SotM[[#This Row],[Num]]</f>
        <v>1</v>
      </c>
      <c r="F99" s="200">
        <f>Jun_2026_SotM[[#This Row],[Max Seed]]-Jun_2026_SotM[[#This Row],[Top Seed]]+1</f>
        <v>4</v>
      </c>
      <c r="G99" s="200" t="b">
        <f>IF(Jun_2026_SotM[[#This Row],[Round]]=$C$95, TRUE(), IF(Jun_2026_SotM[[#This Row],[Round]]=$B$95, Jun_2026_SotM[[#This Row],[Top Seed]]&lt;=2*Jun_2026_SotM[[#This Row],[Max Seed]]-$A$95, FALSE()))</f>
        <v>0</v>
      </c>
      <c r="H99" s="200" t="b">
        <f>IF(Jun_2026_SotM[[#This Row],[Round]]=$C$95, TRUE(), IF(Jun_2026_SotM[[#This Row],[Round]]=$B$95, Jun_2026_SotM[[#This Row],[Low Seed]]&lt;=2*Jun_2026_SotM[[#This Row],[Max Seed]]-$A$95, FALSE()))</f>
        <v>0</v>
      </c>
      <c r="I99" s="28"/>
      <c r="J99" s="31"/>
      <c r="K99" s="33"/>
      <c r="L99" s="35"/>
      <c r="M99" s="37"/>
      <c r="N99" s="203" t="str">
        <f ca="1">IF(Jun_2026_SotM[[#This Row],[Num]]&gt;=$A$95, "-", IF(Jun_2026_SotM[[#This Row],[Initial 1]], VLOOKUP(Jun_2026_SotM[[#This Row],[Top Seed]], $Z$96:$AE$113, 6, FALSE), OFFSET(Jun_2026_SotM[[#This Row],[Winner]], Jun_2026_SotM[[#This Row],[Max Seed]], 0)))</f>
        <v>TBD</v>
      </c>
      <c r="O99" s="200">
        <f>COUNTIF(Jun_2026_SotM[[#This Row],[J]:[H]],"x")</f>
        <v>0</v>
      </c>
      <c r="P99" s="201" t="str">
        <f>IF(Jun_2026_SotM[[#This Row],[Num]]&gt;=$A$95, "-", IF(Jun_2026_SotM[[#This Row],[Score 1]]&gt;=3, Jun_2026_SotM[[#This Row],[Song 1]], IF(Jun_2026_SotM[[#This Row],[Score 2]]&gt;=3, Jun_2026_SotM[[#This Row],[Song 2]], "TBD")))</f>
        <v>TBD</v>
      </c>
      <c r="Q99" s="206">
        <f>COUNTIF(Jun_2026_SotM[[#This Row],[H ]:[J ]],"x")</f>
        <v>0</v>
      </c>
      <c r="R99" s="200" t="str">
        <f ca="1"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f>
        <v>Cicada</v>
      </c>
      <c r="S99" s="37"/>
      <c r="T99" s="35"/>
      <c r="U99" s="33"/>
      <c r="V99" s="31"/>
      <c r="W99" s="28"/>
      <c r="X99" s="106" t="str">
        <f ca="1"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f>
        <v>TBD</v>
      </c>
      <c r="Z99" s="109">
        <f t="shared" si="29"/>
        <v>7</v>
      </c>
      <c r="AA99" s="59">
        <v>46177</v>
      </c>
      <c r="AB99" t="str">
        <v>loganworsdell</v>
      </c>
      <c r="AC99" s="3">
        <v>1.8</v>
      </c>
      <c r="AD99">
        <v>0.9797958971132712</v>
      </c>
      <c r="AE99" t="str">
        <v>Forever</v>
      </c>
      <c r="AF99" t="str">
        <v>Drake, Kanye West, Lil Wayne, Eminem</v>
      </c>
      <c r="AG99" s="100">
        <f t="shared" si="30"/>
        <v>5</v>
      </c>
      <c r="AI99" s="115">
        <f>Jun_2026_SotM[[#This Row],[Max Seed]]/2 + 1</f>
        <v>3</v>
      </c>
      <c r="AJ99" s="105" t="str">
        <f>IF(Jun_2026_SotM[[#This Row],[Num]]&gt;=$A$95, "-", IF(Jun_2026_SotM[[#This Row],[Score 1]]&gt;=3, Jun_2026_SotM[[#This Row],[Song 2]], IF(Jun_2026_SotM[[#This Row],[Score 2]]&gt;=3, Jun_2026_SotM[[#This Row],[Song 1]], "TBD")))</f>
        <v>TBD</v>
      </c>
      <c r="AK99" s="3" t="str">
        <f>IFERROR(VLOOKUP(Jun_2025_Results64[[#This Row],[Song Title]], $AE$96:$AG$112, 3, FALSE)-Jun_2025_Results64[[#This Row],[Result]], "TBD")</f>
        <v>TBD</v>
      </c>
      <c r="AL99" s="3" t="str">
        <f t="shared" si="31"/>
        <v>↑</v>
      </c>
    </row>
    <row r="100" spans="1:38">
      <c r="A100" s="199" t="str">
        <f>_xlfn.CONCAT("Seed ", Jun_2026_SotM[[#This Row],[Top Seed]], " vs ",Jun_2026_SotM[[#This Row],[Low Seed]])</f>
        <v>Seed 4 vs 5</v>
      </c>
      <c r="B100" s="201">
        <v>4</v>
      </c>
      <c r="C100" s="200">
        <f>FLOOR(LOG(Jun_2026_SotM[[#This Row],[Num]], 2), 1)</f>
        <v>2</v>
      </c>
      <c r="D100" s="200">
        <f>2^(Jun_2026_SotM[[#This Row],[Round]]+1)</f>
        <v>8</v>
      </c>
      <c r="E100" s="200">
        <f>Jun_2026_SotM[[#This Row],[Max Seed]]-Jun_2026_SotM[[#This Row],[Num]]</f>
        <v>4</v>
      </c>
      <c r="F100" s="200">
        <f>Jun_2026_SotM[[#This Row],[Max Seed]]-Jun_2026_SotM[[#This Row],[Top Seed]]+1</f>
        <v>5</v>
      </c>
      <c r="G100" s="200" t="b">
        <f>IF(Jun_2026_SotM[[#This Row],[Round]]=$C$95, TRUE(), IF(Jun_2026_SotM[[#This Row],[Round]]=$B$95, Jun_2026_SotM[[#This Row],[Top Seed]]&lt;=2*Jun_2026_SotM[[#This Row],[Max Seed]]-$A$95, FALSE()))</f>
        <v>0</v>
      </c>
      <c r="H100" s="200" t="b">
        <f>IF(Jun_2026_SotM[[#This Row],[Round]]=$C$95, TRUE(), IF(Jun_2026_SotM[[#This Row],[Round]]=$B$95, Jun_2026_SotM[[#This Row],[Low Seed]]&lt;=2*Jun_2026_SotM[[#This Row],[Max Seed]]-$A$95, FALSE()))</f>
        <v>0</v>
      </c>
      <c r="I100" s="28" t="s">
        <v>4191</v>
      </c>
      <c r="J100" s="31"/>
      <c r="K100" s="33" t="s">
        <v>4191</v>
      </c>
      <c r="L100" s="35" t="s">
        <v>4191</v>
      </c>
      <c r="M100" s="37" t="s">
        <v>4191</v>
      </c>
      <c r="N100" s="203" t="str">
        <f ca="1">IF(Jun_2026_SotM[[#This Row],[Num]]&gt;=$A$95, "-", IF(Jun_2026_SotM[[#This Row],[Initial 1]], VLOOKUP(Jun_2026_SotM[[#This Row],[Top Seed]], $Z$96:$AE$113, 6, FALSE), OFFSET(Jun_2026_SotM[[#This Row],[Winner]], Jun_2026_SotM[[#This Row],[Max Seed]], 0)))</f>
        <v>Cicada</v>
      </c>
      <c r="O100" s="200">
        <f>COUNTIF(Jun_2026_SotM[[#This Row],[J]:[H]],"x")</f>
        <v>4</v>
      </c>
      <c r="P100" s="201" t="str">
        <f ca="1">IF(Jun_2026_SotM[[#This Row],[Num]]&gt;=$A$95, "-", IF(Jun_2026_SotM[[#This Row],[Score 1]]&gt;=3, Jun_2026_SotM[[#This Row],[Song 1]], IF(Jun_2026_SotM[[#This Row],[Score 2]]&gt;=3, Jun_2026_SotM[[#This Row],[Song 2]], "TBD")))</f>
        <v>Cicada</v>
      </c>
      <c r="Q100" s="206">
        <f>COUNTIF(Jun_2026_SotM[[#This Row],[H ]:[J ]],"x")</f>
        <v>1</v>
      </c>
      <c r="R100" s="200" t="str">
        <f ca="1"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f>
        <v>Cudi Montage</v>
      </c>
      <c r="S100" s="37"/>
      <c r="T100" s="35"/>
      <c r="U100" s="33"/>
      <c r="V100" s="31" t="s">
        <v>4191</v>
      </c>
      <c r="W100" s="28"/>
      <c r="X100" s="106" t="str">
        <f ca="1"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f>
        <v/>
      </c>
      <c r="Z100" s="109">
        <f t="shared" si="29"/>
        <v>5</v>
      </c>
      <c r="AA100" s="59">
        <v>46181</v>
      </c>
      <c r="AB100" t="str">
        <v>danram</v>
      </c>
      <c r="AC100" s="3">
        <v>1.6</v>
      </c>
      <c r="AD100">
        <v>1.2</v>
      </c>
      <c r="AE100" t="str">
        <v>Cudi Montage</v>
      </c>
      <c r="AF100" t="str">
        <v>KIDS SEE GHOSTS</v>
      </c>
      <c r="AG100" s="100">
        <f t="shared" si="30"/>
        <v>5</v>
      </c>
      <c r="AI100" s="115">
        <f>Jun_2026_SotM[[#This Row],[Max Seed]]/2 + 1</f>
        <v>5</v>
      </c>
      <c r="AJ100" s="105" t="str">
        <f ca="1">IF(Jun_2026_SotM[[#This Row],[Num]]&gt;=$A$95, "-", IF(Jun_2026_SotM[[#This Row],[Score 1]]&gt;=3, Jun_2026_SotM[[#This Row],[Song 2]], IF(Jun_2026_SotM[[#This Row],[Score 2]]&gt;=3, Jun_2026_SotM[[#This Row],[Song 1]], "TBD")))</f>
        <v>Cudi Montage</v>
      </c>
      <c r="AK100" s="3">
        <f ca="1">IFERROR(VLOOKUP(Jun_2025_Results64[[#This Row],[Song Title]], $AE$96:$AG$112, 3, FALSE)-Jun_2025_Results64[[#This Row],[Result]], "TBD")</f>
        <v>0</v>
      </c>
      <c r="AL100" s="3" t="str">
        <f t="shared" ca="1" si="31"/>
        <v>-</v>
      </c>
    </row>
    <row r="101" spans="1:38">
      <c r="A101" s="199" t="str">
        <f>_xlfn.CONCAT("Seed ", Jun_2026_SotM[[#This Row],[Top Seed]], " vs ",Jun_2026_SotM[[#This Row],[Low Seed]])</f>
        <v>Seed 3 vs 6</v>
      </c>
      <c r="B101" s="201">
        <v>5</v>
      </c>
      <c r="C101" s="200">
        <f>FLOOR(LOG(Jun_2026_SotM[[#This Row],[Num]], 2), 1)</f>
        <v>2</v>
      </c>
      <c r="D101" s="200">
        <f>2^(Jun_2026_SotM[[#This Row],[Round]]+1)</f>
        <v>8</v>
      </c>
      <c r="E101" s="200">
        <f>Jun_2026_SotM[[#This Row],[Max Seed]]-Jun_2026_SotM[[#This Row],[Num]]</f>
        <v>3</v>
      </c>
      <c r="F101" s="200">
        <f>Jun_2026_SotM[[#This Row],[Max Seed]]-Jun_2026_SotM[[#This Row],[Top Seed]]+1</f>
        <v>6</v>
      </c>
      <c r="G101" s="200" t="b">
        <f>IF(Jun_2026_SotM[[#This Row],[Round]]=$C$95, TRUE(), IF(Jun_2026_SotM[[#This Row],[Round]]=$B$95, Jun_2026_SotM[[#This Row],[Top Seed]]&lt;=2*Jun_2026_SotM[[#This Row],[Max Seed]]-$A$95, FALSE()))</f>
        <v>0</v>
      </c>
      <c r="H101" s="200" t="b">
        <f>IF(Jun_2026_SotM[[#This Row],[Round]]=$C$95, TRUE(), IF(Jun_2026_SotM[[#This Row],[Round]]=$B$95, Jun_2026_SotM[[#This Row],[Low Seed]]&lt;=2*Jun_2026_SotM[[#This Row],[Max Seed]]-$A$95, FALSE()))</f>
        <v>0</v>
      </c>
      <c r="I101" s="28"/>
      <c r="J101" s="31"/>
      <c r="K101" s="33" t="s">
        <v>4191</v>
      </c>
      <c r="L101" s="35"/>
      <c r="M101" s="37"/>
      <c r="N101" s="203" t="str">
        <f ca="1">IF(Jun_2026_SotM[[#This Row],[Num]]&gt;=$A$95, "-", IF(Jun_2026_SotM[[#This Row],[Initial 1]], VLOOKUP(Jun_2026_SotM[[#This Row],[Top Seed]], $Z$96:$AE$113, 6, FALSE), OFFSET(Jun_2026_SotM[[#This Row],[Winner]], Jun_2026_SotM[[#This Row],[Max Seed]], 0)))</f>
        <v>Omerta</v>
      </c>
      <c r="O101" s="200">
        <f>COUNTIF(Jun_2026_SotM[[#This Row],[J]:[H]],"x")</f>
        <v>1</v>
      </c>
      <c r="P101" s="201" t="str">
        <f>IF(Jun_2026_SotM[[#This Row],[Num]]&gt;=$A$95, "-", IF(Jun_2026_SotM[[#This Row],[Score 1]]&gt;=3, Jun_2026_SotM[[#This Row],[Song 1]], IF(Jun_2026_SotM[[#This Row],[Score 2]]&gt;=3, Jun_2026_SotM[[#This Row],[Song 2]], "TBD")))</f>
        <v>TBD</v>
      </c>
      <c r="Q101" s="206">
        <f>COUNTIF(Jun_2026_SotM[[#This Row],[H ]:[J ]],"x")</f>
        <v>1</v>
      </c>
      <c r="R101" s="200" t="str">
        <f ca="1"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f>
        <v>Look Alive</v>
      </c>
      <c r="S101" s="37"/>
      <c r="T101" s="35" t="s">
        <v>4191</v>
      </c>
      <c r="U101" s="33"/>
      <c r="V101" s="31"/>
      <c r="W101" s="28"/>
      <c r="X101" s="106" t="str">
        <f ca="1"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f>
        <v xml:space="preserve">J D H </v>
      </c>
      <c r="Z101" s="109">
        <f t="shared" si="29"/>
        <v>1</v>
      </c>
      <c r="AA101" s="59">
        <v>46182</v>
      </c>
      <c r="AB101" t="str">
        <v>currydestroyer27</v>
      </c>
      <c r="AC101" s="3">
        <v>1.4</v>
      </c>
      <c r="AD101">
        <v>0.4898979485566356</v>
      </c>
      <c r="AE101" t="str">
        <v>Don't Speak</v>
      </c>
      <c r="AF101" t="str">
        <v>Culture Wars</v>
      </c>
      <c r="AG101" s="100">
        <f t="shared" si="30"/>
        <v>1</v>
      </c>
      <c r="AI101" s="115">
        <f>Jun_2026_SotM[[#This Row],[Max Seed]]/2 + 1</f>
        <v>5</v>
      </c>
      <c r="AJ101" s="105" t="str">
        <f>IF(Jun_2026_SotM[[#This Row],[Num]]&gt;=$A$95, "-", IF(Jun_2026_SotM[[#This Row],[Score 1]]&gt;=3, Jun_2026_SotM[[#This Row],[Song 2]], IF(Jun_2026_SotM[[#This Row],[Score 2]]&gt;=3, Jun_2026_SotM[[#This Row],[Song 1]], "TBD")))</f>
        <v>TBD</v>
      </c>
      <c r="AK101" s="3" t="str">
        <f>IFERROR(VLOOKUP(Jun_2025_Results64[[#This Row],[Song Title]], $AE$96:$AG$112, 3, FALSE)-Jun_2025_Results64[[#This Row],[Result]], "TBD")</f>
        <v>TBD</v>
      </c>
      <c r="AL101" s="3" t="str">
        <f t="shared" si="31"/>
        <v>↑</v>
      </c>
    </row>
    <row r="102" spans="1:38">
      <c r="A102" s="199" t="str">
        <f>_xlfn.CONCAT("Seed ", Jun_2026_SotM[[#This Row],[Top Seed]], " vs ",Jun_2026_SotM[[#This Row],[Low Seed]])</f>
        <v>Seed 2 vs 7</v>
      </c>
      <c r="B102" s="201">
        <v>6</v>
      </c>
      <c r="C102" s="200">
        <f>FLOOR(LOG(Jun_2026_SotM[[#This Row],[Num]], 2), 1)</f>
        <v>2</v>
      </c>
      <c r="D102" s="200">
        <f>2^(Jun_2026_SotM[[#This Row],[Round]]+1)</f>
        <v>8</v>
      </c>
      <c r="E102" s="200">
        <f>Jun_2026_SotM[[#This Row],[Max Seed]]-Jun_2026_SotM[[#This Row],[Num]]</f>
        <v>2</v>
      </c>
      <c r="F102" s="200">
        <f>Jun_2026_SotM[[#This Row],[Max Seed]]-Jun_2026_SotM[[#This Row],[Top Seed]]+1</f>
        <v>7</v>
      </c>
      <c r="G102" s="200" t="b">
        <f>IF(Jun_2026_SotM[[#This Row],[Round]]=$C$95, TRUE(), IF(Jun_2026_SotM[[#This Row],[Round]]=$B$95, Jun_2026_SotM[[#This Row],[Top Seed]]&lt;=2*Jun_2026_SotM[[#This Row],[Max Seed]]-$A$95, FALSE()))</f>
        <v>0</v>
      </c>
      <c r="H102" s="200" t="b">
        <f>IF(Jun_2026_SotM[[#This Row],[Round]]=$C$95, TRUE(), IF(Jun_2026_SotM[[#This Row],[Round]]=$B$95, Jun_2026_SotM[[#This Row],[Low Seed]]&lt;=2*Jun_2026_SotM[[#This Row],[Max Seed]]-$A$95, FALSE()))</f>
        <v>0</v>
      </c>
      <c r="I102" s="28"/>
      <c r="J102" s="31"/>
      <c r="K102" s="33"/>
      <c r="L102" s="35"/>
      <c r="M102" s="37"/>
      <c r="N102" s="203" t="str">
        <f ca="1">IF(Jun_2026_SotM[[#This Row],[Num]]&gt;=$A$95, "-", IF(Jun_2026_SotM[[#This Row],[Initial 1]], VLOOKUP(Jun_2026_SotM[[#This Row],[Top Seed]], $Z$96:$AE$113, 6, FALSE), OFFSET(Jun_2026_SotM[[#This Row],[Winner]], Jun_2026_SotM[[#This Row],[Max Seed]], 0)))</f>
        <v>TBD</v>
      </c>
      <c r="O102" s="200">
        <f>COUNTIF(Jun_2026_SotM[[#This Row],[J]:[H]],"x")</f>
        <v>0</v>
      </c>
      <c r="P102" s="201" t="str">
        <f>IF(Jun_2026_SotM[[#This Row],[Num]]&gt;=$A$95, "-", IF(Jun_2026_SotM[[#This Row],[Score 1]]&gt;=3, Jun_2026_SotM[[#This Row],[Song 1]], IF(Jun_2026_SotM[[#This Row],[Score 2]]&gt;=3, Jun_2026_SotM[[#This Row],[Song 2]], "TBD")))</f>
        <v>TBD</v>
      </c>
      <c r="Q102" s="206">
        <f>COUNTIF(Jun_2026_SotM[[#This Row],[H ]:[J ]],"x")</f>
        <v>0</v>
      </c>
      <c r="R102" s="200" t="str">
        <f ca="1"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f>
        <v>Forever</v>
      </c>
      <c r="S102" s="37"/>
      <c r="T102" s="35"/>
      <c r="U102" s="33"/>
      <c r="V102" s="31"/>
      <c r="W102" s="28"/>
      <c r="X102" s="106" t="str">
        <f ca="1"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f>
        <v>TBD</v>
      </c>
      <c r="Z102" s="109">
        <f t="shared" si="29"/>
        <v>12</v>
      </c>
      <c r="AA102" s="59">
        <v>46183</v>
      </c>
      <c r="AB102" t="str">
        <v>danram</v>
      </c>
      <c r="AC102" s="3">
        <v>2.2000000000000002</v>
      </c>
      <c r="AD102">
        <v>1.1661903789690602</v>
      </c>
      <c r="AE102" t="str">
        <v>esperando que vuelvas</v>
      </c>
      <c r="AF102" t="str">
        <v>Marc Segui</v>
      </c>
      <c r="AG102" s="100">
        <f t="shared" si="30"/>
        <v>9</v>
      </c>
      <c r="AI102" s="115">
        <f>Jun_2026_SotM[[#This Row],[Max Seed]]/2 + 1</f>
        <v>5</v>
      </c>
      <c r="AJ102" s="105" t="str">
        <f>IF(Jun_2026_SotM[[#This Row],[Num]]&gt;=$A$95, "-", IF(Jun_2026_SotM[[#This Row],[Score 1]]&gt;=3, Jun_2026_SotM[[#This Row],[Song 2]], IF(Jun_2026_SotM[[#This Row],[Score 2]]&gt;=3, Jun_2026_SotM[[#This Row],[Song 1]], "TBD")))</f>
        <v>TBD</v>
      </c>
      <c r="AK102" s="3" t="str">
        <f>IFERROR(VLOOKUP(Jun_2025_Results64[[#This Row],[Song Title]], $AE$96:$AG$112, 3, FALSE)-Jun_2025_Results64[[#This Row],[Result]], "TBD")</f>
        <v>TBD</v>
      </c>
      <c r="AL102" s="3" t="str">
        <f t="shared" si="31"/>
        <v>↑</v>
      </c>
    </row>
    <row r="103" spans="1:38">
      <c r="A103" s="199" t="str">
        <f>_xlfn.CONCAT("Seed ", Jun_2026_SotM[[#This Row],[Top Seed]], " vs ",Jun_2026_SotM[[#This Row],[Low Seed]])</f>
        <v>Seed 1 vs 8</v>
      </c>
      <c r="B103" s="201">
        <v>7</v>
      </c>
      <c r="C103" s="200">
        <f>FLOOR(LOG(Jun_2026_SotM[[#This Row],[Num]], 2), 1)</f>
        <v>2</v>
      </c>
      <c r="D103" s="200">
        <f>2^(Jun_2026_SotM[[#This Row],[Round]]+1)</f>
        <v>8</v>
      </c>
      <c r="E103" s="200">
        <f>Jun_2026_SotM[[#This Row],[Max Seed]]-Jun_2026_SotM[[#This Row],[Num]]</f>
        <v>1</v>
      </c>
      <c r="F103" s="200">
        <f>Jun_2026_SotM[[#This Row],[Max Seed]]-Jun_2026_SotM[[#This Row],[Top Seed]]+1</f>
        <v>8</v>
      </c>
      <c r="G103" s="200" t="b">
        <f>IF(Jun_2026_SotM[[#This Row],[Round]]=$C$95, TRUE(), IF(Jun_2026_SotM[[#This Row],[Round]]=$B$95, Jun_2026_SotM[[#This Row],[Top Seed]]&lt;=2*Jun_2026_SotM[[#This Row],[Max Seed]]-$A$95, FALSE()))</f>
        <v>0</v>
      </c>
      <c r="H103" s="200" t="b">
        <f>IF(Jun_2026_SotM[[#This Row],[Round]]=$C$95, TRUE(), IF(Jun_2026_SotM[[#This Row],[Round]]=$B$95, Jun_2026_SotM[[#This Row],[Low Seed]]&lt;=2*Jun_2026_SotM[[#This Row],[Max Seed]]-$A$95, FALSE()))</f>
        <v>0</v>
      </c>
      <c r="I103" s="28"/>
      <c r="J103" s="31"/>
      <c r="K103" s="33"/>
      <c r="L103" s="35"/>
      <c r="M103" s="37"/>
      <c r="N103" s="203" t="str">
        <f ca="1">IF(Jun_2026_SotM[[#This Row],[Num]]&gt;=$A$95, "-", IF(Jun_2026_SotM[[#This Row],[Initial 1]], VLOOKUP(Jun_2026_SotM[[#This Row],[Top Seed]], $Z$96:$AE$113, 6, FALSE), OFFSET(Jun_2026_SotM[[#This Row],[Winner]], Jun_2026_SotM[[#This Row],[Max Seed]], 0)))</f>
        <v>Don't Speak</v>
      </c>
      <c r="O103" s="200">
        <f>COUNTIF(Jun_2026_SotM[[#This Row],[J]:[H]],"x")</f>
        <v>0</v>
      </c>
      <c r="P103" s="201" t="str">
        <f>IF(Jun_2026_SotM[[#This Row],[Num]]&gt;=$A$95, "-", IF(Jun_2026_SotM[[#This Row],[Score 1]]&gt;=3, Jun_2026_SotM[[#This Row],[Song 1]], IF(Jun_2026_SotM[[#This Row],[Score 2]]&gt;=3, Jun_2026_SotM[[#This Row],[Song 2]], "TBD")))</f>
        <v>TBD</v>
      </c>
      <c r="Q103" s="206">
        <f>COUNTIF(Jun_2026_SotM[[#This Row],[H ]:[J ]],"x")</f>
        <v>2</v>
      </c>
      <c r="R103" s="200" t="str">
        <f ca="1"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f>
        <v>Heart-Shaped Box</v>
      </c>
      <c r="S103" s="37"/>
      <c r="T103" s="35" t="s">
        <v>4191</v>
      </c>
      <c r="U103" s="33" t="s">
        <v>4191</v>
      </c>
      <c r="V103" s="31"/>
      <c r="W103" s="28"/>
      <c r="X103" s="106" t="str">
        <f ca="1"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f>
        <v xml:space="preserve">J D H </v>
      </c>
      <c r="Z103" s="109">
        <f t="shared" si="29"/>
        <v>17</v>
      </c>
      <c r="AA103" s="59">
        <v>46184</v>
      </c>
      <c r="AB103" t="str">
        <v>currydestroyer27</v>
      </c>
      <c r="AC103" s="3">
        <v>2.6</v>
      </c>
      <c r="AD103">
        <v>1.019803902718557</v>
      </c>
      <c r="AE103" t="str">
        <v>crushcrushcrush</v>
      </c>
      <c r="AF103" t="str">
        <v>Paramore</v>
      </c>
      <c r="AG103" s="100">
        <f t="shared" si="30"/>
        <v>17</v>
      </c>
      <c r="AI103" s="115">
        <f>Jun_2026_SotM[[#This Row],[Max Seed]]/2 + 1</f>
        <v>5</v>
      </c>
      <c r="AJ103" s="105" t="str">
        <f>IF(Jun_2026_SotM[[#This Row],[Num]]&gt;=$A$95, "-", IF(Jun_2026_SotM[[#This Row],[Score 1]]&gt;=3, Jun_2026_SotM[[#This Row],[Song 2]], IF(Jun_2026_SotM[[#This Row],[Score 2]]&gt;=3, Jun_2026_SotM[[#This Row],[Song 1]], "TBD")))</f>
        <v>TBD</v>
      </c>
      <c r="AK103" s="3" t="str">
        <f>IFERROR(VLOOKUP(Jun_2025_Results64[[#This Row],[Song Title]], $AE$96:$AG$112, 3, FALSE)-Jun_2025_Results64[[#This Row],[Result]], "TBD")</f>
        <v>TBD</v>
      </c>
      <c r="AL103" s="3" t="str">
        <f t="shared" si="31"/>
        <v>↑</v>
      </c>
    </row>
    <row r="104" spans="1:38">
      <c r="A104" s="199" t="str">
        <f>_xlfn.CONCAT("Seed ", Jun_2026_SotM[[#This Row],[Top Seed]], " vs ",Jun_2026_SotM[[#This Row],[Low Seed]])</f>
        <v>Seed 8 vs 9</v>
      </c>
      <c r="B104" s="201">
        <v>8</v>
      </c>
      <c r="C104" s="200">
        <f>FLOOR(LOG(Jun_2026_SotM[[#This Row],[Num]], 2), 1)</f>
        <v>3</v>
      </c>
      <c r="D104" s="200">
        <f>2^(Jun_2026_SotM[[#This Row],[Round]]+1)</f>
        <v>16</v>
      </c>
      <c r="E104" s="200">
        <f>Jun_2026_SotM[[#This Row],[Max Seed]]-Jun_2026_SotM[[#This Row],[Num]]</f>
        <v>8</v>
      </c>
      <c r="F104" s="200">
        <f>Jun_2026_SotM[[#This Row],[Max Seed]]-Jun_2026_SotM[[#This Row],[Top Seed]]+1</f>
        <v>9</v>
      </c>
      <c r="G104" s="200" t="b">
        <f>IF(Jun_2026_SotM[[#This Row],[Round]]=$C$95, TRUE(), IF(Jun_2026_SotM[[#This Row],[Round]]=$B$95, Jun_2026_SotM[[#This Row],[Top Seed]]&lt;=2*Jun_2026_SotM[[#This Row],[Max Seed]]-$A$95, FALSE()))</f>
        <v>1</v>
      </c>
      <c r="H104" s="200" t="b">
        <f>IF(Jun_2026_SotM[[#This Row],[Round]]=$C$95, TRUE(), IF(Jun_2026_SotM[[#This Row],[Round]]=$B$95, Jun_2026_SotM[[#This Row],[Low Seed]]&lt;=2*Jun_2026_SotM[[#This Row],[Max Seed]]-$A$95, FALSE()))</f>
        <v>1</v>
      </c>
      <c r="I104" s="28"/>
      <c r="J104" s="31"/>
      <c r="K104" s="33" t="s">
        <v>4191</v>
      </c>
      <c r="L104" s="35" t="s">
        <v>4191</v>
      </c>
      <c r="M104" s="37" t="s">
        <v>4191</v>
      </c>
      <c r="N104" s="203" t="str">
        <f ca="1">IF(Jun_2026_SotM[[#This Row],[Num]]&gt;=$A$95, "-", IF(Jun_2026_SotM[[#This Row],[Initial 1]], VLOOKUP(Jun_2026_SotM[[#This Row],[Top Seed]], $Z$96:$AE$113, 6, FALSE), OFFSET(Jun_2026_SotM[[#This Row],[Winner]], Jun_2026_SotM[[#This Row],[Max Seed]], 0)))</f>
        <v>Heart-Shaped Box</v>
      </c>
      <c r="O104" s="200">
        <f>COUNTIF(Jun_2026_SotM[[#This Row],[J]:[H]],"x")</f>
        <v>3</v>
      </c>
      <c r="P104" s="201" t="str">
        <f ca="1">IF(Jun_2026_SotM[[#This Row],[Num]]&gt;=$A$95, "-", IF(Jun_2026_SotM[[#This Row],[Score 1]]&gt;=3, Jun_2026_SotM[[#This Row],[Song 1]], IF(Jun_2026_SotM[[#This Row],[Score 2]]&gt;=3, Jun_2026_SotM[[#This Row],[Song 2]], "TBD")))</f>
        <v>Heart-Shaped Box</v>
      </c>
      <c r="Q104" s="206">
        <f>COUNTIF(Jun_2026_SotM[[#This Row],[H ]:[J ]],"x")</f>
        <v>2</v>
      </c>
      <c r="R104" s="200" t="str">
        <f ca="1"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f>
        <v>COCO LOCO</v>
      </c>
      <c r="S104" s="37"/>
      <c r="T104" s="35"/>
      <c r="U104" s="33"/>
      <c r="V104" s="31" t="s">
        <v>4191</v>
      </c>
      <c r="W104" s="28" t="s">
        <v>4191</v>
      </c>
      <c r="X104" s="106" t="str">
        <f ca="1"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f>
        <v/>
      </c>
      <c r="Z104" s="109">
        <f t="shared" si="29"/>
        <v>11</v>
      </c>
      <c r="AA104" s="59">
        <v>46188</v>
      </c>
      <c r="AB104" t="str">
        <v>samuelbattista</v>
      </c>
      <c r="AC104" s="3">
        <v>2.2000000000000002</v>
      </c>
      <c r="AD104">
        <v>0.9797958971132712</v>
      </c>
      <c r="AE104" t="str">
        <v>Can You Feel It</v>
      </c>
      <c r="AF104" t="str">
        <v>Polyphia</v>
      </c>
      <c r="AG104" s="100">
        <f t="shared" si="30"/>
        <v>9</v>
      </c>
      <c r="AI104" s="115">
        <f>Jun_2026_SotM[[#This Row],[Max Seed]]/2 + 1</f>
        <v>9</v>
      </c>
      <c r="AJ104" s="105" t="str">
        <f ca="1">IF(Jun_2026_SotM[[#This Row],[Num]]&gt;=$A$95, "-", IF(Jun_2026_SotM[[#This Row],[Score 1]]&gt;=3, Jun_2026_SotM[[#This Row],[Song 2]], IF(Jun_2026_SotM[[#This Row],[Score 2]]&gt;=3, Jun_2026_SotM[[#This Row],[Song 1]], "TBD")))</f>
        <v>COCO LOCO</v>
      </c>
      <c r="AK104" s="3">
        <f ca="1">IFERROR(VLOOKUP(Jun_2025_Results64[[#This Row],[Song Title]], $AE$96:$AG$112, 3, FALSE)-Jun_2025_Results64[[#This Row],[Result]], "TBD")</f>
        <v>0</v>
      </c>
      <c r="AL104" s="3" t="str">
        <f t="shared" ca="1" si="31"/>
        <v>-</v>
      </c>
    </row>
    <row r="105" spans="1:38">
      <c r="A105" s="199" t="str">
        <f>_xlfn.CONCAT("Seed ", Jun_2026_SotM[[#This Row],[Top Seed]], " vs ",Jun_2026_SotM[[#This Row],[Low Seed]])</f>
        <v>Seed 7 vs 10</v>
      </c>
      <c r="B105" s="201">
        <v>9</v>
      </c>
      <c r="C105" s="200">
        <f>FLOOR(LOG(Jun_2026_SotM[[#This Row],[Num]], 2), 1)</f>
        <v>3</v>
      </c>
      <c r="D105" s="200">
        <f>2^(Jun_2026_SotM[[#This Row],[Round]]+1)</f>
        <v>16</v>
      </c>
      <c r="E105" s="200">
        <f>Jun_2026_SotM[[#This Row],[Max Seed]]-Jun_2026_SotM[[#This Row],[Num]]</f>
        <v>7</v>
      </c>
      <c r="F105" s="200">
        <f>Jun_2026_SotM[[#This Row],[Max Seed]]-Jun_2026_SotM[[#This Row],[Top Seed]]+1</f>
        <v>10</v>
      </c>
      <c r="G105" s="200" t="b">
        <f>IF(Jun_2026_SotM[[#This Row],[Round]]=$C$95, TRUE(), IF(Jun_2026_SotM[[#This Row],[Round]]=$B$95, Jun_2026_SotM[[#This Row],[Top Seed]]&lt;=2*Jun_2026_SotM[[#This Row],[Max Seed]]-$A$95, FALSE()))</f>
        <v>1</v>
      </c>
      <c r="H105" s="200" t="b">
        <f>IF(Jun_2026_SotM[[#This Row],[Round]]=$C$95, TRUE(), IF(Jun_2026_SotM[[#This Row],[Round]]=$B$95, Jun_2026_SotM[[#This Row],[Low Seed]]&lt;=2*Jun_2026_SotM[[#This Row],[Max Seed]]-$A$95, FALSE()))</f>
        <v>1</v>
      </c>
      <c r="I105" s="28" t="s">
        <v>4191</v>
      </c>
      <c r="J105" s="31" t="s">
        <v>4191</v>
      </c>
      <c r="K105" s="33" t="s">
        <v>4191</v>
      </c>
      <c r="L105" s="35"/>
      <c r="M105" s="37" t="s">
        <v>4191</v>
      </c>
      <c r="N105" s="203" t="str">
        <f ca="1">IF(Jun_2026_SotM[[#This Row],[Num]]&gt;=$A$95, "-", IF(Jun_2026_SotM[[#This Row],[Initial 1]], VLOOKUP(Jun_2026_SotM[[#This Row],[Top Seed]], $Z$96:$AE$113, 6, FALSE), OFFSET(Jun_2026_SotM[[#This Row],[Winner]], Jun_2026_SotM[[#This Row],[Max Seed]], 0)))</f>
        <v>Forever</v>
      </c>
      <c r="O105" s="200">
        <f>COUNTIF(Jun_2026_SotM[[#This Row],[J]:[H]],"x")</f>
        <v>4</v>
      </c>
      <c r="P105" s="201" t="str">
        <f ca="1">IF(Jun_2026_SotM[[#This Row],[Num]]&gt;=$A$95, "-", IF(Jun_2026_SotM[[#This Row],[Score 1]]&gt;=3, Jun_2026_SotM[[#This Row],[Song 1]], IF(Jun_2026_SotM[[#This Row],[Score 2]]&gt;=3, Jun_2026_SotM[[#This Row],[Song 2]], "TBD")))</f>
        <v>Forever</v>
      </c>
      <c r="Q105" s="206">
        <f>COUNTIF(Jun_2026_SotM[[#This Row],[H ]:[J ]],"x")</f>
        <v>1</v>
      </c>
      <c r="R105" s="200" t="str">
        <f ca="1"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f>
        <v>Man in the Box</v>
      </c>
      <c r="S105" s="37"/>
      <c r="T105" s="35" t="s">
        <v>4191</v>
      </c>
      <c r="U105" s="33"/>
      <c r="V105" s="31"/>
      <c r="W105" s="28"/>
      <c r="X105" s="106" t="str">
        <f ca="1"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f>
        <v/>
      </c>
      <c r="Z105" s="109">
        <f t="shared" si="29"/>
        <v>15</v>
      </c>
      <c r="AA105" s="59">
        <v>46189</v>
      </c>
      <c r="AB105" t="str">
        <v>currydestroyer27</v>
      </c>
      <c r="AC105" s="3">
        <v>2.4</v>
      </c>
      <c r="AD105">
        <v>1.019803902718557</v>
      </c>
      <c r="AE105" t="str">
        <v>Tic Tac</v>
      </c>
      <c r="AF105" t="str">
        <v>Future, Lil Uzi</v>
      </c>
      <c r="AG105" s="100">
        <f t="shared" si="30"/>
        <v>9</v>
      </c>
      <c r="AI105" s="115">
        <f>Jun_2026_SotM[[#This Row],[Max Seed]]/2 + 1</f>
        <v>9</v>
      </c>
      <c r="AJ105" s="105" t="str">
        <f ca="1">IF(Jun_2026_SotM[[#This Row],[Num]]&gt;=$A$95, "-", IF(Jun_2026_SotM[[#This Row],[Score 1]]&gt;=3, Jun_2026_SotM[[#This Row],[Song 2]], IF(Jun_2026_SotM[[#This Row],[Score 2]]&gt;=3, Jun_2026_SotM[[#This Row],[Song 1]], "TBD")))</f>
        <v>Man in the Box</v>
      </c>
      <c r="AK105" s="3">
        <f ca="1">IFERROR(VLOOKUP(Jun_2025_Results64[[#This Row],[Song Title]], $AE$96:$AG$112, 3, FALSE)-Jun_2025_Results64[[#This Row],[Result]], "TBD")</f>
        <v>0</v>
      </c>
      <c r="AL105" s="3" t="str">
        <f t="shared" ca="1" si="31"/>
        <v>-</v>
      </c>
    </row>
    <row r="106" spans="1:38">
      <c r="A106" s="199" t="str">
        <f>_xlfn.CONCAT("Seed ", Jun_2026_SotM[[#This Row],[Top Seed]], " vs ",Jun_2026_SotM[[#This Row],[Low Seed]])</f>
        <v>Seed 6 vs 11</v>
      </c>
      <c r="B106" s="201">
        <v>10</v>
      </c>
      <c r="C106" s="200">
        <f>FLOOR(LOG(Jun_2026_SotM[[#This Row],[Num]], 2), 1)</f>
        <v>3</v>
      </c>
      <c r="D106" s="200">
        <f>2^(Jun_2026_SotM[[#This Row],[Round]]+1)</f>
        <v>16</v>
      </c>
      <c r="E106" s="200">
        <f>Jun_2026_SotM[[#This Row],[Max Seed]]-Jun_2026_SotM[[#This Row],[Num]]</f>
        <v>6</v>
      </c>
      <c r="F106" s="200">
        <f>Jun_2026_SotM[[#This Row],[Max Seed]]-Jun_2026_SotM[[#This Row],[Top Seed]]+1</f>
        <v>11</v>
      </c>
      <c r="G106" s="200" t="b">
        <f>IF(Jun_2026_SotM[[#This Row],[Round]]=$C$95, TRUE(), IF(Jun_2026_SotM[[#This Row],[Round]]=$B$95, Jun_2026_SotM[[#This Row],[Top Seed]]&lt;=2*Jun_2026_SotM[[#This Row],[Max Seed]]-$A$95, FALSE()))</f>
        <v>1</v>
      </c>
      <c r="H106" s="200" t="b">
        <f>IF(Jun_2026_SotM[[#This Row],[Round]]=$C$95, TRUE(), IF(Jun_2026_SotM[[#This Row],[Round]]=$B$95, Jun_2026_SotM[[#This Row],[Low Seed]]&lt;=2*Jun_2026_SotM[[#This Row],[Max Seed]]-$A$95, FALSE()))</f>
        <v>1</v>
      </c>
      <c r="I106" s="28" t="s">
        <v>4191</v>
      </c>
      <c r="J106" s="31" t="s">
        <v>4191</v>
      </c>
      <c r="K106" s="33"/>
      <c r="L106" s="35"/>
      <c r="M106" s="37" t="s">
        <v>4191</v>
      </c>
      <c r="N106" s="203" t="str">
        <f ca="1">IF(Jun_2026_SotM[[#This Row],[Num]]&gt;=$A$95, "-", IF(Jun_2026_SotM[[#This Row],[Initial 1]], VLOOKUP(Jun_2026_SotM[[#This Row],[Top Seed]], $Z$96:$AE$113, 6, FALSE), OFFSET(Jun_2026_SotM[[#This Row],[Winner]], Jun_2026_SotM[[#This Row],[Max Seed]], 0)))</f>
        <v>Look Alive</v>
      </c>
      <c r="O106" s="200">
        <f>COUNTIF(Jun_2026_SotM[[#This Row],[J]:[H]],"x")</f>
        <v>3</v>
      </c>
      <c r="P106" s="201" t="str">
        <f ca="1">IF(Jun_2026_SotM[[#This Row],[Num]]&gt;=$A$95, "-", IF(Jun_2026_SotM[[#This Row],[Score 1]]&gt;=3, Jun_2026_SotM[[#This Row],[Song 1]], IF(Jun_2026_SotM[[#This Row],[Score 2]]&gt;=3, Jun_2026_SotM[[#This Row],[Song 2]], "TBD")))</f>
        <v>Look Alive</v>
      </c>
      <c r="Q106" s="206">
        <f>COUNTIF(Jun_2026_SotM[[#This Row],[H ]:[J ]],"x")</f>
        <v>2</v>
      </c>
      <c r="R106" s="200" t="str">
        <f ca="1"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f>
        <v>Can You Feel It</v>
      </c>
      <c r="S106" s="37"/>
      <c r="T106" s="35" t="s">
        <v>4191</v>
      </c>
      <c r="U106" s="33" t="s">
        <v>4191</v>
      </c>
      <c r="V106" s="31"/>
      <c r="W106" s="28"/>
      <c r="X106" s="106" t="str">
        <f ca="1"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f>
        <v/>
      </c>
      <c r="Z106" s="109">
        <f t="shared" si="29"/>
        <v>13</v>
      </c>
      <c r="AA106" s="59">
        <v>46190</v>
      </c>
      <c r="AB106" t="str">
        <v>currydestroyer27</v>
      </c>
      <c r="AC106" s="3">
        <v>2.2000000000000002</v>
      </c>
      <c r="AD106">
        <v>1.1661903789690602</v>
      </c>
      <c r="AE106" t="str">
        <v>Cicada</v>
      </c>
      <c r="AF106" t="str">
        <v>Good Kid</v>
      </c>
      <c r="AG106" s="100">
        <f t="shared" si="30"/>
        <v>9</v>
      </c>
      <c r="AI106" s="115">
        <f>Jun_2026_SotM[[#This Row],[Max Seed]]/2 + 1</f>
        <v>9</v>
      </c>
      <c r="AJ106" s="105" t="str">
        <f ca="1">IF(Jun_2026_SotM[[#This Row],[Num]]&gt;=$A$95, "-", IF(Jun_2026_SotM[[#This Row],[Score 1]]&gt;=3, Jun_2026_SotM[[#This Row],[Song 2]], IF(Jun_2026_SotM[[#This Row],[Score 2]]&gt;=3, Jun_2026_SotM[[#This Row],[Song 1]], "TBD")))</f>
        <v>Can You Feel It</v>
      </c>
      <c r="AK106" s="3">
        <f ca="1">IFERROR(VLOOKUP(Jun_2025_Results64[[#This Row],[Song Title]], $AE$96:$AG$112, 3, FALSE)-Jun_2025_Results64[[#This Row],[Result]], "TBD")</f>
        <v>0</v>
      </c>
      <c r="AL106" s="3" t="str">
        <f t="shared" ca="1" si="31"/>
        <v>-</v>
      </c>
    </row>
    <row r="107" spans="1:38">
      <c r="A107" s="199" t="str">
        <f>_xlfn.CONCAT("Seed ", Jun_2026_SotM[[#This Row],[Top Seed]], " vs ",Jun_2026_SotM[[#This Row],[Low Seed]])</f>
        <v>Seed 5 vs 12</v>
      </c>
      <c r="B107" s="201">
        <v>11</v>
      </c>
      <c r="C107" s="200">
        <f>FLOOR(LOG(Jun_2026_SotM[[#This Row],[Num]], 2), 1)</f>
        <v>3</v>
      </c>
      <c r="D107" s="200">
        <f>2^(Jun_2026_SotM[[#This Row],[Round]]+1)</f>
        <v>16</v>
      </c>
      <c r="E107" s="200">
        <f>Jun_2026_SotM[[#This Row],[Max Seed]]-Jun_2026_SotM[[#This Row],[Num]]</f>
        <v>5</v>
      </c>
      <c r="F107" s="200">
        <f>Jun_2026_SotM[[#This Row],[Max Seed]]-Jun_2026_SotM[[#This Row],[Top Seed]]+1</f>
        <v>12</v>
      </c>
      <c r="G107" s="200" t="b">
        <f>IF(Jun_2026_SotM[[#This Row],[Round]]=$C$95, TRUE(), IF(Jun_2026_SotM[[#This Row],[Round]]=$B$95, Jun_2026_SotM[[#This Row],[Top Seed]]&lt;=2*Jun_2026_SotM[[#This Row],[Max Seed]]-$A$95, FALSE()))</f>
        <v>1</v>
      </c>
      <c r="H107" s="200" t="b">
        <f>IF(Jun_2026_SotM[[#This Row],[Round]]=$C$95, TRUE(), IF(Jun_2026_SotM[[#This Row],[Round]]=$B$95, Jun_2026_SotM[[#This Row],[Low Seed]]&lt;=2*Jun_2026_SotM[[#This Row],[Max Seed]]-$A$95, FALSE()))</f>
        <v>1</v>
      </c>
      <c r="I107" s="28"/>
      <c r="J107" s="31" t="s">
        <v>4191</v>
      </c>
      <c r="K107" s="33" t="s">
        <v>4191</v>
      </c>
      <c r="L107" s="35" t="s">
        <v>4191</v>
      </c>
      <c r="M107" s="37" t="s">
        <v>4191</v>
      </c>
      <c r="N107" s="203" t="str">
        <f ca="1">IF(Jun_2026_SotM[[#This Row],[Num]]&gt;=$A$95, "-", IF(Jun_2026_SotM[[#This Row],[Initial 1]], VLOOKUP(Jun_2026_SotM[[#This Row],[Top Seed]], $Z$96:$AE$113, 6, FALSE), OFFSET(Jun_2026_SotM[[#This Row],[Winner]], Jun_2026_SotM[[#This Row],[Max Seed]], 0)))</f>
        <v>Cudi Montage</v>
      </c>
      <c r="O107" s="200">
        <f>COUNTIF(Jun_2026_SotM[[#This Row],[J]:[H]],"x")</f>
        <v>4</v>
      </c>
      <c r="P107" s="201" t="str">
        <f ca="1">IF(Jun_2026_SotM[[#This Row],[Num]]&gt;=$A$95, "-", IF(Jun_2026_SotM[[#This Row],[Score 1]]&gt;=3, Jun_2026_SotM[[#This Row],[Song 1]], IF(Jun_2026_SotM[[#This Row],[Score 2]]&gt;=3, Jun_2026_SotM[[#This Row],[Song 2]], "TBD")))</f>
        <v>Cudi Montage</v>
      </c>
      <c r="Q107" s="206">
        <f>COUNTIF(Jun_2026_SotM[[#This Row],[H ]:[J ]],"x")</f>
        <v>1</v>
      </c>
      <c r="R107" s="200" t="str">
        <f ca="1"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f>
        <v>esperando que vuelvas</v>
      </c>
      <c r="S107" s="37"/>
      <c r="T107" s="35"/>
      <c r="U107" s="33"/>
      <c r="V107" s="31"/>
      <c r="W107" s="28" t="s">
        <v>4191</v>
      </c>
      <c r="X107" s="106" t="str">
        <f ca="1"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f>
        <v/>
      </c>
      <c r="Z107" s="109">
        <f t="shared" si="29"/>
        <v>8</v>
      </c>
      <c r="AA107" s="59">
        <v>46191</v>
      </c>
      <c r="AB107" t="str">
        <v>samuelbattista</v>
      </c>
      <c r="AC107" s="3">
        <v>1.8</v>
      </c>
      <c r="AD107">
        <v>1.1661903789690602</v>
      </c>
      <c r="AE107" t="str">
        <v>Heart-Shaped Box</v>
      </c>
      <c r="AF107" t="str">
        <v>Nirvana</v>
      </c>
      <c r="AG107" s="100">
        <f t="shared" si="30"/>
        <v>5</v>
      </c>
      <c r="AI107" s="115">
        <f>Jun_2026_SotM[[#This Row],[Max Seed]]/2 + 1</f>
        <v>9</v>
      </c>
      <c r="AJ107" s="105" t="str">
        <f ca="1">IF(Jun_2026_SotM[[#This Row],[Num]]&gt;=$A$95, "-", IF(Jun_2026_SotM[[#This Row],[Score 1]]&gt;=3, Jun_2026_SotM[[#This Row],[Song 2]], IF(Jun_2026_SotM[[#This Row],[Score 2]]&gt;=3, Jun_2026_SotM[[#This Row],[Song 1]], "TBD")))</f>
        <v>esperando que vuelvas</v>
      </c>
      <c r="AK107" s="3">
        <f ca="1">IFERROR(VLOOKUP(Jun_2025_Results64[[#This Row],[Song Title]], $AE$96:$AG$112, 3, FALSE)-Jun_2025_Results64[[#This Row],[Result]], "TBD")</f>
        <v>0</v>
      </c>
      <c r="AL107" s="3" t="str">
        <f t="shared" ca="1" si="31"/>
        <v>-</v>
      </c>
    </row>
    <row r="108" spans="1:38">
      <c r="A108" s="199" t="str">
        <f>_xlfn.CONCAT("Seed ", Jun_2026_SotM[[#This Row],[Top Seed]], " vs ",Jun_2026_SotM[[#This Row],[Low Seed]])</f>
        <v>Seed 4 vs 13</v>
      </c>
      <c r="B108" s="201">
        <v>12</v>
      </c>
      <c r="C108" s="200">
        <f>FLOOR(LOG(Jun_2026_SotM[[#This Row],[Num]], 2), 1)</f>
        <v>3</v>
      </c>
      <c r="D108" s="200">
        <f>2^(Jun_2026_SotM[[#This Row],[Round]]+1)</f>
        <v>16</v>
      </c>
      <c r="E108" s="200">
        <f>Jun_2026_SotM[[#This Row],[Max Seed]]-Jun_2026_SotM[[#This Row],[Num]]</f>
        <v>4</v>
      </c>
      <c r="F108" s="200">
        <f>Jun_2026_SotM[[#This Row],[Max Seed]]-Jun_2026_SotM[[#This Row],[Top Seed]]+1</f>
        <v>13</v>
      </c>
      <c r="G108" s="200" t="b">
        <f>IF(Jun_2026_SotM[[#This Row],[Round]]=$C$95, TRUE(), IF(Jun_2026_SotM[[#This Row],[Round]]=$B$95, Jun_2026_SotM[[#This Row],[Top Seed]]&lt;=2*Jun_2026_SotM[[#This Row],[Max Seed]]-$A$95, FALSE()))</f>
        <v>1</v>
      </c>
      <c r="H108" s="200" t="b">
        <f>IF(Jun_2026_SotM[[#This Row],[Round]]=$C$95, TRUE(), IF(Jun_2026_SotM[[#This Row],[Round]]=$B$95, Jun_2026_SotM[[#This Row],[Low Seed]]&lt;=2*Jun_2026_SotM[[#This Row],[Max Seed]]-$A$95, FALSE()))</f>
        <v>1</v>
      </c>
      <c r="I108" s="28"/>
      <c r="J108" s="31"/>
      <c r="K108" s="33"/>
      <c r="L108" s="35"/>
      <c r="M108" s="37"/>
      <c r="N108" s="203" t="str">
        <f ca="1">IF(Jun_2026_SotM[[#This Row],[Num]]&gt;=$A$95, "-", IF(Jun_2026_SotM[[#This Row],[Initial 1]], VLOOKUP(Jun_2026_SotM[[#This Row],[Top Seed]], $Z$96:$AE$113, 6, FALSE), OFFSET(Jun_2026_SotM[[#This Row],[Winner]], Jun_2026_SotM[[#This Row],[Max Seed]], 0)))</f>
        <v>Surf Swag</v>
      </c>
      <c r="O108" s="200">
        <f>COUNTIF(Jun_2026_SotM[[#This Row],[J]:[H]],"x")</f>
        <v>0</v>
      </c>
      <c r="P108" s="201" t="str">
        <f ca="1">IF(Jun_2026_SotM[[#This Row],[Num]]&gt;=$A$95, "-", IF(Jun_2026_SotM[[#This Row],[Score 1]]&gt;=3, Jun_2026_SotM[[#This Row],[Song 1]], IF(Jun_2026_SotM[[#This Row],[Score 2]]&gt;=3, Jun_2026_SotM[[#This Row],[Song 2]], "TBD")))</f>
        <v>Cicada</v>
      </c>
      <c r="Q108" s="206">
        <f>COUNTIF(Jun_2026_SotM[[#This Row],[H ]:[J ]],"x")</f>
        <v>5</v>
      </c>
      <c r="R108" s="200" t="str">
        <f ca="1"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f>
        <v>Cicada</v>
      </c>
      <c r="S108" s="37" t="s">
        <v>4191</v>
      </c>
      <c r="T108" s="35" t="s">
        <v>4191</v>
      </c>
      <c r="U108" s="33" t="s">
        <v>4191</v>
      </c>
      <c r="V108" s="31" t="s">
        <v>4191</v>
      </c>
      <c r="W108" s="28" t="s">
        <v>4191</v>
      </c>
      <c r="X108" s="106" t="str">
        <f ca="1"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f>
        <v/>
      </c>
      <c r="Z108" s="109">
        <f t="shared" si="29"/>
        <v>6</v>
      </c>
      <c r="AA108" s="59">
        <v>46195</v>
      </c>
      <c r="AB108" t="str">
        <v>danram</v>
      </c>
      <c r="AC108" s="3">
        <v>1.8</v>
      </c>
      <c r="AD108">
        <v>0.74833147735478833</v>
      </c>
      <c r="AE108" t="str">
        <v>Look Alive</v>
      </c>
      <c r="AF108" t="str">
        <v>BlocBoy JB, Drake</v>
      </c>
      <c r="AG108" s="100">
        <f t="shared" si="30"/>
        <v>5</v>
      </c>
      <c r="AI108" s="115">
        <f>Jun_2026_SotM[[#This Row],[Max Seed]]/2 + 1</f>
        <v>9</v>
      </c>
      <c r="AJ108" s="105" t="str">
        <f ca="1">IF(Jun_2026_SotM[[#This Row],[Num]]&gt;=$A$95, "-", IF(Jun_2026_SotM[[#This Row],[Score 1]]&gt;=3, Jun_2026_SotM[[#This Row],[Song 2]], IF(Jun_2026_SotM[[#This Row],[Score 2]]&gt;=3, Jun_2026_SotM[[#This Row],[Song 1]], "TBD")))</f>
        <v>Surf Swag</v>
      </c>
      <c r="AK108" s="3">
        <f ca="1">IFERROR(VLOOKUP(Jun_2025_Results64[[#This Row],[Song Title]], $AE$96:$AG$112, 3, FALSE)-Jun_2025_Results64[[#This Row],[Result]], "TBD")</f>
        <v>-6</v>
      </c>
      <c r="AL108" s="3" t="str">
        <f t="shared" ca="1" si="31"/>
        <v>↓</v>
      </c>
    </row>
    <row r="109" spans="1:38">
      <c r="A109" s="199" t="str">
        <f>_xlfn.CONCAT("Seed ", Jun_2026_SotM[[#This Row],[Top Seed]], " vs ",Jun_2026_SotM[[#This Row],[Low Seed]])</f>
        <v>Seed 3 vs 14</v>
      </c>
      <c r="B109" s="201">
        <v>13</v>
      </c>
      <c r="C109" s="200">
        <f>FLOOR(LOG(Jun_2026_SotM[[#This Row],[Num]], 2), 1)</f>
        <v>3</v>
      </c>
      <c r="D109" s="200">
        <f>2^(Jun_2026_SotM[[#This Row],[Round]]+1)</f>
        <v>16</v>
      </c>
      <c r="E109" s="200">
        <f>Jun_2026_SotM[[#This Row],[Max Seed]]-Jun_2026_SotM[[#This Row],[Num]]</f>
        <v>3</v>
      </c>
      <c r="F109" s="200">
        <f>Jun_2026_SotM[[#This Row],[Max Seed]]-Jun_2026_SotM[[#This Row],[Top Seed]]+1</f>
        <v>14</v>
      </c>
      <c r="G109" s="200" t="b">
        <f>IF(Jun_2026_SotM[[#This Row],[Round]]=$C$95, TRUE(), IF(Jun_2026_SotM[[#This Row],[Round]]=$B$95, Jun_2026_SotM[[#This Row],[Top Seed]]&lt;=2*Jun_2026_SotM[[#This Row],[Max Seed]]-$A$95, FALSE()))</f>
        <v>1</v>
      </c>
      <c r="H109" s="200" t="b">
        <f>IF(Jun_2026_SotM[[#This Row],[Round]]=$C$95, TRUE(), IF(Jun_2026_SotM[[#This Row],[Round]]=$B$95, Jun_2026_SotM[[#This Row],[Low Seed]]&lt;=2*Jun_2026_SotM[[#This Row],[Max Seed]]-$A$95, FALSE()))</f>
        <v>1</v>
      </c>
      <c r="I109" s="28"/>
      <c r="J109" s="31"/>
      <c r="K109" s="33" t="s">
        <v>4191</v>
      </c>
      <c r="L109" s="35"/>
      <c r="M109" s="37" t="s">
        <v>4191</v>
      </c>
      <c r="N109" s="203" t="str">
        <f ca="1">IF(Jun_2026_SotM[[#This Row],[Num]]&gt;=$A$95, "-", IF(Jun_2026_SotM[[#This Row],[Initial 1]], VLOOKUP(Jun_2026_SotM[[#This Row],[Top Seed]], $Z$96:$AE$113, 6, FALSE), OFFSET(Jun_2026_SotM[[#This Row],[Winner]], Jun_2026_SotM[[#This Row],[Max Seed]], 0)))</f>
        <v>Wavin' Flag</v>
      </c>
      <c r="O109" s="200">
        <f>COUNTIF(Jun_2026_SotM[[#This Row],[J]:[H]],"x")</f>
        <v>2</v>
      </c>
      <c r="P109" s="201" t="str">
        <f ca="1">IF(Jun_2026_SotM[[#This Row],[Num]]&gt;=$A$95, "-", IF(Jun_2026_SotM[[#This Row],[Score 1]]&gt;=3, Jun_2026_SotM[[#This Row],[Song 1]], IF(Jun_2026_SotM[[#This Row],[Score 2]]&gt;=3, Jun_2026_SotM[[#This Row],[Song 2]], "TBD")))</f>
        <v>Omerta</v>
      </c>
      <c r="Q109" s="206">
        <f>COUNTIF(Jun_2026_SotM[[#This Row],[H ]:[J ]],"x")</f>
        <v>3</v>
      </c>
      <c r="R109" s="200" t="str">
        <f ca="1"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f>
        <v>Omerta</v>
      </c>
      <c r="S109" s="37"/>
      <c r="T109" s="35" t="s">
        <v>4191</v>
      </c>
      <c r="U109" s="33"/>
      <c r="V109" s="31" t="s">
        <v>4191</v>
      </c>
      <c r="W109" s="28" t="s">
        <v>4191</v>
      </c>
      <c r="X109" s="106" t="str">
        <f ca="1"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f>
        <v/>
      </c>
      <c r="Z109" s="109">
        <f t="shared" si="29"/>
        <v>9</v>
      </c>
      <c r="AA109" s="59">
        <v>46196</v>
      </c>
      <c r="AB109" t="str">
        <v>danram</v>
      </c>
      <c r="AC109" s="3">
        <v>2.2000000000000002</v>
      </c>
      <c r="AD109">
        <v>0.74833147735478833</v>
      </c>
      <c r="AE109" t="str">
        <v>COCO LOCO</v>
      </c>
      <c r="AF109" t="str">
        <v>Maluma</v>
      </c>
      <c r="AG109" s="100">
        <f t="shared" si="30"/>
        <v>9</v>
      </c>
      <c r="AI109" s="115">
        <f>Jun_2026_SotM[[#This Row],[Max Seed]]/2 + 1</f>
        <v>9</v>
      </c>
      <c r="AJ109" s="105" t="str">
        <f ca="1">IF(Jun_2026_SotM[[#This Row],[Num]]&gt;=$A$95, "-", IF(Jun_2026_SotM[[#This Row],[Score 1]]&gt;=3, Jun_2026_SotM[[#This Row],[Song 2]], IF(Jun_2026_SotM[[#This Row],[Score 2]]&gt;=3, Jun_2026_SotM[[#This Row],[Song 1]], "TBD")))</f>
        <v>Wavin' Flag</v>
      </c>
      <c r="AK109" s="3">
        <f ca="1">IFERROR(VLOOKUP(Jun_2025_Results64[[#This Row],[Song Title]], $AE$96:$AG$112, 3, FALSE)-Jun_2025_Results64[[#This Row],[Result]], "TBD")</f>
        <v>-6</v>
      </c>
      <c r="AL109" s="3" t="str">
        <f t="shared" ca="1" si="31"/>
        <v>↓</v>
      </c>
    </row>
    <row r="110" spans="1:38">
      <c r="A110" s="199" t="str">
        <f>_xlfn.CONCAT("Seed ", Jun_2026_SotM[[#This Row],[Top Seed]], " vs ",Jun_2026_SotM[[#This Row],[Low Seed]])</f>
        <v>Seed 2 vs 15</v>
      </c>
      <c r="B110" s="201">
        <v>14</v>
      </c>
      <c r="C110" s="200">
        <f>FLOOR(LOG(Jun_2026_SotM[[#This Row],[Num]], 2), 1)</f>
        <v>3</v>
      </c>
      <c r="D110" s="200">
        <f>2^(Jun_2026_SotM[[#This Row],[Round]]+1)</f>
        <v>16</v>
      </c>
      <c r="E110" s="200">
        <f>Jun_2026_SotM[[#This Row],[Max Seed]]-Jun_2026_SotM[[#This Row],[Num]]</f>
        <v>2</v>
      </c>
      <c r="F110" s="200">
        <f>Jun_2026_SotM[[#This Row],[Max Seed]]-Jun_2026_SotM[[#This Row],[Top Seed]]+1</f>
        <v>15</v>
      </c>
      <c r="G110" s="200" t="b">
        <f>IF(Jun_2026_SotM[[#This Row],[Round]]=$C$95, TRUE(), IF(Jun_2026_SotM[[#This Row],[Round]]=$B$95, Jun_2026_SotM[[#This Row],[Top Seed]]&lt;=2*Jun_2026_SotM[[#This Row],[Max Seed]]-$A$95, FALSE()))</f>
        <v>1</v>
      </c>
      <c r="H110" s="200" t="b">
        <f>IF(Jun_2026_SotM[[#This Row],[Round]]=$C$95, TRUE(), IF(Jun_2026_SotM[[#This Row],[Round]]=$B$95, Jun_2026_SotM[[#This Row],[Low Seed]]&lt;=2*Jun_2026_SotM[[#This Row],[Max Seed]]-$A$95, FALSE()))</f>
        <v>0</v>
      </c>
      <c r="I110" s="28"/>
      <c r="J110" s="31"/>
      <c r="K110" s="33" t="s">
        <v>4191</v>
      </c>
      <c r="L110" s="35"/>
      <c r="M110" s="37"/>
      <c r="N110" s="203" t="str">
        <f ca="1">IF(Jun_2026_SotM[[#This Row],[Num]]&gt;=$A$95, "-", IF(Jun_2026_SotM[[#This Row],[Initial 1]], VLOOKUP(Jun_2026_SotM[[#This Row],[Top Seed]], $Z$96:$AE$113, 6, FALSE), OFFSET(Jun_2026_SotM[[#This Row],[Winner]], Jun_2026_SotM[[#This Row],[Max Seed]], 0)))</f>
        <v>Hurricane</v>
      </c>
      <c r="O110" s="200">
        <f>COUNTIF(Jun_2026_SotM[[#This Row],[J]:[H]],"x")</f>
        <v>1</v>
      </c>
      <c r="P110" s="201" t="str">
        <f>IF(Jun_2026_SotM[[#This Row],[Num]]&gt;=$A$95, "-", IF(Jun_2026_SotM[[#This Row],[Score 1]]&gt;=3, Jun_2026_SotM[[#This Row],[Song 1]], IF(Jun_2026_SotM[[#This Row],[Score 2]]&gt;=3, Jun_2026_SotM[[#This Row],[Song 2]], "TBD")))</f>
        <v>TBD</v>
      </c>
      <c r="Q110" s="206">
        <f>COUNTIF(Jun_2026_SotM[[#This Row],[H ]:[J ]],"x")</f>
        <v>1</v>
      </c>
      <c r="R110" s="200" t="str">
        <f ca="1"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f>
        <v>Cuando Me Muera Te Olvido</v>
      </c>
      <c r="S110" s="37"/>
      <c r="T110" s="35" t="s">
        <v>4191</v>
      </c>
      <c r="U110" s="33"/>
      <c r="V110" s="31"/>
      <c r="W110" s="28"/>
      <c r="X110" s="106" t="str">
        <f ca="1"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f>
        <v xml:space="preserve">J D H </v>
      </c>
      <c r="Z110" s="109">
        <f t="shared" si="29"/>
        <v>2</v>
      </c>
      <c r="AA110" s="59">
        <v>46197</v>
      </c>
      <c r="AB110" t="str">
        <v>alappatjoe</v>
      </c>
      <c r="AC110" s="3">
        <v>1.6</v>
      </c>
      <c r="AD110">
        <v>0.4898979485566356</v>
      </c>
      <c r="AE110" t="str">
        <v>Hurricane</v>
      </c>
      <c r="AF110" t="str">
        <v>Infinity Song</v>
      </c>
      <c r="AG110" s="100">
        <f t="shared" si="30"/>
        <v>2</v>
      </c>
      <c r="AI110" s="115">
        <f>Jun_2026_SotM[[#This Row],[Max Seed]]/2 + 1</f>
        <v>9</v>
      </c>
      <c r="AJ110" s="105" t="str">
        <f>IF(Jun_2026_SotM[[#This Row],[Num]]&gt;=$A$95, "-", IF(Jun_2026_SotM[[#This Row],[Score 1]]&gt;=3, Jun_2026_SotM[[#This Row],[Song 2]], IF(Jun_2026_SotM[[#This Row],[Score 2]]&gt;=3, Jun_2026_SotM[[#This Row],[Song 1]], "TBD")))</f>
        <v>TBD</v>
      </c>
      <c r="AK110" s="3" t="str">
        <f>IFERROR(VLOOKUP(Jun_2025_Results64[[#This Row],[Song Title]], $AE$96:$AG$112, 3, FALSE)-Jun_2025_Results64[[#This Row],[Result]], "TBD")</f>
        <v>TBD</v>
      </c>
      <c r="AL110" s="3" t="str">
        <f t="shared" si="31"/>
        <v>↑</v>
      </c>
    </row>
    <row r="111" spans="1:38">
      <c r="A111" s="199" t="str">
        <f>_xlfn.CONCAT("Seed ", Jun_2026_SotM[[#This Row],[Top Seed]], " vs ",Jun_2026_SotM[[#This Row],[Low Seed]])</f>
        <v>Seed 1 vs 16</v>
      </c>
      <c r="B111" s="201">
        <v>15</v>
      </c>
      <c r="C111" s="200">
        <f>FLOOR(LOG(Jun_2026_SotM[[#This Row],[Num]], 2), 1)</f>
        <v>3</v>
      </c>
      <c r="D111" s="200">
        <f>2^(Jun_2026_SotM[[#This Row],[Round]]+1)</f>
        <v>16</v>
      </c>
      <c r="E111" s="200">
        <f>Jun_2026_SotM[[#This Row],[Max Seed]]-Jun_2026_SotM[[#This Row],[Num]]</f>
        <v>1</v>
      </c>
      <c r="F111" s="200">
        <f>Jun_2026_SotM[[#This Row],[Max Seed]]-Jun_2026_SotM[[#This Row],[Top Seed]]+1</f>
        <v>16</v>
      </c>
      <c r="G111" s="200" t="b">
        <f>IF(Jun_2026_SotM[[#This Row],[Round]]=$C$95, TRUE(), IF(Jun_2026_SotM[[#This Row],[Round]]=$B$95, Jun_2026_SotM[[#This Row],[Top Seed]]&lt;=2*Jun_2026_SotM[[#This Row],[Max Seed]]-$A$95, FALSE()))</f>
        <v>1</v>
      </c>
      <c r="H111" s="200" t="b">
        <f>IF(Jun_2026_SotM[[#This Row],[Round]]=$C$95, TRUE(), IF(Jun_2026_SotM[[#This Row],[Round]]=$B$95, Jun_2026_SotM[[#This Row],[Low Seed]]&lt;=2*Jun_2026_SotM[[#This Row],[Max Seed]]-$A$95, FALSE()))</f>
        <v>0</v>
      </c>
      <c r="I111" s="28"/>
      <c r="J111" s="31" t="s">
        <v>4191</v>
      </c>
      <c r="K111" s="33" t="s">
        <v>4191</v>
      </c>
      <c r="L111" s="35"/>
      <c r="M111" s="37" t="s">
        <v>4191</v>
      </c>
      <c r="N111" s="203" t="str">
        <f ca="1">IF(Jun_2026_SotM[[#This Row],[Num]]&gt;=$A$95, "-", IF(Jun_2026_SotM[[#This Row],[Initial 1]], VLOOKUP(Jun_2026_SotM[[#This Row],[Top Seed]], $Z$96:$AE$113, 6, FALSE), OFFSET(Jun_2026_SotM[[#This Row],[Winner]], Jun_2026_SotM[[#This Row],[Max Seed]], 0)))</f>
        <v>Don't Speak</v>
      </c>
      <c r="O111" s="200">
        <f>COUNTIF(Jun_2026_SotM[[#This Row],[J]:[H]],"x")</f>
        <v>3</v>
      </c>
      <c r="P111" s="201" t="str">
        <f ca="1">IF(Jun_2026_SotM[[#This Row],[Num]]&gt;=$A$95, "-", IF(Jun_2026_SotM[[#This Row],[Score 1]]&gt;=3, Jun_2026_SotM[[#This Row],[Song 1]], IF(Jun_2026_SotM[[#This Row],[Score 2]]&gt;=3, Jun_2026_SotM[[#This Row],[Song 2]], "TBD")))</f>
        <v>Don't Speak</v>
      </c>
      <c r="Q111" s="206">
        <f>COUNTIF(Jun_2026_SotM[[#This Row],[H ]:[J ]],"x")</f>
        <v>2</v>
      </c>
      <c r="R111" s="200" t="str">
        <f ca="1"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f>
        <v>crushcrushcrush</v>
      </c>
      <c r="S111" s="37"/>
      <c r="T111" s="35" t="s">
        <v>4191</v>
      </c>
      <c r="U111" s="33"/>
      <c r="V111" s="31"/>
      <c r="W111" s="28" t="s">
        <v>4191</v>
      </c>
      <c r="X111" s="106" t="str">
        <f ca="1"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f>
        <v/>
      </c>
      <c r="Z111" s="109">
        <f t="shared" si="29"/>
        <v>3</v>
      </c>
      <c r="AA111" s="59">
        <v>46198</v>
      </c>
      <c r="AB111" t="str">
        <v>loganworsdell</v>
      </c>
      <c r="AC111" s="3">
        <v>1.6</v>
      </c>
      <c r="AD111">
        <v>0.4898979485566356</v>
      </c>
      <c r="AE111" t="str">
        <v>Wavin' Flag</v>
      </c>
      <c r="AF111" t="str">
        <v>K'NAAN</v>
      </c>
      <c r="AG111" s="100">
        <f t="shared" si="30"/>
        <v>3</v>
      </c>
      <c r="AI111" s="115">
        <f>Jun_2026_SotM[[#This Row],[Max Seed]]/2 + 1</f>
        <v>9</v>
      </c>
      <c r="AJ111" s="105" t="str">
        <f ca="1">IF(Jun_2026_SotM[[#This Row],[Num]]&gt;=$A$95, "-", IF(Jun_2026_SotM[[#This Row],[Score 1]]&gt;=3, Jun_2026_SotM[[#This Row],[Song 2]], IF(Jun_2026_SotM[[#This Row],[Score 2]]&gt;=3, Jun_2026_SotM[[#This Row],[Song 1]], "TBD")))</f>
        <v>crushcrushcrush</v>
      </c>
      <c r="AK111" s="3">
        <f ca="1">IFERROR(VLOOKUP(Jun_2025_Results64[[#This Row],[Song Title]], $AE$96:$AG$112, 3, FALSE)-Jun_2025_Results64[[#This Row],[Result]], "TBD")</f>
        <v>8</v>
      </c>
      <c r="AL111" s="3" t="str">
        <f t="shared" ca="1" si="31"/>
        <v>↑</v>
      </c>
    </row>
    <row r="112" spans="1:38">
      <c r="A112" s="199" t="str">
        <f>_xlfn.CONCAT("Seed ", Jun_2026_SotM[[#This Row],[Top Seed]], " vs ",Jun_2026_SotM[[#This Row],[Low Seed]])</f>
        <v>Seed 16 vs 17</v>
      </c>
      <c r="B112" s="201">
        <v>16</v>
      </c>
      <c r="C112" s="200">
        <f>FLOOR(LOG(Jun_2026_SotM[[#This Row],[Num]], 2), 1)</f>
        <v>4</v>
      </c>
      <c r="D112" s="200">
        <f>2^(Jun_2026_SotM[[#This Row],[Round]]+1)</f>
        <v>32</v>
      </c>
      <c r="E112" s="200">
        <f>Jun_2026_SotM[[#This Row],[Max Seed]]-Jun_2026_SotM[[#This Row],[Num]]</f>
        <v>16</v>
      </c>
      <c r="F112" s="200">
        <f>Jun_2026_SotM[[#This Row],[Max Seed]]-Jun_2026_SotM[[#This Row],[Top Seed]]+1</f>
        <v>17</v>
      </c>
      <c r="G112" s="200" t="b">
        <f>IF(Jun_2026_SotM[[#This Row],[Round]]=$C$95, TRUE(), IF(Jun_2026_SotM[[#This Row],[Round]]=$B$95, Jun_2026_SotM[[#This Row],[Top Seed]]&lt;=2*Jun_2026_SotM[[#This Row],[Max Seed]]-$A$95, FALSE()))</f>
        <v>1</v>
      </c>
      <c r="H112" s="200" t="b">
        <f>IF(Jun_2026_SotM[[#This Row],[Round]]=$C$95, TRUE(), IF(Jun_2026_SotM[[#This Row],[Round]]=$B$95, Jun_2026_SotM[[#This Row],[Low Seed]]&lt;=2*Jun_2026_SotM[[#This Row],[Max Seed]]-$A$95, FALSE()))</f>
        <v>1</v>
      </c>
      <c r="I112" s="28"/>
      <c r="J112" s="31"/>
      <c r="K112" s="33"/>
      <c r="L112" s="35" t="s">
        <v>4191</v>
      </c>
      <c r="M112" s="37"/>
      <c r="N112" s="203" t="str">
        <f ca="1">IF(Jun_2026_SotM[[#This Row],[Num]]&gt;=$A$95, "-", IF(Jun_2026_SotM[[#This Row],[Initial 1]], VLOOKUP(Jun_2026_SotM[[#This Row],[Top Seed]], $Z$96:$AE$113, 6, FALSE), OFFSET(Jun_2026_SotM[[#This Row],[Winner]], Jun_2026_SotM[[#This Row],[Max Seed]], 0)))</f>
        <v>Famous Last Words</v>
      </c>
      <c r="O112" s="200">
        <f>COUNTIF(Jun_2026_SotM[[#This Row],[J]:[H]],"x")</f>
        <v>1</v>
      </c>
      <c r="P112" s="201" t="str">
        <f ca="1">IF(Jun_2026_SotM[[#This Row],[Num]]&gt;=$A$95, "-", IF(Jun_2026_SotM[[#This Row],[Score 1]]&gt;=3, Jun_2026_SotM[[#This Row],[Song 1]], IF(Jun_2026_SotM[[#This Row],[Score 2]]&gt;=3, Jun_2026_SotM[[#This Row],[Song 2]], "TBD")))</f>
        <v>crushcrushcrush</v>
      </c>
      <c r="Q112" s="206">
        <f>COUNTIF(Jun_2026_SotM[[#This Row],[H ]:[J ]],"x")</f>
        <v>4</v>
      </c>
      <c r="R112" s="200" t="str">
        <f ca="1"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f>
        <v>crushcrushcrush</v>
      </c>
      <c r="S112" s="37" t="s">
        <v>4191</v>
      </c>
      <c r="T112" s="35"/>
      <c r="U112" s="33" t="s">
        <v>4191</v>
      </c>
      <c r="V112" s="31" t="s">
        <v>4191</v>
      </c>
      <c r="W112" s="28" t="s">
        <v>4191</v>
      </c>
      <c r="X112" s="106" t="str">
        <f ca="1"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f>
        <v/>
      </c>
      <c r="Z112" s="109">
        <f t="shared" si="29"/>
        <v>10</v>
      </c>
      <c r="AA112" s="59">
        <v>46202</v>
      </c>
      <c r="AB112" t="str">
        <v>samuelbattista</v>
      </c>
      <c r="AC112" s="3">
        <v>2.2000000000000002</v>
      </c>
      <c r="AD112">
        <v>0.74833147735478833</v>
      </c>
      <c r="AE112" t="str">
        <v>Man in the Box</v>
      </c>
      <c r="AF112" t="str">
        <v>Alice in Chains</v>
      </c>
      <c r="AG112" s="100">
        <f t="shared" si="30"/>
        <v>9</v>
      </c>
      <c r="AI112" s="201">
        <f>Jun_2026_SotM[[#This Row],[Max Seed]]/2 + 1</f>
        <v>17</v>
      </c>
      <c r="AJ112" s="105" t="str">
        <f ca="1">IF(Jun_2026_SotM[[#This Row],[Num]]&gt;=$A$95, "-", IF(Jun_2026_SotM[[#This Row],[Score 1]]&gt;=3, Jun_2026_SotM[[#This Row],[Song 2]], IF(Jun_2026_SotM[[#This Row],[Score 2]]&gt;=3, Jun_2026_SotM[[#This Row],[Song 1]], "TBD")))</f>
        <v>Famous Last Words</v>
      </c>
      <c r="AK112" s="3">
        <f ca="1">IFERROR(VLOOKUP(Jun_2025_Results64[[#This Row],[Song Title]], $AE$96:$AG$112, 3, FALSE)-Jun_2025_Results64[[#This Row],[Result]], "TBD")</f>
        <v>-8</v>
      </c>
      <c r="AL112" s="3" t="str">
        <f t="shared" ca="1" si="31"/>
        <v>↓</v>
      </c>
    </row>
    <row r="113" spans="1:38">
      <c r="A113" s="199" t="str">
        <f>_xlfn.CONCAT("Seed ", Jun_2026_SotM[[#This Row],[Top Seed]], " vs ",Jun_2026_SotM[[#This Row],[Low Seed]])</f>
        <v>Seed 15 vs 18</v>
      </c>
      <c r="B113" s="201">
        <v>17</v>
      </c>
      <c r="C113" s="200">
        <f>FLOOR(LOG(Jun_2026_SotM[[#This Row],[Num]], 2), 1)</f>
        <v>4</v>
      </c>
      <c r="D113" s="200">
        <f>2^(Jun_2026_SotM[[#This Row],[Round]]+1)</f>
        <v>32</v>
      </c>
      <c r="E113" s="200">
        <f>Jun_2026_SotM[[#This Row],[Max Seed]]-Jun_2026_SotM[[#This Row],[Num]]</f>
        <v>15</v>
      </c>
      <c r="F113" s="200">
        <f>Jun_2026_SotM[[#This Row],[Max Seed]]-Jun_2026_SotM[[#This Row],[Top Seed]]+1</f>
        <v>18</v>
      </c>
      <c r="G113" s="200" t="b">
        <f>IF(Jun_2026_SotM[[#This Row],[Round]]=$C$95, TRUE(), IF(Jun_2026_SotM[[#This Row],[Round]]=$B$95, Jun_2026_SotM[[#This Row],[Top Seed]]&lt;=2*Jun_2026_SotM[[#This Row],[Max Seed]]-$A$95, FALSE()))</f>
        <v>1</v>
      </c>
      <c r="H113" s="200" t="b">
        <f>IF(Jun_2026_SotM[[#This Row],[Round]]=$C$95, TRUE(), IF(Jun_2026_SotM[[#This Row],[Round]]=$B$95, Jun_2026_SotM[[#This Row],[Low Seed]]&lt;=2*Jun_2026_SotM[[#This Row],[Max Seed]]-$A$95, FALSE()))</f>
        <v>1</v>
      </c>
      <c r="I113" s="65" t="s">
        <v>4191</v>
      </c>
      <c r="J113" s="66"/>
      <c r="K113" s="67"/>
      <c r="L113" s="68"/>
      <c r="M113" s="69" t="s">
        <v>4191</v>
      </c>
      <c r="N113" s="203" t="str">
        <f ca="1">IF(Jun_2026_SotM[[#This Row],[Num]]&gt;=$A$95, "-", IF(Jun_2026_SotM[[#This Row],[Initial 1]], VLOOKUP(Jun_2026_SotM[[#This Row],[Top Seed]], $Z$96:$AE$113, 6, FALSE), OFFSET(Jun_2026_SotM[[#This Row],[Winner]], Jun_2026_SotM[[#This Row],[Max Seed]], 0)))</f>
        <v>Tic Tac</v>
      </c>
      <c r="O113" s="200">
        <f>COUNTIF(Jun_2026_SotM[[#This Row],[J]:[H]],"x")</f>
        <v>2</v>
      </c>
      <c r="P113" s="201" t="str">
        <f ca="1">IF(Jun_2026_SotM[[#This Row],[Num]]&gt;=$A$95, "-", IF(Jun_2026_SotM[[#This Row],[Score 1]]&gt;=3, Jun_2026_SotM[[#This Row],[Song 1]], IF(Jun_2026_SotM[[#This Row],[Score 2]]&gt;=3, Jun_2026_SotM[[#This Row],[Song 2]], "TBD")))</f>
        <v>Cuando Me Muera Te Olvido</v>
      </c>
      <c r="Q113" s="206">
        <f>COUNTIF(Jun_2026_SotM[[#This Row],[H ]:[J ]],"x")</f>
        <v>3</v>
      </c>
      <c r="R113" s="200" t="str">
        <f ca="1">IF(Jun_2026_SotM[[#This Row],[Num]]&gt;=$A$95, "-", IF(Jun_2026_SotM[[#This Row],[Initial 2]], VLOOKUP(Jun_2026_SotM[[#This Row],[Low Seed]], $Z$96:$AE$113, 6, FALSE), OFFSET(Jun_2026_SotM[[#This Row],[Winner]], 2*(Jun_2026_SotM[[#This Row],[Max Seed]]-Jun_2026_SotM[[#This Row],[Low Seed]])+1, 0)))</f>
        <v>Cuando Me Muera Te Olvido</v>
      </c>
      <c r="S113" s="69"/>
      <c r="T113" s="68" t="s">
        <v>4191</v>
      </c>
      <c r="U113" s="67" t="s">
        <v>4191</v>
      </c>
      <c r="V113" s="66" t="s">
        <v>4191</v>
      </c>
      <c r="W113" s="65"/>
      <c r="X113" s="106" t="str">
        <f ca="1">IF(OR(Jun_2026_SotM[[#This Row],[Song 1]]="TBD", Jun_2026_SotM[[#This Row],[Song 2]]="TBD"), "TBD", _xlfn.CONCAT(IF(_xlfn.XOR(ISBLANK(Jun_2026_SotM[[#This Row],[J]]), ISBLANK(Jun_2026_SotM[[#This Row],[J ]])), "", "J "), IF(_xlfn.XOR(ISBLANK(Jun_2026_SotM[[#This Row],[D]]), ISBLANK(Jun_2026_SotM[[#This Row],[D ]])), "", "D "), IF(_xlfn.XOR(ISBLANK(Jun_2026_SotM[[#This Row],[L]]), ISBLANK(Jun_2026_SotM[[#This Row],[L ]])), "", "L "), IF(_xlfn.XOR(ISBLANK(Jun_2026_SotM[[#This Row],[S]]), ISBLANK(Jun_2026_SotM[[#This Row],[S ]])), "", "S "), IF(_xlfn.XOR(ISBLANK(Jun_2026_SotM[[#This Row],[H]]), ISBLANK(Jun_2026_SotM[[#This Row],[H ]])), "", "H ")))</f>
        <v/>
      </c>
      <c r="Z113" s="110">
        <f t="shared" si="29"/>
        <v>18</v>
      </c>
      <c r="AA113" s="211">
        <v>46203</v>
      </c>
      <c r="AB113" s="157" t="str">
        <v>danram</v>
      </c>
      <c r="AC113" s="101">
        <v>2.6</v>
      </c>
      <c r="AD113" s="157">
        <v>1.019803902718557</v>
      </c>
      <c r="AE113" s="157" t="str">
        <v>Cuando Me Muera Te Olvido</v>
      </c>
      <c r="AF113" s="157" t="str">
        <v>KAROL G</v>
      </c>
      <c r="AG113" s="102">
        <f t="shared" ref="AG113" si="32">IF(Z113&gt;1, 2^FLOOR(LOG(Z113-1, 2), 1)+1, 1)</f>
        <v>17</v>
      </c>
      <c r="AI113" s="201">
        <f>Jun_2026_SotM[[#This Row],[Max Seed]]/2 + 1</f>
        <v>17</v>
      </c>
      <c r="AJ113" s="105" t="str">
        <f ca="1">IF(Jun_2026_SotM[[#This Row],[Num]]&gt;=$A$95, "-", IF(Jun_2026_SotM[[#This Row],[Score 1]]&gt;=3, Jun_2026_SotM[[#This Row],[Song 2]], IF(Jun_2026_SotM[[#This Row],[Score 2]]&gt;=3, Jun_2026_SotM[[#This Row],[Song 1]], "TBD")))</f>
        <v>Tic Tac</v>
      </c>
      <c r="AK113" s="3">
        <f ca="1">IFERROR(VLOOKUP(Jun_2025_Results64[[#This Row],[Song Title]], $AE$96:$AG$112, 3, FALSE)-Jun_2025_Results64[[#This Row],[Result]], "TBD")</f>
        <v>-8</v>
      </c>
      <c r="AL113" s="3" t="str">
        <f t="shared" ref="AL113" ca="1" si="33">IF(AK113&lt;0,"↓",IF(AK113=0,"-","↑"))</f>
        <v>↓</v>
      </c>
    </row>
    <row r="115" spans="1:38">
      <c r="A115" s="302">
        <f>MAX(Z116:Z133)</f>
        <v>18</v>
      </c>
      <c r="B115" s="302">
        <f>FLOOR(LOG(A115, 2), 1)-1</f>
        <v>3</v>
      </c>
      <c r="C115" s="302">
        <f t="shared" ref="C115" si="34">_xlfn.CEILING.MATH(LOG(A115, 2), 1)-1</f>
        <v>4</v>
      </c>
      <c r="D115" s="302"/>
      <c r="E115" s="302"/>
      <c r="F115" s="302"/>
      <c r="G115" s="302"/>
      <c r="H115" s="302"/>
      <c r="I115" s="348" t="s">
        <v>4196</v>
      </c>
      <c r="J115" s="348"/>
      <c r="K115" s="348"/>
      <c r="L115" s="348"/>
      <c r="M115" s="348"/>
      <c r="N115" s="348"/>
      <c r="O115" s="348"/>
      <c r="P115" s="348"/>
      <c r="Q115" s="348"/>
      <c r="R115" s="348"/>
      <c r="S115" s="348"/>
      <c r="T115" s="348"/>
      <c r="U115" s="348"/>
      <c r="V115" s="348"/>
      <c r="W115" s="348"/>
      <c r="X115" s="302"/>
      <c r="Z115" s="221" t="s">
        <v>4163</v>
      </c>
      <c r="AA115" s="222" t="s">
        <v>29</v>
      </c>
      <c r="AB115" s="220" t="s">
        <v>32</v>
      </c>
      <c r="AC115" s="221" t="s">
        <v>33</v>
      </c>
      <c r="AD115" s="220" t="s">
        <v>34</v>
      </c>
      <c r="AE115" s="220" t="s">
        <v>4161</v>
      </c>
      <c r="AF115" s="220" t="s">
        <v>36</v>
      </c>
      <c r="AG115" s="221" t="s">
        <v>4164</v>
      </c>
      <c r="AI115" s="247" t="s">
        <v>4165</v>
      </c>
      <c r="AJ115" s="248" t="s">
        <v>35</v>
      </c>
      <c r="AK115" s="249" t="s">
        <v>4166</v>
      </c>
      <c r="AL115" s="249" t="s">
        <v>4167</v>
      </c>
    </row>
    <row r="116" spans="1:38">
      <c r="A116" s="218" t="s">
        <v>4168</v>
      </c>
      <c r="B116" s="213" t="s">
        <v>4169</v>
      </c>
      <c r="C116" s="219" t="s">
        <v>4170</v>
      </c>
      <c r="D116" s="219" t="s">
        <v>4171</v>
      </c>
      <c r="E116" s="219" t="s">
        <v>4172</v>
      </c>
      <c r="F116" s="219" t="s">
        <v>4173</v>
      </c>
      <c r="G116" s="219" t="s">
        <v>4174</v>
      </c>
      <c r="H116" s="219" t="s">
        <v>4175</v>
      </c>
      <c r="I116" s="219" t="s">
        <v>4176</v>
      </c>
      <c r="J116" s="219" t="s">
        <v>4177</v>
      </c>
      <c r="K116" s="219" t="s">
        <v>4178</v>
      </c>
      <c r="L116" s="219" t="s">
        <v>4179</v>
      </c>
      <c r="M116" s="219" t="s">
        <v>4180</v>
      </c>
      <c r="N116" s="226" t="s">
        <v>4181</v>
      </c>
      <c r="O116" s="219" t="s">
        <v>4182</v>
      </c>
      <c r="P116" s="213" t="s">
        <v>47</v>
      </c>
      <c r="Q116" s="231" t="s">
        <v>4183</v>
      </c>
      <c r="R116" s="219" t="s">
        <v>4184</v>
      </c>
      <c r="S116" s="219" t="s">
        <v>4185</v>
      </c>
      <c r="T116" s="219" t="s">
        <v>4186</v>
      </c>
      <c r="U116" s="219" t="s">
        <v>4187</v>
      </c>
      <c r="V116" s="219" t="s">
        <v>4188</v>
      </c>
      <c r="W116" s="219" t="s">
        <v>4189</v>
      </c>
      <c r="X116" s="110" t="s">
        <v>4190</v>
      </c>
      <c r="Z116" s="109">
        <f>IF(AC116&gt;0, COUNTIF(AC$116:AC$133, "&lt;"&amp;AC116) + COUNTIFS(AC$116:AC$133, AC116, AD$116:AD$133, "&lt;"&amp;AD116) + COUNTIFS(AC$116:AC$133, AC116, AD$116:AD$133, AD116, AA$116:AA$133, "&lt;"&amp;AA116) + 1, "TBD")</f>
        <v>14</v>
      </c>
      <c r="AA116" s="59" cm="1">
        <f t="array" ref="AA116:AF133">_xlfn._xlws.FILTER(Data[Date]:Data[Artist], (Data[Date]&gt;=DATE(2026,7,1))*(Data[Date]&lt;=DATE(2026,7,31))*(Data[Winner]=TRUE()), "TBD")</f>
        <v>46204</v>
      </c>
      <c r="AB116" t="str">
        <v>loganworsdell</v>
      </c>
      <c r="AC116" s="3">
        <v>2.4</v>
      </c>
      <c r="AD116">
        <v>1.3564659966250536</v>
      </c>
      <c r="AE116" t="str">
        <v>One</v>
      </c>
      <c r="AF116" t="str">
        <v>Shy Glizzy</v>
      </c>
      <c r="AG116" s="100">
        <f t="shared" ref="AG116:AG133" si="35">IF(Z116&gt;1, 2^FLOOR(LOG(Z116-1, 2), 1)+1, 1)</f>
        <v>9</v>
      </c>
      <c r="AI116" s="115">
        <v>1</v>
      </c>
      <c r="AJ116" s="105" t="str">
        <f>P117</f>
        <v>TBD</v>
      </c>
      <c r="AK116" s="246" t="str">
        <f>IFERROR(VLOOKUP(Jul_2025_Results65[[#This Row],[Song Title]], $AE$116:$AG$133, 3, FALSE)-Jul_2025_Results65[[#This Row],[Result]], "TBD")</f>
        <v>TBD</v>
      </c>
      <c r="AL116" s="246" t="str">
        <f>IF(AK116&lt;0,"↓",IF(AK116=0,"-","↑"))</f>
        <v>↑</v>
      </c>
    </row>
    <row r="117" spans="1:38">
      <c r="A117" s="199" t="str">
        <f>_xlfn.CONCAT("Seed ", Jul_2026_SotM[[#This Row],[Top Seed]], " vs ",Jul_2026_SotM[[#This Row],[Low Seed]])</f>
        <v>Seed 1 vs 2</v>
      </c>
      <c r="B117" s="201">
        <v>1</v>
      </c>
      <c r="C117" s="200">
        <f>FLOOR(LOG(Jul_2026_SotM[[#This Row],[Num]], 2), 1)</f>
        <v>0</v>
      </c>
      <c r="D117" s="200">
        <f>2^(Jul_2026_SotM[[#This Row],[Round]]+1)</f>
        <v>2</v>
      </c>
      <c r="E117" s="200">
        <f>Jul_2026_SotM[[#This Row],[Max Seed]]-Jul_2026_SotM[[#This Row],[Num]]</f>
        <v>1</v>
      </c>
      <c r="F117" s="200">
        <f>Jul_2026_SotM[[#This Row],[Max Seed]]-Jul_2026_SotM[[#This Row],[Top Seed]]+1</f>
        <v>2</v>
      </c>
      <c r="G117" s="200" t="b">
        <f>IF(Jul_2026_SotM[[#This Row],[Round]]=$C$115, TRUE(), IF(Jul_2026_SotM[[#This Row],[Round]]=$B$115, Jul_2026_SotM[[#This Row],[Top Seed]]&lt;=2*Jul_2026_SotM[[#This Row],[Max Seed]]-$A$115, FALSE()))</f>
        <v>0</v>
      </c>
      <c r="H117" s="200" t="b">
        <f>IF(Jul_2026_SotM[[#This Row],[Round]]=$C$115, TRUE(), IF(Jul_2026_SotM[[#This Row],[Round]]=$B$115, Jul_2026_SotM[[#This Row],[Low Seed]]&lt;=2*Jul_2026_SotM[[#This Row],[Max Seed]]-$A$115, FALSE()))</f>
        <v>0</v>
      </c>
      <c r="I117" s="28"/>
      <c r="J117" s="31"/>
      <c r="K117" s="33"/>
      <c r="L117" s="35"/>
      <c r="M117" s="37"/>
      <c r="N117" s="203" t="str">
        <f ca="1">IF(Jul_2026_SotM[[#This Row],[Num]]&gt;=$A$115, "-", IF(Jul_2026_SotM[[#This Row],[Initial 1]], VLOOKUP(Jul_2026_SotM[[#This Row],[Top Seed]], $Z$116:$AE$133, 6, FALSE), OFFSET(Jul_2026_SotM[[#This Row],[Winner]], Jul_2026_SotM[[#This Row],[Max Seed]], 0)))</f>
        <v>TBD</v>
      </c>
      <c r="O117" s="200">
        <f>COUNTIF(Jul_2026_SotM[[#This Row],[J]:[H]],"x")</f>
        <v>0</v>
      </c>
      <c r="P117" s="201" t="str">
        <f>IF(Jul_2026_SotM[[#This Row],[Num]]&gt;=$A$115, "-", IF(Jul_2026_SotM[[#This Row],[Score 1]]&gt;=3, Jul_2026_SotM[[#This Row],[Song 1]], IF(Jul_2026_SotM[[#This Row],[Score 2]]&gt;=3, Jul_2026_SotM[[#This Row],[Song 2]], "TBD")))</f>
        <v>TBD</v>
      </c>
      <c r="Q117" s="206">
        <f>COUNTIF(Jul_2026_SotM[[#This Row],[H ]:[J ]],"x")</f>
        <v>0</v>
      </c>
      <c r="R117" s="200" t="str">
        <f ca="1"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f>
        <v>TBD</v>
      </c>
      <c r="S117" s="37"/>
      <c r="T117" s="35"/>
      <c r="U117" s="33"/>
      <c r="V117" s="31"/>
      <c r="W117" s="28"/>
      <c r="X117" s="106" t="str">
        <f ca="1"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f>
        <v>TBD</v>
      </c>
      <c r="Z117" s="109">
        <f t="shared" ref="Z117:Z133" si="36">IF(AC117&gt;0, COUNTIF(AC$116:AC$133, "&lt;"&amp;AC117) + COUNTIFS(AC$116:AC$133, AC117, AD$116:AD$133, "&lt;"&amp;AD117) + COUNTIFS(AC$116:AC$133, AC117, AD$116:AD$133, AD117, AA$116:AA$133, "&lt;"&amp;AA117) + 1, "TBD")</f>
        <v>7</v>
      </c>
      <c r="AA117" s="59">
        <v>46205</v>
      </c>
      <c r="AB117" t="str">
        <v>danram</v>
      </c>
      <c r="AC117" s="3">
        <v>2</v>
      </c>
      <c r="AD117">
        <v>0.63245553203367588</v>
      </c>
      <c r="AE117" t="str">
        <v>99 Luftballoons</v>
      </c>
      <c r="AF117" t="str">
        <v>Nena</v>
      </c>
      <c r="AG117" s="100">
        <f t="shared" si="35"/>
        <v>5</v>
      </c>
      <c r="AI117" s="115">
        <f>Jul_2026_SotM[[#This Row],[Max Seed]]/2 + 1</f>
        <v>2</v>
      </c>
      <c r="AJ117" s="105" t="str">
        <f>IF(Jul_2026_SotM[[#This Row],[Num]]&gt;=$A$115, "-", IF(Jul_2026_SotM[[#This Row],[Score 1]]&gt;=3, Jul_2026_SotM[[#This Row],[Song 2]], IF(Jul_2026_SotM[[#This Row],[Score 2]]&gt;=3, Jul_2026_SotM[[#This Row],[Song 1]], "TBD")))</f>
        <v>TBD</v>
      </c>
      <c r="AK117" s="246" t="str">
        <f>IFERROR(VLOOKUP(Jul_2025_Results65[[#This Row],[Song Title]], $AE$116:$AG$133, 3, FALSE)-Jul_2025_Results65[[#This Row],[Result]], "TBD")</f>
        <v>TBD</v>
      </c>
      <c r="AL117" s="246" t="str">
        <f>IF(AK117&lt;0,"↓",IF(AK117=0,"-","↑"))</f>
        <v>↑</v>
      </c>
    </row>
    <row r="118" spans="1:38">
      <c r="A118" s="199" t="str">
        <f>_xlfn.CONCAT("Seed ", Jul_2026_SotM[[#This Row],[Top Seed]], " vs ",Jul_2026_SotM[[#This Row],[Low Seed]])</f>
        <v>Seed 2 vs 3</v>
      </c>
      <c r="B118" s="201">
        <v>2</v>
      </c>
      <c r="C118" s="200">
        <f>FLOOR(LOG(Jul_2026_SotM[[#This Row],[Num]], 2), 1)</f>
        <v>1</v>
      </c>
      <c r="D118" s="200">
        <f>2^(Jul_2026_SotM[[#This Row],[Round]]+1)</f>
        <v>4</v>
      </c>
      <c r="E118" s="200">
        <f>Jul_2026_SotM[[#This Row],[Max Seed]]-Jul_2026_SotM[[#This Row],[Num]]</f>
        <v>2</v>
      </c>
      <c r="F118" s="200">
        <f>Jul_2026_SotM[[#This Row],[Max Seed]]-Jul_2026_SotM[[#This Row],[Top Seed]]+1</f>
        <v>3</v>
      </c>
      <c r="G118" s="200" t="b">
        <f>IF(Jul_2026_SotM[[#This Row],[Round]]=$C$115, TRUE(), IF(Jul_2026_SotM[[#This Row],[Round]]=$B$115, Jul_2026_SotM[[#This Row],[Top Seed]]&lt;=2*Jul_2026_SotM[[#This Row],[Max Seed]]-$A$115, FALSE()))</f>
        <v>0</v>
      </c>
      <c r="H118" s="200" t="b">
        <f>IF(Jul_2026_SotM[[#This Row],[Round]]=$C$115, TRUE(), IF(Jul_2026_SotM[[#This Row],[Round]]=$B$115, Jul_2026_SotM[[#This Row],[Low Seed]]&lt;=2*Jul_2026_SotM[[#This Row],[Max Seed]]-$A$115, FALSE()))</f>
        <v>0</v>
      </c>
      <c r="I118" s="28"/>
      <c r="J118" s="31"/>
      <c r="K118" s="33"/>
      <c r="L118" s="35"/>
      <c r="M118" s="37"/>
      <c r="N118" s="203" t="str">
        <f ca="1">IF(Jul_2026_SotM[[#This Row],[Num]]&gt;=$A$115, "-", IF(Jul_2026_SotM[[#This Row],[Initial 1]], VLOOKUP(Jul_2026_SotM[[#This Row],[Top Seed]], $Z$116:$AE$133, 6, FALSE), OFFSET(Jul_2026_SotM[[#This Row],[Winner]], Jul_2026_SotM[[#This Row],[Max Seed]], 0)))</f>
        <v>TBD</v>
      </c>
      <c r="O118" s="200">
        <f>COUNTIF(Jul_2026_SotM[[#This Row],[J]:[H]],"x")</f>
        <v>0</v>
      </c>
      <c r="P118" s="201" t="str">
        <f>IF(Jul_2026_SotM[[#This Row],[Num]]&gt;=$A$115, "-", IF(Jul_2026_SotM[[#This Row],[Score 1]]&gt;=3, Jul_2026_SotM[[#This Row],[Song 1]], IF(Jul_2026_SotM[[#This Row],[Score 2]]&gt;=3, Jul_2026_SotM[[#This Row],[Song 2]], "TBD")))</f>
        <v>TBD</v>
      </c>
      <c r="Q118" s="206">
        <f>COUNTIF(Jul_2026_SotM[[#This Row],[H ]:[J ]],"x")</f>
        <v>0</v>
      </c>
      <c r="R118" s="200" t="str">
        <f ca="1"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f>
        <v>TBD</v>
      </c>
      <c r="S118" s="37"/>
      <c r="T118" s="35"/>
      <c r="U118" s="33"/>
      <c r="V118" s="31"/>
      <c r="W118" s="28"/>
      <c r="X118" s="106" t="str">
        <f ca="1"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f>
        <v>TBD</v>
      </c>
      <c r="Z118" s="109">
        <f t="shared" si="36"/>
        <v>5</v>
      </c>
      <c r="AA118" s="59">
        <v>46209</v>
      </c>
      <c r="AB118" t="str">
        <v>samuelbattista</v>
      </c>
      <c r="AC118" s="3">
        <v>1.8</v>
      </c>
      <c r="AD118">
        <v>1.1661903789690602</v>
      </c>
      <c r="AE118" t="str">
        <v>It's The End Of The World As We Know It (And I Feel Fine)</v>
      </c>
      <c r="AF118" t="str">
        <v>R.E.M</v>
      </c>
      <c r="AG118" s="100">
        <f t="shared" si="35"/>
        <v>5</v>
      </c>
      <c r="AI118" s="115">
        <f>Jul_2026_SotM[[#This Row],[Max Seed]]/2 + 1</f>
        <v>3</v>
      </c>
      <c r="AJ118" s="105" t="str">
        <f>IF(Jul_2026_SotM[[#This Row],[Num]]&gt;=$A$115, "-", IF(Jul_2026_SotM[[#This Row],[Score 1]]&gt;=3, Jul_2026_SotM[[#This Row],[Song 2]], IF(Jul_2026_SotM[[#This Row],[Score 2]]&gt;=3, Jul_2026_SotM[[#This Row],[Song 1]], "TBD")))</f>
        <v>TBD</v>
      </c>
      <c r="AK118" s="246" t="str">
        <f>IFERROR(VLOOKUP(Jul_2025_Results65[[#This Row],[Song Title]], $AE$116:$AG$133, 3, FALSE)-Jul_2025_Results65[[#This Row],[Result]], "TBD")</f>
        <v>TBD</v>
      </c>
      <c r="AL118" s="246" t="str">
        <f t="shared" ref="AL118:AL133" si="37">IF(AK118&lt;0,"↓",IF(AK118=0,"-","↑"))</f>
        <v>↑</v>
      </c>
    </row>
    <row r="119" spans="1:38">
      <c r="A119" s="199" t="str">
        <f>_xlfn.CONCAT("Seed ", Jul_2026_SotM[[#This Row],[Top Seed]], " vs ",Jul_2026_SotM[[#This Row],[Low Seed]])</f>
        <v>Seed 1 vs 4</v>
      </c>
      <c r="B119" s="201">
        <v>3</v>
      </c>
      <c r="C119" s="200">
        <f>FLOOR(LOG(Jul_2026_SotM[[#This Row],[Num]], 2), 1)</f>
        <v>1</v>
      </c>
      <c r="D119" s="200">
        <f>2^(Jul_2026_SotM[[#This Row],[Round]]+1)</f>
        <v>4</v>
      </c>
      <c r="E119" s="200">
        <f>Jul_2026_SotM[[#This Row],[Max Seed]]-Jul_2026_SotM[[#This Row],[Num]]</f>
        <v>1</v>
      </c>
      <c r="F119" s="200">
        <f>Jul_2026_SotM[[#This Row],[Max Seed]]-Jul_2026_SotM[[#This Row],[Top Seed]]+1</f>
        <v>4</v>
      </c>
      <c r="G119" s="200" t="b">
        <f>IF(Jul_2026_SotM[[#This Row],[Round]]=$C$115, TRUE(), IF(Jul_2026_SotM[[#This Row],[Round]]=$B$115, Jul_2026_SotM[[#This Row],[Top Seed]]&lt;=2*Jul_2026_SotM[[#This Row],[Max Seed]]-$A$115, FALSE()))</f>
        <v>0</v>
      </c>
      <c r="H119" s="200" t="b">
        <f>IF(Jul_2026_SotM[[#This Row],[Round]]=$C$115, TRUE(), IF(Jul_2026_SotM[[#This Row],[Round]]=$B$115, Jul_2026_SotM[[#This Row],[Low Seed]]&lt;=2*Jul_2026_SotM[[#This Row],[Max Seed]]-$A$115, FALSE()))</f>
        <v>0</v>
      </c>
      <c r="I119" s="28"/>
      <c r="J119" s="31"/>
      <c r="K119" s="33"/>
      <c r="L119" s="35"/>
      <c r="M119" s="37"/>
      <c r="N119" s="203" t="str">
        <f ca="1">IF(Jul_2026_SotM[[#This Row],[Num]]&gt;=$A$115, "-", IF(Jul_2026_SotM[[#This Row],[Initial 1]], VLOOKUP(Jul_2026_SotM[[#This Row],[Top Seed]], $Z$116:$AE$133, 6, FALSE), OFFSET(Jul_2026_SotM[[#This Row],[Winner]], Jul_2026_SotM[[#This Row],[Max Seed]], 0)))</f>
        <v>TBD</v>
      </c>
      <c r="O119" s="200">
        <f>COUNTIF(Jul_2026_SotM[[#This Row],[J]:[H]],"x")</f>
        <v>0</v>
      </c>
      <c r="P119" s="201" t="str">
        <f>IF(Jul_2026_SotM[[#This Row],[Num]]&gt;=$A$115, "-", IF(Jul_2026_SotM[[#This Row],[Score 1]]&gt;=3, Jul_2026_SotM[[#This Row],[Song 1]], IF(Jul_2026_SotM[[#This Row],[Score 2]]&gt;=3, Jul_2026_SotM[[#This Row],[Song 2]], "TBD")))</f>
        <v>TBD</v>
      </c>
      <c r="Q119" s="206">
        <f>COUNTIF(Jul_2026_SotM[[#This Row],[H ]:[J ]],"x")</f>
        <v>0</v>
      </c>
      <c r="R119" s="200" t="str">
        <f ca="1"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f>
        <v>TBD</v>
      </c>
      <c r="S119" s="37"/>
      <c r="T119" s="35"/>
      <c r="U119" s="33"/>
      <c r="V119" s="31"/>
      <c r="W119" s="28"/>
      <c r="X119" s="106" t="str">
        <f ca="1"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f>
        <v>TBD</v>
      </c>
      <c r="Z119" s="109">
        <f t="shared" si="36"/>
        <v>1</v>
      </c>
      <c r="AA119" s="59">
        <v>46210</v>
      </c>
      <c r="AB119" t="str">
        <v>samuelbattista</v>
      </c>
      <c r="AC119" s="3">
        <v>1.6</v>
      </c>
      <c r="AD119">
        <v>0.4898979485566356</v>
      </c>
      <c r="AE119" t="str">
        <v>Virtual Insanity</v>
      </c>
      <c r="AF119" t="str">
        <v>Jamiroquai</v>
      </c>
      <c r="AG119" s="100">
        <f t="shared" si="35"/>
        <v>1</v>
      </c>
      <c r="AI119" s="115">
        <f>Jul_2026_SotM[[#This Row],[Max Seed]]/2 + 1</f>
        <v>3</v>
      </c>
      <c r="AJ119" s="105" t="str">
        <f>IF(Jul_2026_SotM[[#This Row],[Num]]&gt;=$A$115, "-", IF(Jul_2026_SotM[[#This Row],[Score 1]]&gt;=3, Jul_2026_SotM[[#This Row],[Song 2]], IF(Jul_2026_SotM[[#This Row],[Score 2]]&gt;=3, Jul_2026_SotM[[#This Row],[Song 1]], "TBD")))</f>
        <v>TBD</v>
      </c>
      <c r="AK119" s="3" t="str">
        <f>IFERROR(VLOOKUP(Jul_2025_Results65[[#This Row],[Song Title]], $AE$116:$AG$133, 3, FALSE)-Jul_2025_Results65[[#This Row],[Result]], "TBD")</f>
        <v>TBD</v>
      </c>
      <c r="AL119" s="3" t="str">
        <f t="shared" si="37"/>
        <v>↑</v>
      </c>
    </row>
    <row r="120" spans="1:38">
      <c r="A120" s="199" t="str">
        <f>_xlfn.CONCAT("Seed ", Jul_2026_SotM[[#This Row],[Top Seed]], " vs ",Jul_2026_SotM[[#This Row],[Low Seed]])</f>
        <v>Seed 4 vs 5</v>
      </c>
      <c r="B120" s="201">
        <v>4</v>
      </c>
      <c r="C120" s="200">
        <f>FLOOR(LOG(Jul_2026_SotM[[#This Row],[Num]], 2), 1)</f>
        <v>2</v>
      </c>
      <c r="D120" s="200">
        <f>2^(Jul_2026_SotM[[#This Row],[Round]]+1)</f>
        <v>8</v>
      </c>
      <c r="E120" s="200">
        <f>Jul_2026_SotM[[#This Row],[Max Seed]]-Jul_2026_SotM[[#This Row],[Num]]</f>
        <v>4</v>
      </c>
      <c r="F120" s="200">
        <f>Jul_2026_SotM[[#This Row],[Max Seed]]-Jul_2026_SotM[[#This Row],[Top Seed]]+1</f>
        <v>5</v>
      </c>
      <c r="G120" s="200" t="b">
        <f>IF(Jul_2026_SotM[[#This Row],[Round]]=$C$115, TRUE(), IF(Jul_2026_SotM[[#This Row],[Round]]=$B$115, Jul_2026_SotM[[#This Row],[Top Seed]]&lt;=2*Jul_2026_SotM[[#This Row],[Max Seed]]-$A$115, FALSE()))</f>
        <v>0</v>
      </c>
      <c r="H120" s="200" t="b">
        <f>IF(Jul_2026_SotM[[#This Row],[Round]]=$C$115, TRUE(), IF(Jul_2026_SotM[[#This Row],[Round]]=$B$115, Jul_2026_SotM[[#This Row],[Low Seed]]&lt;=2*Jul_2026_SotM[[#This Row],[Max Seed]]-$A$115, FALSE()))</f>
        <v>0</v>
      </c>
      <c r="I120" s="28"/>
      <c r="J120" s="31"/>
      <c r="K120" s="33"/>
      <c r="L120" s="35"/>
      <c r="M120" s="37"/>
      <c r="N120" s="203" t="str">
        <f ca="1">IF(Jul_2026_SotM[[#This Row],[Num]]&gt;=$A$115, "-", IF(Jul_2026_SotM[[#This Row],[Initial 1]], VLOOKUP(Jul_2026_SotM[[#This Row],[Top Seed]], $Z$116:$AE$133, 6, FALSE), OFFSET(Jul_2026_SotM[[#This Row],[Winner]], Jul_2026_SotM[[#This Row],[Max Seed]], 0)))</f>
        <v>TBD</v>
      </c>
      <c r="O120" s="200">
        <f>COUNTIF(Jul_2026_SotM[[#This Row],[J]:[H]],"x")</f>
        <v>0</v>
      </c>
      <c r="P120" s="201" t="str">
        <f>IF(Jul_2026_SotM[[#This Row],[Num]]&gt;=$A$115, "-", IF(Jul_2026_SotM[[#This Row],[Score 1]]&gt;=3, Jul_2026_SotM[[#This Row],[Song 1]], IF(Jul_2026_SotM[[#This Row],[Score 2]]&gt;=3, Jul_2026_SotM[[#This Row],[Song 2]], "TBD")))</f>
        <v>TBD</v>
      </c>
      <c r="Q120" s="206">
        <f>COUNTIF(Jul_2026_SotM[[#This Row],[H ]:[J ]],"x")</f>
        <v>0</v>
      </c>
      <c r="R120" s="200" t="str">
        <f ca="1"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f>
        <v>TBD</v>
      </c>
      <c r="S120" s="37"/>
      <c r="T120" s="35"/>
      <c r="U120" s="33"/>
      <c r="V120" s="31"/>
      <c r="W120" s="28"/>
      <c r="X120" s="106" t="str">
        <f ca="1"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f>
        <v>TBD</v>
      </c>
      <c r="Z120" s="109">
        <f t="shared" si="36"/>
        <v>3</v>
      </c>
      <c r="AA120" s="59">
        <v>46211</v>
      </c>
      <c r="AB120" t="str">
        <v>samuelbattista</v>
      </c>
      <c r="AC120" s="3">
        <v>1.6</v>
      </c>
      <c r="AD120">
        <v>1.2</v>
      </c>
      <c r="AE120" t="str">
        <v>Savior</v>
      </c>
      <c r="AF120" t="str">
        <v>Rise Against</v>
      </c>
      <c r="AG120" s="100">
        <f t="shared" si="35"/>
        <v>3</v>
      </c>
      <c r="AI120" s="115">
        <f>Jul_2026_SotM[[#This Row],[Max Seed]]/2 + 1</f>
        <v>5</v>
      </c>
      <c r="AJ120" s="105" t="str">
        <f>IF(Jul_2026_SotM[[#This Row],[Num]]&gt;=$A$115, "-", IF(Jul_2026_SotM[[#This Row],[Score 1]]&gt;=3, Jul_2026_SotM[[#This Row],[Song 2]], IF(Jul_2026_SotM[[#This Row],[Score 2]]&gt;=3, Jul_2026_SotM[[#This Row],[Song 1]], "TBD")))</f>
        <v>TBD</v>
      </c>
      <c r="AK120" s="3" t="str">
        <f>IFERROR(VLOOKUP(Jul_2025_Results65[[#This Row],[Song Title]], $AE$116:$AG$133, 3, FALSE)-Jul_2025_Results65[[#This Row],[Result]], "TBD")</f>
        <v>TBD</v>
      </c>
      <c r="AL120" s="3" t="str">
        <f t="shared" si="37"/>
        <v>↑</v>
      </c>
    </row>
    <row r="121" spans="1:38">
      <c r="A121" s="199" t="str">
        <f>_xlfn.CONCAT("Seed ", Jul_2026_SotM[[#This Row],[Top Seed]], " vs ",Jul_2026_SotM[[#This Row],[Low Seed]])</f>
        <v>Seed 3 vs 6</v>
      </c>
      <c r="B121" s="201">
        <v>5</v>
      </c>
      <c r="C121" s="200">
        <f>FLOOR(LOG(Jul_2026_SotM[[#This Row],[Num]], 2), 1)</f>
        <v>2</v>
      </c>
      <c r="D121" s="200">
        <f>2^(Jul_2026_SotM[[#This Row],[Round]]+1)</f>
        <v>8</v>
      </c>
      <c r="E121" s="200">
        <f>Jul_2026_SotM[[#This Row],[Max Seed]]-Jul_2026_SotM[[#This Row],[Num]]</f>
        <v>3</v>
      </c>
      <c r="F121" s="200">
        <f>Jul_2026_SotM[[#This Row],[Max Seed]]-Jul_2026_SotM[[#This Row],[Top Seed]]+1</f>
        <v>6</v>
      </c>
      <c r="G121" s="200" t="b">
        <f>IF(Jul_2026_SotM[[#This Row],[Round]]=$C$115, TRUE(), IF(Jul_2026_SotM[[#This Row],[Round]]=$B$115, Jul_2026_SotM[[#This Row],[Top Seed]]&lt;=2*Jul_2026_SotM[[#This Row],[Max Seed]]-$A$115, FALSE()))</f>
        <v>0</v>
      </c>
      <c r="H121" s="200" t="b">
        <f>IF(Jul_2026_SotM[[#This Row],[Round]]=$C$115, TRUE(), IF(Jul_2026_SotM[[#This Row],[Round]]=$B$115, Jul_2026_SotM[[#This Row],[Low Seed]]&lt;=2*Jul_2026_SotM[[#This Row],[Max Seed]]-$A$115, FALSE()))</f>
        <v>0</v>
      </c>
      <c r="I121" s="28"/>
      <c r="J121" s="31"/>
      <c r="K121" s="33"/>
      <c r="L121" s="35"/>
      <c r="M121" s="37"/>
      <c r="N121" s="203" t="str">
        <f ca="1">IF(Jul_2026_SotM[[#This Row],[Num]]&gt;=$A$115, "-", IF(Jul_2026_SotM[[#This Row],[Initial 1]], VLOOKUP(Jul_2026_SotM[[#This Row],[Top Seed]], $Z$116:$AE$133, 6, FALSE), OFFSET(Jul_2026_SotM[[#This Row],[Winner]], Jul_2026_SotM[[#This Row],[Max Seed]], 0)))</f>
        <v>TBD</v>
      </c>
      <c r="O121" s="200">
        <f>COUNTIF(Jul_2026_SotM[[#This Row],[J]:[H]],"x")</f>
        <v>0</v>
      </c>
      <c r="P121" s="201" t="str">
        <f>IF(Jul_2026_SotM[[#This Row],[Num]]&gt;=$A$115, "-", IF(Jul_2026_SotM[[#This Row],[Score 1]]&gt;=3, Jul_2026_SotM[[#This Row],[Song 1]], IF(Jul_2026_SotM[[#This Row],[Score 2]]&gt;=3, Jul_2026_SotM[[#This Row],[Song 2]], "TBD")))</f>
        <v>TBD</v>
      </c>
      <c r="Q121" s="206">
        <f>COUNTIF(Jul_2026_SotM[[#This Row],[H ]:[J ]],"x")</f>
        <v>0</v>
      </c>
      <c r="R121" s="200" t="str">
        <f ca="1"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f>
        <v>TBD</v>
      </c>
      <c r="S121" s="37"/>
      <c r="T121" s="35"/>
      <c r="U121" s="33"/>
      <c r="V121" s="31"/>
      <c r="W121" s="28"/>
      <c r="X121" s="106" t="str">
        <f ca="1"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f>
        <v>TBD</v>
      </c>
      <c r="Z121" s="109">
        <f t="shared" si="36"/>
        <v>18</v>
      </c>
      <c r="AA121" s="59">
        <v>46212</v>
      </c>
      <c r="AB121" t="str">
        <v>currydestroyer27</v>
      </c>
      <c r="AC121" s="3">
        <v>2.8</v>
      </c>
      <c r="AD121">
        <v>1.833030277982336</v>
      </c>
      <c r="AE121" t="str">
        <v>Haru</v>
      </c>
      <c r="AF121" t="str">
        <v>Yorushika</v>
      </c>
      <c r="AG121" s="100">
        <f t="shared" si="35"/>
        <v>17</v>
      </c>
      <c r="AI121" s="115">
        <f>Jul_2026_SotM[[#This Row],[Max Seed]]/2 + 1</f>
        <v>5</v>
      </c>
      <c r="AJ121" s="105" t="str">
        <f>IF(Jul_2026_SotM[[#This Row],[Num]]&gt;=$A$115, "-", IF(Jul_2026_SotM[[#This Row],[Score 1]]&gt;=3, Jul_2026_SotM[[#This Row],[Song 2]], IF(Jul_2026_SotM[[#This Row],[Score 2]]&gt;=3, Jul_2026_SotM[[#This Row],[Song 1]], "TBD")))</f>
        <v>TBD</v>
      </c>
      <c r="AK121" s="3" t="str">
        <f>IFERROR(VLOOKUP(Jul_2025_Results65[[#This Row],[Song Title]], $AE$116:$AG$133, 3, FALSE)-Jul_2025_Results65[[#This Row],[Result]], "TBD")</f>
        <v>TBD</v>
      </c>
      <c r="AL121" s="3" t="str">
        <f t="shared" si="37"/>
        <v>↑</v>
      </c>
    </row>
    <row r="122" spans="1:38">
      <c r="A122" s="199" t="str">
        <f>_xlfn.CONCAT("Seed ", Jul_2026_SotM[[#This Row],[Top Seed]], " vs ",Jul_2026_SotM[[#This Row],[Low Seed]])</f>
        <v>Seed 2 vs 7</v>
      </c>
      <c r="B122" s="201">
        <v>6</v>
      </c>
      <c r="C122" s="200">
        <f>FLOOR(LOG(Jul_2026_SotM[[#This Row],[Num]], 2), 1)</f>
        <v>2</v>
      </c>
      <c r="D122" s="200">
        <f>2^(Jul_2026_SotM[[#This Row],[Round]]+1)</f>
        <v>8</v>
      </c>
      <c r="E122" s="200">
        <f>Jul_2026_SotM[[#This Row],[Max Seed]]-Jul_2026_SotM[[#This Row],[Num]]</f>
        <v>2</v>
      </c>
      <c r="F122" s="200">
        <f>Jul_2026_SotM[[#This Row],[Max Seed]]-Jul_2026_SotM[[#This Row],[Top Seed]]+1</f>
        <v>7</v>
      </c>
      <c r="G122" s="200" t="b">
        <f>IF(Jul_2026_SotM[[#This Row],[Round]]=$C$115, TRUE(), IF(Jul_2026_SotM[[#This Row],[Round]]=$B$115, Jul_2026_SotM[[#This Row],[Top Seed]]&lt;=2*Jul_2026_SotM[[#This Row],[Max Seed]]-$A$115, FALSE()))</f>
        <v>0</v>
      </c>
      <c r="H122" s="200" t="b">
        <f>IF(Jul_2026_SotM[[#This Row],[Round]]=$C$115, TRUE(), IF(Jul_2026_SotM[[#This Row],[Round]]=$B$115, Jul_2026_SotM[[#This Row],[Low Seed]]&lt;=2*Jul_2026_SotM[[#This Row],[Max Seed]]-$A$115, FALSE()))</f>
        <v>0</v>
      </c>
      <c r="I122" s="28"/>
      <c r="J122" s="31"/>
      <c r="K122" s="33"/>
      <c r="L122" s="35"/>
      <c r="M122" s="37"/>
      <c r="N122" s="203" t="str">
        <f ca="1">IF(Jul_2026_SotM[[#This Row],[Num]]&gt;=$A$115, "-", IF(Jul_2026_SotM[[#This Row],[Initial 1]], VLOOKUP(Jul_2026_SotM[[#This Row],[Top Seed]], $Z$116:$AE$133, 6, FALSE), OFFSET(Jul_2026_SotM[[#This Row],[Winner]], Jul_2026_SotM[[#This Row],[Max Seed]], 0)))</f>
        <v>TBD</v>
      </c>
      <c r="O122" s="200">
        <f>COUNTIF(Jul_2026_SotM[[#This Row],[J]:[H]],"x")</f>
        <v>0</v>
      </c>
      <c r="P122" s="201" t="str">
        <f>IF(Jul_2026_SotM[[#This Row],[Num]]&gt;=$A$115, "-", IF(Jul_2026_SotM[[#This Row],[Score 1]]&gt;=3, Jul_2026_SotM[[#This Row],[Song 1]], IF(Jul_2026_SotM[[#This Row],[Score 2]]&gt;=3, Jul_2026_SotM[[#This Row],[Song 2]], "TBD")))</f>
        <v>TBD</v>
      </c>
      <c r="Q122" s="206">
        <f>COUNTIF(Jul_2026_SotM[[#This Row],[H ]:[J ]],"x")</f>
        <v>0</v>
      </c>
      <c r="R122" s="200" t="str">
        <f ca="1"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f>
        <v>Believe</v>
      </c>
      <c r="S122" s="37"/>
      <c r="T122" s="35"/>
      <c r="U122" s="33"/>
      <c r="V122" s="31"/>
      <c r="W122" s="28"/>
      <c r="X122" s="106" t="str">
        <f ca="1"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f>
        <v>TBD</v>
      </c>
      <c r="Z122" s="109">
        <f t="shared" si="36"/>
        <v>13</v>
      </c>
      <c r="AA122" s="59">
        <v>46216</v>
      </c>
      <c r="AB122" t="str">
        <v>samuelbattista</v>
      </c>
      <c r="AC122" s="3">
        <v>2.4</v>
      </c>
      <c r="AD122">
        <v>1.019803902718557</v>
      </c>
      <c r="AE122" t="str">
        <v>By-Tor And The Snow Dog</v>
      </c>
      <c r="AF122" t="str">
        <v>Rush</v>
      </c>
      <c r="AG122" s="100">
        <f t="shared" si="35"/>
        <v>9</v>
      </c>
      <c r="AI122" s="115">
        <f>Jul_2026_SotM[[#This Row],[Max Seed]]/2 + 1</f>
        <v>5</v>
      </c>
      <c r="AJ122" s="105" t="str">
        <f>IF(Jul_2026_SotM[[#This Row],[Num]]&gt;=$A$115, "-", IF(Jul_2026_SotM[[#This Row],[Score 1]]&gt;=3, Jul_2026_SotM[[#This Row],[Song 2]], IF(Jul_2026_SotM[[#This Row],[Score 2]]&gt;=3, Jul_2026_SotM[[#This Row],[Song 1]], "TBD")))</f>
        <v>TBD</v>
      </c>
      <c r="AK122" s="3" t="str">
        <f>IFERROR(VLOOKUP(Jul_2025_Results65[[#This Row],[Song Title]], $AE$116:$AG$133, 3, FALSE)-Jul_2025_Results65[[#This Row],[Result]], "TBD")</f>
        <v>TBD</v>
      </c>
      <c r="AL122" s="3" t="str">
        <f t="shared" si="37"/>
        <v>↑</v>
      </c>
    </row>
    <row r="123" spans="1:38">
      <c r="A123" s="199" t="str">
        <f>_xlfn.CONCAT("Seed ", Jul_2026_SotM[[#This Row],[Top Seed]], " vs ",Jul_2026_SotM[[#This Row],[Low Seed]])</f>
        <v>Seed 1 vs 8</v>
      </c>
      <c r="B123" s="201">
        <v>7</v>
      </c>
      <c r="C123" s="200">
        <f>FLOOR(LOG(Jul_2026_SotM[[#This Row],[Num]], 2), 1)</f>
        <v>2</v>
      </c>
      <c r="D123" s="200">
        <f>2^(Jul_2026_SotM[[#This Row],[Round]]+1)</f>
        <v>8</v>
      </c>
      <c r="E123" s="200">
        <f>Jul_2026_SotM[[#This Row],[Max Seed]]-Jul_2026_SotM[[#This Row],[Num]]</f>
        <v>1</v>
      </c>
      <c r="F123" s="200">
        <f>Jul_2026_SotM[[#This Row],[Max Seed]]-Jul_2026_SotM[[#This Row],[Top Seed]]+1</f>
        <v>8</v>
      </c>
      <c r="G123" s="200" t="b">
        <f>IF(Jul_2026_SotM[[#This Row],[Round]]=$C$115, TRUE(), IF(Jul_2026_SotM[[#This Row],[Round]]=$B$115, Jul_2026_SotM[[#This Row],[Top Seed]]&lt;=2*Jul_2026_SotM[[#This Row],[Max Seed]]-$A$115, FALSE()))</f>
        <v>0</v>
      </c>
      <c r="H123" s="200" t="b">
        <f>IF(Jul_2026_SotM[[#This Row],[Round]]=$C$115, TRUE(), IF(Jul_2026_SotM[[#This Row],[Round]]=$B$115, Jul_2026_SotM[[#This Row],[Low Seed]]&lt;=2*Jul_2026_SotM[[#This Row],[Max Seed]]-$A$115, FALSE()))</f>
        <v>0</v>
      </c>
      <c r="I123" s="28"/>
      <c r="J123" s="31"/>
      <c r="K123" s="33"/>
      <c r="L123" s="35"/>
      <c r="M123" s="37"/>
      <c r="N123" s="203" t="str">
        <f ca="1">IF(Jul_2026_SotM[[#This Row],[Num]]&gt;=$A$115, "-", IF(Jul_2026_SotM[[#This Row],[Initial 1]], VLOOKUP(Jul_2026_SotM[[#This Row],[Top Seed]], $Z$116:$AE$133, 6, FALSE), OFFSET(Jul_2026_SotM[[#This Row],[Winner]], Jul_2026_SotM[[#This Row],[Max Seed]], 0)))</f>
        <v>TBD</v>
      </c>
      <c r="O123" s="200">
        <f>COUNTIF(Jul_2026_SotM[[#This Row],[J]:[H]],"x")</f>
        <v>0</v>
      </c>
      <c r="P123" s="201" t="str">
        <f>IF(Jul_2026_SotM[[#This Row],[Num]]&gt;=$A$115, "-", IF(Jul_2026_SotM[[#This Row],[Score 1]]&gt;=3, Jul_2026_SotM[[#This Row],[Song 1]], IF(Jul_2026_SotM[[#This Row],[Score 2]]&gt;=3, Jul_2026_SotM[[#This Row],[Song 2]], "TBD")))</f>
        <v>TBD</v>
      </c>
      <c r="Q123" s="206">
        <f>COUNTIF(Jul_2026_SotM[[#This Row],[H ]:[J ]],"x")</f>
        <v>0</v>
      </c>
      <c r="R123" s="200" t="str">
        <f ca="1"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f>
        <v>TBD</v>
      </c>
      <c r="S123" s="37"/>
      <c r="T123" s="35"/>
      <c r="U123" s="33"/>
      <c r="V123" s="31"/>
      <c r="W123" s="28"/>
      <c r="X123" s="106" t="str">
        <f ca="1"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f>
        <v>TBD</v>
      </c>
      <c r="Z123" s="109">
        <f t="shared" si="36"/>
        <v>6</v>
      </c>
      <c r="AA123" s="59">
        <v>46217</v>
      </c>
      <c r="AB123" t="str">
        <v>samuelbattista</v>
      </c>
      <c r="AC123" s="3">
        <v>1.8</v>
      </c>
      <c r="AD123">
        <v>1.1661903789690602</v>
      </c>
      <c r="AE123" t="str">
        <v>Drive</v>
      </c>
      <c r="AF123" t="str">
        <v>Incubus</v>
      </c>
      <c r="AG123" s="100">
        <f t="shared" si="35"/>
        <v>5</v>
      </c>
      <c r="AI123" s="115">
        <f>Jul_2026_SotM[[#This Row],[Max Seed]]/2 + 1</f>
        <v>5</v>
      </c>
      <c r="AJ123" s="105" t="str">
        <f>IF(Jul_2026_SotM[[#This Row],[Num]]&gt;=$A$115, "-", IF(Jul_2026_SotM[[#This Row],[Score 1]]&gt;=3, Jul_2026_SotM[[#This Row],[Song 2]], IF(Jul_2026_SotM[[#This Row],[Score 2]]&gt;=3, Jul_2026_SotM[[#This Row],[Song 1]], "TBD")))</f>
        <v>TBD</v>
      </c>
      <c r="AK123" s="3" t="str">
        <f>IFERROR(VLOOKUP(Jul_2025_Results65[[#This Row],[Song Title]], $AE$116:$AG$133, 3, FALSE)-Jul_2025_Results65[[#This Row],[Result]], "TBD")</f>
        <v>TBD</v>
      </c>
      <c r="AL123" s="3" t="str">
        <f t="shared" si="37"/>
        <v>↑</v>
      </c>
    </row>
    <row r="124" spans="1:38">
      <c r="A124" s="199" t="str">
        <f>_xlfn.CONCAT("Seed ", Jul_2026_SotM[[#This Row],[Top Seed]], " vs ",Jul_2026_SotM[[#This Row],[Low Seed]])</f>
        <v>Seed 8 vs 9</v>
      </c>
      <c r="B124" s="201">
        <v>8</v>
      </c>
      <c r="C124" s="200">
        <f>FLOOR(LOG(Jul_2026_SotM[[#This Row],[Num]], 2), 1)</f>
        <v>3</v>
      </c>
      <c r="D124" s="200">
        <f>2^(Jul_2026_SotM[[#This Row],[Round]]+1)</f>
        <v>16</v>
      </c>
      <c r="E124" s="200">
        <f>Jul_2026_SotM[[#This Row],[Max Seed]]-Jul_2026_SotM[[#This Row],[Num]]</f>
        <v>8</v>
      </c>
      <c r="F124" s="200">
        <f>Jul_2026_SotM[[#This Row],[Max Seed]]-Jul_2026_SotM[[#This Row],[Top Seed]]+1</f>
        <v>9</v>
      </c>
      <c r="G124" s="200" t="b">
        <f>IF(Jul_2026_SotM[[#This Row],[Round]]=$C$115, TRUE(), IF(Jul_2026_SotM[[#This Row],[Round]]=$B$115, Jul_2026_SotM[[#This Row],[Top Seed]]&lt;=2*Jul_2026_SotM[[#This Row],[Max Seed]]-$A$115, FALSE()))</f>
        <v>1</v>
      </c>
      <c r="H124" s="200" t="b">
        <f>IF(Jul_2026_SotM[[#This Row],[Round]]=$C$115, TRUE(), IF(Jul_2026_SotM[[#This Row],[Round]]=$B$115, Jul_2026_SotM[[#This Row],[Low Seed]]&lt;=2*Jul_2026_SotM[[#This Row],[Max Seed]]-$A$115, FALSE()))</f>
        <v>1</v>
      </c>
      <c r="I124" s="28"/>
      <c r="J124" s="31"/>
      <c r="K124" s="33"/>
      <c r="L124" s="35" t="s">
        <v>4191</v>
      </c>
      <c r="M124" s="37"/>
      <c r="N124" s="203" t="str">
        <f ca="1">IF(Jul_2026_SotM[[#This Row],[Num]]&gt;=$A$115, "-", IF(Jul_2026_SotM[[#This Row],[Initial 1]], VLOOKUP(Jul_2026_SotM[[#This Row],[Top Seed]], $Z$116:$AE$133, 6, FALSE), OFFSET(Jul_2026_SotM[[#This Row],[Winner]], Jul_2026_SotM[[#This Row],[Max Seed]], 0)))</f>
        <v>LOSE YOURSELF</v>
      </c>
      <c r="O124" s="200">
        <f>COUNTIF(Jul_2026_SotM[[#This Row],[J]:[H]],"x")</f>
        <v>1</v>
      </c>
      <c r="P124" s="201" t="str">
        <f>IF(Jul_2026_SotM[[#This Row],[Num]]&gt;=$A$115, "-", IF(Jul_2026_SotM[[#This Row],[Score 1]]&gt;=3, Jul_2026_SotM[[#This Row],[Song 1]], IF(Jul_2026_SotM[[#This Row],[Score 2]]&gt;=3, Jul_2026_SotM[[#This Row],[Song 2]], "TBD")))</f>
        <v>TBD</v>
      </c>
      <c r="Q124" s="206">
        <f>COUNTIF(Jul_2026_SotM[[#This Row],[H ]:[J ]],"x")</f>
        <v>2</v>
      </c>
      <c r="R124" s="200" t="str">
        <f ca="1"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f>
        <v>Feel It All Again</v>
      </c>
      <c r="S124" s="37" t="s">
        <v>4191</v>
      </c>
      <c r="T124" s="35"/>
      <c r="U124" s="33" t="s">
        <v>4191</v>
      </c>
      <c r="V124" s="31"/>
      <c r="W124" s="28"/>
      <c r="X124" s="106" t="str">
        <f ca="1"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f>
        <v xml:space="preserve">J D </v>
      </c>
      <c r="Z124" s="109">
        <f t="shared" si="36"/>
        <v>16</v>
      </c>
      <c r="AA124" s="59">
        <v>46218</v>
      </c>
      <c r="AB124" t="str">
        <v>alappatjoe</v>
      </c>
      <c r="AC124" s="3">
        <v>2.6</v>
      </c>
      <c r="AD124">
        <v>1.019803902718557</v>
      </c>
      <c r="AE124" t="str">
        <v>Gracie</v>
      </c>
      <c r="AF124" t="str">
        <v>Naomi Scott</v>
      </c>
      <c r="AG124" s="100">
        <f t="shared" si="35"/>
        <v>9</v>
      </c>
      <c r="AI124" s="115">
        <f>Jul_2026_SotM[[#This Row],[Max Seed]]/2 + 1</f>
        <v>9</v>
      </c>
      <c r="AJ124" s="105" t="str">
        <f>IF(Jul_2026_SotM[[#This Row],[Num]]&gt;=$A$115, "-", IF(Jul_2026_SotM[[#This Row],[Score 1]]&gt;=3, Jul_2026_SotM[[#This Row],[Song 2]], IF(Jul_2026_SotM[[#This Row],[Score 2]]&gt;=3, Jul_2026_SotM[[#This Row],[Song 1]], "TBD")))</f>
        <v>TBD</v>
      </c>
      <c r="AK124" s="3" t="str">
        <f>IFERROR(VLOOKUP(Jul_2025_Results65[[#This Row],[Song Title]], $AE$116:$AG$133, 3, FALSE)-Jul_2025_Results65[[#This Row],[Result]], "TBD")</f>
        <v>TBD</v>
      </c>
      <c r="AL124" s="3" t="str">
        <f t="shared" si="37"/>
        <v>↑</v>
      </c>
    </row>
    <row r="125" spans="1:38">
      <c r="A125" s="199" t="str">
        <f>_xlfn.CONCAT("Seed ", Jul_2026_SotM[[#This Row],[Top Seed]], " vs ",Jul_2026_SotM[[#This Row],[Low Seed]])</f>
        <v>Seed 7 vs 10</v>
      </c>
      <c r="B125" s="201">
        <v>9</v>
      </c>
      <c r="C125" s="200">
        <f>FLOOR(LOG(Jul_2026_SotM[[#This Row],[Num]], 2), 1)</f>
        <v>3</v>
      </c>
      <c r="D125" s="200">
        <f>2^(Jul_2026_SotM[[#This Row],[Round]]+1)</f>
        <v>16</v>
      </c>
      <c r="E125" s="200">
        <f>Jul_2026_SotM[[#This Row],[Max Seed]]-Jul_2026_SotM[[#This Row],[Num]]</f>
        <v>7</v>
      </c>
      <c r="F125" s="200">
        <f>Jul_2026_SotM[[#This Row],[Max Seed]]-Jul_2026_SotM[[#This Row],[Top Seed]]+1</f>
        <v>10</v>
      </c>
      <c r="G125" s="200" t="b">
        <f>IF(Jul_2026_SotM[[#This Row],[Round]]=$C$115, TRUE(), IF(Jul_2026_SotM[[#This Row],[Round]]=$B$115, Jul_2026_SotM[[#This Row],[Top Seed]]&lt;=2*Jul_2026_SotM[[#This Row],[Max Seed]]-$A$115, FALSE()))</f>
        <v>1</v>
      </c>
      <c r="H125" s="200" t="b">
        <f>IF(Jul_2026_SotM[[#This Row],[Round]]=$C$115, TRUE(), IF(Jul_2026_SotM[[#This Row],[Round]]=$B$115, Jul_2026_SotM[[#This Row],[Low Seed]]&lt;=2*Jul_2026_SotM[[#This Row],[Max Seed]]-$A$115, FALSE()))</f>
        <v>1</v>
      </c>
      <c r="I125" s="28"/>
      <c r="J125" s="31"/>
      <c r="K125" s="33"/>
      <c r="L125" s="35"/>
      <c r="M125" s="37"/>
      <c r="N125" s="203" t="str">
        <f ca="1">IF(Jul_2026_SotM[[#This Row],[Num]]&gt;=$A$115, "-", IF(Jul_2026_SotM[[#This Row],[Initial 1]], VLOOKUP(Jul_2026_SotM[[#This Row],[Top Seed]], $Z$116:$AE$133, 6, FALSE), OFFSET(Jul_2026_SotM[[#This Row],[Winner]], Jul_2026_SotM[[#This Row],[Max Seed]], 0)))</f>
        <v>99 Luftballoons</v>
      </c>
      <c r="O125" s="200">
        <f>COUNTIF(Jul_2026_SotM[[#This Row],[J]:[H]],"x")</f>
        <v>0</v>
      </c>
      <c r="P125" s="201" t="str">
        <f ca="1">IF(Jul_2026_SotM[[#This Row],[Num]]&gt;=$A$115, "-", IF(Jul_2026_SotM[[#This Row],[Score 1]]&gt;=3, Jul_2026_SotM[[#This Row],[Song 1]], IF(Jul_2026_SotM[[#This Row],[Score 2]]&gt;=3, Jul_2026_SotM[[#This Row],[Song 2]], "TBD")))</f>
        <v>Believe</v>
      </c>
      <c r="Q125" s="206">
        <f>COUNTIF(Jul_2026_SotM[[#This Row],[H ]:[J ]],"x")</f>
        <v>3</v>
      </c>
      <c r="R125" s="200" t="str">
        <f ca="1"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f>
        <v>Believe</v>
      </c>
      <c r="S125" s="37" t="s">
        <v>4191</v>
      </c>
      <c r="T125" s="35" t="s">
        <v>4191</v>
      </c>
      <c r="U125" s="33" t="s">
        <v>4191</v>
      </c>
      <c r="V125" s="31"/>
      <c r="W125" s="28"/>
      <c r="X125" s="106" t="str">
        <f ca="1"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f>
        <v xml:space="preserve">J D </v>
      </c>
      <c r="Z125" s="109">
        <f t="shared" si="36"/>
        <v>2</v>
      </c>
      <c r="AA125" s="59">
        <v>46219</v>
      </c>
      <c r="AB125" t="str">
        <v>currydestroyer27</v>
      </c>
      <c r="AC125" s="3">
        <v>1.6</v>
      </c>
      <c r="AD125">
        <v>0.8</v>
      </c>
      <c r="AE125" t="str">
        <v>Just Dance</v>
      </c>
      <c r="AF125" t="str">
        <v>Lady Gaga</v>
      </c>
      <c r="AG125" s="100">
        <f t="shared" si="35"/>
        <v>2</v>
      </c>
      <c r="AI125" s="115">
        <f>Jul_2026_SotM[[#This Row],[Max Seed]]/2 + 1</f>
        <v>9</v>
      </c>
      <c r="AJ125" s="105" t="str">
        <f ca="1">IF(Jul_2026_SotM[[#This Row],[Num]]&gt;=$A$115, "-", IF(Jul_2026_SotM[[#This Row],[Score 1]]&gt;=3, Jul_2026_SotM[[#This Row],[Song 2]], IF(Jul_2026_SotM[[#This Row],[Score 2]]&gt;=3, Jul_2026_SotM[[#This Row],[Song 1]], "TBD")))</f>
        <v>99 Luftballoons</v>
      </c>
      <c r="AK125" s="3">
        <f ca="1">IFERROR(VLOOKUP(Jul_2025_Results65[[#This Row],[Song Title]], $AE$116:$AG$133, 3, FALSE)-Jul_2025_Results65[[#This Row],[Result]], "TBD")</f>
        <v>-4</v>
      </c>
      <c r="AL125" s="3" t="str">
        <f t="shared" ca="1" si="37"/>
        <v>↓</v>
      </c>
    </row>
    <row r="126" spans="1:38">
      <c r="A126" s="199" t="str">
        <f>_xlfn.CONCAT("Seed ", Jul_2026_SotM[[#This Row],[Top Seed]], " vs ",Jul_2026_SotM[[#This Row],[Low Seed]])</f>
        <v>Seed 6 vs 11</v>
      </c>
      <c r="B126" s="201">
        <v>10</v>
      </c>
      <c r="C126" s="200">
        <f>FLOOR(LOG(Jul_2026_SotM[[#This Row],[Num]], 2), 1)</f>
        <v>3</v>
      </c>
      <c r="D126" s="200">
        <f>2^(Jul_2026_SotM[[#This Row],[Round]]+1)</f>
        <v>16</v>
      </c>
      <c r="E126" s="200">
        <f>Jul_2026_SotM[[#This Row],[Max Seed]]-Jul_2026_SotM[[#This Row],[Num]]</f>
        <v>6</v>
      </c>
      <c r="F126" s="200">
        <f>Jul_2026_SotM[[#This Row],[Max Seed]]-Jul_2026_SotM[[#This Row],[Top Seed]]+1</f>
        <v>11</v>
      </c>
      <c r="G126" s="200" t="b">
        <f>IF(Jul_2026_SotM[[#This Row],[Round]]=$C$115, TRUE(), IF(Jul_2026_SotM[[#This Row],[Round]]=$B$115, Jul_2026_SotM[[#This Row],[Top Seed]]&lt;=2*Jul_2026_SotM[[#This Row],[Max Seed]]-$A$115, FALSE()))</f>
        <v>1</v>
      </c>
      <c r="H126" s="200" t="b">
        <f>IF(Jul_2026_SotM[[#This Row],[Round]]=$C$115, TRUE(), IF(Jul_2026_SotM[[#This Row],[Round]]=$B$115, Jul_2026_SotM[[#This Row],[Low Seed]]&lt;=2*Jul_2026_SotM[[#This Row],[Max Seed]]-$A$115, FALSE()))</f>
        <v>1</v>
      </c>
      <c r="I126" s="28"/>
      <c r="J126" s="31"/>
      <c r="K126" s="33"/>
      <c r="L126" s="35" t="s">
        <v>4191</v>
      </c>
      <c r="M126" s="37"/>
      <c r="N126" s="203" t="str">
        <f ca="1">IF(Jul_2026_SotM[[#This Row],[Num]]&gt;=$A$115, "-", IF(Jul_2026_SotM[[#This Row],[Initial 1]], VLOOKUP(Jul_2026_SotM[[#This Row],[Top Seed]], $Z$116:$AE$133, 6, FALSE), OFFSET(Jul_2026_SotM[[#This Row],[Winner]], Jul_2026_SotM[[#This Row],[Max Seed]], 0)))</f>
        <v>Drive</v>
      </c>
      <c r="O126" s="200">
        <f>COUNTIF(Jul_2026_SotM[[#This Row],[J]:[H]],"x")</f>
        <v>1</v>
      </c>
      <c r="P126" s="201" t="str">
        <f>IF(Jul_2026_SotM[[#This Row],[Num]]&gt;=$A$115, "-", IF(Jul_2026_SotM[[#This Row],[Score 1]]&gt;=3, Jul_2026_SotM[[#This Row],[Song 1]], IF(Jul_2026_SotM[[#This Row],[Score 2]]&gt;=3, Jul_2026_SotM[[#This Row],[Song 2]], "TBD")))</f>
        <v>TBD</v>
      </c>
      <c r="Q126" s="206">
        <f>COUNTIF(Jul_2026_SotM[[#This Row],[H ]:[J ]],"x")</f>
        <v>1</v>
      </c>
      <c r="R126" s="200" t="str">
        <f ca="1"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f>
        <v>Sun</v>
      </c>
      <c r="S126" s="37"/>
      <c r="T126" s="35"/>
      <c r="U126" s="33" t="s">
        <v>4191</v>
      </c>
      <c r="V126" s="31"/>
      <c r="W126" s="28"/>
      <c r="X126" s="106" t="str">
        <f ca="1"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f>
        <v xml:space="preserve">J D H </v>
      </c>
      <c r="Z126" s="109">
        <f t="shared" si="36"/>
        <v>15</v>
      </c>
      <c r="AA126" s="59">
        <v>46223</v>
      </c>
      <c r="AB126" t="str">
        <v>currydestroyer27</v>
      </c>
      <c r="AC126" s="3">
        <v>2.6</v>
      </c>
      <c r="AD126">
        <v>0.8</v>
      </c>
      <c r="AE126" t="str">
        <v>Like That</v>
      </c>
      <c r="AF126" t="str">
        <v>loveshy</v>
      </c>
      <c r="AG126" s="100">
        <f t="shared" si="35"/>
        <v>9</v>
      </c>
      <c r="AI126" s="115">
        <f>Jul_2026_SotM[[#This Row],[Max Seed]]/2 + 1</f>
        <v>9</v>
      </c>
      <c r="AJ126" s="105" t="str">
        <f>IF(Jul_2026_SotM[[#This Row],[Num]]&gt;=$A$115, "-", IF(Jul_2026_SotM[[#This Row],[Score 1]]&gt;=3, Jul_2026_SotM[[#This Row],[Song 2]], IF(Jul_2026_SotM[[#This Row],[Score 2]]&gt;=3, Jul_2026_SotM[[#This Row],[Song 1]], "TBD")))</f>
        <v>TBD</v>
      </c>
      <c r="AK126" s="3" t="str">
        <f>IFERROR(VLOOKUP(Jul_2025_Results65[[#This Row],[Song Title]], $AE$116:$AG$133, 3, FALSE)-Jul_2025_Results65[[#This Row],[Result]], "TBD")</f>
        <v>TBD</v>
      </c>
      <c r="AL126" s="3" t="str">
        <f t="shared" si="37"/>
        <v>↑</v>
      </c>
    </row>
    <row r="127" spans="1:38">
      <c r="A127" s="199" t="str">
        <f>_xlfn.CONCAT("Seed ", Jul_2026_SotM[[#This Row],[Top Seed]], " vs ",Jul_2026_SotM[[#This Row],[Low Seed]])</f>
        <v>Seed 5 vs 12</v>
      </c>
      <c r="B127" s="201">
        <v>11</v>
      </c>
      <c r="C127" s="200">
        <f>FLOOR(LOG(Jul_2026_SotM[[#This Row],[Num]], 2), 1)</f>
        <v>3</v>
      </c>
      <c r="D127" s="200">
        <f>2^(Jul_2026_SotM[[#This Row],[Round]]+1)</f>
        <v>16</v>
      </c>
      <c r="E127" s="200">
        <f>Jul_2026_SotM[[#This Row],[Max Seed]]-Jul_2026_SotM[[#This Row],[Num]]</f>
        <v>5</v>
      </c>
      <c r="F127" s="200">
        <f>Jul_2026_SotM[[#This Row],[Max Seed]]-Jul_2026_SotM[[#This Row],[Top Seed]]+1</f>
        <v>12</v>
      </c>
      <c r="G127" s="200" t="b">
        <f>IF(Jul_2026_SotM[[#This Row],[Round]]=$C$115, TRUE(), IF(Jul_2026_SotM[[#This Row],[Round]]=$B$115, Jul_2026_SotM[[#This Row],[Top Seed]]&lt;=2*Jul_2026_SotM[[#This Row],[Max Seed]]-$A$115, FALSE()))</f>
        <v>1</v>
      </c>
      <c r="H127" s="200" t="b">
        <f>IF(Jul_2026_SotM[[#This Row],[Round]]=$C$115, TRUE(), IF(Jul_2026_SotM[[#This Row],[Round]]=$B$115, Jul_2026_SotM[[#This Row],[Low Seed]]&lt;=2*Jul_2026_SotM[[#This Row],[Max Seed]]-$A$115, FALSE()))</f>
        <v>1</v>
      </c>
      <c r="I127" s="28"/>
      <c r="J127" s="31"/>
      <c r="K127" s="33"/>
      <c r="L127" s="35" t="s">
        <v>4191</v>
      </c>
      <c r="M127" s="37"/>
      <c r="N127" s="203" t="str">
        <f ca="1">IF(Jul_2026_SotM[[#This Row],[Num]]&gt;=$A$115, "-", IF(Jul_2026_SotM[[#This Row],[Initial 1]], VLOOKUP(Jul_2026_SotM[[#This Row],[Top Seed]], $Z$116:$AE$133, 6, FALSE), OFFSET(Jul_2026_SotM[[#This Row],[Winner]], Jul_2026_SotM[[#This Row],[Max Seed]], 0)))</f>
        <v>It's The End Of The World As We Know It (And I Feel Fine)</v>
      </c>
      <c r="O127" s="200">
        <f>COUNTIF(Jul_2026_SotM[[#This Row],[J]:[H]],"x")</f>
        <v>1</v>
      </c>
      <c r="P127" s="201" t="str">
        <f>IF(Jul_2026_SotM[[#This Row],[Num]]&gt;=$A$115, "-", IF(Jul_2026_SotM[[#This Row],[Score 1]]&gt;=3, Jul_2026_SotM[[#This Row],[Song 1]], IF(Jul_2026_SotM[[#This Row],[Score 2]]&gt;=3, Jul_2026_SotM[[#This Row],[Song 2]], "TBD")))</f>
        <v>TBD</v>
      </c>
      <c r="Q127" s="206">
        <f>COUNTIF(Jul_2026_SotM[[#This Row],[H ]:[J ]],"x")</f>
        <v>1</v>
      </c>
      <c r="R127" s="200" t="str">
        <f ca="1"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f>
        <v>I Melt with You</v>
      </c>
      <c r="S127" s="37"/>
      <c r="T127" s="35"/>
      <c r="U127" s="33" t="s">
        <v>4191</v>
      </c>
      <c r="V127" s="31"/>
      <c r="W127" s="28"/>
      <c r="X127" s="106" t="str">
        <f ca="1"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f>
        <v xml:space="preserve">J D H </v>
      </c>
      <c r="Z127" s="109">
        <f t="shared" si="36"/>
        <v>8</v>
      </c>
      <c r="AA127" s="59">
        <v>46224</v>
      </c>
      <c r="AB127" t="str">
        <v>alappatjoe</v>
      </c>
      <c r="AC127" s="3">
        <v>2.2000000000000002</v>
      </c>
      <c r="AD127">
        <v>1.1661903789690602</v>
      </c>
      <c r="AE127" t="str">
        <v>LOSE YOURSELF</v>
      </c>
      <c r="AF127" t="str">
        <v>Paco</v>
      </c>
      <c r="AG127" s="100">
        <f t="shared" si="35"/>
        <v>5</v>
      </c>
      <c r="AI127" s="115">
        <f>Jul_2026_SotM[[#This Row],[Max Seed]]/2 + 1</f>
        <v>9</v>
      </c>
      <c r="AJ127" s="105" t="str">
        <f>IF(Jul_2026_SotM[[#This Row],[Num]]&gt;=$A$115, "-", IF(Jul_2026_SotM[[#This Row],[Score 1]]&gt;=3, Jul_2026_SotM[[#This Row],[Song 2]], IF(Jul_2026_SotM[[#This Row],[Score 2]]&gt;=3, Jul_2026_SotM[[#This Row],[Song 1]], "TBD")))</f>
        <v>TBD</v>
      </c>
      <c r="AK127" s="3" t="str">
        <f>IFERROR(VLOOKUP(Jul_2025_Results65[[#This Row],[Song Title]], $AE$116:$AG$133, 3, FALSE)-Jul_2025_Results65[[#This Row],[Result]], "TBD")</f>
        <v>TBD</v>
      </c>
      <c r="AL127" s="3" t="str">
        <f t="shared" si="37"/>
        <v>↑</v>
      </c>
    </row>
    <row r="128" spans="1:38">
      <c r="A128" s="199" t="str">
        <f>_xlfn.CONCAT("Seed ", Jul_2026_SotM[[#This Row],[Top Seed]], " vs ",Jul_2026_SotM[[#This Row],[Low Seed]])</f>
        <v>Seed 4 vs 13</v>
      </c>
      <c r="B128" s="201">
        <v>12</v>
      </c>
      <c r="C128" s="200">
        <f>FLOOR(LOG(Jul_2026_SotM[[#This Row],[Num]], 2), 1)</f>
        <v>3</v>
      </c>
      <c r="D128" s="200">
        <f>2^(Jul_2026_SotM[[#This Row],[Round]]+1)</f>
        <v>16</v>
      </c>
      <c r="E128" s="200">
        <f>Jul_2026_SotM[[#This Row],[Max Seed]]-Jul_2026_SotM[[#This Row],[Num]]</f>
        <v>4</v>
      </c>
      <c r="F128" s="200">
        <f>Jul_2026_SotM[[#This Row],[Max Seed]]-Jul_2026_SotM[[#This Row],[Top Seed]]+1</f>
        <v>13</v>
      </c>
      <c r="G128" s="200" t="b">
        <f>IF(Jul_2026_SotM[[#This Row],[Round]]=$C$115, TRUE(), IF(Jul_2026_SotM[[#This Row],[Round]]=$B$115, Jul_2026_SotM[[#This Row],[Top Seed]]&lt;=2*Jul_2026_SotM[[#This Row],[Max Seed]]-$A$115, FALSE()))</f>
        <v>1</v>
      </c>
      <c r="H128" s="200" t="b">
        <f>IF(Jul_2026_SotM[[#This Row],[Round]]=$C$115, TRUE(), IF(Jul_2026_SotM[[#This Row],[Round]]=$B$115, Jul_2026_SotM[[#This Row],[Low Seed]]&lt;=2*Jul_2026_SotM[[#This Row],[Max Seed]]-$A$115, FALSE()))</f>
        <v>1</v>
      </c>
      <c r="I128" s="28"/>
      <c r="J128" s="31"/>
      <c r="K128" s="33" t="s">
        <v>4191</v>
      </c>
      <c r="L128" s="35"/>
      <c r="M128" s="37" t="s">
        <v>4191</v>
      </c>
      <c r="N128" s="203" t="str">
        <f ca="1">IF(Jul_2026_SotM[[#This Row],[Num]]&gt;=$A$115, "-", IF(Jul_2026_SotM[[#This Row],[Initial 1]], VLOOKUP(Jul_2026_SotM[[#This Row],[Top Seed]], $Z$116:$AE$133, 6, FALSE), OFFSET(Jul_2026_SotM[[#This Row],[Winner]], Jul_2026_SotM[[#This Row],[Max Seed]], 0)))</f>
        <v>Ultramoon</v>
      </c>
      <c r="O128" s="200">
        <f>COUNTIF(Jul_2026_SotM[[#This Row],[J]:[H]],"x")</f>
        <v>2</v>
      </c>
      <c r="P128" s="201" t="str">
        <f>IF(Jul_2026_SotM[[#This Row],[Num]]&gt;=$A$115, "-", IF(Jul_2026_SotM[[#This Row],[Score 1]]&gt;=3, Jul_2026_SotM[[#This Row],[Song 1]], IF(Jul_2026_SotM[[#This Row],[Score 2]]&gt;=3, Jul_2026_SotM[[#This Row],[Song 2]], "TBD")))</f>
        <v>TBD</v>
      </c>
      <c r="Q128" s="206">
        <f>COUNTIF(Jul_2026_SotM[[#This Row],[H ]:[J ]],"x")</f>
        <v>1</v>
      </c>
      <c r="R128" s="200" t="str">
        <f ca="1"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f>
        <v>By-Tor And The Snow Dog</v>
      </c>
      <c r="S128" s="37"/>
      <c r="T128" s="35" t="s">
        <v>4191</v>
      </c>
      <c r="U128" s="33"/>
      <c r="V128" s="31"/>
      <c r="W128" s="28"/>
      <c r="X128" s="106" t="str">
        <f ca="1"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f>
        <v xml:space="preserve">J D </v>
      </c>
      <c r="Z128" s="109">
        <f t="shared" si="36"/>
        <v>9</v>
      </c>
      <c r="AA128" s="59">
        <v>46225</v>
      </c>
      <c r="AB128" t="str">
        <v>currydestroyer27</v>
      </c>
      <c r="AC128" s="3">
        <v>2.2000000000000002</v>
      </c>
      <c r="AD128">
        <v>1.1661903789690602</v>
      </c>
      <c r="AE128" t="str">
        <v>Feel It All Again</v>
      </c>
      <c r="AF128" t="str">
        <v>adore</v>
      </c>
      <c r="AG128" s="100">
        <f t="shared" si="35"/>
        <v>9</v>
      </c>
      <c r="AI128" s="115">
        <f>Jul_2026_SotM[[#This Row],[Max Seed]]/2 + 1</f>
        <v>9</v>
      </c>
      <c r="AJ128" s="105" t="str">
        <f>IF(Jul_2026_SotM[[#This Row],[Num]]&gt;=$A$115, "-", IF(Jul_2026_SotM[[#This Row],[Score 1]]&gt;=3, Jul_2026_SotM[[#This Row],[Song 2]], IF(Jul_2026_SotM[[#This Row],[Score 2]]&gt;=3, Jul_2026_SotM[[#This Row],[Song 1]], "TBD")))</f>
        <v>TBD</v>
      </c>
      <c r="AK128" s="3" t="str">
        <f>IFERROR(VLOOKUP(Jul_2025_Results65[[#This Row],[Song Title]], $AE$116:$AG$133, 3, FALSE)-Jul_2025_Results65[[#This Row],[Result]], "TBD")</f>
        <v>TBD</v>
      </c>
      <c r="AL128" s="3" t="str">
        <f t="shared" si="37"/>
        <v>↑</v>
      </c>
    </row>
    <row r="129" spans="1:38">
      <c r="A129" s="199" t="str">
        <f>_xlfn.CONCAT("Seed ", Jul_2026_SotM[[#This Row],[Top Seed]], " vs ",Jul_2026_SotM[[#This Row],[Low Seed]])</f>
        <v>Seed 3 vs 14</v>
      </c>
      <c r="B129" s="201">
        <v>13</v>
      </c>
      <c r="C129" s="200">
        <f>FLOOR(LOG(Jul_2026_SotM[[#This Row],[Num]], 2), 1)</f>
        <v>3</v>
      </c>
      <c r="D129" s="200">
        <f>2^(Jul_2026_SotM[[#This Row],[Round]]+1)</f>
        <v>16</v>
      </c>
      <c r="E129" s="200">
        <f>Jul_2026_SotM[[#This Row],[Max Seed]]-Jul_2026_SotM[[#This Row],[Num]]</f>
        <v>3</v>
      </c>
      <c r="F129" s="200">
        <f>Jul_2026_SotM[[#This Row],[Max Seed]]-Jul_2026_SotM[[#This Row],[Top Seed]]+1</f>
        <v>14</v>
      </c>
      <c r="G129" s="200" t="b">
        <f>IF(Jul_2026_SotM[[#This Row],[Round]]=$C$115, TRUE(), IF(Jul_2026_SotM[[#This Row],[Round]]=$B$115, Jul_2026_SotM[[#This Row],[Top Seed]]&lt;=2*Jul_2026_SotM[[#This Row],[Max Seed]]-$A$115, FALSE()))</f>
        <v>1</v>
      </c>
      <c r="H129" s="200" t="b">
        <f>IF(Jul_2026_SotM[[#This Row],[Round]]=$C$115, TRUE(), IF(Jul_2026_SotM[[#This Row],[Round]]=$B$115, Jul_2026_SotM[[#This Row],[Low Seed]]&lt;=2*Jul_2026_SotM[[#This Row],[Max Seed]]-$A$115, FALSE()))</f>
        <v>1</v>
      </c>
      <c r="I129" s="28"/>
      <c r="J129" s="31"/>
      <c r="K129" s="33" t="s">
        <v>4191</v>
      </c>
      <c r="L129" s="35" t="s">
        <v>4191</v>
      </c>
      <c r="M129" s="37"/>
      <c r="N129" s="203" t="str">
        <f ca="1">IF(Jul_2026_SotM[[#This Row],[Num]]&gt;=$A$115, "-", IF(Jul_2026_SotM[[#This Row],[Initial 1]], VLOOKUP(Jul_2026_SotM[[#This Row],[Top Seed]], $Z$116:$AE$133, 6, FALSE), OFFSET(Jul_2026_SotM[[#This Row],[Winner]], Jul_2026_SotM[[#This Row],[Max Seed]], 0)))</f>
        <v>Savior</v>
      </c>
      <c r="O129" s="200">
        <f>COUNTIF(Jul_2026_SotM[[#This Row],[J]:[H]],"x")</f>
        <v>2</v>
      </c>
      <c r="P129" s="201" t="str">
        <f>IF(Jul_2026_SotM[[#This Row],[Num]]&gt;=$A$115, "-", IF(Jul_2026_SotM[[#This Row],[Score 1]]&gt;=3, Jul_2026_SotM[[#This Row],[Song 1]], IF(Jul_2026_SotM[[#This Row],[Score 2]]&gt;=3, Jul_2026_SotM[[#This Row],[Song 2]], "TBD")))</f>
        <v>TBD</v>
      </c>
      <c r="Q129" s="206">
        <f>COUNTIF(Jul_2026_SotM[[#This Row],[H ]:[J ]],"x")</f>
        <v>0</v>
      </c>
      <c r="R129" s="200" t="str">
        <f ca="1"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f>
        <v>One</v>
      </c>
      <c r="S129" s="37"/>
      <c r="T129" s="35"/>
      <c r="U129" s="33"/>
      <c r="V129" s="31"/>
      <c r="W129" s="28"/>
      <c r="X129" s="106" t="str">
        <f ca="1"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f>
        <v xml:space="preserve">J D H </v>
      </c>
      <c r="Z129" s="109">
        <f t="shared" si="36"/>
        <v>10</v>
      </c>
      <c r="AA129" s="59">
        <v>46226</v>
      </c>
      <c r="AB129" t="str">
        <v>loganworsdell</v>
      </c>
      <c r="AC129" s="3">
        <v>2.2000000000000002</v>
      </c>
      <c r="AD129">
        <v>1.1661903789690602</v>
      </c>
      <c r="AE129" t="str">
        <v>Believe</v>
      </c>
      <c r="AF129" t="str">
        <v>Cher</v>
      </c>
      <c r="AG129" s="100">
        <f t="shared" si="35"/>
        <v>9</v>
      </c>
      <c r="AI129" s="115">
        <f>Jul_2026_SotM[[#This Row],[Max Seed]]/2 + 1</f>
        <v>9</v>
      </c>
      <c r="AJ129" s="105" t="str">
        <f>IF(Jul_2026_SotM[[#This Row],[Num]]&gt;=$A$115, "-", IF(Jul_2026_SotM[[#This Row],[Score 1]]&gt;=3, Jul_2026_SotM[[#This Row],[Song 2]], IF(Jul_2026_SotM[[#This Row],[Score 2]]&gt;=3, Jul_2026_SotM[[#This Row],[Song 1]], "TBD")))</f>
        <v>TBD</v>
      </c>
      <c r="AK129" s="3" t="str">
        <f>IFERROR(VLOOKUP(Jul_2025_Results65[[#This Row],[Song Title]], $AE$116:$AG$133, 3, FALSE)-Jul_2025_Results65[[#This Row],[Result]], "TBD")</f>
        <v>TBD</v>
      </c>
      <c r="AL129" s="3" t="str">
        <f t="shared" si="37"/>
        <v>↑</v>
      </c>
    </row>
    <row r="130" spans="1:38">
      <c r="A130" s="199" t="str">
        <f>_xlfn.CONCAT("Seed ", Jul_2026_SotM[[#This Row],[Top Seed]], " vs ",Jul_2026_SotM[[#This Row],[Low Seed]])</f>
        <v>Seed 2 vs 15</v>
      </c>
      <c r="B130" s="201">
        <v>14</v>
      </c>
      <c r="C130" s="200">
        <f>FLOOR(LOG(Jul_2026_SotM[[#This Row],[Num]], 2), 1)</f>
        <v>3</v>
      </c>
      <c r="D130" s="200">
        <f>2^(Jul_2026_SotM[[#This Row],[Round]]+1)</f>
        <v>16</v>
      </c>
      <c r="E130" s="200">
        <f>Jul_2026_SotM[[#This Row],[Max Seed]]-Jul_2026_SotM[[#This Row],[Num]]</f>
        <v>2</v>
      </c>
      <c r="F130" s="200">
        <f>Jul_2026_SotM[[#This Row],[Max Seed]]-Jul_2026_SotM[[#This Row],[Top Seed]]+1</f>
        <v>15</v>
      </c>
      <c r="G130" s="200" t="b">
        <f>IF(Jul_2026_SotM[[#This Row],[Round]]=$C$115, TRUE(), IF(Jul_2026_SotM[[#This Row],[Round]]=$B$115, Jul_2026_SotM[[#This Row],[Top Seed]]&lt;=2*Jul_2026_SotM[[#This Row],[Max Seed]]-$A$115, FALSE()))</f>
        <v>1</v>
      </c>
      <c r="H130" s="200" t="b">
        <f>IF(Jul_2026_SotM[[#This Row],[Round]]=$C$115, TRUE(), IF(Jul_2026_SotM[[#This Row],[Round]]=$B$115, Jul_2026_SotM[[#This Row],[Low Seed]]&lt;=2*Jul_2026_SotM[[#This Row],[Max Seed]]-$A$115, FALSE()))</f>
        <v>0</v>
      </c>
      <c r="I130" s="28"/>
      <c r="J130" s="31"/>
      <c r="K130" s="33"/>
      <c r="L130" s="35"/>
      <c r="M130" s="37" t="s">
        <v>4191</v>
      </c>
      <c r="N130" s="203" t="str">
        <f ca="1">IF(Jul_2026_SotM[[#This Row],[Num]]&gt;=$A$115, "-", IF(Jul_2026_SotM[[#This Row],[Initial 1]], VLOOKUP(Jul_2026_SotM[[#This Row],[Top Seed]], $Z$116:$AE$133, 6, FALSE), OFFSET(Jul_2026_SotM[[#This Row],[Winner]], Jul_2026_SotM[[#This Row],[Max Seed]], 0)))</f>
        <v>Just Dance</v>
      </c>
      <c r="O130" s="200">
        <f>COUNTIF(Jul_2026_SotM[[#This Row],[J]:[H]],"x")</f>
        <v>1</v>
      </c>
      <c r="P130" s="201" t="str">
        <f>IF(Jul_2026_SotM[[#This Row],[Num]]&gt;=$A$115, "-", IF(Jul_2026_SotM[[#This Row],[Score 1]]&gt;=3, Jul_2026_SotM[[#This Row],[Song 1]], IF(Jul_2026_SotM[[#This Row],[Score 2]]&gt;=3, Jul_2026_SotM[[#This Row],[Song 2]], "TBD")))</f>
        <v>TBD</v>
      </c>
      <c r="Q130" s="206">
        <f>COUNTIF(Jul_2026_SotM[[#This Row],[H ]:[J ]],"x")</f>
        <v>0</v>
      </c>
      <c r="R130" s="200" t="str">
        <f ca="1"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f>
        <v>TBD</v>
      </c>
      <c r="S130" s="37"/>
      <c r="T130" s="35"/>
      <c r="U130" s="33"/>
      <c r="V130" s="31"/>
      <c r="W130" s="28"/>
      <c r="X130" s="106" t="str">
        <f ca="1"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f>
        <v>TBD</v>
      </c>
      <c r="Z130" s="109">
        <f t="shared" si="36"/>
        <v>11</v>
      </c>
      <c r="AA130" s="59">
        <v>46230</v>
      </c>
      <c r="AB130" t="str">
        <v>loganworsdell</v>
      </c>
      <c r="AC130" s="3">
        <v>2.2000000000000002</v>
      </c>
      <c r="AD130">
        <v>1.1661903789690602</v>
      </c>
      <c r="AE130" t="str">
        <v>Sun</v>
      </c>
      <c r="AF130" t="str">
        <v>Two Door Cinema Club</v>
      </c>
      <c r="AG130" s="100">
        <f t="shared" si="35"/>
        <v>9</v>
      </c>
      <c r="AI130" s="115">
        <f>Jul_2026_SotM[[#This Row],[Max Seed]]/2 + 1</f>
        <v>9</v>
      </c>
      <c r="AJ130" s="105" t="str">
        <f>IF(Jul_2026_SotM[[#This Row],[Num]]&gt;=$A$115, "-", IF(Jul_2026_SotM[[#This Row],[Score 1]]&gt;=3, Jul_2026_SotM[[#This Row],[Song 2]], IF(Jul_2026_SotM[[#This Row],[Score 2]]&gt;=3, Jul_2026_SotM[[#This Row],[Song 1]], "TBD")))</f>
        <v>TBD</v>
      </c>
      <c r="AK130" s="3" t="str">
        <f>IFERROR(VLOOKUP(Jul_2025_Results65[[#This Row],[Song Title]], $AE$116:$AG$133, 3, FALSE)-Jul_2025_Results65[[#This Row],[Result]], "TBD")</f>
        <v>TBD</v>
      </c>
      <c r="AL130" s="3" t="str">
        <f t="shared" si="37"/>
        <v>↑</v>
      </c>
    </row>
    <row r="131" spans="1:38">
      <c r="A131" s="199" t="str">
        <f>_xlfn.CONCAT("Seed ", Jul_2026_SotM[[#This Row],[Top Seed]], " vs ",Jul_2026_SotM[[#This Row],[Low Seed]])</f>
        <v>Seed 1 vs 16</v>
      </c>
      <c r="B131" s="201">
        <v>15</v>
      </c>
      <c r="C131" s="200">
        <f>FLOOR(LOG(Jul_2026_SotM[[#This Row],[Num]], 2), 1)</f>
        <v>3</v>
      </c>
      <c r="D131" s="200">
        <f>2^(Jul_2026_SotM[[#This Row],[Round]]+1)</f>
        <v>16</v>
      </c>
      <c r="E131" s="200">
        <f>Jul_2026_SotM[[#This Row],[Max Seed]]-Jul_2026_SotM[[#This Row],[Num]]</f>
        <v>1</v>
      </c>
      <c r="F131" s="200">
        <f>Jul_2026_SotM[[#This Row],[Max Seed]]-Jul_2026_SotM[[#This Row],[Top Seed]]+1</f>
        <v>16</v>
      </c>
      <c r="G131" s="200" t="b">
        <f>IF(Jul_2026_SotM[[#This Row],[Round]]=$C$115, TRUE(), IF(Jul_2026_SotM[[#This Row],[Round]]=$B$115, Jul_2026_SotM[[#This Row],[Top Seed]]&lt;=2*Jul_2026_SotM[[#This Row],[Max Seed]]-$A$115, FALSE()))</f>
        <v>1</v>
      </c>
      <c r="H131" s="200" t="b">
        <f>IF(Jul_2026_SotM[[#This Row],[Round]]=$C$115, TRUE(), IF(Jul_2026_SotM[[#This Row],[Round]]=$B$115, Jul_2026_SotM[[#This Row],[Low Seed]]&lt;=2*Jul_2026_SotM[[#This Row],[Max Seed]]-$A$115, FALSE()))</f>
        <v>0</v>
      </c>
      <c r="I131" s="28"/>
      <c r="J131" s="31"/>
      <c r="K131" s="33"/>
      <c r="L131" s="35" t="s">
        <v>4191</v>
      </c>
      <c r="M131" s="37"/>
      <c r="N131" s="203" t="str">
        <f ca="1">IF(Jul_2026_SotM[[#This Row],[Num]]&gt;=$A$115, "-", IF(Jul_2026_SotM[[#This Row],[Initial 1]], VLOOKUP(Jul_2026_SotM[[#This Row],[Top Seed]], $Z$116:$AE$133, 6, FALSE), OFFSET(Jul_2026_SotM[[#This Row],[Winner]], Jul_2026_SotM[[#This Row],[Max Seed]], 0)))</f>
        <v>Virtual Insanity</v>
      </c>
      <c r="O131" s="200">
        <f>COUNTIF(Jul_2026_SotM[[#This Row],[J]:[H]],"x")</f>
        <v>1</v>
      </c>
      <c r="P131" s="201" t="str">
        <f>IF(Jul_2026_SotM[[#This Row],[Num]]&gt;=$A$115, "-", IF(Jul_2026_SotM[[#This Row],[Score 1]]&gt;=3, Jul_2026_SotM[[#This Row],[Song 1]], IF(Jul_2026_SotM[[#This Row],[Score 2]]&gt;=3, Jul_2026_SotM[[#This Row],[Song 2]], "TBD")))</f>
        <v>TBD</v>
      </c>
      <c r="Q131" s="206">
        <f>COUNTIF(Jul_2026_SotM[[#This Row],[H ]:[J ]],"x")</f>
        <v>0</v>
      </c>
      <c r="R131" s="200" t="str">
        <f ca="1"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f>
        <v>TBD</v>
      </c>
      <c r="S131" s="37"/>
      <c r="T131" s="35"/>
      <c r="U131" s="33"/>
      <c r="V131" s="31"/>
      <c r="W131" s="28"/>
      <c r="X131" s="106" t="str">
        <f ca="1"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f>
        <v>TBD</v>
      </c>
      <c r="Z131" s="109">
        <f t="shared" si="36"/>
        <v>17</v>
      </c>
      <c r="AA131" s="59">
        <v>46231</v>
      </c>
      <c r="AB131" t="str">
        <v>alappatjoe</v>
      </c>
      <c r="AC131" s="3">
        <v>2.8</v>
      </c>
      <c r="AD131">
        <v>1.1661903789690602</v>
      </c>
      <c r="AE131" t="str">
        <v>SO GOOD</v>
      </c>
      <c r="AF131" t="str">
        <v>Charlie Jeer, Simone Ashley</v>
      </c>
      <c r="AG131" s="100">
        <f t="shared" si="35"/>
        <v>17</v>
      </c>
      <c r="AI131" s="115">
        <f>Jul_2026_SotM[[#This Row],[Max Seed]]/2 + 1</f>
        <v>9</v>
      </c>
      <c r="AJ131" s="105" t="str">
        <f>IF(Jul_2026_SotM[[#This Row],[Num]]&gt;=$A$115, "-", IF(Jul_2026_SotM[[#This Row],[Score 1]]&gt;=3, Jul_2026_SotM[[#This Row],[Song 2]], IF(Jul_2026_SotM[[#This Row],[Score 2]]&gt;=3, Jul_2026_SotM[[#This Row],[Song 1]], "TBD")))</f>
        <v>TBD</v>
      </c>
      <c r="AK131" s="3" t="str">
        <f>IFERROR(VLOOKUP(Jul_2025_Results65[[#This Row],[Song Title]], $AE$116:$AG$133, 3, FALSE)-Jul_2025_Results65[[#This Row],[Result]], "TBD")</f>
        <v>TBD</v>
      </c>
      <c r="AL131" s="3" t="str">
        <f t="shared" si="37"/>
        <v>↑</v>
      </c>
    </row>
    <row r="132" spans="1:38">
      <c r="A132" s="199" t="str">
        <f>_xlfn.CONCAT("Seed ", Jul_2026_SotM[[#This Row],[Top Seed]], " vs ",Jul_2026_SotM[[#This Row],[Low Seed]])</f>
        <v>Seed 16 vs 17</v>
      </c>
      <c r="B132" s="201">
        <v>16</v>
      </c>
      <c r="C132" s="200">
        <f>FLOOR(LOG(Jul_2026_SotM[[#This Row],[Num]], 2), 1)</f>
        <v>4</v>
      </c>
      <c r="D132" s="200">
        <f>2^(Jul_2026_SotM[[#This Row],[Round]]+1)</f>
        <v>32</v>
      </c>
      <c r="E132" s="200">
        <f>Jul_2026_SotM[[#This Row],[Max Seed]]-Jul_2026_SotM[[#This Row],[Num]]</f>
        <v>16</v>
      </c>
      <c r="F132" s="200">
        <f>Jul_2026_SotM[[#This Row],[Max Seed]]-Jul_2026_SotM[[#This Row],[Top Seed]]+1</f>
        <v>17</v>
      </c>
      <c r="G132" s="200" t="b">
        <f>IF(Jul_2026_SotM[[#This Row],[Round]]=$C$115, TRUE(), IF(Jul_2026_SotM[[#This Row],[Round]]=$B$115, Jul_2026_SotM[[#This Row],[Top Seed]]&lt;=2*Jul_2026_SotM[[#This Row],[Max Seed]]-$A$115, FALSE()))</f>
        <v>1</v>
      </c>
      <c r="H132" s="200" t="b">
        <f>IF(Jul_2026_SotM[[#This Row],[Round]]=$C$115, TRUE(), IF(Jul_2026_SotM[[#This Row],[Round]]=$B$115, Jul_2026_SotM[[#This Row],[Low Seed]]&lt;=2*Jul_2026_SotM[[#This Row],[Max Seed]]-$A$115, FALSE()))</f>
        <v>1</v>
      </c>
      <c r="I132" s="28"/>
      <c r="J132" s="31"/>
      <c r="K132" s="33"/>
      <c r="L132" s="35" t="s">
        <v>4191</v>
      </c>
      <c r="M132" s="37"/>
      <c r="N132" s="203" t="str">
        <f ca="1">IF(Jul_2026_SotM[[#This Row],[Num]]&gt;=$A$115, "-", IF(Jul_2026_SotM[[#This Row],[Initial 1]], VLOOKUP(Jul_2026_SotM[[#This Row],[Top Seed]], $Z$116:$AE$133, 6, FALSE), OFFSET(Jul_2026_SotM[[#This Row],[Winner]], Jul_2026_SotM[[#This Row],[Max Seed]], 0)))</f>
        <v>Gracie</v>
      </c>
      <c r="O132" s="200">
        <f>COUNTIF(Jul_2026_SotM[[#This Row],[J]:[H]],"x")</f>
        <v>1</v>
      </c>
      <c r="P132" s="201" t="str">
        <f>IF(Jul_2026_SotM[[#This Row],[Num]]&gt;=$A$115, "-", IF(Jul_2026_SotM[[#This Row],[Score 1]]&gt;=3, Jul_2026_SotM[[#This Row],[Song 1]], IF(Jul_2026_SotM[[#This Row],[Score 2]]&gt;=3, Jul_2026_SotM[[#This Row],[Song 2]], "TBD")))</f>
        <v>TBD</v>
      </c>
      <c r="Q132" s="206">
        <f>COUNTIF(Jul_2026_SotM[[#This Row],[H ]:[J ]],"x")</f>
        <v>2</v>
      </c>
      <c r="R132" s="200" t="str">
        <f ca="1"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f>
        <v>SO GOOD</v>
      </c>
      <c r="S132" s="37" t="s">
        <v>4191</v>
      </c>
      <c r="T132" s="35"/>
      <c r="U132" s="33" t="s">
        <v>4191</v>
      </c>
      <c r="V132" s="31"/>
      <c r="W132" s="28"/>
      <c r="X132" s="106" t="str">
        <f ca="1"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f>
        <v xml:space="preserve">J D </v>
      </c>
      <c r="Z132" s="109">
        <f t="shared" si="36"/>
        <v>4</v>
      </c>
      <c r="AA132" s="59">
        <v>46232</v>
      </c>
      <c r="AB132" t="str">
        <v>loganworsdell</v>
      </c>
      <c r="AC132" s="3">
        <v>1.8</v>
      </c>
      <c r="AD132">
        <v>0.9797958971132712</v>
      </c>
      <c r="AE132" t="str">
        <v>Ultramoon</v>
      </c>
      <c r="AF132" t="str">
        <v>camoufly</v>
      </c>
      <c r="AG132" s="100">
        <f t="shared" si="35"/>
        <v>3</v>
      </c>
      <c r="AI132" s="115">
        <f>Jul_2026_SotM[[#This Row],[Max Seed]]/2 + 1</f>
        <v>17</v>
      </c>
      <c r="AJ132" s="105" t="str">
        <f>IF(Jul_2026_SotM[[#This Row],[Num]]&gt;=$A$115, "-", IF(Jul_2026_SotM[[#This Row],[Score 1]]&gt;=3, Jul_2026_SotM[[#This Row],[Song 2]], IF(Jul_2026_SotM[[#This Row],[Score 2]]&gt;=3, Jul_2026_SotM[[#This Row],[Song 1]], "TBD")))</f>
        <v>TBD</v>
      </c>
      <c r="AK132" s="3" t="str">
        <f>IFERROR(VLOOKUP(Jul_2025_Results65[[#This Row],[Song Title]], $AE$116:$AG$133, 3, FALSE)-Jul_2025_Results65[[#This Row],[Result]], "TBD")</f>
        <v>TBD</v>
      </c>
      <c r="AL132" s="3" t="str">
        <f t="shared" si="37"/>
        <v>↑</v>
      </c>
    </row>
    <row r="133" spans="1:38">
      <c r="A133" s="199" t="str">
        <f>_xlfn.CONCAT("Seed ", Jul_2026_SotM[[#This Row],[Top Seed]], " vs ",Jul_2026_SotM[[#This Row],[Low Seed]])</f>
        <v>Seed 15 vs 18</v>
      </c>
      <c r="B133" s="201">
        <v>17</v>
      </c>
      <c r="C133" s="200">
        <f>FLOOR(LOG(Jul_2026_SotM[[#This Row],[Num]], 2), 1)</f>
        <v>4</v>
      </c>
      <c r="D133" s="200">
        <f>2^(Jul_2026_SotM[[#This Row],[Round]]+1)</f>
        <v>32</v>
      </c>
      <c r="E133" s="200">
        <f>Jul_2026_SotM[[#This Row],[Max Seed]]-Jul_2026_SotM[[#This Row],[Num]]</f>
        <v>15</v>
      </c>
      <c r="F133" s="200">
        <f>Jul_2026_SotM[[#This Row],[Max Seed]]-Jul_2026_SotM[[#This Row],[Top Seed]]+1</f>
        <v>18</v>
      </c>
      <c r="G133" s="200" t="b">
        <f>IF(Jul_2026_SotM[[#This Row],[Round]]=$C$115, TRUE(), IF(Jul_2026_SotM[[#This Row],[Round]]=$B$115, Jul_2026_SotM[[#This Row],[Top Seed]]&lt;=2*Jul_2026_SotM[[#This Row],[Max Seed]]-$A$115, FALSE()))</f>
        <v>1</v>
      </c>
      <c r="H133" s="200" t="b">
        <f>IF(Jul_2026_SotM[[#This Row],[Round]]=$C$115, TRUE(), IF(Jul_2026_SotM[[#This Row],[Round]]=$B$115, Jul_2026_SotM[[#This Row],[Low Seed]]&lt;=2*Jul_2026_SotM[[#This Row],[Max Seed]]-$A$115, FALSE()))</f>
        <v>1</v>
      </c>
      <c r="I133" s="28"/>
      <c r="J133" s="31"/>
      <c r="K133" s="33" t="s">
        <v>4191</v>
      </c>
      <c r="L133" s="35" t="s">
        <v>4191</v>
      </c>
      <c r="M133" s="37"/>
      <c r="N133" s="203" t="str">
        <f ca="1">IF(Jul_2026_SotM[[#This Row],[Num]]&gt;=$A$115, "-", IF(Jul_2026_SotM[[#This Row],[Initial 1]], VLOOKUP(Jul_2026_SotM[[#This Row],[Top Seed]], $Z$116:$AE$133, 6, FALSE), OFFSET(Jul_2026_SotM[[#This Row],[Winner]], Jul_2026_SotM[[#This Row],[Max Seed]], 0)))</f>
        <v>Like That</v>
      </c>
      <c r="O133" s="200">
        <f>COUNTIF(Jul_2026_SotM[[#This Row],[J]:[H]],"x")</f>
        <v>2</v>
      </c>
      <c r="P133" s="201" t="str">
        <f>IF(Jul_2026_SotM[[#This Row],[Num]]&gt;=$A$115, "-", IF(Jul_2026_SotM[[#This Row],[Score 1]]&gt;=3, Jul_2026_SotM[[#This Row],[Song 1]], IF(Jul_2026_SotM[[#This Row],[Score 2]]&gt;=3, Jul_2026_SotM[[#This Row],[Song 2]], "TBD")))</f>
        <v>TBD</v>
      </c>
      <c r="Q133" s="206">
        <f>COUNTIF(Jul_2026_SotM[[#This Row],[H ]:[J ]],"x")</f>
        <v>1</v>
      </c>
      <c r="R133" s="200" t="str">
        <f ca="1">IF(Jul_2026_SotM[[#This Row],[Num]]&gt;=$A$115, "-", IF(Jul_2026_SotM[[#This Row],[Initial 2]], VLOOKUP(Jul_2026_SotM[[#This Row],[Low Seed]], $Z$116:$AE$133, 6, FALSE), OFFSET(Jul_2026_SotM[[#This Row],[Winner]], 2*(Jul_2026_SotM[[#This Row],[Max Seed]]-Jul_2026_SotM[[#This Row],[Low Seed]])+1, 0)))</f>
        <v>Haru</v>
      </c>
      <c r="S133" s="37" t="s">
        <v>4191</v>
      </c>
      <c r="T133" s="35"/>
      <c r="U133" s="33"/>
      <c r="V133" s="31"/>
      <c r="W133" s="28"/>
      <c r="X133" s="106" t="str">
        <f ca="1">IF(OR(Jul_2026_SotM[[#This Row],[Song 1]]="TBD", Jul_2026_SotM[[#This Row],[Song 2]]="TBD"), "TBD", _xlfn.CONCAT(IF(_xlfn.XOR(ISBLANK(Jul_2026_SotM[[#This Row],[J]]), ISBLANK(Jul_2026_SotM[[#This Row],[J ]])), "", "J "), IF(_xlfn.XOR(ISBLANK(Jul_2026_SotM[[#This Row],[D]]), ISBLANK(Jul_2026_SotM[[#This Row],[D ]])), "", "D "), IF(_xlfn.XOR(ISBLANK(Jul_2026_SotM[[#This Row],[L]]), ISBLANK(Jul_2026_SotM[[#This Row],[L ]])), "", "L "), IF(_xlfn.XOR(ISBLANK(Jul_2026_SotM[[#This Row],[S]]), ISBLANK(Jul_2026_SotM[[#This Row],[S ]])), "", "S "), IF(_xlfn.XOR(ISBLANK(Jul_2026_SotM[[#This Row],[H]]), ISBLANK(Jul_2026_SotM[[#This Row],[H ]])), "", "H ")))</f>
        <v xml:space="preserve">J D </v>
      </c>
      <c r="Z133" s="110">
        <f t="shared" si="36"/>
        <v>12</v>
      </c>
      <c r="AA133" s="211">
        <v>46233</v>
      </c>
      <c r="AB133" s="157" t="str">
        <v>danram</v>
      </c>
      <c r="AC133" s="101">
        <v>2.2000000000000002</v>
      </c>
      <c r="AD133" s="157">
        <v>1.1661903789690602</v>
      </c>
      <c r="AE133" s="157" t="str">
        <v>I Melt with You</v>
      </c>
      <c r="AF133" s="157" t="str">
        <v>Modern English</v>
      </c>
      <c r="AG133" s="102">
        <f t="shared" si="35"/>
        <v>9</v>
      </c>
      <c r="AI133" s="115">
        <f>Jul_2026_SotM[[#This Row],[Max Seed]]/2 + 1</f>
        <v>17</v>
      </c>
      <c r="AJ133" s="105" t="str">
        <f>IF(Jul_2026_SotM[[#This Row],[Num]]&gt;=$A$115, "-", IF(Jul_2026_SotM[[#This Row],[Score 1]]&gt;=3, Jul_2026_SotM[[#This Row],[Song 2]], IF(Jul_2026_SotM[[#This Row],[Score 2]]&gt;=3, Jul_2026_SotM[[#This Row],[Song 1]], "TBD")))</f>
        <v>TBD</v>
      </c>
      <c r="AK133" s="3" t="str">
        <f>IFERROR(VLOOKUP(Jul_2025_Results65[[#This Row],[Song Title]], $AE$116:$AG$133, 3, FALSE)-Jul_2025_Results65[[#This Row],[Result]], "TBD")</f>
        <v>TBD</v>
      </c>
      <c r="AL133" s="3" t="str">
        <f t="shared" si="37"/>
        <v>↑</v>
      </c>
    </row>
    <row r="135" spans="1:38">
      <c r="A135" s="302">
        <f>MAX(Z136:Z152)</f>
        <v>16</v>
      </c>
      <c r="B135" s="302">
        <f>FLOOR(LOG(A135, 2), 1)-1</f>
        <v>3</v>
      </c>
      <c r="C135" s="302">
        <f t="shared" ref="C135" si="38">_xlfn.CEILING.MATH(LOG(A135, 2), 1)-1</f>
        <v>3</v>
      </c>
      <c r="D135" s="302"/>
      <c r="E135" s="302"/>
      <c r="F135" s="302"/>
      <c r="G135" s="302"/>
      <c r="H135" s="302"/>
      <c r="I135" s="348" t="s">
        <v>2922</v>
      </c>
      <c r="J135" s="348"/>
      <c r="K135" s="348"/>
      <c r="L135" s="348"/>
      <c r="M135" s="348"/>
      <c r="N135" s="348"/>
      <c r="O135" s="348"/>
      <c r="P135" s="348"/>
      <c r="Q135" s="348"/>
      <c r="R135" s="348"/>
      <c r="S135" s="348"/>
      <c r="T135" s="348"/>
      <c r="U135" s="348"/>
      <c r="V135" s="348"/>
      <c r="W135" s="348"/>
      <c r="X135" s="302"/>
      <c r="Z135" s="221" t="s">
        <v>4163</v>
      </c>
      <c r="AA135" s="222" t="s">
        <v>29</v>
      </c>
      <c r="AB135" s="220" t="s">
        <v>32</v>
      </c>
      <c r="AC135" s="221" t="s">
        <v>33</v>
      </c>
      <c r="AD135" s="220" t="s">
        <v>34</v>
      </c>
      <c r="AE135" s="220" t="s">
        <v>4161</v>
      </c>
      <c r="AF135" s="220" t="s">
        <v>36</v>
      </c>
      <c r="AG135" s="221" t="s">
        <v>4164</v>
      </c>
      <c r="AI135" s="247" t="s">
        <v>4165</v>
      </c>
      <c r="AJ135" s="248" t="s">
        <v>35</v>
      </c>
      <c r="AK135" s="249" t="s">
        <v>4166</v>
      </c>
      <c r="AL135" s="249" t="s">
        <v>4167</v>
      </c>
    </row>
    <row r="136" spans="1:38">
      <c r="A136" s="218" t="s">
        <v>4168</v>
      </c>
      <c r="B136" s="213" t="s">
        <v>4169</v>
      </c>
      <c r="C136" s="219" t="s">
        <v>4170</v>
      </c>
      <c r="D136" s="219" t="s">
        <v>4171</v>
      </c>
      <c r="E136" s="219" t="s">
        <v>4172</v>
      </c>
      <c r="F136" s="219" t="s">
        <v>4173</v>
      </c>
      <c r="G136" s="219" t="s">
        <v>4174</v>
      </c>
      <c r="H136" s="219" t="s">
        <v>4175</v>
      </c>
      <c r="I136" s="219" t="s">
        <v>4176</v>
      </c>
      <c r="J136" s="219" t="s">
        <v>4177</v>
      </c>
      <c r="K136" s="219" t="s">
        <v>4178</v>
      </c>
      <c r="L136" s="219" t="s">
        <v>4179</v>
      </c>
      <c r="M136" s="219" t="s">
        <v>4180</v>
      </c>
      <c r="N136" s="226" t="s">
        <v>4181</v>
      </c>
      <c r="O136" s="219" t="s">
        <v>4182</v>
      </c>
      <c r="P136" s="213" t="s">
        <v>47</v>
      </c>
      <c r="Q136" s="231" t="s">
        <v>4183</v>
      </c>
      <c r="R136" s="219" t="s">
        <v>4184</v>
      </c>
      <c r="S136" s="219" t="s">
        <v>4185</v>
      </c>
      <c r="T136" s="219" t="s">
        <v>4186</v>
      </c>
      <c r="U136" s="219" t="s">
        <v>4187</v>
      </c>
      <c r="V136" s="219" t="s">
        <v>4188</v>
      </c>
      <c r="W136" s="219" t="s">
        <v>4189</v>
      </c>
      <c r="X136" s="110" t="s">
        <v>4190</v>
      </c>
      <c r="Z136" s="109">
        <f t="shared" ref="Z136:Z152" si="39">IF(AC136&gt;0, COUNTIF(AC$136:AC$152, "&lt;"&amp;AC136) + COUNTIFS(AC$136:AC$152, AC136, AD$136:AD$152, "&lt;"&amp;AD136) + COUNTIFS(AC$136:AC$152, AC136, AD$136:AD$152, AD136, AA$136:AA$152, "&lt;"&amp;AA136) + 1, "TBD")</f>
        <v>2</v>
      </c>
      <c r="AA136" s="59" cm="1">
        <f t="array" ref="AA136:AF151">_xlfn._xlws.FILTER(Data[Date]:Data[Artist], (Data[Date]&gt;=DATE(2026,8,1))*(Data[Date]&lt;=DATE(2026,8,31))*(Data[Winner]=TRUE()), "TBD")</f>
        <v>46237</v>
      </c>
      <c r="AB136" t="str">
        <v>loganworsdell</v>
      </c>
      <c r="AC136" s="3">
        <v>1.8</v>
      </c>
      <c r="AD136">
        <v>0.74833147735478833</v>
      </c>
      <c r="AE136" t="str">
        <v>bbydoll</v>
      </c>
      <c r="AF136" t="str">
        <v>Aziya</v>
      </c>
      <c r="AG136" s="100">
        <f t="shared" ref="AG136:AG151" si="40">IF(Z136&gt;1, 2^FLOOR(LOG(Z136-1, 2), 1)+1, 1)</f>
        <v>2</v>
      </c>
      <c r="AI136" s="115">
        <v>1</v>
      </c>
      <c r="AJ136" s="105" t="str">
        <f>P137</f>
        <v>TBD</v>
      </c>
      <c r="AK136" s="246" t="str">
        <f>IFERROR(VLOOKUP(Aug_2025_Results66[[#This Row],[Song Title]], $AE$136:$AG$151, 3, FALSE)-Aug_2025_Results66[[#This Row],[Result]], "TBD")</f>
        <v>TBD</v>
      </c>
      <c r="AL136" s="246" t="str">
        <f>IF(AK136&lt;0,"↓",IF(AK136=0,"-","↑"))</f>
        <v>↑</v>
      </c>
    </row>
    <row r="137" spans="1:38">
      <c r="A137" s="199" t="str">
        <f>_xlfn.CONCAT("Seed ", Aug_2026_SotM[[#This Row],[Top Seed]], " vs ",Aug_2026_SotM[[#This Row],[Low Seed]])</f>
        <v>Seed 1 vs 2</v>
      </c>
      <c r="B137" s="201">
        <v>1</v>
      </c>
      <c r="C137" s="200">
        <f>FLOOR(LOG(Aug_2026_SotM[[#This Row],[Num]], 2), 1)</f>
        <v>0</v>
      </c>
      <c r="D137" s="200">
        <f>2^(Aug_2026_SotM[[#This Row],[Round]]+1)</f>
        <v>2</v>
      </c>
      <c r="E137" s="200">
        <f>Aug_2026_SotM[[#This Row],[Max Seed]]-Aug_2026_SotM[[#This Row],[Num]]</f>
        <v>1</v>
      </c>
      <c r="F137" s="200">
        <f>Aug_2026_SotM[[#This Row],[Max Seed]]-Aug_2026_SotM[[#This Row],[Top Seed]]+1</f>
        <v>2</v>
      </c>
      <c r="G137" s="200" t="b">
        <f>IF(Aug_2026_SotM[[#This Row],[Round]]=$C$135, TRUE(), IF(Aug_2026_SotM[[#This Row],[Round]]=$B$135, Aug_2026_SotM[[#This Row],[Top Seed]]&lt;=2*Aug_2026_SotM[[#This Row],[Max Seed]]-$A$135, FALSE()))</f>
        <v>0</v>
      </c>
      <c r="H137" s="200" t="b">
        <f>IF(Aug_2026_SotM[[#This Row],[Round]]=$C$135, TRUE(), IF(Aug_2026_SotM[[#This Row],[Round]]=$B$135, Aug_2026_SotM[[#This Row],[Low Seed]]&lt;=2*Aug_2026_SotM[[#This Row],[Max Seed]]-$A$135, FALSE()))</f>
        <v>0</v>
      </c>
      <c r="I137" s="28"/>
      <c r="J137" s="31"/>
      <c r="K137" s="33"/>
      <c r="L137" s="35"/>
      <c r="M137" s="37"/>
      <c r="N137" s="203" t="str">
        <f ca="1">IF(Aug_2026_SotM[[#This Row],[Num]]&gt;=$A$135, "-", IF(Aug_2026_SotM[[#This Row],[Initial 1]], VLOOKUP(Aug_2026_SotM[[#This Row],[Top Seed]], $Z$136:$AE$151, 6, FALSE), OFFSET(Aug_2026_SotM[[#This Row],[Winner]], Aug_2026_SotM[[#This Row],[Max Seed]], 0)))</f>
        <v>TBD</v>
      </c>
      <c r="O137" s="200">
        <f>COUNTIF(Aug_2026_SotM[[#This Row],[J]:[H]],"x")</f>
        <v>0</v>
      </c>
      <c r="P137" s="201" t="str">
        <f>IF(Aug_2026_SotM[[#This Row],[Num]]&gt;=$A$135, "-", IF(Aug_2026_SotM[[#This Row],[Score 1]]&gt;=3, Aug_2026_SotM[[#This Row],[Song 1]], IF(Aug_2026_SotM[[#This Row],[Score 2]]&gt;=3, Aug_2026_SotM[[#This Row],[Song 2]], "TBD")))</f>
        <v>TBD</v>
      </c>
      <c r="Q137" s="206">
        <f>COUNTIF(Aug_2026_SotM[[#This Row],[H ]:[J ]],"x")</f>
        <v>0</v>
      </c>
      <c r="R137" s="200" t="str">
        <f ca="1">IF(Aug_2026_SotM[[#This Row],[Num]]&gt;=$A$135, "-", IF(Aug_2026_SotM[[#This Row],[Initial 2]], VLOOKUP(Aug_2026_SotM[[#This Row],[Low Seed]], $Z$136:$AE$151, 6, FALSE), OFFSET(Aug_2026_SotM[[#This Row],[Winner]], 2*(Aug_2026_SotM[[#This Row],[Max Seed]]-Aug_2026_SotM[[#This Row],[Low Seed]])+1, 0)))</f>
        <v>TBD</v>
      </c>
      <c r="S137" s="37"/>
      <c r="T137" s="35"/>
      <c r="U137" s="33"/>
      <c r="V137" s="31"/>
      <c r="W137" s="28"/>
      <c r="X137" s="106" t="str">
        <f ca="1">IF(OR(Aug_2026_SotM[[#This Row],[Song 1]]="TBD", Aug_2026_SotM[[#This Row],[Song 2]]="TBD"), "TBD", _xlfn.CONCAT(IF(_xlfn.XOR(ISBLANK(Aug_2026_SotM[[#This Row],[J]]), ISBLANK(Aug_2026_SotM[[#This Row],[J ]])), "", "J "), IF(_xlfn.XOR(ISBLANK(Aug_2026_SotM[[#This Row],[D]]), ISBLANK(Aug_2026_SotM[[#This Row],[D ]])), "", "D "), IF(_xlfn.XOR(ISBLANK(Aug_2026_SotM[[#This Row],[L]]), ISBLANK(Aug_2026_SotM[[#This Row],[L ]])), "", "L "), IF(_xlfn.XOR(ISBLANK(Aug_2026_SotM[[#This Row],[S]]), ISBLANK(Aug_2026_SotM[[#This Row],[S ]])), "", "S "), IF(_xlfn.XOR(ISBLANK(Aug_2026_SotM[[#This Row],[H]]), ISBLANK(Aug_2026_SotM[[#This Row],[H ]])), "", "H ")))</f>
        <v>TBD</v>
      </c>
      <c r="Z137" s="109">
        <f t="shared" si="39"/>
        <v>9</v>
      </c>
      <c r="AA137" s="59">
        <v>46238</v>
      </c>
      <c r="AB137" t="str">
        <v>danram</v>
      </c>
      <c r="AC137" s="3">
        <v>2.2000000000000002</v>
      </c>
      <c r="AD137">
        <v>1.1661903789690602</v>
      </c>
      <c r="AE137" t="str">
        <v>Me Rehuso</v>
      </c>
      <c r="AF137" t="str">
        <v>Danny Ocean</v>
      </c>
      <c r="AG137" s="100">
        <f t="shared" si="40"/>
        <v>9</v>
      </c>
      <c r="AI137" s="115">
        <f>Aug_2026_SotM[[#This Row],[Max Seed]]/2 + 1</f>
        <v>2</v>
      </c>
      <c r="AJ137" s="105" t="str">
        <f>IF(Aug_2026_SotM[[#This Row],[Num]]&gt;=$A$135, "-", IF(Aug_2026_SotM[[#This Row],[Score 1]]&gt;=3, Aug_2026_SotM[[#This Row],[Song 2]], IF(Aug_2026_SotM[[#This Row],[Score 2]]&gt;=3, Aug_2026_SotM[[#This Row],[Song 1]], "TBD")))</f>
        <v>TBD</v>
      </c>
      <c r="AK137" s="246" t="str">
        <f>IFERROR(VLOOKUP(Aug_2025_Results66[[#This Row],[Song Title]], $AE$136:$AG$151, 3, FALSE)-Aug_2025_Results66[[#This Row],[Result]], "TBD")</f>
        <v>TBD</v>
      </c>
      <c r="AL137" s="246" t="str">
        <f>IF(AK137&lt;0,"↓",IF(AK137=0,"-","↑"))</f>
        <v>↑</v>
      </c>
    </row>
    <row r="138" spans="1:38">
      <c r="A138" s="199" t="str">
        <f>_xlfn.CONCAT("Seed ", Aug_2026_SotM[[#This Row],[Top Seed]], " vs ",Aug_2026_SotM[[#This Row],[Low Seed]])</f>
        <v>Seed 2 vs 3</v>
      </c>
      <c r="B138" s="201">
        <v>2</v>
      </c>
      <c r="C138" s="200">
        <f>FLOOR(LOG(Aug_2026_SotM[[#This Row],[Num]], 2), 1)</f>
        <v>1</v>
      </c>
      <c r="D138" s="200">
        <f>2^(Aug_2026_SotM[[#This Row],[Round]]+1)</f>
        <v>4</v>
      </c>
      <c r="E138" s="200">
        <f>Aug_2026_SotM[[#This Row],[Max Seed]]-Aug_2026_SotM[[#This Row],[Num]]</f>
        <v>2</v>
      </c>
      <c r="F138" s="200">
        <f>Aug_2026_SotM[[#This Row],[Max Seed]]-Aug_2026_SotM[[#This Row],[Top Seed]]+1</f>
        <v>3</v>
      </c>
      <c r="G138" s="200" t="b">
        <f>IF(Aug_2026_SotM[[#This Row],[Round]]=$C$135, TRUE(), IF(Aug_2026_SotM[[#This Row],[Round]]=$B$135, Aug_2026_SotM[[#This Row],[Top Seed]]&lt;=2*Aug_2026_SotM[[#This Row],[Max Seed]]-$A$135, FALSE()))</f>
        <v>0</v>
      </c>
      <c r="H138" s="200" t="b">
        <f>IF(Aug_2026_SotM[[#This Row],[Round]]=$C$135, TRUE(), IF(Aug_2026_SotM[[#This Row],[Round]]=$B$135, Aug_2026_SotM[[#This Row],[Low Seed]]&lt;=2*Aug_2026_SotM[[#This Row],[Max Seed]]-$A$135, FALSE()))</f>
        <v>0</v>
      </c>
      <c r="I138" s="28"/>
      <c r="J138" s="31"/>
      <c r="K138" s="33"/>
      <c r="L138" s="35"/>
      <c r="M138" s="37"/>
      <c r="N138" s="203" t="str">
        <f ca="1">IF(Aug_2026_SotM[[#This Row],[Num]]&gt;=$A$135, "-", IF(Aug_2026_SotM[[#This Row],[Initial 1]], VLOOKUP(Aug_2026_SotM[[#This Row],[Top Seed]], $Z$136:$AE$151, 6, FALSE), OFFSET(Aug_2026_SotM[[#This Row],[Winner]], Aug_2026_SotM[[#This Row],[Max Seed]], 0)))</f>
        <v>TBD</v>
      </c>
      <c r="O138" s="200">
        <f>COUNTIF(Aug_2026_SotM[[#This Row],[J]:[H]],"x")</f>
        <v>0</v>
      </c>
      <c r="P138" s="201" t="str">
        <f>IF(Aug_2026_SotM[[#This Row],[Num]]&gt;=$A$135, "-", IF(Aug_2026_SotM[[#This Row],[Score 1]]&gt;=3, Aug_2026_SotM[[#This Row],[Song 1]], IF(Aug_2026_SotM[[#This Row],[Score 2]]&gt;=3, Aug_2026_SotM[[#This Row],[Song 2]], "TBD")))</f>
        <v>TBD</v>
      </c>
      <c r="Q138" s="206">
        <f>COUNTIF(Aug_2026_SotM[[#This Row],[H ]:[J ]],"x")</f>
        <v>0</v>
      </c>
      <c r="R138" s="200" t="str">
        <f ca="1">IF(Aug_2026_SotM[[#This Row],[Num]]&gt;=$A$135, "-", IF(Aug_2026_SotM[[#This Row],[Initial 2]], VLOOKUP(Aug_2026_SotM[[#This Row],[Low Seed]], $Z$136:$AE$151, 6, FALSE), OFFSET(Aug_2026_SotM[[#This Row],[Winner]], 2*(Aug_2026_SotM[[#This Row],[Max Seed]]-Aug_2026_SotM[[#This Row],[Low Seed]])+1, 0)))</f>
        <v>TBD</v>
      </c>
      <c r="S138" s="37"/>
      <c r="T138" s="35"/>
      <c r="U138" s="33"/>
      <c r="V138" s="31"/>
      <c r="W138" s="28"/>
      <c r="X138" s="106" t="str">
        <f ca="1">IF(OR(Aug_2026_SotM[[#This Row],[Song 1]]="TBD", Aug_2026_SotM[[#This Row],[Song 2]]="TBD"), "TBD", _xlfn.CONCAT(IF(_xlfn.XOR(ISBLANK(Aug_2026_SotM[[#This Row],[J]]), ISBLANK(Aug_2026_SotM[[#This Row],[J ]])), "", "J "), IF(_xlfn.XOR(ISBLANK(Aug_2026_SotM[[#This Row],[D]]), ISBLANK(Aug_2026_SotM[[#This Row],[D ]])), "", "D "), IF(_xlfn.XOR(ISBLANK(Aug_2026_SotM[[#This Row],[L]]), ISBLANK(Aug_2026_SotM[[#This Row],[L ]])), "", "L "), IF(_xlfn.XOR(ISBLANK(Aug_2026_SotM[[#This Row],[S]]), ISBLANK(Aug_2026_SotM[[#This Row],[S ]])), "", "S "), IF(_xlfn.XOR(ISBLANK(Aug_2026_SotM[[#This Row],[H]]), ISBLANK(Aug_2026_SotM[[#This Row],[H ]])), "", "H ")))</f>
        <v>TBD</v>
      </c>
      <c r="Z138" s="109">
        <f t="shared" si="39"/>
        <v>6</v>
      </c>
      <c r="AA138" s="59">
        <v>46239</v>
      </c>
      <c r="AB138" t="str">
        <v>currydestroyer27</v>
      </c>
      <c r="AC138" s="3">
        <v>2</v>
      </c>
      <c r="AD138">
        <v>0.89442719099991586</v>
      </c>
      <c r="AE138" t="str">
        <v>The Night Begins To Shine</v>
      </c>
      <c r="AF138" t="str">
        <v>B.E.R</v>
      </c>
      <c r="AG138" s="100">
        <f t="shared" si="40"/>
        <v>5</v>
      </c>
      <c r="AI138" s="115">
        <f>Aug_2026_SotM[[#This Row],[Max Seed]]/2 + 1</f>
        <v>3</v>
      </c>
      <c r="AJ138" s="105" t="str">
        <f>IF(Aug_2026_SotM[[#This Row],[Num]]&gt;=$A$135, "-", IF(Aug_2026_SotM[[#This Row],[Score 1]]&gt;=3, Aug_2026_SotM[[#This Row],[Song 2]], IF(Aug_2026_SotM[[#This Row],[Score 2]]&gt;=3, Aug_2026_SotM[[#This Row],[Song 1]], "TBD")))</f>
        <v>TBD</v>
      </c>
      <c r="AK138" s="246" t="str">
        <f>IFERROR(VLOOKUP(Aug_2025_Results66[[#This Row],[Song Title]], $AE$136:$AG$151, 3, FALSE)-Aug_2025_Results66[[#This Row],[Result]], "TBD")</f>
        <v>TBD</v>
      </c>
      <c r="AL138" s="246" t="str">
        <f t="shared" ref="AL138:AL151" si="41">IF(AK138&lt;0,"↓",IF(AK138=0,"-","↑"))</f>
        <v>↑</v>
      </c>
    </row>
    <row r="139" spans="1:38">
      <c r="A139" s="199" t="str">
        <f>_xlfn.CONCAT("Seed ", Aug_2026_SotM[[#This Row],[Top Seed]], " vs ",Aug_2026_SotM[[#This Row],[Low Seed]])</f>
        <v>Seed 1 vs 4</v>
      </c>
      <c r="B139" s="201">
        <v>3</v>
      </c>
      <c r="C139" s="200">
        <f>FLOOR(LOG(Aug_2026_SotM[[#This Row],[Num]], 2), 1)</f>
        <v>1</v>
      </c>
      <c r="D139" s="200">
        <f>2^(Aug_2026_SotM[[#This Row],[Round]]+1)</f>
        <v>4</v>
      </c>
      <c r="E139" s="200">
        <f>Aug_2026_SotM[[#This Row],[Max Seed]]-Aug_2026_SotM[[#This Row],[Num]]</f>
        <v>1</v>
      </c>
      <c r="F139" s="200">
        <f>Aug_2026_SotM[[#This Row],[Max Seed]]-Aug_2026_SotM[[#This Row],[Top Seed]]+1</f>
        <v>4</v>
      </c>
      <c r="G139" s="200" t="b">
        <f>IF(Aug_2026_SotM[[#This Row],[Round]]=$C$135, TRUE(), IF(Aug_2026_SotM[[#This Row],[Round]]=$B$135, Aug_2026_SotM[[#This Row],[Top Seed]]&lt;=2*Aug_2026_SotM[[#This Row],[Max Seed]]-$A$135, FALSE()))</f>
        <v>0</v>
      </c>
      <c r="H139" s="200" t="b">
        <f>IF(Aug_2026_SotM[[#This Row],[Round]]=$C$135, TRUE(), IF(Aug_2026_SotM[[#This Row],[Round]]=$B$135, Aug_2026_SotM[[#This Row],[Low Seed]]&lt;=2*Aug_2026_SotM[[#This Row],[Max Seed]]-$A$135, FALSE()))</f>
        <v>0</v>
      </c>
      <c r="I139" s="28"/>
      <c r="J139" s="31"/>
      <c r="K139" s="33"/>
      <c r="L139" s="35"/>
      <c r="M139" s="37"/>
      <c r="N139" s="203" t="str">
        <f ca="1">IF(Aug_2026_SotM[[#This Row],[Num]]&gt;=$A$135, "-", IF(Aug_2026_SotM[[#This Row],[Initial 1]], VLOOKUP(Aug_2026_SotM[[#This Row],[Top Seed]], $Z$136:$AE$151, 6, FALSE), OFFSET(Aug_2026_SotM[[#This Row],[Winner]], Aug_2026_SotM[[#This Row],[Max Seed]], 0)))</f>
        <v>TBD</v>
      </c>
      <c r="O139" s="200">
        <f>COUNTIF(Aug_2026_SotM[[#This Row],[J]:[H]],"x")</f>
        <v>0</v>
      </c>
      <c r="P139" s="201" t="str">
        <f>IF(Aug_2026_SotM[[#This Row],[Num]]&gt;=$A$135, "-", IF(Aug_2026_SotM[[#This Row],[Score 1]]&gt;=3, Aug_2026_SotM[[#This Row],[Song 1]], IF(Aug_2026_SotM[[#This Row],[Score 2]]&gt;=3, Aug_2026_SotM[[#This Row],[Song 2]], "TBD")))</f>
        <v>TBD</v>
      </c>
      <c r="Q139" s="206">
        <f>COUNTIF(Aug_2026_SotM[[#This Row],[H ]:[J ]],"x")</f>
        <v>0</v>
      </c>
      <c r="R139" s="200" t="str">
        <f ca="1">IF(Aug_2026_SotM[[#This Row],[Num]]&gt;=$A$135, "-", IF(Aug_2026_SotM[[#This Row],[Initial 2]], VLOOKUP(Aug_2026_SotM[[#This Row],[Low Seed]], $Z$136:$AE$151, 6, FALSE), OFFSET(Aug_2026_SotM[[#This Row],[Winner]], 2*(Aug_2026_SotM[[#This Row],[Max Seed]]-Aug_2026_SotM[[#This Row],[Low Seed]])+1, 0)))</f>
        <v>TBD</v>
      </c>
      <c r="S139" s="37"/>
      <c r="T139" s="35"/>
      <c r="U139" s="33"/>
      <c r="V139" s="31"/>
      <c r="W139" s="28"/>
      <c r="X139" s="106" t="str">
        <f ca="1">IF(OR(Aug_2026_SotM[[#This Row],[Song 1]]="TBD", Aug_2026_SotM[[#This Row],[Song 2]]="TBD"), "TBD", _xlfn.CONCAT(IF(_xlfn.XOR(ISBLANK(Aug_2026_SotM[[#This Row],[J]]), ISBLANK(Aug_2026_SotM[[#This Row],[J ]])), "", "J "), IF(_xlfn.XOR(ISBLANK(Aug_2026_SotM[[#This Row],[D]]), ISBLANK(Aug_2026_SotM[[#This Row],[D ]])), "", "D "), IF(_xlfn.XOR(ISBLANK(Aug_2026_SotM[[#This Row],[L]]), ISBLANK(Aug_2026_SotM[[#This Row],[L ]])), "", "L "), IF(_xlfn.XOR(ISBLANK(Aug_2026_SotM[[#This Row],[S]]), ISBLANK(Aug_2026_SotM[[#This Row],[S ]])), "", "S "), IF(_xlfn.XOR(ISBLANK(Aug_2026_SotM[[#This Row],[H]]), ISBLANK(Aug_2026_SotM[[#This Row],[H ]])), "", "H ")))</f>
        <v>TBD</v>
      </c>
      <c r="Z139" s="109">
        <f t="shared" si="39"/>
        <v>1</v>
      </c>
      <c r="AA139" s="59">
        <v>46240</v>
      </c>
      <c r="AB139" t="str">
        <v>danram</v>
      </c>
      <c r="AC139" s="3">
        <v>1.6</v>
      </c>
      <c r="AD139">
        <v>0.8</v>
      </c>
      <c r="AE139" t="str">
        <v>Not Afraid</v>
      </c>
      <c r="AF139" t="str">
        <v>Eminem</v>
      </c>
      <c r="AG139" s="100">
        <f t="shared" si="40"/>
        <v>1</v>
      </c>
      <c r="AI139" s="115">
        <f>Aug_2026_SotM[[#This Row],[Max Seed]]/2 + 1</f>
        <v>3</v>
      </c>
      <c r="AJ139" s="105" t="str">
        <f>IF(Aug_2026_SotM[[#This Row],[Num]]&gt;=$A$135, "-", IF(Aug_2026_SotM[[#This Row],[Score 1]]&gt;=3, Aug_2026_SotM[[#This Row],[Song 2]], IF(Aug_2026_SotM[[#This Row],[Score 2]]&gt;=3, Aug_2026_SotM[[#This Row],[Song 1]], "TBD")))</f>
        <v>TBD</v>
      </c>
      <c r="AK139" s="246" t="str">
        <f>IFERROR(VLOOKUP(Aug_2025_Results66[[#This Row],[Song Title]], $AE$136:$AG$151, 3, FALSE)-Aug_2025_Results66[[#This Row],[Result]], "TBD")</f>
        <v>TBD</v>
      </c>
      <c r="AL139" s="246" t="str">
        <f t="shared" si="41"/>
        <v>↑</v>
      </c>
    </row>
    <row r="140" spans="1:38">
      <c r="A140" s="199" t="str">
        <f>_xlfn.CONCAT("Seed ", Aug_2026_SotM[[#This Row],[Top Seed]], " vs ",Aug_2026_SotM[[#This Row],[Low Seed]])</f>
        <v>Seed 4 vs 5</v>
      </c>
      <c r="B140" s="201">
        <v>4</v>
      </c>
      <c r="C140" s="200">
        <f>FLOOR(LOG(Aug_2026_SotM[[#This Row],[Num]], 2), 1)</f>
        <v>2</v>
      </c>
      <c r="D140" s="200">
        <f>2^(Aug_2026_SotM[[#This Row],[Round]]+1)</f>
        <v>8</v>
      </c>
      <c r="E140" s="200">
        <f>Aug_2026_SotM[[#This Row],[Max Seed]]-Aug_2026_SotM[[#This Row],[Num]]</f>
        <v>4</v>
      </c>
      <c r="F140" s="200">
        <f>Aug_2026_SotM[[#This Row],[Max Seed]]-Aug_2026_SotM[[#This Row],[Top Seed]]+1</f>
        <v>5</v>
      </c>
      <c r="G140" s="200" t="b">
        <f>IF(Aug_2026_SotM[[#This Row],[Round]]=$C$135, TRUE(), IF(Aug_2026_SotM[[#This Row],[Round]]=$B$135, Aug_2026_SotM[[#This Row],[Top Seed]]&lt;=2*Aug_2026_SotM[[#This Row],[Max Seed]]-$A$135, FALSE()))</f>
        <v>0</v>
      </c>
      <c r="H140" s="200" t="b">
        <f>IF(Aug_2026_SotM[[#This Row],[Round]]=$C$135, TRUE(), IF(Aug_2026_SotM[[#This Row],[Round]]=$B$135, Aug_2026_SotM[[#This Row],[Low Seed]]&lt;=2*Aug_2026_SotM[[#This Row],[Max Seed]]-$A$135, FALSE()))</f>
        <v>0</v>
      </c>
      <c r="I140" s="28"/>
      <c r="J140" s="31"/>
      <c r="K140" s="33"/>
      <c r="L140" s="35"/>
      <c r="M140" s="37"/>
      <c r="N140" s="203" t="str">
        <f ca="1">IF(Aug_2026_SotM[[#This Row],[Num]]&gt;=$A$135, "-", IF(Aug_2026_SotM[[#This Row],[Initial 1]], VLOOKUP(Aug_2026_SotM[[#This Row],[Top Seed]], $Z$136:$AE$151, 6, FALSE), OFFSET(Aug_2026_SotM[[#This Row],[Winner]], Aug_2026_SotM[[#This Row],[Max Seed]], 0)))</f>
        <v>TBD</v>
      </c>
      <c r="O140" s="200">
        <f>COUNTIF(Aug_2026_SotM[[#This Row],[J]:[H]],"x")</f>
        <v>0</v>
      </c>
      <c r="P140" s="201" t="str">
        <f>IF(Aug_2026_SotM[[#This Row],[Num]]&gt;=$A$135, "-", IF(Aug_2026_SotM[[#This Row],[Score 1]]&gt;=3, Aug_2026_SotM[[#This Row],[Song 1]], IF(Aug_2026_SotM[[#This Row],[Score 2]]&gt;=3, Aug_2026_SotM[[#This Row],[Song 2]], "TBD")))</f>
        <v>TBD</v>
      </c>
      <c r="Q140" s="206">
        <f>COUNTIF(Aug_2026_SotM[[#This Row],[H ]:[J ]],"x")</f>
        <v>0</v>
      </c>
      <c r="R140" s="200" t="str">
        <f ca="1">IF(Aug_2026_SotM[[#This Row],[Num]]&gt;=$A$135, "-", IF(Aug_2026_SotM[[#This Row],[Initial 2]], VLOOKUP(Aug_2026_SotM[[#This Row],[Low Seed]], $Z$136:$AE$151, 6, FALSE), OFFSET(Aug_2026_SotM[[#This Row],[Winner]], 2*(Aug_2026_SotM[[#This Row],[Max Seed]]-Aug_2026_SotM[[#This Row],[Low Seed]])+1, 0)))</f>
        <v>TBD</v>
      </c>
      <c r="S140" s="37"/>
      <c r="T140" s="35"/>
      <c r="U140" s="33"/>
      <c r="V140" s="31"/>
      <c r="W140" s="28"/>
      <c r="X140" s="106" t="str">
        <f ca="1">IF(OR(Aug_2026_SotM[[#This Row],[Song 1]]="TBD", Aug_2026_SotM[[#This Row],[Song 2]]="TBD"), "TBD", _xlfn.CONCAT(IF(_xlfn.XOR(ISBLANK(Aug_2026_SotM[[#This Row],[J]]), ISBLANK(Aug_2026_SotM[[#This Row],[J ]])), "", "J "), IF(_xlfn.XOR(ISBLANK(Aug_2026_SotM[[#This Row],[D]]), ISBLANK(Aug_2026_SotM[[#This Row],[D ]])), "", "D "), IF(_xlfn.XOR(ISBLANK(Aug_2026_SotM[[#This Row],[L]]), ISBLANK(Aug_2026_SotM[[#This Row],[L ]])), "", "L "), IF(_xlfn.XOR(ISBLANK(Aug_2026_SotM[[#This Row],[S]]), ISBLANK(Aug_2026_SotM[[#This Row],[S ]])), "", "S "), IF(_xlfn.XOR(ISBLANK(Aug_2026_SotM[[#This Row],[H]]), ISBLANK(Aug_2026_SotM[[#This Row],[H ]])), "", "H ")))</f>
        <v>TBD</v>
      </c>
      <c r="Z140" s="109">
        <f t="shared" si="39"/>
        <v>7</v>
      </c>
      <c r="AA140" s="59">
        <v>46244</v>
      </c>
      <c r="AB140" t="str">
        <v>loganworsdell</v>
      </c>
      <c r="AC140" s="3">
        <v>2</v>
      </c>
      <c r="AD140">
        <v>0.89442719099991586</v>
      </c>
      <c r="AE140" t="str">
        <v>Closer</v>
      </c>
      <c r="AF140" t="str">
        <v>Ne-Yo</v>
      </c>
      <c r="AG140" s="100">
        <f t="shared" si="40"/>
        <v>5</v>
      </c>
      <c r="AI140" s="115">
        <f>Aug_2026_SotM[[#This Row],[Max Seed]]/2 + 1</f>
        <v>5</v>
      </c>
      <c r="AJ140" s="105" t="str">
        <f>IF(Aug_2026_SotM[[#This Row],[Num]]&gt;=$A$135, "-", IF(Aug_2026_SotM[[#This Row],[Score 1]]&gt;=3, Aug_2026_SotM[[#This Row],[Song 2]], IF(Aug_2026_SotM[[#This Row],[Score 2]]&gt;=3, Aug_2026_SotM[[#This Row],[Song 1]], "TBD")))</f>
        <v>TBD</v>
      </c>
      <c r="AK140" s="246" t="str">
        <f>IFERROR(VLOOKUP(Aug_2025_Results66[[#This Row],[Song Title]], $AE$136:$AG$151, 3, FALSE)-Aug_2025_Results66[[#This Row],[Result]], "TBD")</f>
        <v>TBD</v>
      </c>
      <c r="AL140" s="246" t="str">
        <f t="shared" si="41"/>
        <v>↑</v>
      </c>
    </row>
    <row r="141" spans="1:38">
      <c r="A141" s="199" t="str">
        <f>_xlfn.CONCAT("Seed ", Aug_2026_SotM[[#This Row],[Top Seed]], " vs ",Aug_2026_SotM[[#This Row],[Low Seed]])</f>
        <v>Seed 3 vs 6</v>
      </c>
      <c r="B141" s="201">
        <v>5</v>
      </c>
      <c r="C141" s="200">
        <f>FLOOR(LOG(Aug_2026_SotM[[#This Row],[Num]], 2), 1)</f>
        <v>2</v>
      </c>
      <c r="D141" s="200">
        <f>2^(Aug_2026_SotM[[#This Row],[Round]]+1)</f>
        <v>8</v>
      </c>
      <c r="E141" s="200">
        <f>Aug_2026_SotM[[#This Row],[Max Seed]]-Aug_2026_SotM[[#This Row],[Num]]</f>
        <v>3</v>
      </c>
      <c r="F141" s="200">
        <f>Aug_2026_SotM[[#This Row],[Max Seed]]-Aug_2026_SotM[[#This Row],[Top Seed]]+1</f>
        <v>6</v>
      </c>
      <c r="G141" s="200" t="b">
        <f>IF(Aug_2026_SotM[[#This Row],[Round]]=$C$135, TRUE(), IF(Aug_2026_SotM[[#This Row],[Round]]=$B$135, Aug_2026_SotM[[#This Row],[Top Seed]]&lt;=2*Aug_2026_SotM[[#This Row],[Max Seed]]-$A$135, FALSE()))</f>
        <v>0</v>
      </c>
      <c r="H141" s="200" t="b">
        <f>IF(Aug_2026_SotM[[#This Row],[Round]]=$C$135, TRUE(), IF(Aug_2026_SotM[[#This Row],[Round]]=$B$135, Aug_2026_SotM[[#This Row],[Low Seed]]&lt;=2*Aug_2026_SotM[[#This Row],[Max Seed]]-$A$135, FALSE()))</f>
        <v>0</v>
      </c>
      <c r="I141" s="28"/>
      <c r="J141" s="31"/>
      <c r="K141" s="33"/>
      <c r="L141" s="35"/>
      <c r="M141" s="37"/>
      <c r="N141" s="203" t="str">
        <f ca="1">IF(Aug_2026_SotM[[#This Row],[Num]]&gt;=$A$135, "-", IF(Aug_2026_SotM[[#This Row],[Initial 1]], VLOOKUP(Aug_2026_SotM[[#This Row],[Top Seed]], $Z$136:$AE$151, 6, FALSE), OFFSET(Aug_2026_SotM[[#This Row],[Winner]], Aug_2026_SotM[[#This Row],[Max Seed]], 0)))</f>
        <v>TBD</v>
      </c>
      <c r="O141" s="200">
        <f>COUNTIF(Aug_2026_SotM[[#This Row],[J]:[H]],"x")</f>
        <v>0</v>
      </c>
      <c r="P141" s="201" t="str">
        <f>IF(Aug_2026_SotM[[#This Row],[Num]]&gt;=$A$135, "-", IF(Aug_2026_SotM[[#This Row],[Score 1]]&gt;=3, Aug_2026_SotM[[#This Row],[Song 1]], IF(Aug_2026_SotM[[#This Row],[Score 2]]&gt;=3, Aug_2026_SotM[[#This Row],[Song 2]], "TBD")))</f>
        <v>TBD</v>
      </c>
      <c r="Q141" s="206">
        <f>COUNTIF(Aug_2026_SotM[[#This Row],[H ]:[J ]],"x")</f>
        <v>0</v>
      </c>
      <c r="R141" s="200" t="str">
        <f ca="1">IF(Aug_2026_SotM[[#This Row],[Num]]&gt;=$A$135, "-", IF(Aug_2026_SotM[[#This Row],[Initial 2]], VLOOKUP(Aug_2026_SotM[[#This Row],[Low Seed]], $Z$136:$AE$151, 6, FALSE), OFFSET(Aug_2026_SotM[[#This Row],[Winner]], 2*(Aug_2026_SotM[[#This Row],[Max Seed]]-Aug_2026_SotM[[#This Row],[Low Seed]])+1, 0)))</f>
        <v>TBD</v>
      </c>
      <c r="S141" s="37"/>
      <c r="T141" s="35"/>
      <c r="U141" s="33"/>
      <c r="V141" s="31"/>
      <c r="W141" s="28"/>
      <c r="X141" s="106" t="str">
        <f ca="1">IF(OR(Aug_2026_SotM[[#This Row],[Song 1]]="TBD", Aug_2026_SotM[[#This Row],[Song 2]]="TBD"), "TBD", _xlfn.CONCAT(IF(_xlfn.XOR(ISBLANK(Aug_2026_SotM[[#This Row],[J]]), ISBLANK(Aug_2026_SotM[[#This Row],[J ]])), "", "J "), IF(_xlfn.XOR(ISBLANK(Aug_2026_SotM[[#This Row],[D]]), ISBLANK(Aug_2026_SotM[[#This Row],[D ]])), "", "D "), IF(_xlfn.XOR(ISBLANK(Aug_2026_SotM[[#This Row],[L]]), ISBLANK(Aug_2026_SotM[[#This Row],[L ]])), "", "L "), IF(_xlfn.XOR(ISBLANK(Aug_2026_SotM[[#This Row],[S]]), ISBLANK(Aug_2026_SotM[[#This Row],[S ]])), "", "S "), IF(_xlfn.XOR(ISBLANK(Aug_2026_SotM[[#This Row],[H]]), ISBLANK(Aug_2026_SotM[[#This Row],[H ]])), "", "H ")))</f>
        <v>TBD</v>
      </c>
      <c r="Z141" s="109">
        <f t="shared" si="39"/>
        <v>13</v>
      </c>
      <c r="AA141" s="59">
        <v>46245</v>
      </c>
      <c r="AB141" t="str">
        <v>danram</v>
      </c>
      <c r="AC141" s="3">
        <v>2.4</v>
      </c>
      <c r="AD141">
        <v>1.4966629547095767</v>
      </c>
      <c r="AE141" t="str">
        <v>YYZ</v>
      </c>
      <c r="AF141" t="str">
        <v>Rush</v>
      </c>
      <c r="AG141" s="100">
        <f t="shared" si="40"/>
        <v>9</v>
      </c>
      <c r="AI141" s="115">
        <f>Aug_2026_SotM[[#This Row],[Max Seed]]/2 + 1</f>
        <v>5</v>
      </c>
      <c r="AJ141" s="105" t="str">
        <f>IF(Aug_2026_SotM[[#This Row],[Num]]&gt;=$A$135, "-", IF(Aug_2026_SotM[[#This Row],[Score 1]]&gt;=3, Aug_2026_SotM[[#This Row],[Song 2]], IF(Aug_2026_SotM[[#This Row],[Score 2]]&gt;=3, Aug_2026_SotM[[#This Row],[Song 1]], "TBD")))</f>
        <v>TBD</v>
      </c>
      <c r="AK141" s="246" t="str">
        <f>IFERROR(VLOOKUP(Aug_2025_Results66[[#This Row],[Song Title]], $AE$136:$AG$151, 3, FALSE)-Aug_2025_Results66[[#This Row],[Result]], "TBD")</f>
        <v>TBD</v>
      </c>
      <c r="AL141" s="246" t="str">
        <f t="shared" si="41"/>
        <v>↑</v>
      </c>
    </row>
    <row r="142" spans="1:38">
      <c r="A142" s="199" t="str">
        <f>_xlfn.CONCAT("Seed ", Aug_2026_SotM[[#This Row],[Top Seed]], " vs ",Aug_2026_SotM[[#This Row],[Low Seed]])</f>
        <v>Seed 2 vs 7</v>
      </c>
      <c r="B142" s="201">
        <v>6</v>
      </c>
      <c r="C142" s="200">
        <f>FLOOR(LOG(Aug_2026_SotM[[#This Row],[Num]], 2), 1)</f>
        <v>2</v>
      </c>
      <c r="D142" s="200">
        <f>2^(Aug_2026_SotM[[#This Row],[Round]]+1)</f>
        <v>8</v>
      </c>
      <c r="E142" s="200">
        <f>Aug_2026_SotM[[#This Row],[Max Seed]]-Aug_2026_SotM[[#This Row],[Num]]</f>
        <v>2</v>
      </c>
      <c r="F142" s="200">
        <f>Aug_2026_SotM[[#This Row],[Max Seed]]-Aug_2026_SotM[[#This Row],[Top Seed]]+1</f>
        <v>7</v>
      </c>
      <c r="G142" s="200" t="b">
        <f>IF(Aug_2026_SotM[[#This Row],[Round]]=$C$135, TRUE(), IF(Aug_2026_SotM[[#This Row],[Round]]=$B$135, Aug_2026_SotM[[#This Row],[Top Seed]]&lt;=2*Aug_2026_SotM[[#This Row],[Max Seed]]-$A$135, FALSE()))</f>
        <v>0</v>
      </c>
      <c r="H142" s="200" t="b">
        <f>IF(Aug_2026_SotM[[#This Row],[Round]]=$C$135, TRUE(), IF(Aug_2026_SotM[[#This Row],[Round]]=$B$135, Aug_2026_SotM[[#This Row],[Low Seed]]&lt;=2*Aug_2026_SotM[[#This Row],[Max Seed]]-$A$135, FALSE()))</f>
        <v>0</v>
      </c>
      <c r="I142" s="28"/>
      <c r="J142" s="31"/>
      <c r="K142" s="33"/>
      <c r="L142" s="35"/>
      <c r="M142" s="37"/>
      <c r="N142" s="203" t="str">
        <f ca="1">IF(Aug_2026_SotM[[#This Row],[Num]]&gt;=$A$135, "-", IF(Aug_2026_SotM[[#This Row],[Initial 1]], VLOOKUP(Aug_2026_SotM[[#This Row],[Top Seed]], $Z$136:$AE$151, 6, FALSE), OFFSET(Aug_2026_SotM[[#This Row],[Winner]], Aug_2026_SotM[[#This Row],[Max Seed]], 0)))</f>
        <v>TBD</v>
      </c>
      <c r="O142" s="200">
        <f>COUNTIF(Aug_2026_SotM[[#This Row],[J]:[H]],"x")</f>
        <v>0</v>
      </c>
      <c r="P142" s="201" t="str">
        <f>IF(Aug_2026_SotM[[#This Row],[Num]]&gt;=$A$135, "-", IF(Aug_2026_SotM[[#This Row],[Score 1]]&gt;=3, Aug_2026_SotM[[#This Row],[Song 1]], IF(Aug_2026_SotM[[#This Row],[Score 2]]&gt;=3, Aug_2026_SotM[[#This Row],[Song 2]], "TBD")))</f>
        <v>TBD</v>
      </c>
      <c r="Q142" s="206">
        <f>COUNTIF(Aug_2026_SotM[[#This Row],[H ]:[J ]],"x")</f>
        <v>0</v>
      </c>
      <c r="R142" s="200" t="str">
        <f ca="1">IF(Aug_2026_SotM[[#This Row],[Num]]&gt;=$A$135, "-", IF(Aug_2026_SotM[[#This Row],[Initial 2]], VLOOKUP(Aug_2026_SotM[[#This Row],[Low Seed]], $Z$136:$AE$151, 6, FALSE), OFFSET(Aug_2026_SotM[[#This Row],[Winner]], 2*(Aug_2026_SotM[[#This Row],[Max Seed]]-Aug_2026_SotM[[#This Row],[Low Seed]])+1, 0)))</f>
        <v>TBD</v>
      </c>
      <c r="S142" s="37"/>
      <c r="T142" s="35"/>
      <c r="U142" s="33"/>
      <c r="V142" s="31"/>
      <c r="W142" s="28"/>
      <c r="X142" s="106" t="str">
        <f ca="1">IF(OR(Aug_2026_SotM[[#This Row],[Song 1]]="TBD", Aug_2026_SotM[[#This Row],[Song 2]]="TBD"), "TBD", _xlfn.CONCAT(IF(_xlfn.XOR(ISBLANK(Aug_2026_SotM[[#This Row],[J]]), ISBLANK(Aug_2026_SotM[[#This Row],[J ]])), "", "J "), IF(_xlfn.XOR(ISBLANK(Aug_2026_SotM[[#This Row],[D]]), ISBLANK(Aug_2026_SotM[[#This Row],[D ]])), "", "D "), IF(_xlfn.XOR(ISBLANK(Aug_2026_SotM[[#This Row],[L]]), ISBLANK(Aug_2026_SotM[[#This Row],[L ]])), "", "L "), IF(_xlfn.XOR(ISBLANK(Aug_2026_SotM[[#This Row],[S]]), ISBLANK(Aug_2026_SotM[[#This Row],[S ]])), "", "S "), IF(_xlfn.XOR(ISBLANK(Aug_2026_SotM[[#This Row],[H]]), ISBLANK(Aug_2026_SotM[[#This Row],[H ]])), "", "H ")))</f>
        <v>TBD</v>
      </c>
      <c r="Z142" s="109">
        <f t="shared" si="39"/>
        <v>3</v>
      </c>
      <c r="AA142" s="59">
        <v>46246</v>
      </c>
      <c r="AB142" t="str">
        <v>samuelbattista</v>
      </c>
      <c r="AC142" s="3">
        <v>1.8</v>
      </c>
      <c r="AD142">
        <v>0.74833147735478833</v>
      </c>
      <c r="AE142" t="str">
        <v>In Too Deep</v>
      </c>
      <c r="AF142" t="str">
        <v>Sum 41</v>
      </c>
      <c r="AG142" s="100">
        <f t="shared" si="40"/>
        <v>3</v>
      </c>
      <c r="AI142" s="115">
        <f>Aug_2026_SotM[[#This Row],[Max Seed]]/2 + 1</f>
        <v>5</v>
      </c>
      <c r="AJ142" s="105" t="str">
        <f>IF(Aug_2026_SotM[[#This Row],[Num]]&gt;=$A$135, "-", IF(Aug_2026_SotM[[#This Row],[Score 1]]&gt;=3, Aug_2026_SotM[[#This Row],[Song 2]], IF(Aug_2026_SotM[[#This Row],[Score 2]]&gt;=3, Aug_2026_SotM[[#This Row],[Song 1]], "TBD")))</f>
        <v>TBD</v>
      </c>
      <c r="AK142" s="246" t="str">
        <f>IFERROR(VLOOKUP(Aug_2025_Results66[[#This Row],[Song Title]], $AE$136:$AG$151, 3, FALSE)-Aug_2025_Results66[[#This Row],[Result]], "TBD")</f>
        <v>TBD</v>
      </c>
      <c r="AL142" s="246" t="str">
        <f t="shared" si="41"/>
        <v>↑</v>
      </c>
    </row>
    <row r="143" spans="1:38">
      <c r="A143" s="199" t="str">
        <f>_xlfn.CONCAT("Seed ", Aug_2026_SotM[[#This Row],[Top Seed]], " vs ",Aug_2026_SotM[[#This Row],[Low Seed]])</f>
        <v>Seed 1 vs 8</v>
      </c>
      <c r="B143" s="201">
        <v>7</v>
      </c>
      <c r="C143" s="200">
        <f>FLOOR(LOG(Aug_2026_SotM[[#This Row],[Num]], 2), 1)</f>
        <v>2</v>
      </c>
      <c r="D143" s="200">
        <f>2^(Aug_2026_SotM[[#This Row],[Round]]+1)</f>
        <v>8</v>
      </c>
      <c r="E143" s="200">
        <f>Aug_2026_SotM[[#This Row],[Max Seed]]-Aug_2026_SotM[[#This Row],[Num]]</f>
        <v>1</v>
      </c>
      <c r="F143" s="200">
        <f>Aug_2026_SotM[[#This Row],[Max Seed]]-Aug_2026_SotM[[#This Row],[Top Seed]]+1</f>
        <v>8</v>
      </c>
      <c r="G143" s="200" t="b">
        <f>IF(Aug_2026_SotM[[#This Row],[Round]]=$C$135, TRUE(), IF(Aug_2026_SotM[[#This Row],[Round]]=$B$135, Aug_2026_SotM[[#This Row],[Top Seed]]&lt;=2*Aug_2026_SotM[[#This Row],[Max Seed]]-$A$135, FALSE()))</f>
        <v>0</v>
      </c>
      <c r="H143" s="200" t="b">
        <f>IF(Aug_2026_SotM[[#This Row],[Round]]=$C$135, TRUE(), IF(Aug_2026_SotM[[#This Row],[Round]]=$B$135, Aug_2026_SotM[[#This Row],[Low Seed]]&lt;=2*Aug_2026_SotM[[#This Row],[Max Seed]]-$A$135, FALSE()))</f>
        <v>0</v>
      </c>
      <c r="I143" s="28"/>
      <c r="J143" s="31"/>
      <c r="K143" s="33"/>
      <c r="L143" s="35"/>
      <c r="M143" s="37"/>
      <c r="N143" s="203" t="str">
        <f ca="1">IF(Aug_2026_SotM[[#This Row],[Num]]&gt;=$A$135, "-", IF(Aug_2026_SotM[[#This Row],[Initial 1]], VLOOKUP(Aug_2026_SotM[[#This Row],[Top Seed]], $Z$136:$AE$151, 6, FALSE), OFFSET(Aug_2026_SotM[[#This Row],[Winner]], Aug_2026_SotM[[#This Row],[Max Seed]], 0)))</f>
        <v>TBD</v>
      </c>
      <c r="O143" s="200">
        <f>COUNTIF(Aug_2026_SotM[[#This Row],[J]:[H]],"x")</f>
        <v>0</v>
      </c>
      <c r="P143" s="201" t="str">
        <f>IF(Aug_2026_SotM[[#This Row],[Num]]&gt;=$A$135, "-", IF(Aug_2026_SotM[[#This Row],[Score 1]]&gt;=3, Aug_2026_SotM[[#This Row],[Song 1]], IF(Aug_2026_SotM[[#This Row],[Score 2]]&gt;=3, Aug_2026_SotM[[#This Row],[Song 2]], "TBD")))</f>
        <v>TBD</v>
      </c>
      <c r="Q143" s="206">
        <f>COUNTIF(Aug_2026_SotM[[#This Row],[H ]:[J ]],"x")</f>
        <v>0</v>
      </c>
      <c r="R143" s="200" t="str">
        <f ca="1">IF(Aug_2026_SotM[[#This Row],[Num]]&gt;=$A$135, "-", IF(Aug_2026_SotM[[#This Row],[Initial 2]], VLOOKUP(Aug_2026_SotM[[#This Row],[Low Seed]], $Z$136:$AE$151, 6, FALSE), OFFSET(Aug_2026_SotM[[#This Row],[Winner]], 2*(Aug_2026_SotM[[#This Row],[Max Seed]]-Aug_2026_SotM[[#This Row],[Low Seed]])+1, 0)))</f>
        <v>TBD</v>
      </c>
      <c r="S143" s="37"/>
      <c r="T143" s="35"/>
      <c r="U143" s="33"/>
      <c r="V143" s="31"/>
      <c r="W143" s="28"/>
      <c r="X143" s="106" t="str">
        <f ca="1">IF(OR(Aug_2026_SotM[[#This Row],[Song 1]]="TBD", Aug_2026_SotM[[#This Row],[Song 2]]="TBD"), "TBD", _xlfn.CONCAT(IF(_xlfn.XOR(ISBLANK(Aug_2026_SotM[[#This Row],[J]]), ISBLANK(Aug_2026_SotM[[#This Row],[J ]])), "", "J "), IF(_xlfn.XOR(ISBLANK(Aug_2026_SotM[[#This Row],[D]]), ISBLANK(Aug_2026_SotM[[#This Row],[D ]])), "", "D "), IF(_xlfn.XOR(ISBLANK(Aug_2026_SotM[[#This Row],[L]]), ISBLANK(Aug_2026_SotM[[#This Row],[L ]])), "", "L "), IF(_xlfn.XOR(ISBLANK(Aug_2026_SotM[[#This Row],[S]]), ISBLANK(Aug_2026_SotM[[#This Row],[S ]])), "", "S "), IF(_xlfn.XOR(ISBLANK(Aug_2026_SotM[[#This Row],[H]]), ISBLANK(Aug_2026_SotM[[#This Row],[H ]])), "", "H ")))</f>
        <v>TBD</v>
      </c>
      <c r="Z143" s="109">
        <f t="shared" si="39"/>
        <v>14</v>
      </c>
      <c r="AA143" s="59">
        <v>46247</v>
      </c>
      <c r="AB143" t="str">
        <v>alappatjoe</v>
      </c>
      <c r="AC143" s="3">
        <v>2.6</v>
      </c>
      <c r="AD143">
        <v>1.019803902718557</v>
      </c>
      <c r="AE143" t="str">
        <v>Sierra Leone</v>
      </c>
      <c r="AF143" t="str">
        <v>Mt. Eden, Freshlyground, munro</v>
      </c>
      <c r="AG143" s="100">
        <f t="shared" si="40"/>
        <v>9</v>
      </c>
      <c r="AI143" s="115">
        <f>Aug_2026_SotM[[#This Row],[Max Seed]]/2 + 1</f>
        <v>5</v>
      </c>
      <c r="AJ143" s="105" t="str">
        <f>IF(Aug_2026_SotM[[#This Row],[Num]]&gt;=$A$135, "-", IF(Aug_2026_SotM[[#This Row],[Score 1]]&gt;=3, Aug_2026_SotM[[#This Row],[Song 2]], IF(Aug_2026_SotM[[#This Row],[Score 2]]&gt;=3, Aug_2026_SotM[[#This Row],[Song 1]], "TBD")))</f>
        <v>TBD</v>
      </c>
      <c r="AK143" s="246" t="str">
        <f>IFERROR(VLOOKUP(Aug_2025_Results66[[#This Row],[Song Title]], $AE$136:$AG$151, 3, FALSE)-Aug_2025_Results66[[#This Row],[Result]], "TBD")</f>
        <v>TBD</v>
      </c>
      <c r="AL143" s="246" t="str">
        <f t="shared" si="41"/>
        <v>↑</v>
      </c>
    </row>
    <row r="144" spans="1:38">
      <c r="A144" s="199" t="str">
        <f>_xlfn.CONCAT("Seed ", Aug_2026_SotM[[#This Row],[Top Seed]], " vs ",Aug_2026_SotM[[#This Row],[Low Seed]])</f>
        <v>Seed 8 vs 9</v>
      </c>
      <c r="B144" s="201">
        <v>8</v>
      </c>
      <c r="C144" s="200">
        <f>FLOOR(LOG(Aug_2026_SotM[[#This Row],[Num]], 2), 1)</f>
        <v>3</v>
      </c>
      <c r="D144" s="200">
        <f>2^(Aug_2026_SotM[[#This Row],[Round]]+1)</f>
        <v>16</v>
      </c>
      <c r="E144" s="200">
        <f>Aug_2026_SotM[[#This Row],[Max Seed]]-Aug_2026_SotM[[#This Row],[Num]]</f>
        <v>8</v>
      </c>
      <c r="F144" s="200">
        <f>Aug_2026_SotM[[#This Row],[Max Seed]]-Aug_2026_SotM[[#This Row],[Top Seed]]+1</f>
        <v>9</v>
      </c>
      <c r="G144" s="200" t="b">
        <f>IF(Aug_2026_SotM[[#This Row],[Round]]=$C$135, TRUE(), IF(Aug_2026_SotM[[#This Row],[Round]]=$B$135, Aug_2026_SotM[[#This Row],[Top Seed]]&lt;=2*Aug_2026_SotM[[#This Row],[Max Seed]]-$A$135, FALSE()))</f>
        <v>1</v>
      </c>
      <c r="H144" s="200" t="b">
        <f>IF(Aug_2026_SotM[[#This Row],[Round]]=$C$135, TRUE(), IF(Aug_2026_SotM[[#This Row],[Round]]=$B$135, Aug_2026_SotM[[#This Row],[Low Seed]]&lt;=2*Aug_2026_SotM[[#This Row],[Max Seed]]-$A$135, FALSE()))</f>
        <v>1</v>
      </c>
      <c r="I144" s="28"/>
      <c r="J144" s="31"/>
      <c r="K144" s="33"/>
      <c r="L144" s="35"/>
      <c r="M144" s="37"/>
      <c r="N144" s="203" t="str">
        <f ca="1">IF(Aug_2026_SotM[[#This Row],[Num]]&gt;=$A$135, "-", IF(Aug_2026_SotM[[#This Row],[Initial 1]], VLOOKUP(Aug_2026_SotM[[#This Row],[Top Seed]], $Z$136:$AE$151, 6, FALSE), OFFSET(Aug_2026_SotM[[#This Row],[Winner]], Aug_2026_SotM[[#This Row],[Max Seed]], 0)))</f>
        <v>Still</v>
      </c>
      <c r="O144" s="200">
        <f>COUNTIF(Aug_2026_SotM[[#This Row],[J]:[H]],"x")</f>
        <v>0</v>
      </c>
      <c r="P144" s="201" t="str">
        <f>IF(Aug_2026_SotM[[#This Row],[Num]]&gt;=$A$135, "-", IF(Aug_2026_SotM[[#This Row],[Score 1]]&gt;=3, Aug_2026_SotM[[#This Row],[Song 1]], IF(Aug_2026_SotM[[#This Row],[Score 2]]&gt;=3, Aug_2026_SotM[[#This Row],[Song 2]], "TBD")))</f>
        <v>TBD</v>
      </c>
      <c r="Q144" s="206">
        <f>COUNTIF(Aug_2026_SotM[[#This Row],[H ]:[J ]],"x")</f>
        <v>0</v>
      </c>
      <c r="R144" s="200" t="str">
        <f ca="1">IF(Aug_2026_SotM[[#This Row],[Num]]&gt;=$A$135, "-", IF(Aug_2026_SotM[[#This Row],[Initial 2]], VLOOKUP(Aug_2026_SotM[[#This Row],[Low Seed]], $Z$136:$AE$151, 6, FALSE), OFFSET(Aug_2026_SotM[[#This Row],[Winner]], 2*(Aug_2026_SotM[[#This Row],[Max Seed]]-Aug_2026_SotM[[#This Row],[Low Seed]])+1, 0)))</f>
        <v>Me Rehuso</v>
      </c>
      <c r="S144" s="37"/>
      <c r="T144" s="35"/>
      <c r="U144" s="33"/>
      <c r="V144" s="31"/>
      <c r="W144" s="28"/>
      <c r="X144" s="106" t="str">
        <f ca="1">IF(OR(Aug_2026_SotM[[#This Row],[Song 1]]="TBD", Aug_2026_SotM[[#This Row],[Song 2]]="TBD"), "TBD", _xlfn.CONCAT(IF(_xlfn.XOR(ISBLANK(Aug_2026_SotM[[#This Row],[J]]), ISBLANK(Aug_2026_SotM[[#This Row],[J ]])), "", "J "), IF(_xlfn.XOR(ISBLANK(Aug_2026_SotM[[#This Row],[D]]), ISBLANK(Aug_2026_SotM[[#This Row],[D ]])), "", "D "), IF(_xlfn.XOR(ISBLANK(Aug_2026_SotM[[#This Row],[L]]), ISBLANK(Aug_2026_SotM[[#This Row],[L ]])), "", "L "), IF(_xlfn.XOR(ISBLANK(Aug_2026_SotM[[#This Row],[S]]), ISBLANK(Aug_2026_SotM[[#This Row],[S ]])), "", "S "), IF(_xlfn.XOR(ISBLANK(Aug_2026_SotM[[#This Row],[H]]), ISBLANK(Aug_2026_SotM[[#This Row],[H ]])), "", "H ")))</f>
        <v xml:space="preserve">J D L S H </v>
      </c>
      <c r="Z144" s="109">
        <f t="shared" si="39"/>
        <v>16</v>
      </c>
      <c r="AA144" s="59">
        <v>46251</v>
      </c>
      <c r="AB144" t="str">
        <v>danram</v>
      </c>
      <c r="AC144" s="3">
        <v>2.6</v>
      </c>
      <c r="AD144">
        <v>1.2</v>
      </c>
      <c r="AE144" t="str">
        <v>MALASNOTICIAS.</v>
      </c>
      <c r="AF144" t="str">
        <v>Alvaro Diaz, LATIN MAFIA</v>
      </c>
      <c r="AG144" s="100">
        <f t="shared" si="40"/>
        <v>9</v>
      </c>
      <c r="AI144" s="115">
        <f>Aug_2026_SotM[[#This Row],[Max Seed]]/2 + 1</f>
        <v>9</v>
      </c>
      <c r="AJ144" s="105" t="str">
        <f>IF(Aug_2026_SotM[[#This Row],[Num]]&gt;=$A$135, "-", IF(Aug_2026_SotM[[#This Row],[Score 1]]&gt;=3, Aug_2026_SotM[[#This Row],[Song 2]], IF(Aug_2026_SotM[[#This Row],[Score 2]]&gt;=3, Aug_2026_SotM[[#This Row],[Song 1]], "TBD")))</f>
        <v>TBD</v>
      </c>
      <c r="AK144" s="246" t="str">
        <f>IFERROR(VLOOKUP(Aug_2025_Results66[[#This Row],[Song Title]], $AE$136:$AG$151, 3, FALSE)-Aug_2025_Results66[[#This Row],[Result]], "TBD")</f>
        <v>TBD</v>
      </c>
      <c r="AL144" s="246" t="str">
        <f t="shared" si="41"/>
        <v>↑</v>
      </c>
    </row>
    <row r="145" spans="1:38">
      <c r="A145" s="199" t="str">
        <f>_xlfn.CONCAT("Seed ", Aug_2026_SotM[[#This Row],[Top Seed]], " vs ",Aug_2026_SotM[[#This Row],[Low Seed]])</f>
        <v>Seed 7 vs 10</v>
      </c>
      <c r="B145" s="201">
        <v>9</v>
      </c>
      <c r="C145" s="200">
        <f>FLOOR(LOG(Aug_2026_SotM[[#This Row],[Num]], 2), 1)</f>
        <v>3</v>
      </c>
      <c r="D145" s="200">
        <f>2^(Aug_2026_SotM[[#This Row],[Round]]+1)</f>
        <v>16</v>
      </c>
      <c r="E145" s="200">
        <f>Aug_2026_SotM[[#This Row],[Max Seed]]-Aug_2026_SotM[[#This Row],[Num]]</f>
        <v>7</v>
      </c>
      <c r="F145" s="200">
        <f>Aug_2026_SotM[[#This Row],[Max Seed]]-Aug_2026_SotM[[#This Row],[Top Seed]]+1</f>
        <v>10</v>
      </c>
      <c r="G145" s="200" t="b">
        <f>IF(Aug_2026_SotM[[#This Row],[Round]]=$C$135, TRUE(), IF(Aug_2026_SotM[[#This Row],[Round]]=$B$135, Aug_2026_SotM[[#This Row],[Top Seed]]&lt;=2*Aug_2026_SotM[[#This Row],[Max Seed]]-$A$135, FALSE()))</f>
        <v>1</v>
      </c>
      <c r="H145" s="200" t="b">
        <f>IF(Aug_2026_SotM[[#This Row],[Round]]=$C$135, TRUE(), IF(Aug_2026_SotM[[#This Row],[Round]]=$B$135, Aug_2026_SotM[[#This Row],[Low Seed]]&lt;=2*Aug_2026_SotM[[#This Row],[Max Seed]]-$A$135, FALSE()))</f>
        <v>1</v>
      </c>
      <c r="I145" s="28"/>
      <c r="J145" s="31"/>
      <c r="K145" s="33"/>
      <c r="L145" s="35"/>
      <c r="M145" s="37"/>
      <c r="N145" s="203" t="str">
        <f ca="1">IF(Aug_2026_SotM[[#This Row],[Num]]&gt;=$A$135, "-", IF(Aug_2026_SotM[[#This Row],[Initial 1]], VLOOKUP(Aug_2026_SotM[[#This Row],[Top Seed]], $Z$136:$AE$151, 6, FALSE), OFFSET(Aug_2026_SotM[[#This Row],[Winner]], Aug_2026_SotM[[#This Row],[Max Seed]], 0)))</f>
        <v>Closer</v>
      </c>
      <c r="O145" s="200">
        <f>COUNTIF(Aug_2026_SotM[[#This Row],[J]:[H]],"x")</f>
        <v>0</v>
      </c>
      <c r="P145" s="201" t="str">
        <f>IF(Aug_2026_SotM[[#This Row],[Num]]&gt;=$A$135, "-", IF(Aug_2026_SotM[[#This Row],[Score 1]]&gt;=3, Aug_2026_SotM[[#This Row],[Song 1]], IF(Aug_2026_SotM[[#This Row],[Score 2]]&gt;=3, Aug_2026_SotM[[#This Row],[Song 2]], "TBD")))</f>
        <v>TBD</v>
      </c>
      <c r="Q145" s="206">
        <f>COUNTIF(Aug_2026_SotM[[#This Row],[H ]:[J ]],"x")</f>
        <v>0</v>
      </c>
      <c r="R145" s="200" t="str">
        <f ca="1">IF(Aug_2026_SotM[[#This Row],[Num]]&gt;=$A$135, "-", IF(Aug_2026_SotM[[#This Row],[Initial 2]], VLOOKUP(Aug_2026_SotM[[#This Row],[Low Seed]], $Z$136:$AE$151, 6, FALSE), OFFSET(Aug_2026_SotM[[#This Row],[Winner]], 2*(Aug_2026_SotM[[#This Row],[Max Seed]]-Aug_2026_SotM[[#This Row],[Low Seed]])+1, 0)))</f>
        <v>Dear Fren</v>
      </c>
      <c r="S145" s="37"/>
      <c r="T145" s="35"/>
      <c r="U145" s="33"/>
      <c r="V145" s="31"/>
      <c r="W145" s="28"/>
      <c r="X145" s="106" t="str">
        <f ca="1">IF(OR(Aug_2026_SotM[[#This Row],[Song 1]]="TBD", Aug_2026_SotM[[#This Row],[Song 2]]="TBD"), "TBD", _xlfn.CONCAT(IF(_xlfn.XOR(ISBLANK(Aug_2026_SotM[[#This Row],[J]]), ISBLANK(Aug_2026_SotM[[#This Row],[J ]])), "", "J "), IF(_xlfn.XOR(ISBLANK(Aug_2026_SotM[[#This Row],[D]]), ISBLANK(Aug_2026_SotM[[#This Row],[D ]])), "", "D "), IF(_xlfn.XOR(ISBLANK(Aug_2026_SotM[[#This Row],[L]]), ISBLANK(Aug_2026_SotM[[#This Row],[L ]])), "", "L "), IF(_xlfn.XOR(ISBLANK(Aug_2026_SotM[[#This Row],[S]]), ISBLANK(Aug_2026_SotM[[#This Row],[S ]])), "", "S "), IF(_xlfn.XOR(ISBLANK(Aug_2026_SotM[[#This Row],[H]]), ISBLANK(Aug_2026_SotM[[#This Row],[H ]])), "", "H ")))</f>
        <v xml:space="preserve">J D L S H </v>
      </c>
      <c r="Z145" s="109">
        <f t="shared" si="39"/>
        <v>10</v>
      </c>
      <c r="AA145" s="59">
        <v>46252</v>
      </c>
      <c r="AB145" t="str">
        <v>loganworsdell</v>
      </c>
      <c r="AC145" s="3">
        <v>2.2000000000000002</v>
      </c>
      <c r="AD145">
        <v>1.1661903789690602</v>
      </c>
      <c r="AE145" t="str">
        <v>Dear Fren</v>
      </c>
      <c r="AF145" t="str">
        <v>Smino</v>
      </c>
      <c r="AG145" s="100">
        <f t="shared" si="40"/>
        <v>9</v>
      </c>
      <c r="AI145" s="115">
        <f>Aug_2026_SotM[[#This Row],[Max Seed]]/2 + 1</f>
        <v>9</v>
      </c>
      <c r="AJ145" s="105" t="str">
        <f>IF(Aug_2026_SotM[[#This Row],[Num]]&gt;=$A$135, "-", IF(Aug_2026_SotM[[#This Row],[Score 1]]&gt;=3, Aug_2026_SotM[[#This Row],[Song 2]], IF(Aug_2026_SotM[[#This Row],[Score 2]]&gt;=3, Aug_2026_SotM[[#This Row],[Song 1]], "TBD")))</f>
        <v>TBD</v>
      </c>
      <c r="AK145" s="246" t="str">
        <f>IFERROR(VLOOKUP(Aug_2025_Results66[[#This Row],[Song Title]], $AE$136:$AG$151, 3, FALSE)-Aug_2025_Results66[[#This Row],[Result]], "TBD")</f>
        <v>TBD</v>
      </c>
      <c r="AL145" s="246" t="str">
        <f t="shared" si="41"/>
        <v>↑</v>
      </c>
    </row>
    <row r="146" spans="1:38">
      <c r="A146" s="199" t="str">
        <f>_xlfn.CONCAT("Seed ", Aug_2026_SotM[[#This Row],[Top Seed]], " vs ",Aug_2026_SotM[[#This Row],[Low Seed]])</f>
        <v>Seed 6 vs 11</v>
      </c>
      <c r="B146" s="201">
        <v>10</v>
      </c>
      <c r="C146" s="200">
        <f>FLOOR(LOG(Aug_2026_SotM[[#This Row],[Num]], 2), 1)</f>
        <v>3</v>
      </c>
      <c r="D146" s="200">
        <f>2^(Aug_2026_SotM[[#This Row],[Round]]+1)</f>
        <v>16</v>
      </c>
      <c r="E146" s="200">
        <f>Aug_2026_SotM[[#This Row],[Max Seed]]-Aug_2026_SotM[[#This Row],[Num]]</f>
        <v>6</v>
      </c>
      <c r="F146" s="200">
        <f>Aug_2026_SotM[[#This Row],[Max Seed]]-Aug_2026_SotM[[#This Row],[Top Seed]]+1</f>
        <v>11</v>
      </c>
      <c r="G146" s="200" t="b">
        <f>IF(Aug_2026_SotM[[#This Row],[Round]]=$C$135, TRUE(), IF(Aug_2026_SotM[[#This Row],[Round]]=$B$135, Aug_2026_SotM[[#This Row],[Top Seed]]&lt;=2*Aug_2026_SotM[[#This Row],[Max Seed]]-$A$135, FALSE()))</f>
        <v>1</v>
      </c>
      <c r="H146" s="200" t="b">
        <f>IF(Aug_2026_SotM[[#This Row],[Round]]=$C$135, TRUE(), IF(Aug_2026_SotM[[#This Row],[Round]]=$B$135, Aug_2026_SotM[[#This Row],[Low Seed]]&lt;=2*Aug_2026_SotM[[#This Row],[Max Seed]]-$A$135, FALSE()))</f>
        <v>1</v>
      </c>
      <c r="I146" s="28"/>
      <c r="J146" s="31"/>
      <c r="K146" s="33"/>
      <c r="L146" s="35"/>
      <c r="M146" s="37"/>
      <c r="N146" s="203" t="str">
        <f ca="1">IF(Aug_2026_SotM[[#This Row],[Num]]&gt;=$A$135, "-", IF(Aug_2026_SotM[[#This Row],[Initial 1]], VLOOKUP(Aug_2026_SotM[[#This Row],[Top Seed]], $Z$136:$AE$151, 6, FALSE), OFFSET(Aug_2026_SotM[[#This Row],[Winner]], Aug_2026_SotM[[#This Row],[Max Seed]], 0)))</f>
        <v>The Night Begins To Shine</v>
      </c>
      <c r="O146" s="200">
        <f>COUNTIF(Aug_2026_SotM[[#This Row],[J]:[H]],"x")</f>
        <v>0</v>
      </c>
      <c r="P146" s="201" t="str">
        <f>IF(Aug_2026_SotM[[#This Row],[Num]]&gt;=$A$135, "-", IF(Aug_2026_SotM[[#This Row],[Score 1]]&gt;=3, Aug_2026_SotM[[#This Row],[Song 1]], IF(Aug_2026_SotM[[#This Row],[Score 2]]&gt;=3, Aug_2026_SotM[[#This Row],[Song 2]], "TBD")))</f>
        <v>TBD</v>
      </c>
      <c r="Q146" s="206">
        <f>COUNTIF(Aug_2026_SotM[[#This Row],[H ]:[J ]],"x")</f>
        <v>0</v>
      </c>
      <c r="R146" s="200" t="str">
        <f ca="1">IF(Aug_2026_SotM[[#This Row],[Num]]&gt;=$A$135, "-", IF(Aug_2026_SotM[[#This Row],[Initial 2]], VLOOKUP(Aug_2026_SotM[[#This Row],[Low Seed]], $Z$136:$AE$151, 6, FALSE), OFFSET(Aug_2026_SotM[[#This Row],[Winner]], 2*(Aug_2026_SotM[[#This Row],[Max Seed]]-Aug_2026_SotM[[#This Row],[Low Seed]])+1, 0)))</f>
        <v>Die Young</v>
      </c>
      <c r="S146" s="37"/>
      <c r="T146" s="35"/>
      <c r="U146" s="33"/>
      <c r="V146" s="31"/>
      <c r="W146" s="28"/>
      <c r="X146" s="106" t="str">
        <f ca="1">IF(OR(Aug_2026_SotM[[#This Row],[Song 1]]="TBD", Aug_2026_SotM[[#This Row],[Song 2]]="TBD"), "TBD", _xlfn.CONCAT(IF(_xlfn.XOR(ISBLANK(Aug_2026_SotM[[#This Row],[J]]), ISBLANK(Aug_2026_SotM[[#This Row],[J ]])), "", "J "), IF(_xlfn.XOR(ISBLANK(Aug_2026_SotM[[#This Row],[D]]), ISBLANK(Aug_2026_SotM[[#This Row],[D ]])), "", "D "), IF(_xlfn.XOR(ISBLANK(Aug_2026_SotM[[#This Row],[L]]), ISBLANK(Aug_2026_SotM[[#This Row],[L ]])), "", "L "), IF(_xlfn.XOR(ISBLANK(Aug_2026_SotM[[#This Row],[S]]), ISBLANK(Aug_2026_SotM[[#This Row],[S ]])), "", "S "), IF(_xlfn.XOR(ISBLANK(Aug_2026_SotM[[#This Row],[H]]), ISBLANK(Aug_2026_SotM[[#This Row],[H ]])), "", "H ")))</f>
        <v xml:space="preserve">J D L S H </v>
      </c>
      <c r="Z146" s="109">
        <f t="shared" si="39"/>
        <v>8</v>
      </c>
      <c r="AA146" s="59">
        <v>46253</v>
      </c>
      <c r="AB146" t="str">
        <v>alappatjoe</v>
      </c>
      <c r="AC146" s="3">
        <v>2.2000000000000002</v>
      </c>
      <c r="AD146">
        <v>0.74833147735478833</v>
      </c>
      <c r="AE146" t="str">
        <v>Still</v>
      </c>
      <c r="AF146" t="str">
        <v>KAROL G, Bruno Mars</v>
      </c>
      <c r="AG146" s="100">
        <f t="shared" si="40"/>
        <v>5</v>
      </c>
      <c r="AI146" s="115">
        <f>Aug_2026_SotM[[#This Row],[Max Seed]]/2 + 1</f>
        <v>9</v>
      </c>
      <c r="AJ146" s="105" t="str">
        <f>IF(Aug_2026_SotM[[#This Row],[Num]]&gt;=$A$135, "-", IF(Aug_2026_SotM[[#This Row],[Score 1]]&gt;=3, Aug_2026_SotM[[#This Row],[Song 2]], IF(Aug_2026_SotM[[#This Row],[Score 2]]&gt;=3, Aug_2026_SotM[[#This Row],[Song 1]], "TBD")))</f>
        <v>TBD</v>
      </c>
      <c r="AK146" s="246" t="str">
        <f>IFERROR(VLOOKUP(Aug_2025_Results66[[#This Row],[Song Title]], $AE$136:$AG$151, 3, FALSE)-Aug_2025_Results66[[#This Row],[Result]], "TBD")</f>
        <v>TBD</v>
      </c>
      <c r="AL146" s="246" t="str">
        <f t="shared" si="41"/>
        <v>↑</v>
      </c>
    </row>
    <row r="147" spans="1:38">
      <c r="A147" s="199" t="str">
        <f>_xlfn.CONCAT("Seed ", Aug_2026_SotM[[#This Row],[Top Seed]], " vs ",Aug_2026_SotM[[#This Row],[Low Seed]])</f>
        <v>Seed 5 vs 12</v>
      </c>
      <c r="B147" s="201">
        <v>11</v>
      </c>
      <c r="C147" s="200">
        <f>FLOOR(LOG(Aug_2026_SotM[[#This Row],[Num]], 2), 1)</f>
        <v>3</v>
      </c>
      <c r="D147" s="200">
        <f>2^(Aug_2026_SotM[[#This Row],[Round]]+1)</f>
        <v>16</v>
      </c>
      <c r="E147" s="200">
        <f>Aug_2026_SotM[[#This Row],[Max Seed]]-Aug_2026_SotM[[#This Row],[Num]]</f>
        <v>5</v>
      </c>
      <c r="F147" s="200">
        <f>Aug_2026_SotM[[#This Row],[Max Seed]]-Aug_2026_SotM[[#This Row],[Top Seed]]+1</f>
        <v>12</v>
      </c>
      <c r="G147" s="200" t="b">
        <f>IF(Aug_2026_SotM[[#This Row],[Round]]=$C$135, TRUE(), IF(Aug_2026_SotM[[#This Row],[Round]]=$B$135, Aug_2026_SotM[[#This Row],[Top Seed]]&lt;=2*Aug_2026_SotM[[#This Row],[Max Seed]]-$A$135, FALSE()))</f>
        <v>1</v>
      </c>
      <c r="H147" s="200" t="b">
        <f>IF(Aug_2026_SotM[[#This Row],[Round]]=$C$135, TRUE(), IF(Aug_2026_SotM[[#This Row],[Round]]=$B$135, Aug_2026_SotM[[#This Row],[Low Seed]]&lt;=2*Aug_2026_SotM[[#This Row],[Max Seed]]-$A$135, FALSE()))</f>
        <v>1</v>
      </c>
      <c r="I147" s="28"/>
      <c r="J147" s="31"/>
      <c r="K147" s="33"/>
      <c r="L147" s="35"/>
      <c r="M147" s="37"/>
      <c r="N147" s="203" t="str">
        <f ca="1">IF(Aug_2026_SotM[[#This Row],[Num]]&gt;=$A$135, "-", IF(Aug_2026_SotM[[#This Row],[Initial 1]], VLOOKUP(Aug_2026_SotM[[#This Row],[Top Seed]], $Z$136:$AE$151, 6, FALSE), OFFSET(Aug_2026_SotM[[#This Row],[Winner]], Aug_2026_SotM[[#This Row],[Max Seed]], 0)))</f>
        <v>I Will Always Love You</v>
      </c>
      <c r="O147" s="200">
        <f>COUNTIF(Aug_2026_SotM[[#This Row],[J]:[H]],"x")</f>
        <v>0</v>
      </c>
      <c r="P147" s="201" t="str">
        <f>IF(Aug_2026_SotM[[#This Row],[Num]]&gt;=$A$135, "-", IF(Aug_2026_SotM[[#This Row],[Score 1]]&gt;=3, Aug_2026_SotM[[#This Row],[Song 1]], IF(Aug_2026_SotM[[#This Row],[Score 2]]&gt;=3, Aug_2026_SotM[[#This Row],[Song 2]], "TBD")))</f>
        <v>TBD</v>
      </c>
      <c r="Q147" s="206">
        <f>COUNTIF(Aug_2026_SotM[[#This Row],[H ]:[J ]],"x")</f>
        <v>0</v>
      </c>
      <c r="R147" s="200" t="str">
        <f ca="1">IF(Aug_2026_SotM[[#This Row],[Num]]&gt;=$A$135, "-", IF(Aug_2026_SotM[[#This Row],[Initial 2]], VLOOKUP(Aug_2026_SotM[[#This Row],[Low Seed]], $Z$136:$AE$151, 6, FALSE), OFFSET(Aug_2026_SotM[[#This Row],[Winner]], 2*(Aug_2026_SotM[[#This Row],[Max Seed]]-Aug_2026_SotM[[#This Row],[Low Seed]])+1, 0)))</f>
        <v>Bottle</v>
      </c>
      <c r="S147" s="37"/>
      <c r="T147" s="35"/>
      <c r="U147" s="33"/>
      <c r="V147" s="31"/>
      <c r="W147" s="28"/>
      <c r="X147" s="106" t="str">
        <f ca="1">IF(OR(Aug_2026_SotM[[#This Row],[Song 1]]="TBD", Aug_2026_SotM[[#This Row],[Song 2]]="TBD"), "TBD", _xlfn.CONCAT(IF(_xlfn.XOR(ISBLANK(Aug_2026_SotM[[#This Row],[J]]), ISBLANK(Aug_2026_SotM[[#This Row],[J ]])), "", "J "), IF(_xlfn.XOR(ISBLANK(Aug_2026_SotM[[#This Row],[D]]), ISBLANK(Aug_2026_SotM[[#This Row],[D ]])), "", "D "), IF(_xlfn.XOR(ISBLANK(Aug_2026_SotM[[#This Row],[L]]), ISBLANK(Aug_2026_SotM[[#This Row],[L ]])), "", "L "), IF(_xlfn.XOR(ISBLANK(Aug_2026_SotM[[#This Row],[S]]), ISBLANK(Aug_2026_SotM[[#This Row],[S ]])), "", "S "), IF(_xlfn.XOR(ISBLANK(Aug_2026_SotM[[#This Row],[H]]), ISBLANK(Aug_2026_SotM[[#This Row],[H ]])), "", "H ")))</f>
        <v xml:space="preserve">J D L S H </v>
      </c>
      <c r="Z147" s="109">
        <f t="shared" si="39"/>
        <v>11</v>
      </c>
      <c r="AA147" s="59">
        <v>46254</v>
      </c>
      <c r="AB147" t="str">
        <v>alappatjoe</v>
      </c>
      <c r="AC147" s="3">
        <v>2.2000000000000002</v>
      </c>
      <c r="AD147">
        <v>1.1661903789690602</v>
      </c>
      <c r="AE147" t="str">
        <v>Die Young</v>
      </c>
      <c r="AF147" t="str">
        <v>Kesha</v>
      </c>
      <c r="AG147" s="100">
        <f t="shared" si="40"/>
        <v>9</v>
      </c>
      <c r="AI147" s="115">
        <f>Aug_2026_SotM[[#This Row],[Max Seed]]/2 + 1</f>
        <v>9</v>
      </c>
      <c r="AJ147" s="105" t="str">
        <f>IF(Aug_2026_SotM[[#This Row],[Num]]&gt;=$A$135, "-", IF(Aug_2026_SotM[[#This Row],[Score 1]]&gt;=3, Aug_2026_SotM[[#This Row],[Song 2]], IF(Aug_2026_SotM[[#This Row],[Score 2]]&gt;=3, Aug_2026_SotM[[#This Row],[Song 1]], "TBD")))</f>
        <v>TBD</v>
      </c>
      <c r="AK147" s="246" t="str">
        <f>IFERROR(VLOOKUP(Aug_2025_Results66[[#This Row],[Song Title]], $AE$136:$AG$151, 3, FALSE)-Aug_2025_Results66[[#This Row],[Result]], "TBD")</f>
        <v>TBD</v>
      </c>
      <c r="AL147" s="246" t="str">
        <f t="shared" si="41"/>
        <v>↑</v>
      </c>
    </row>
    <row r="148" spans="1:38">
      <c r="A148" s="199" t="str">
        <f>_xlfn.CONCAT("Seed ", Aug_2026_SotM[[#This Row],[Top Seed]], " vs ",Aug_2026_SotM[[#This Row],[Low Seed]])</f>
        <v>Seed 4 vs 13</v>
      </c>
      <c r="B148" s="201">
        <v>12</v>
      </c>
      <c r="C148" s="200">
        <f>FLOOR(LOG(Aug_2026_SotM[[#This Row],[Num]], 2), 1)</f>
        <v>3</v>
      </c>
      <c r="D148" s="200">
        <f>2^(Aug_2026_SotM[[#This Row],[Round]]+1)</f>
        <v>16</v>
      </c>
      <c r="E148" s="200">
        <f>Aug_2026_SotM[[#This Row],[Max Seed]]-Aug_2026_SotM[[#This Row],[Num]]</f>
        <v>4</v>
      </c>
      <c r="F148" s="200">
        <f>Aug_2026_SotM[[#This Row],[Max Seed]]-Aug_2026_SotM[[#This Row],[Top Seed]]+1</f>
        <v>13</v>
      </c>
      <c r="G148" s="200" t="b">
        <f>IF(Aug_2026_SotM[[#This Row],[Round]]=$C$135, TRUE(), IF(Aug_2026_SotM[[#This Row],[Round]]=$B$135, Aug_2026_SotM[[#This Row],[Top Seed]]&lt;=2*Aug_2026_SotM[[#This Row],[Max Seed]]-$A$135, FALSE()))</f>
        <v>1</v>
      </c>
      <c r="H148" s="200" t="b">
        <f>IF(Aug_2026_SotM[[#This Row],[Round]]=$C$135, TRUE(), IF(Aug_2026_SotM[[#This Row],[Round]]=$B$135, Aug_2026_SotM[[#This Row],[Low Seed]]&lt;=2*Aug_2026_SotM[[#This Row],[Max Seed]]-$A$135, FALSE()))</f>
        <v>1</v>
      </c>
      <c r="I148" s="28"/>
      <c r="J148" s="31"/>
      <c r="K148" s="33"/>
      <c r="L148" s="35"/>
      <c r="M148" s="37"/>
      <c r="N148" s="203" t="str">
        <f ca="1">IF(Aug_2026_SotM[[#This Row],[Num]]&gt;=$A$135, "-", IF(Aug_2026_SotM[[#This Row],[Initial 1]], VLOOKUP(Aug_2026_SotM[[#This Row],[Top Seed]], $Z$136:$AE$151, 6, FALSE), OFFSET(Aug_2026_SotM[[#This Row],[Winner]], Aug_2026_SotM[[#This Row],[Max Seed]], 0)))</f>
        <v>The Jetset Life Is Gonna Kill You</v>
      </c>
      <c r="O148" s="200">
        <f>COUNTIF(Aug_2026_SotM[[#This Row],[J]:[H]],"x")</f>
        <v>0</v>
      </c>
      <c r="P148" s="201" t="str">
        <f>IF(Aug_2026_SotM[[#This Row],[Num]]&gt;=$A$135, "-", IF(Aug_2026_SotM[[#This Row],[Score 1]]&gt;=3, Aug_2026_SotM[[#This Row],[Song 1]], IF(Aug_2026_SotM[[#This Row],[Score 2]]&gt;=3, Aug_2026_SotM[[#This Row],[Song 2]], "TBD")))</f>
        <v>TBD</v>
      </c>
      <c r="Q148" s="206">
        <f>COUNTIF(Aug_2026_SotM[[#This Row],[H ]:[J ]],"x")</f>
        <v>0</v>
      </c>
      <c r="R148" s="200" t="str">
        <f ca="1">IF(Aug_2026_SotM[[#This Row],[Num]]&gt;=$A$135, "-", IF(Aug_2026_SotM[[#This Row],[Initial 2]], VLOOKUP(Aug_2026_SotM[[#This Row],[Low Seed]], $Z$136:$AE$151, 6, FALSE), OFFSET(Aug_2026_SotM[[#This Row],[Winner]], 2*(Aug_2026_SotM[[#This Row],[Max Seed]]-Aug_2026_SotM[[#This Row],[Low Seed]])+1, 0)))</f>
        <v>YYZ</v>
      </c>
      <c r="S148" s="37"/>
      <c r="T148" s="35"/>
      <c r="U148" s="33"/>
      <c r="V148" s="31"/>
      <c r="W148" s="28"/>
      <c r="X148" s="106" t="str">
        <f ca="1">IF(OR(Aug_2026_SotM[[#This Row],[Song 1]]="TBD", Aug_2026_SotM[[#This Row],[Song 2]]="TBD"), "TBD", _xlfn.CONCAT(IF(_xlfn.XOR(ISBLANK(Aug_2026_SotM[[#This Row],[J]]), ISBLANK(Aug_2026_SotM[[#This Row],[J ]])), "", "J "), IF(_xlfn.XOR(ISBLANK(Aug_2026_SotM[[#This Row],[D]]), ISBLANK(Aug_2026_SotM[[#This Row],[D ]])), "", "D "), IF(_xlfn.XOR(ISBLANK(Aug_2026_SotM[[#This Row],[L]]), ISBLANK(Aug_2026_SotM[[#This Row],[L ]])), "", "L "), IF(_xlfn.XOR(ISBLANK(Aug_2026_SotM[[#This Row],[S]]), ISBLANK(Aug_2026_SotM[[#This Row],[S ]])), "", "S "), IF(_xlfn.XOR(ISBLANK(Aug_2026_SotM[[#This Row],[H]]), ISBLANK(Aug_2026_SotM[[#This Row],[H ]])), "", "H ")))</f>
        <v xml:space="preserve">J D L S H </v>
      </c>
      <c r="Z148" s="109">
        <f t="shared" si="39"/>
        <v>12</v>
      </c>
      <c r="AA148" s="59">
        <v>46258</v>
      </c>
      <c r="AB148" t="str">
        <v>samuelbattista</v>
      </c>
      <c r="AC148" s="3">
        <v>2.2000000000000002</v>
      </c>
      <c r="AD148">
        <v>1.1661903789690602</v>
      </c>
      <c r="AE148" t="str">
        <v>Bottle</v>
      </c>
      <c r="AF148" t="str">
        <v>Remi Wolf</v>
      </c>
      <c r="AG148" s="100">
        <f t="shared" si="40"/>
        <v>9</v>
      </c>
      <c r="AI148" s="115">
        <f>Aug_2026_SotM[[#This Row],[Max Seed]]/2 + 1</f>
        <v>9</v>
      </c>
      <c r="AJ148" s="105" t="str">
        <f>IF(Aug_2026_SotM[[#This Row],[Num]]&gt;=$A$135, "-", IF(Aug_2026_SotM[[#This Row],[Score 1]]&gt;=3, Aug_2026_SotM[[#This Row],[Song 2]], IF(Aug_2026_SotM[[#This Row],[Score 2]]&gt;=3, Aug_2026_SotM[[#This Row],[Song 1]], "TBD")))</f>
        <v>TBD</v>
      </c>
      <c r="AK148" s="246" t="str">
        <f>IFERROR(VLOOKUP(Aug_2025_Results66[[#This Row],[Song Title]], $AE$136:$AG$151, 3, FALSE)-Aug_2025_Results66[[#This Row],[Result]], "TBD")</f>
        <v>TBD</v>
      </c>
      <c r="AL148" s="246" t="str">
        <f t="shared" si="41"/>
        <v>↑</v>
      </c>
    </row>
    <row r="149" spans="1:38">
      <c r="A149" s="199" t="str">
        <f>_xlfn.CONCAT("Seed ", Aug_2026_SotM[[#This Row],[Top Seed]], " vs ",Aug_2026_SotM[[#This Row],[Low Seed]])</f>
        <v>Seed 3 vs 14</v>
      </c>
      <c r="B149" s="201">
        <v>13</v>
      </c>
      <c r="C149" s="200">
        <f>FLOOR(LOG(Aug_2026_SotM[[#This Row],[Num]], 2), 1)</f>
        <v>3</v>
      </c>
      <c r="D149" s="200">
        <f>2^(Aug_2026_SotM[[#This Row],[Round]]+1)</f>
        <v>16</v>
      </c>
      <c r="E149" s="200">
        <f>Aug_2026_SotM[[#This Row],[Max Seed]]-Aug_2026_SotM[[#This Row],[Num]]</f>
        <v>3</v>
      </c>
      <c r="F149" s="200">
        <f>Aug_2026_SotM[[#This Row],[Max Seed]]-Aug_2026_SotM[[#This Row],[Top Seed]]+1</f>
        <v>14</v>
      </c>
      <c r="G149" s="200" t="b">
        <f>IF(Aug_2026_SotM[[#This Row],[Round]]=$C$135, TRUE(), IF(Aug_2026_SotM[[#This Row],[Round]]=$B$135, Aug_2026_SotM[[#This Row],[Top Seed]]&lt;=2*Aug_2026_SotM[[#This Row],[Max Seed]]-$A$135, FALSE()))</f>
        <v>1</v>
      </c>
      <c r="H149" s="200" t="b">
        <f>IF(Aug_2026_SotM[[#This Row],[Round]]=$C$135, TRUE(), IF(Aug_2026_SotM[[#This Row],[Round]]=$B$135, Aug_2026_SotM[[#This Row],[Low Seed]]&lt;=2*Aug_2026_SotM[[#This Row],[Max Seed]]-$A$135, FALSE()))</f>
        <v>1</v>
      </c>
      <c r="I149" s="28"/>
      <c r="J149" s="31"/>
      <c r="K149" s="33"/>
      <c r="L149" s="35"/>
      <c r="M149" s="37"/>
      <c r="N149" s="203" t="str">
        <f ca="1">IF(Aug_2026_SotM[[#This Row],[Num]]&gt;=$A$135, "-", IF(Aug_2026_SotM[[#This Row],[Initial 1]], VLOOKUP(Aug_2026_SotM[[#This Row],[Top Seed]], $Z$136:$AE$151, 6, FALSE), OFFSET(Aug_2026_SotM[[#This Row],[Winner]], Aug_2026_SotM[[#This Row],[Max Seed]], 0)))</f>
        <v>In Too Deep</v>
      </c>
      <c r="O149" s="200">
        <f>COUNTIF(Aug_2026_SotM[[#This Row],[J]:[H]],"x")</f>
        <v>0</v>
      </c>
      <c r="P149" s="201" t="str">
        <f>IF(Aug_2026_SotM[[#This Row],[Num]]&gt;=$A$135, "-", IF(Aug_2026_SotM[[#This Row],[Score 1]]&gt;=3, Aug_2026_SotM[[#This Row],[Song 1]], IF(Aug_2026_SotM[[#This Row],[Score 2]]&gt;=3, Aug_2026_SotM[[#This Row],[Song 2]], "TBD")))</f>
        <v>TBD</v>
      </c>
      <c r="Q149" s="206">
        <f>COUNTIF(Aug_2026_SotM[[#This Row],[H ]:[J ]],"x")</f>
        <v>0</v>
      </c>
      <c r="R149" s="200" t="str">
        <f ca="1">IF(Aug_2026_SotM[[#This Row],[Num]]&gt;=$A$135, "-", IF(Aug_2026_SotM[[#This Row],[Initial 2]], VLOOKUP(Aug_2026_SotM[[#This Row],[Low Seed]], $Z$136:$AE$151, 6, FALSE), OFFSET(Aug_2026_SotM[[#This Row],[Winner]], 2*(Aug_2026_SotM[[#This Row],[Max Seed]]-Aug_2026_SotM[[#This Row],[Low Seed]])+1, 0)))</f>
        <v>Sierra Leone</v>
      </c>
      <c r="S149" s="37"/>
      <c r="T149" s="35"/>
      <c r="U149" s="33"/>
      <c r="V149" s="31"/>
      <c r="W149" s="28"/>
      <c r="X149" s="106" t="str">
        <f ca="1">IF(OR(Aug_2026_SotM[[#This Row],[Song 1]]="TBD", Aug_2026_SotM[[#This Row],[Song 2]]="TBD"), "TBD", _xlfn.CONCAT(IF(_xlfn.XOR(ISBLANK(Aug_2026_SotM[[#This Row],[J]]), ISBLANK(Aug_2026_SotM[[#This Row],[J ]])), "", "J "), IF(_xlfn.XOR(ISBLANK(Aug_2026_SotM[[#This Row],[D]]), ISBLANK(Aug_2026_SotM[[#This Row],[D ]])), "", "D "), IF(_xlfn.XOR(ISBLANK(Aug_2026_SotM[[#This Row],[L]]), ISBLANK(Aug_2026_SotM[[#This Row],[L ]])), "", "L "), IF(_xlfn.XOR(ISBLANK(Aug_2026_SotM[[#This Row],[S]]), ISBLANK(Aug_2026_SotM[[#This Row],[S ]])), "", "S "), IF(_xlfn.XOR(ISBLANK(Aug_2026_SotM[[#This Row],[H]]), ISBLANK(Aug_2026_SotM[[#This Row],[H ]])), "", "H ")))</f>
        <v xml:space="preserve">J D L S H </v>
      </c>
      <c r="Z149" s="109">
        <f t="shared" si="39"/>
        <v>15</v>
      </c>
      <c r="AA149" s="59">
        <v>46259</v>
      </c>
      <c r="AB149" t="str">
        <v>loganworsdell</v>
      </c>
      <c r="AC149" s="3">
        <v>2.6</v>
      </c>
      <c r="AD149">
        <v>1.019803902718557</v>
      </c>
      <c r="AE149" t="str">
        <v>Move</v>
      </c>
      <c r="AF149" t="str">
        <v>Stryv, Camila Cabello, Malachiii, Adam Port, Keinemusik, Orso</v>
      </c>
      <c r="AG149" s="100">
        <f t="shared" si="40"/>
        <v>9</v>
      </c>
      <c r="AI149" s="115">
        <f>Aug_2026_SotM[[#This Row],[Max Seed]]/2 + 1</f>
        <v>9</v>
      </c>
      <c r="AJ149" s="105" t="str">
        <f>IF(Aug_2026_SotM[[#This Row],[Num]]&gt;=$A$135, "-", IF(Aug_2026_SotM[[#This Row],[Score 1]]&gt;=3, Aug_2026_SotM[[#This Row],[Song 2]], IF(Aug_2026_SotM[[#This Row],[Score 2]]&gt;=3, Aug_2026_SotM[[#This Row],[Song 1]], "TBD")))</f>
        <v>TBD</v>
      </c>
      <c r="AK149" s="246" t="str">
        <f>IFERROR(VLOOKUP(Aug_2025_Results66[[#This Row],[Song Title]], $AE$136:$AG$151, 3, FALSE)-Aug_2025_Results66[[#This Row],[Result]], "TBD")</f>
        <v>TBD</v>
      </c>
      <c r="AL149" s="246" t="str">
        <f t="shared" si="41"/>
        <v>↑</v>
      </c>
    </row>
    <row r="150" spans="1:38">
      <c r="A150" s="199" t="str">
        <f>_xlfn.CONCAT("Seed ", Aug_2026_SotM[[#This Row],[Top Seed]], " vs ",Aug_2026_SotM[[#This Row],[Low Seed]])</f>
        <v>Seed 2 vs 15</v>
      </c>
      <c r="B150" s="201">
        <v>14</v>
      </c>
      <c r="C150" s="200">
        <f>FLOOR(LOG(Aug_2026_SotM[[#This Row],[Num]], 2), 1)</f>
        <v>3</v>
      </c>
      <c r="D150" s="200">
        <f>2^(Aug_2026_SotM[[#This Row],[Round]]+1)</f>
        <v>16</v>
      </c>
      <c r="E150" s="200">
        <f>Aug_2026_SotM[[#This Row],[Max Seed]]-Aug_2026_SotM[[#This Row],[Num]]</f>
        <v>2</v>
      </c>
      <c r="F150" s="200">
        <f>Aug_2026_SotM[[#This Row],[Max Seed]]-Aug_2026_SotM[[#This Row],[Top Seed]]+1</f>
        <v>15</v>
      </c>
      <c r="G150" s="200" t="b">
        <f>IF(Aug_2026_SotM[[#This Row],[Round]]=$C$135, TRUE(), IF(Aug_2026_SotM[[#This Row],[Round]]=$B$135, Aug_2026_SotM[[#This Row],[Top Seed]]&lt;=2*Aug_2026_SotM[[#This Row],[Max Seed]]-$A$135, FALSE()))</f>
        <v>1</v>
      </c>
      <c r="H150" s="200" t="b">
        <f>IF(Aug_2026_SotM[[#This Row],[Round]]=$C$135, TRUE(), IF(Aug_2026_SotM[[#This Row],[Round]]=$B$135, Aug_2026_SotM[[#This Row],[Low Seed]]&lt;=2*Aug_2026_SotM[[#This Row],[Max Seed]]-$A$135, FALSE()))</f>
        <v>1</v>
      </c>
      <c r="I150" s="28"/>
      <c r="J150" s="31"/>
      <c r="K150" s="33"/>
      <c r="L150" s="35"/>
      <c r="M150" s="37"/>
      <c r="N150" s="203" t="str">
        <f ca="1">IF(Aug_2026_SotM[[#This Row],[Num]]&gt;=$A$135, "-", IF(Aug_2026_SotM[[#This Row],[Initial 1]], VLOOKUP(Aug_2026_SotM[[#This Row],[Top Seed]], $Z$136:$AE$151, 6, FALSE), OFFSET(Aug_2026_SotM[[#This Row],[Winner]], Aug_2026_SotM[[#This Row],[Max Seed]], 0)))</f>
        <v>bbydoll</v>
      </c>
      <c r="O150" s="200">
        <f>COUNTIF(Aug_2026_SotM[[#This Row],[J]:[H]],"x")</f>
        <v>0</v>
      </c>
      <c r="P150" s="201" t="str">
        <f>IF(Aug_2026_SotM[[#This Row],[Num]]&gt;=$A$135, "-", IF(Aug_2026_SotM[[#This Row],[Score 1]]&gt;=3, Aug_2026_SotM[[#This Row],[Song 1]], IF(Aug_2026_SotM[[#This Row],[Score 2]]&gt;=3, Aug_2026_SotM[[#This Row],[Song 2]], "TBD")))</f>
        <v>TBD</v>
      </c>
      <c r="Q150" s="206">
        <f>COUNTIF(Aug_2026_SotM[[#This Row],[H ]:[J ]],"x")</f>
        <v>0</v>
      </c>
      <c r="R150" s="200" t="str">
        <f ca="1">IF(Aug_2026_SotM[[#This Row],[Num]]&gt;=$A$135, "-", IF(Aug_2026_SotM[[#This Row],[Initial 2]], VLOOKUP(Aug_2026_SotM[[#This Row],[Low Seed]], $Z$136:$AE$151, 6, FALSE), OFFSET(Aug_2026_SotM[[#This Row],[Winner]], 2*(Aug_2026_SotM[[#This Row],[Max Seed]]-Aug_2026_SotM[[#This Row],[Low Seed]])+1, 0)))</f>
        <v>Move</v>
      </c>
      <c r="S150" s="37"/>
      <c r="T150" s="35"/>
      <c r="U150" s="33"/>
      <c r="V150" s="31"/>
      <c r="W150" s="28"/>
      <c r="X150" s="106" t="str">
        <f ca="1">IF(OR(Aug_2026_SotM[[#This Row],[Song 1]]="TBD", Aug_2026_SotM[[#This Row],[Song 2]]="TBD"), "TBD", _xlfn.CONCAT(IF(_xlfn.XOR(ISBLANK(Aug_2026_SotM[[#This Row],[J]]), ISBLANK(Aug_2026_SotM[[#This Row],[J ]])), "", "J "), IF(_xlfn.XOR(ISBLANK(Aug_2026_SotM[[#This Row],[D]]), ISBLANK(Aug_2026_SotM[[#This Row],[D ]])), "", "D "), IF(_xlfn.XOR(ISBLANK(Aug_2026_SotM[[#This Row],[L]]), ISBLANK(Aug_2026_SotM[[#This Row],[L ]])), "", "L "), IF(_xlfn.XOR(ISBLANK(Aug_2026_SotM[[#This Row],[S]]), ISBLANK(Aug_2026_SotM[[#This Row],[S ]])), "", "S "), IF(_xlfn.XOR(ISBLANK(Aug_2026_SotM[[#This Row],[H]]), ISBLANK(Aug_2026_SotM[[#This Row],[H ]])), "", "H ")))</f>
        <v xml:space="preserve">J D L S H </v>
      </c>
      <c r="Z150" s="109">
        <f t="shared" si="39"/>
        <v>4</v>
      </c>
      <c r="AA150" s="59">
        <v>46260</v>
      </c>
      <c r="AB150" t="str">
        <v>danram</v>
      </c>
      <c r="AC150" s="3">
        <v>1.8</v>
      </c>
      <c r="AD150">
        <v>1.1661903789690602</v>
      </c>
      <c r="AE150" t="str">
        <v>The Jetset Life Is Gonna Kill You</v>
      </c>
      <c r="AF150" t="str">
        <v>My Chemical Romance</v>
      </c>
      <c r="AG150" s="100">
        <f t="shared" si="40"/>
        <v>3</v>
      </c>
      <c r="AI150" s="115">
        <f>Aug_2026_SotM[[#This Row],[Max Seed]]/2 + 1</f>
        <v>9</v>
      </c>
      <c r="AJ150" s="105" t="str">
        <f>IF(Aug_2026_SotM[[#This Row],[Num]]&gt;=$A$135, "-", IF(Aug_2026_SotM[[#This Row],[Score 1]]&gt;=3, Aug_2026_SotM[[#This Row],[Song 2]], IF(Aug_2026_SotM[[#This Row],[Score 2]]&gt;=3, Aug_2026_SotM[[#This Row],[Song 1]], "TBD")))</f>
        <v>TBD</v>
      </c>
      <c r="AK150" s="246" t="str">
        <f>IFERROR(VLOOKUP(Aug_2025_Results66[[#This Row],[Song Title]], $AE$136:$AG$151, 3, FALSE)-Aug_2025_Results66[[#This Row],[Result]], "TBD")</f>
        <v>TBD</v>
      </c>
      <c r="AL150" s="246" t="str">
        <f t="shared" si="41"/>
        <v>↑</v>
      </c>
    </row>
    <row r="151" spans="1:38">
      <c r="A151" s="199" t="str">
        <f>_xlfn.CONCAT("Seed ", Aug_2026_SotM[[#This Row],[Top Seed]], " vs ",Aug_2026_SotM[[#This Row],[Low Seed]])</f>
        <v>Seed 1 vs 16</v>
      </c>
      <c r="B151" s="201">
        <v>15</v>
      </c>
      <c r="C151" s="200">
        <f>FLOOR(LOG(Aug_2026_SotM[[#This Row],[Num]], 2), 1)</f>
        <v>3</v>
      </c>
      <c r="D151" s="200">
        <f>2^(Aug_2026_SotM[[#This Row],[Round]]+1)</f>
        <v>16</v>
      </c>
      <c r="E151" s="200">
        <f>Aug_2026_SotM[[#This Row],[Max Seed]]-Aug_2026_SotM[[#This Row],[Num]]</f>
        <v>1</v>
      </c>
      <c r="F151" s="200">
        <f>Aug_2026_SotM[[#This Row],[Max Seed]]-Aug_2026_SotM[[#This Row],[Top Seed]]+1</f>
        <v>16</v>
      </c>
      <c r="G151" s="200" t="b">
        <f>IF(Aug_2026_SotM[[#This Row],[Round]]=$C$135, TRUE(), IF(Aug_2026_SotM[[#This Row],[Round]]=$B$135, Aug_2026_SotM[[#This Row],[Top Seed]]&lt;=2*Aug_2026_SotM[[#This Row],[Max Seed]]-$A$135, FALSE()))</f>
        <v>1</v>
      </c>
      <c r="H151" s="200" t="b">
        <f>IF(Aug_2026_SotM[[#This Row],[Round]]=$C$135, TRUE(), IF(Aug_2026_SotM[[#This Row],[Round]]=$B$135, Aug_2026_SotM[[#This Row],[Low Seed]]&lt;=2*Aug_2026_SotM[[#This Row],[Max Seed]]-$A$135, FALSE()))</f>
        <v>1</v>
      </c>
      <c r="I151" s="28"/>
      <c r="J151" s="31"/>
      <c r="K151" s="33"/>
      <c r="L151" s="35"/>
      <c r="M151" s="37"/>
      <c r="N151" s="203" t="str">
        <f ca="1">IF(Aug_2026_SotM[[#This Row],[Num]]&gt;=$A$135, "-", IF(Aug_2026_SotM[[#This Row],[Initial 1]], VLOOKUP(Aug_2026_SotM[[#This Row],[Top Seed]], $Z$136:$AE$151, 6, FALSE), OFFSET(Aug_2026_SotM[[#This Row],[Winner]], Aug_2026_SotM[[#This Row],[Max Seed]], 0)))</f>
        <v>Not Afraid</v>
      </c>
      <c r="O151" s="200">
        <f>COUNTIF(Aug_2026_SotM[[#This Row],[J]:[H]],"x")</f>
        <v>0</v>
      </c>
      <c r="P151" s="201" t="str">
        <f>IF(Aug_2026_SotM[[#This Row],[Num]]&gt;=$A$135, "-", IF(Aug_2026_SotM[[#This Row],[Score 1]]&gt;=3, Aug_2026_SotM[[#This Row],[Song 1]], IF(Aug_2026_SotM[[#This Row],[Score 2]]&gt;=3, Aug_2026_SotM[[#This Row],[Song 2]], "TBD")))</f>
        <v>TBD</v>
      </c>
      <c r="Q151" s="206">
        <f>COUNTIF(Aug_2026_SotM[[#This Row],[H ]:[J ]],"x")</f>
        <v>0</v>
      </c>
      <c r="R151" s="200" t="str">
        <f ca="1">IF(Aug_2026_SotM[[#This Row],[Num]]&gt;=$A$135, "-", IF(Aug_2026_SotM[[#This Row],[Initial 2]], VLOOKUP(Aug_2026_SotM[[#This Row],[Low Seed]], $Z$136:$AE$151, 6, FALSE), OFFSET(Aug_2026_SotM[[#This Row],[Winner]], 2*(Aug_2026_SotM[[#This Row],[Max Seed]]-Aug_2026_SotM[[#This Row],[Low Seed]])+1, 0)))</f>
        <v>MALASNOTICIAS.</v>
      </c>
      <c r="S151" s="37"/>
      <c r="T151" s="35"/>
      <c r="U151" s="33"/>
      <c r="V151" s="31"/>
      <c r="W151" s="28"/>
      <c r="X151" s="106" t="str">
        <f ca="1">IF(OR(Aug_2026_SotM[[#This Row],[Song 1]]="TBD", Aug_2026_SotM[[#This Row],[Song 2]]="TBD"), "TBD", _xlfn.CONCAT(IF(_xlfn.XOR(ISBLANK(Aug_2026_SotM[[#This Row],[J]]), ISBLANK(Aug_2026_SotM[[#This Row],[J ]])), "", "J "), IF(_xlfn.XOR(ISBLANK(Aug_2026_SotM[[#This Row],[D]]), ISBLANK(Aug_2026_SotM[[#This Row],[D ]])), "", "D "), IF(_xlfn.XOR(ISBLANK(Aug_2026_SotM[[#This Row],[L]]), ISBLANK(Aug_2026_SotM[[#This Row],[L ]])), "", "L "), IF(_xlfn.XOR(ISBLANK(Aug_2026_SotM[[#This Row],[S]]), ISBLANK(Aug_2026_SotM[[#This Row],[S ]])), "", "S "), IF(_xlfn.XOR(ISBLANK(Aug_2026_SotM[[#This Row],[H]]), ISBLANK(Aug_2026_SotM[[#This Row],[H ]])), "", "H ")))</f>
        <v xml:space="preserve">J D L S H </v>
      </c>
      <c r="Z151" s="109">
        <f t="shared" si="39"/>
        <v>5</v>
      </c>
      <c r="AA151" s="59">
        <v>46261</v>
      </c>
      <c r="AB151" t="str">
        <v>samuelbattista</v>
      </c>
      <c r="AC151" s="3">
        <v>1.8</v>
      </c>
      <c r="AD151">
        <v>1.6</v>
      </c>
      <c r="AE151" t="str">
        <v>I Will Always Love You</v>
      </c>
      <c r="AF151" t="str">
        <v>Dolly Parton</v>
      </c>
      <c r="AG151" s="100">
        <f t="shared" si="40"/>
        <v>5</v>
      </c>
      <c r="AI151" s="115">
        <f>Aug_2026_SotM[[#This Row],[Max Seed]]/2 + 1</f>
        <v>9</v>
      </c>
      <c r="AJ151" s="105" t="str">
        <f>IF(Aug_2026_SotM[[#This Row],[Num]]&gt;=$A$135, "-", IF(Aug_2026_SotM[[#This Row],[Score 1]]&gt;=3, Aug_2026_SotM[[#This Row],[Song 2]], IF(Aug_2026_SotM[[#This Row],[Score 2]]&gt;=3, Aug_2026_SotM[[#This Row],[Song 1]], "TBD")))</f>
        <v>TBD</v>
      </c>
      <c r="AK151" s="246" t="str">
        <f>IFERROR(VLOOKUP(Aug_2025_Results66[[#This Row],[Song Title]], $AE$136:$AG$151, 3, FALSE)-Aug_2025_Results66[[#This Row],[Result]], "TBD")</f>
        <v>TBD</v>
      </c>
      <c r="AL151" s="246" t="str">
        <f t="shared" si="41"/>
        <v>↑</v>
      </c>
    </row>
    <row r="152" spans="1:38">
      <c r="A152" s="199" t="str">
        <f>_xlfn.CONCAT("Seed ", Aug_2026_SotM[[#This Row],[Top Seed]], " vs ",Aug_2026_SotM[[#This Row],[Low Seed]])</f>
        <v>Seed 16 vs 17</v>
      </c>
      <c r="B152" s="201">
        <v>16</v>
      </c>
      <c r="C152" s="200">
        <f>FLOOR(LOG(Aug_2026_SotM[[#This Row],[Num]], 2), 1)</f>
        <v>4</v>
      </c>
      <c r="D152" s="200">
        <f>2^(Aug_2026_SotM[[#This Row],[Round]]+1)</f>
        <v>32</v>
      </c>
      <c r="E152" s="200">
        <f>Aug_2026_SotM[[#This Row],[Max Seed]]-Aug_2026_SotM[[#This Row],[Num]]</f>
        <v>16</v>
      </c>
      <c r="F152" s="200">
        <f>Aug_2026_SotM[[#This Row],[Max Seed]]-Aug_2026_SotM[[#This Row],[Top Seed]]+1</f>
        <v>17</v>
      </c>
      <c r="G152" s="200" t="b">
        <f>IF(Aug_2026_SotM[[#This Row],[Round]]=$C$135, TRUE(), IF(Aug_2026_SotM[[#This Row],[Round]]=$B$135, Aug_2026_SotM[[#This Row],[Top Seed]]&lt;=2*Aug_2026_SotM[[#This Row],[Max Seed]]-$A$135, FALSE()))</f>
        <v>0</v>
      </c>
      <c r="H152" s="200" t="b">
        <f>IF(Aug_2026_SotM[[#This Row],[Round]]=$C$135, TRUE(), IF(Aug_2026_SotM[[#This Row],[Round]]=$B$135, Aug_2026_SotM[[#This Row],[Low Seed]]&lt;=2*Aug_2026_SotM[[#This Row],[Max Seed]]-$A$135, FALSE()))</f>
        <v>0</v>
      </c>
      <c r="I152" s="65"/>
      <c r="J152" s="66"/>
      <c r="K152" s="67"/>
      <c r="L152" s="68"/>
      <c r="M152" s="69"/>
      <c r="N152" s="203" t="str">
        <f ca="1">IF(Aug_2026_SotM[[#This Row],[Num]]&gt;=$A$135, "-", IF(Aug_2026_SotM[[#This Row],[Initial 1]], VLOOKUP(Aug_2026_SotM[[#This Row],[Top Seed]], $Z$136:$AE$151, 6, FALSE), OFFSET(Aug_2026_SotM[[#This Row],[Winner]], Aug_2026_SotM[[#This Row],[Max Seed]], 0)))</f>
        <v>-</v>
      </c>
      <c r="O152" s="200">
        <f>COUNTIF(Aug_2026_SotM[[#This Row],[J]:[H]],"x")</f>
        <v>0</v>
      </c>
      <c r="P152" s="201" t="str">
        <f>IF(Aug_2026_SotM[[#This Row],[Num]]&gt;=$A$135, "-", IF(Aug_2026_SotM[[#This Row],[Score 1]]&gt;=3, Aug_2026_SotM[[#This Row],[Song 1]], IF(Aug_2026_SotM[[#This Row],[Score 2]]&gt;=3, Aug_2026_SotM[[#This Row],[Song 2]], "TBD")))</f>
        <v>-</v>
      </c>
      <c r="Q152" s="206">
        <f>COUNTIF(Aug_2026_SotM[[#This Row],[H ]:[J ]],"x")</f>
        <v>0</v>
      </c>
      <c r="R152" s="200" t="str">
        <f ca="1">IF(Aug_2026_SotM[[#This Row],[Num]]&gt;=$A$135, "-", IF(Aug_2026_SotM[[#This Row],[Initial 2]], VLOOKUP(Aug_2026_SotM[[#This Row],[Low Seed]], $Z$136:$AE$151, 6, FALSE), OFFSET(Aug_2026_SotM[[#This Row],[Winner]], 2*(Aug_2026_SotM[[#This Row],[Max Seed]]-Aug_2026_SotM[[#This Row],[Low Seed]])+1, 0)))</f>
        <v>-</v>
      </c>
      <c r="S152" s="69"/>
      <c r="T152" s="68"/>
      <c r="U152" s="67"/>
      <c r="V152" s="66"/>
      <c r="W152" s="65"/>
      <c r="X152" s="106" t="str">
        <f ca="1">IF(OR(Aug_2026_SotM[[#This Row],[Song 1]]="TBD", Aug_2026_SotM[[#This Row],[Song 2]]="TBD"), "TBD", _xlfn.CONCAT(IF(_xlfn.XOR(ISBLANK(Aug_2026_SotM[[#This Row],[J]]), ISBLANK(Aug_2026_SotM[[#This Row],[J ]])), "", "J "), IF(_xlfn.XOR(ISBLANK(Aug_2026_SotM[[#This Row],[D]]), ISBLANK(Aug_2026_SotM[[#This Row],[D ]])), "", "D "), IF(_xlfn.XOR(ISBLANK(Aug_2026_SotM[[#This Row],[L]]), ISBLANK(Aug_2026_SotM[[#This Row],[L ]])), "", "L "), IF(_xlfn.XOR(ISBLANK(Aug_2026_SotM[[#This Row],[S]]), ISBLANK(Aug_2026_SotM[[#This Row],[S ]])), "", "S "), IF(_xlfn.XOR(ISBLANK(Aug_2026_SotM[[#This Row],[H]]), ISBLANK(Aug_2026_SotM[[#This Row],[H ]])), "", "H ")))</f>
        <v xml:space="preserve">J D L S H </v>
      </c>
      <c r="Z152" s="110" t="str">
        <f t="shared" si="39"/>
        <v>TBD</v>
      </c>
      <c r="AA152" s="211"/>
      <c r="AB152" s="157"/>
      <c r="AC152" s="101"/>
      <c r="AD152" s="157"/>
      <c r="AE152" s="157"/>
      <c r="AF152" s="157"/>
      <c r="AG152" s="102" t="e">
        <f t="shared" ref="AG152" si="42">IF(Z152&gt;1, 2^FLOOR(LOG(Z152-1, 2), 1)+1, 1)</f>
        <v>#VALUE!</v>
      </c>
      <c r="AI152" s="115">
        <f>Aug_2026_SotM[[#This Row],[Max Seed]]/2 + 1</f>
        <v>17</v>
      </c>
      <c r="AJ152" s="105" t="str">
        <f>IF(Aug_2026_SotM[[#This Row],[Num]]&gt;=$A$135, "-", IF(Aug_2026_SotM[[#This Row],[Score 1]]&gt;=3, Aug_2026_SotM[[#This Row],[Song 2]], IF(Aug_2026_SotM[[#This Row],[Score 2]]&gt;=3, Aug_2026_SotM[[#This Row],[Song 1]], "TBD")))</f>
        <v>-</v>
      </c>
      <c r="AK152" s="246" t="str">
        <f>IFERROR(VLOOKUP(Aug_2025_Results66[[#This Row],[Song Title]], $AE$136:$AG$151, 3, FALSE)-Aug_2025_Results66[[#This Row],[Result]], "TBD")</f>
        <v>TBD</v>
      </c>
      <c r="AL152" s="246" t="str">
        <f t="shared" ref="AL152" si="43">IF(AK152&lt;0,"↓",IF(AK152=0,"-","↑"))</f>
        <v>↑</v>
      </c>
    </row>
    <row r="154" spans="1:38">
      <c r="A154" s="302">
        <f>MAX(Z155:Z172)</f>
        <v>0</v>
      </c>
      <c r="B154" s="302" t="e">
        <f>FLOOR(LOG(A154, 2), 1)-1</f>
        <v>#NUM!</v>
      </c>
      <c r="C154" s="302" t="e">
        <f t="shared" ref="C154" si="44">_xlfn.CEILING.MATH(LOG(A154, 2), 1)-1</f>
        <v>#NUM!</v>
      </c>
      <c r="D154" s="302"/>
      <c r="E154" s="302"/>
      <c r="F154" s="302"/>
      <c r="G154" s="302"/>
      <c r="H154" s="302"/>
      <c r="I154" s="348" t="s">
        <v>4197</v>
      </c>
      <c r="J154" s="348"/>
      <c r="K154" s="348"/>
      <c r="L154" s="348"/>
      <c r="M154" s="348"/>
      <c r="N154" s="348"/>
      <c r="O154" s="348"/>
      <c r="P154" s="348"/>
      <c r="Q154" s="348"/>
      <c r="R154" s="348"/>
      <c r="S154" s="348"/>
      <c r="T154" s="348"/>
      <c r="U154" s="348"/>
      <c r="V154" s="348"/>
      <c r="W154" s="348"/>
      <c r="X154" s="302"/>
      <c r="Z154" s="221" t="s">
        <v>4163</v>
      </c>
      <c r="AA154" s="222" t="s">
        <v>29</v>
      </c>
      <c r="AB154" s="220" t="s">
        <v>32</v>
      </c>
      <c r="AC154" s="221" t="s">
        <v>33</v>
      </c>
      <c r="AD154" s="220" t="s">
        <v>34</v>
      </c>
      <c r="AE154" s="220" t="s">
        <v>4161</v>
      </c>
      <c r="AF154" s="220" t="s">
        <v>36</v>
      </c>
      <c r="AG154" s="221" t="s">
        <v>4164</v>
      </c>
      <c r="AI154" s="3" t="s">
        <v>4165</v>
      </c>
      <c r="AJ154" t="s">
        <v>35</v>
      </c>
      <c r="AK154" s="3" t="s">
        <v>4166</v>
      </c>
      <c r="AL154" s="3" t="s">
        <v>4167</v>
      </c>
    </row>
    <row r="155" spans="1:38">
      <c r="A155" s="218" t="s">
        <v>4168</v>
      </c>
      <c r="B155" s="213" t="s">
        <v>4169</v>
      </c>
      <c r="C155" s="219" t="s">
        <v>4170</v>
      </c>
      <c r="D155" s="219" t="s">
        <v>4171</v>
      </c>
      <c r="E155" s="219" t="s">
        <v>4172</v>
      </c>
      <c r="F155" s="219" t="s">
        <v>4173</v>
      </c>
      <c r="G155" s="219" t="s">
        <v>4174</v>
      </c>
      <c r="H155" s="219" t="s">
        <v>4175</v>
      </c>
      <c r="I155" s="219" t="s">
        <v>4176</v>
      </c>
      <c r="J155" s="219" t="s">
        <v>4177</v>
      </c>
      <c r="K155" s="219" t="s">
        <v>4178</v>
      </c>
      <c r="L155" s="219" t="s">
        <v>4179</v>
      </c>
      <c r="M155" s="219" t="s">
        <v>4180</v>
      </c>
      <c r="N155" s="226" t="s">
        <v>4181</v>
      </c>
      <c r="O155" s="219" t="s">
        <v>4182</v>
      </c>
      <c r="P155" s="213" t="s">
        <v>47</v>
      </c>
      <c r="Q155" s="231" t="s">
        <v>4183</v>
      </c>
      <c r="R155" s="219" t="s">
        <v>4184</v>
      </c>
      <c r="S155" s="219" t="s">
        <v>4185</v>
      </c>
      <c r="T155" s="219" t="s">
        <v>4186</v>
      </c>
      <c r="U155" s="219" t="s">
        <v>4187</v>
      </c>
      <c r="V155" s="219" t="s">
        <v>4188</v>
      </c>
      <c r="W155" s="219" t="s">
        <v>4189</v>
      </c>
      <c r="X155" s="110" t="s">
        <v>4190</v>
      </c>
      <c r="Z155" s="109" t="str">
        <f t="shared" ref="Z155:Z172" si="45">IF(AC155&gt;0, COUNTIF(AC$155:AC$172, "&lt;"&amp;AC155) + COUNTIFS(AC$155:AC$172, AC155, AD$155:AD$172, "&lt;"&amp;AD155) + COUNTIFS(AC$155:AC$172, AC155, AD$155:AD$172, AD155, AA$155:AA$172, "&lt;"&amp;AA155) + 1, "TBD")</f>
        <v>TBD</v>
      </c>
      <c r="AA155" s="59" t="str" cm="1">
        <f t="array" ref="AA155">_xlfn._xlws.FILTER(Data[Date]:Data[Artist], (Data[Date]&gt;=DATE(2026,9,1))*(Data[Date]&lt;=DATE(2026,9,30))*(Data[Winner]=TRUE()), "TBD")</f>
        <v>TBD</v>
      </c>
      <c r="AG155" s="100" t="e">
        <f t="shared" ref="AG155:AG171" si="46">IF(Z155&gt;1, 2^FLOOR(LOG(Z155-1, 2), 1)+1, 1)</f>
        <v>#VALUE!</v>
      </c>
      <c r="AI155" s="3">
        <v>1</v>
      </c>
      <c r="AJ155" t="str">
        <f>P156</f>
        <v>-</v>
      </c>
      <c r="AK155" s="3" t="str">
        <f>IFERROR(VLOOKUP(Sep_2025_Results67[[#This Row],[Song Title]], $AE$155:$AG$171, 3, FALSE)-Sep_2025_Results67[[#This Row],[Result]], "TBD")</f>
        <v>TBD</v>
      </c>
      <c r="AL155" s="3" t="str">
        <f>IF(AK155&lt;0,"↓",IF(AK155=0,"-","↑"))</f>
        <v>↑</v>
      </c>
    </row>
    <row r="156" spans="1:38">
      <c r="A156" s="199" t="str">
        <f>_xlfn.CONCAT("Seed ", Sep_2026_SotM[[#This Row],[Top Seed]], " vs ",Sep_2026_SotM[[#This Row],[Low Seed]])</f>
        <v>Seed 1 vs 2</v>
      </c>
      <c r="B156" s="201">
        <v>1</v>
      </c>
      <c r="C156" s="200">
        <f>FLOOR(LOG(Sep_2026_SotM[[#This Row],[Num]], 2), 1)</f>
        <v>0</v>
      </c>
      <c r="D156" s="200">
        <f>2^(Sep_2026_SotM[[#This Row],[Round]]+1)</f>
        <v>2</v>
      </c>
      <c r="E156" s="200">
        <f>Sep_2026_SotM[[#This Row],[Max Seed]]-Sep_2026_SotM[[#This Row],[Num]]</f>
        <v>1</v>
      </c>
      <c r="F156" s="200">
        <f>Sep_2026_SotM[[#This Row],[Max Seed]]-Sep_2026_SotM[[#This Row],[Top Seed]]+1</f>
        <v>2</v>
      </c>
      <c r="G156" s="200" t="e">
        <f>IF(Sep_2026_SotM[[#This Row],[Round]]=$C$154, TRUE(), IF(Sep_2026_SotM[[#This Row],[Round]]=$B$154, Sep_2026_SotM[[#This Row],[Top Seed]]&lt;=2*Sep_2026_SotM[[#This Row],[Max Seed]]-$A$154, FALSE()))</f>
        <v>#NUM!</v>
      </c>
      <c r="H156" s="200" t="e">
        <f>IF(Sep_2026_SotM[[#This Row],[Round]]=$C$154, TRUE(), IF(Sep_2026_SotM[[#This Row],[Round]]=$B$154, Sep_2026_SotM[[#This Row],[Low Seed]]&lt;=2*Sep_2026_SotM[[#This Row],[Max Seed]]-$A$154, FALSE()))</f>
        <v>#NUM!</v>
      </c>
      <c r="I156" s="28"/>
      <c r="J156" s="31"/>
      <c r="K156" s="33"/>
      <c r="L156" s="35"/>
      <c r="M156" s="37"/>
      <c r="N156" s="203" t="str">
        <f ca="1">IF(Sep_2026_SotM[[#This Row],[Num]]&gt;=$A$154, "-", IF(Sep_2026_SotM[[#This Row],[Initial 1]], VLOOKUP(Sep_2026_SotM[[#This Row],[Top Seed]], $Z$155:$AE$172, 6, FALSE), OFFSET(Sep_2026_SotM[[#This Row],[Winner]], Sep_2026_SotM[[#This Row],[Max Seed]], 0)))</f>
        <v>-</v>
      </c>
      <c r="O156" s="200">
        <f>COUNTIF(Sep_2026_SotM[[#This Row],[J]:[H]],"x")</f>
        <v>0</v>
      </c>
      <c r="P156" s="201" t="str">
        <f>IF(Sep_2026_SotM[[#This Row],[Num]]&gt;=$A$154, "-", IF(Sep_2026_SotM[[#This Row],[Score 1]]&gt;=3, Sep_2026_SotM[[#This Row],[Song 1]], IF(Sep_2026_SotM[[#This Row],[Score 2]]&gt;=3, Sep_2026_SotM[[#This Row],[Song 2]], "TBD")))</f>
        <v>-</v>
      </c>
      <c r="Q156" s="206">
        <f>COUNTIF(Sep_2026_SotM[[#This Row],[H ]:[J ]],"x")</f>
        <v>0</v>
      </c>
      <c r="R156" s="200" t="str">
        <f ca="1"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f>
        <v>-</v>
      </c>
      <c r="S156" s="37"/>
      <c r="T156" s="35"/>
      <c r="U156" s="33"/>
      <c r="V156" s="31"/>
      <c r="W156" s="28"/>
      <c r="X156" s="106" t="str">
        <f ca="1"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f>
        <v xml:space="preserve">J D L S H </v>
      </c>
      <c r="Z156" s="109" t="str">
        <f t="shared" si="45"/>
        <v>TBD</v>
      </c>
      <c r="AG156" s="100" t="e">
        <f t="shared" si="46"/>
        <v>#VALUE!</v>
      </c>
      <c r="AI156" s="3">
        <f>Sep_2026_SotM[[#This Row],[Max Seed]]/2 + 1</f>
        <v>2</v>
      </c>
      <c r="AJ156" t="str">
        <f>IF(Sep_2026_SotM[[#This Row],[Num]]&gt;=$A$154, "-", IF(Sep_2026_SotM[[#This Row],[Score 1]]&gt;=3, Sep_2026_SotM[[#This Row],[Song 2]], IF(Sep_2026_SotM[[#This Row],[Score 2]]&gt;=3, Sep_2026_SotM[[#This Row],[Song 1]], "TBD")))</f>
        <v>-</v>
      </c>
      <c r="AK156" s="3" t="str">
        <f>IFERROR(VLOOKUP(Sep_2025_Results67[[#This Row],[Song Title]], $AE$155:$AG$171, 3, FALSE)-Sep_2025_Results67[[#This Row],[Result]], "TBD")</f>
        <v>TBD</v>
      </c>
      <c r="AL156" s="3" t="str">
        <f>IF(AK156&lt;0,"↓",IF(AK156=0,"-","↑"))</f>
        <v>↑</v>
      </c>
    </row>
    <row r="157" spans="1:38">
      <c r="A157" s="199" t="str">
        <f>_xlfn.CONCAT("Seed ", Sep_2026_SotM[[#This Row],[Top Seed]], " vs ",Sep_2026_SotM[[#This Row],[Low Seed]])</f>
        <v>Seed 2 vs 3</v>
      </c>
      <c r="B157" s="201">
        <v>2</v>
      </c>
      <c r="C157" s="200">
        <f>FLOOR(LOG(Sep_2026_SotM[[#This Row],[Num]], 2), 1)</f>
        <v>1</v>
      </c>
      <c r="D157" s="200">
        <f>2^(Sep_2026_SotM[[#This Row],[Round]]+1)</f>
        <v>4</v>
      </c>
      <c r="E157" s="200">
        <f>Sep_2026_SotM[[#This Row],[Max Seed]]-Sep_2026_SotM[[#This Row],[Num]]</f>
        <v>2</v>
      </c>
      <c r="F157" s="200">
        <f>Sep_2026_SotM[[#This Row],[Max Seed]]-Sep_2026_SotM[[#This Row],[Top Seed]]+1</f>
        <v>3</v>
      </c>
      <c r="G157" s="200" t="e">
        <f>IF(Sep_2026_SotM[[#This Row],[Round]]=$C$154, TRUE(), IF(Sep_2026_SotM[[#This Row],[Round]]=$B$154, Sep_2026_SotM[[#This Row],[Top Seed]]&lt;=2*Sep_2026_SotM[[#This Row],[Max Seed]]-$A$154, FALSE()))</f>
        <v>#NUM!</v>
      </c>
      <c r="H157" s="200" t="e">
        <f>IF(Sep_2026_SotM[[#This Row],[Round]]=$C$154, TRUE(), IF(Sep_2026_SotM[[#This Row],[Round]]=$B$154, Sep_2026_SotM[[#This Row],[Low Seed]]&lt;=2*Sep_2026_SotM[[#This Row],[Max Seed]]-$A$154, FALSE()))</f>
        <v>#NUM!</v>
      </c>
      <c r="I157" s="28"/>
      <c r="J157" s="31"/>
      <c r="K157" s="33"/>
      <c r="L157" s="35"/>
      <c r="M157" s="37"/>
      <c r="N157" s="203" t="str">
        <f ca="1">IF(Sep_2026_SotM[[#This Row],[Num]]&gt;=$A$154, "-", IF(Sep_2026_SotM[[#This Row],[Initial 1]], VLOOKUP(Sep_2026_SotM[[#This Row],[Top Seed]], $Z$155:$AE$172, 6, FALSE), OFFSET(Sep_2026_SotM[[#This Row],[Winner]], Sep_2026_SotM[[#This Row],[Max Seed]], 0)))</f>
        <v>-</v>
      </c>
      <c r="O157" s="200">
        <f>COUNTIF(Sep_2026_SotM[[#This Row],[J]:[H]],"x")</f>
        <v>0</v>
      </c>
      <c r="P157" s="201" t="str">
        <f>IF(Sep_2026_SotM[[#This Row],[Num]]&gt;=$A$154, "-", IF(Sep_2026_SotM[[#This Row],[Score 1]]&gt;=3, Sep_2026_SotM[[#This Row],[Song 1]], IF(Sep_2026_SotM[[#This Row],[Score 2]]&gt;=3, Sep_2026_SotM[[#This Row],[Song 2]], "TBD")))</f>
        <v>-</v>
      </c>
      <c r="Q157" s="206">
        <f>COUNTIF(Sep_2026_SotM[[#This Row],[H ]:[J ]],"x")</f>
        <v>0</v>
      </c>
      <c r="R157" s="200" t="str">
        <f ca="1"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f>
        <v>-</v>
      </c>
      <c r="S157" s="37"/>
      <c r="T157" s="35"/>
      <c r="U157" s="33"/>
      <c r="V157" s="31"/>
      <c r="W157" s="28"/>
      <c r="X157" s="106" t="str">
        <f ca="1"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f>
        <v xml:space="preserve">J D L S H </v>
      </c>
      <c r="Z157" s="109" t="str">
        <f t="shared" si="45"/>
        <v>TBD</v>
      </c>
      <c r="AG157" s="100" t="e">
        <f t="shared" si="46"/>
        <v>#VALUE!</v>
      </c>
      <c r="AI157" s="3">
        <f>Sep_2026_SotM[[#This Row],[Max Seed]]/2 + 1</f>
        <v>3</v>
      </c>
      <c r="AJ157" t="str">
        <f>IF(Sep_2026_SotM[[#This Row],[Num]]&gt;=$A$154, "-", IF(Sep_2026_SotM[[#This Row],[Score 1]]&gt;=3, Sep_2026_SotM[[#This Row],[Song 2]], IF(Sep_2026_SotM[[#This Row],[Score 2]]&gt;=3, Sep_2026_SotM[[#This Row],[Song 1]], "TBD")))</f>
        <v>-</v>
      </c>
      <c r="AK157" s="3" t="str">
        <f>IFERROR(VLOOKUP(Sep_2025_Results67[[#This Row],[Song Title]], $AE$155:$AG$171, 3, FALSE)-Sep_2025_Results67[[#This Row],[Result]], "TBD")</f>
        <v>TBD</v>
      </c>
      <c r="AL157" s="3" t="str">
        <f t="shared" ref="AL157:AL171" si="47">IF(AK157&lt;0,"↓",IF(AK157=0,"-","↑"))</f>
        <v>↑</v>
      </c>
    </row>
    <row r="158" spans="1:38">
      <c r="A158" s="199" t="str">
        <f>_xlfn.CONCAT("Seed ", Sep_2026_SotM[[#This Row],[Top Seed]], " vs ",Sep_2026_SotM[[#This Row],[Low Seed]])</f>
        <v>Seed 1 vs 4</v>
      </c>
      <c r="B158" s="201">
        <v>3</v>
      </c>
      <c r="C158" s="200">
        <f>FLOOR(LOG(Sep_2026_SotM[[#This Row],[Num]], 2), 1)</f>
        <v>1</v>
      </c>
      <c r="D158" s="200">
        <f>2^(Sep_2026_SotM[[#This Row],[Round]]+1)</f>
        <v>4</v>
      </c>
      <c r="E158" s="200">
        <f>Sep_2026_SotM[[#This Row],[Max Seed]]-Sep_2026_SotM[[#This Row],[Num]]</f>
        <v>1</v>
      </c>
      <c r="F158" s="200">
        <f>Sep_2026_SotM[[#This Row],[Max Seed]]-Sep_2026_SotM[[#This Row],[Top Seed]]+1</f>
        <v>4</v>
      </c>
      <c r="G158" s="200" t="e">
        <f>IF(Sep_2026_SotM[[#This Row],[Round]]=$C$154, TRUE(), IF(Sep_2026_SotM[[#This Row],[Round]]=$B$154, Sep_2026_SotM[[#This Row],[Top Seed]]&lt;=2*Sep_2026_SotM[[#This Row],[Max Seed]]-$A$154, FALSE()))</f>
        <v>#NUM!</v>
      </c>
      <c r="H158" s="200" t="e">
        <f>IF(Sep_2026_SotM[[#This Row],[Round]]=$C$154, TRUE(), IF(Sep_2026_SotM[[#This Row],[Round]]=$B$154, Sep_2026_SotM[[#This Row],[Low Seed]]&lt;=2*Sep_2026_SotM[[#This Row],[Max Seed]]-$A$154, FALSE()))</f>
        <v>#NUM!</v>
      </c>
      <c r="I158" s="28"/>
      <c r="J158" s="31"/>
      <c r="K158" s="33"/>
      <c r="L158" s="35"/>
      <c r="M158" s="37"/>
      <c r="N158" s="203" t="str">
        <f ca="1">IF(Sep_2026_SotM[[#This Row],[Num]]&gt;=$A$154, "-", IF(Sep_2026_SotM[[#This Row],[Initial 1]], VLOOKUP(Sep_2026_SotM[[#This Row],[Top Seed]], $Z$155:$AE$172, 6, FALSE), OFFSET(Sep_2026_SotM[[#This Row],[Winner]], Sep_2026_SotM[[#This Row],[Max Seed]], 0)))</f>
        <v>-</v>
      </c>
      <c r="O158" s="200">
        <f>COUNTIF(Sep_2026_SotM[[#This Row],[J]:[H]],"x")</f>
        <v>0</v>
      </c>
      <c r="P158" s="201" t="str">
        <f>IF(Sep_2026_SotM[[#This Row],[Num]]&gt;=$A$154, "-", IF(Sep_2026_SotM[[#This Row],[Score 1]]&gt;=3, Sep_2026_SotM[[#This Row],[Song 1]], IF(Sep_2026_SotM[[#This Row],[Score 2]]&gt;=3, Sep_2026_SotM[[#This Row],[Song 2]], "TBD")))</f>
        <v>-</v>
      </c>
      <c r="Q158" s="206">
        <f>COUNTIF(Sep_2026_SotM[[#This Row],[H ]:[J ]],"x")</f>
        <v>0</v>
      </c>
      <c r="R158" s="200" t="str">
        <f ca="1"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f>
        <v>-</v>
      </c>
      <c r="S158" s="37"/>
      <c r="T158" s="35"/>
      <c r="U158" s="33"/>
      <c r="V158" s="31"/>
      <c r="W158" s="28"/>
      <c r="X158" s="106" t="str">
        <f ca="1"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f>
        <v xml:space="preserve">J D L S H </v>
      </c>
      <c r="Z158" s="109" t="str">
        <f t="shared" si="45"/>
        <v>TBD</v>
      </c>
      <c r="AG158" s="100" t="e">
        <f t="shared" si="46"/>
        <v>#VALUE!</v>
      </c>
      <c r="AI158" s="3">
        <f>Sep_2026_SotM[[#This Row],[Max Seed]]/2 + 1</f>
        <v>3</v>
      </c>
      <c r="AJ158" t="str">
        <f>IF(Sep_2026_SotM[[#This Row],[Num]]&gt;=$A$154, "-", IF(Sep_2026_SotM[[#This Row],[Score 1]]&gt;=3, Sep_2026_SotM[[#This Row],[Song 2]], IF(Sep_2026_SotM[[#This Row],[Score 2]]&gt;=3, Sep_2026_SotM[[#This Row],[Song 1]], "TBD")))</f>
        <v>-</v>
      </c>
      <c r="AK158" s="3" t="str">
        <f>IFERROR(VLOOKUP(Sep_2025_Results67[[#This Row],[Song Title]], $AE$155:$AG$171, 3, FALSE)-Sep_2025_Results67[[#This Row],[Result]], "TBD")</f>
        <v>TBD</v>
      </c>
      <c r="AL158" s="3" t="str">
        <f t="shared" si="47"/>
        <v>↑</v>
      </c>
    </row>
    <row r="159" spans="1:38">
      <c r="A159" s="199" t="str">
        <f>_xlfn.CONCAT("Seed ", Sep_2026_SotM[[#This Row],[Top Seed]], " vs ",Sep_2026_SotM[[#This Row],[Low Seed]])</f>
        <v>Seed 4 vs 5</v>
      </c>
      <c r="B159" s="201">
        <v>4</v>
      </c>
      <c r="C159" s="200">
        <f>FLOOR(LOG(Sep_2026_SotM[[#This Row],[Num]], 2), 1)</f>
        <v>2</v>
      </c>
      <c r="D159" s="200">
        <f>2^(Sep_2026_SotM[[#This Row],[Round]]+1)</f>
        <v>8</v>
      </c>
      <c r="E159" s="200">
        <f>Sep_2026_SotM[[#This Row],[Max Seed]]-Sep_2026_SotM[[#This Row],[Num]]</f>
        <v>4</v>
      </c>
      <c r="F159" s="200">
        <f>Sep_2026_SotM[[#This Row],[Max Seed]]-Sep_2026_SotM[[#This Row],[Top Seed]]+1</f>
        <v>5</v>
      </c>
      <c r="G159" s="200" t="e">
        <f>IF(Sep_2026_SotM[[#This Row],[Round]]=$C$154, TRUE(), IF(Sep_2026_SotM[[#This Row],[Round]]=$B$154, Sep_2026_SotM[[#This Row],[Top Seed]]&lt;=2*Sep_2026_SotM[[#This Row],[Max Seed]]-$A$154, FALSE()))</f>
        <v>#NUM!</v>
      </c>
      <c r="H159" s="200" t="e">
        <f>IF(Sep_2026_SotM[[#This Row],[Round]]=$C$154, TRUE(), IF(Sep_2026_SotM[[#This Row],[Round]]=$B$154, Sep_2026_SotM[[#This Row],[Low Seed]]&lt;=2*Sep_2026_SotM[[#This Row],[Max Seed]]-$A$154, FALSE()))</f>
        <v>#NUM!</v>
      </c>
      <c r="I159" s="28"/>
      <c r="J159" s="31"/>
      <c r="K159" s="33"/>
      <c r="L159" s="35"/>
      <c r="M159" s="37"/>
      <c r="N159" s="203" t="str">
        <f ca="1">IF(Sep_2026_SotM[[#This Row],[Num]]&gt;=$A$154, "-", IF(Sep_2026_SotM[[#This Row],[Initial 1]], VLOOKUP(Sep_2026_SotM[[#This Row],[Top Seed]], $Z$155:$AE$172, 6, FALSE), OFFSET(Sep_2026_SotM[[#This Row],[Winner]], Sep_2026_SotM[[#This Row],[Max Seed]], 0)))</f>
        <v>-</v>
      </c>
      <c r="O159" s="200">
        <f>COUNTIF(Sep_2026_SotM[[#This Row],[J]:[H]],"x")</f>
        <v>0</v>
      </c>
      <c r="P159" s="201" t="str">
        <f>IF(Sep_2026_SotM[[#This Row],[Num]]&gt;=$A$154, "-", IF(Sep_2026_SotM[[#This Row],[Score 1]]&gt;=3, Sep_2026_SotM[[#This Row],[Song 1]], IF(Sep_2026_SotM[[#This Row],[Score 2]]&gt;=3, Sep_2026_SotM[[#This Row],[Song 2]], "TBD")))</f>
        <v>-</v>
      </c>
      <c r="Q159" s="206">
        <f>COUNTIF(Sep_2026_SotM[[#This Row],[H ]:[J ]],"x")</f>
        <v>0</v>
      </c>
      <c r="R159" s="200" t="str">
        <f ca="1"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f>
        <v>-</v>
      </c>
      <c r="S159" s="37"/>
      <c r="T159" s="35"/>
      <c r="U159" s="33"/>
      <c r="V159" s="31"/>
      <c r="W159" s="28"/>
      <c r="X159" s="106" t="str">
        <f ca="1"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f>
        <v xml:space="preserve">J D L S H </v>
      </c>
      <c r="Z159" s="109" t="str">
        <f t="shared" si="45"/>
        <v>TBD</v>
      </c>
      <c r="AG159" s="100" t="e">
        <f t="shared" si="46"/>
        <v>#VALUE!</v>
      </c>
      <c r="AI159" s="3">
        <f>Sep_2026_SotM[[#This Row],[Max Seed]]/2 + 1</f>
        <v>5</v>
      </c>
      <c r="AJ159" t="str">
        <f>IF(Sep_2026_SotM[[#This Row],[Num]]&gt;=$A$154, "-", IF(Sep_2026_SotM[[#This Row],[Score 1]]&gt;=3, Sep_2026_SotM[[#This Row],[Song 2]], IF(Sep_2026_SotM[[#This Row],[Score 2]]&gt;=3, Sep_2026_SotM[[#This Row],[Song 1]], "TBD")))</f>
        <v>-</v>
      </c>
      <c r="AK159" s="3" t="str">
        <f>IFERROR(VLOOKUP(Sep_2025_Results67[[#This Row],[Song Title]], $AE$155:$AG$171, 3, FALSE)-Sep_2025_Results67[[#This Row],[Result]], "TBD")</f>
        <v>TBD</v>
      </c>
      <c r="AL159" s="3" t="str">
        <f t="shared" si="47"/>
        <v>↑</v>
      </c>
    </row>
    <row r="160" spans="1:38">
      <c r="A160" s="199" t="str">
        <f>_xlfn.CONCAT("Seed ", Sep_2026_SotM[[#This Row],[Top Seed]], " vs ",Sep_2026_SotM[[#This Row],[Low Seed]])</f>
        <v>Seed 3 vs 6</v>
      </c>
      <c r="B160" s="201">
        <v>5</v>
      </c>
      <c r="C160" s="200">
        <f>FLOOR(LOG(Sep_2026_SotM[[#This Row],[Num]], 2), 1)</f>
        <v>2</v>
      </c>
      <c r="D160" s="200">
        <f>2^(Sep_2026_SotM[[#This Row],[Round]]+1)</f>
        <v>8</v>
      </c>
      <c r="E160" s="200">
        <f>Sep_2026_SotM[[#This Row],[Max Seed]]-Sep_2026_SotM[[#This Row],[Num]]</f>
        <v>3</v>
      </c>
      <c r="F160" s="200">
        <f>Sep_2026_SotM[[#This Row],[Max Seed]]-Sep_2026_SotM[[#This Row],[Top Seed]]+1</f>
        <v>6</v>
      </c>
      <c r="G160" s="200" t="e">
        <f>IF(Sep_2026_SotM[[#This Row],[Round]]=$C$154, TRUE(), IF(Sep_2026_SotM[[#This Row],[Round]]=$B$154, Sep_2026_SotM[[#This Row],[Top Seed]]&lt;=2*Sep_2026_SotM[[#This Row],[Max Seed]]-$A$154, FALSE()))</f>
        <v>#NUM!</v>
      </c>
      <c r="H160" s="200" t="e">
        <f>IF(Sep_2026_SotM[[#This Row],[Round]]=$C$154, TRUE(), IF(Sep_2026_SotM[[#This Row],[Round]]=$B$154, Sep_2026_SotM[[#This Row],[Low Seed]]&lt;=2*Sep_2026_SotM[[#This Row],[Max Seed]]-$A$154, FALSE()))</f>
        <v>#NUM!</v>
      </c>
      <c r="I160" s="28"/>
      <c r="J160" s="31"/>
      <c r="K160" s="33"/>
      <c r="L160" s="35"/>
      <c r="M160" s="37"/>
      <c r="N160" s="203" t="str">
        <f ca="1">IF(Sep_2026_SotM[[#This Row],[Num]]&gt;=$A$154, "-", IF(Sep_2026_SotM[[#This Row],[Initial 1]], VLOOKUP(Sep_2026_SotM[[#This Row],[Top Seed]], $Z$155:$AE$172, 6, FALSE), OFFSET(Sep_2026_SotM[[#This Row],[Winner]], Sep_2026_SotM[[#This Row],[Max Seed]], 0)))</f>
        <v>-</v>
      </c>
      <c r="O160" s="200">
        <f>COUNTIF(Sep_2026_SotM[[#This Row],[J]:[H]],"x")</f>
        <v>0</v>
      </c>
      <c r="P160" s="201" t="str">
        <f>IF(Sep_2026_SotM[[#This Row],[Num]]&gt;=$A$154, "-", IF(Sep_2026_SotM[[#This Row],[Score 1]]&gt;=3, Sep_2026_SotM[[#This Row],[Song 1]], IF(Sep_2026_SotM[[#This Row],[Score 2]]&gt;=3, Sep_2026_SotM[[#This Row],[Song 2]], "TBD")))</f>
        <v>-</v>
      </c>
      <c r="Q160" s="206">
        <f>COUNTIF(Sep_2026_SotM[[#This Row],[H ]:[J ]],"x")</f>
        <v>0</v>
      </c>
      <c r="R160" s="200" t="str">
        <f ca="1"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f>
        <v>-</v>
      </c>
      <c r="S160" s="37"/>
      <c r="T160" s="35"/>
      <c r="U160" s="33"/>
      <c r="V160" s="31"/>
      <c r="W160" s="28"/>
      <c r="X160" s="106" t="str">
        <f ca="1"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f>
        <v xml:space="preserve">J D L S H </v>
      </c>
      <c r="Z160" s="109" t="str">
        <f t="shared" si="45"/>
        <v>TBD</v>
      </c>
      <c r="AG160" s="100" t="e">
        <f t="shared" si="46"/>
        <v>#VALUE!</v>
      </c>
      <c r="AI160" s="3">
        <f>Sep_2026_SotM[[#This Row],[Max Seed]]/2 + 1</f>
        <v>5</v>
      </c>
      <c r="AJ160" t="str">
        <f>IF(Sep_2026_SotM[[#This Row],[Num]]&gt;=$A$154, "-", IF(Sep_2026_SotM[[#This Row],[Score 1]]&gt;=3, Sep_2026_SotM[[#This Row],[Song 2]], IF(Sep_2026_SotM[[#This Row],[Score 2]]&gt;=3, Sep_2026_SotM[[#This Row],[Song 1]], "TBD")))</f>
        <v>-</v>
      </c>
      <c r="AK160" s="3" t="str">
        <f>IFERROR(VLOOKUP(Sep_2025_Results67[[#This Row],[Song Title]], $AE$155:$AG$171, 3, FALSE)-Sep_2025_Results67[[#This Row],[Result]], "TBD")</f>
        <v>TBD</v>
      </c>
      <c r="AL160" s="3" t="str">
        <f t="shared" si="47"/>
        <v>↑</v>
      </c>
    </row>
    <row r="161" spans="1:38">
      <c r="A161" s="199" t="str">
        <f>_xlfn.CONCAT("Seed ", Sep_2026_SotM[[#This Row],[Top Seed]], " vs ",Sep_2026_SotM[[#This Row],[Low Seed]])</f>
        <v>Seed 2 vs 7</v>
      </c>
      <c r="B161" s="201">
        <v>6</v>
      </c>
      <c r="C161" s="200">
        <f>FLOOR(LOG(Sep_2026_SotM[[#This Row],[Num]], 2), 1)</f>
        <v>2</v>
      </c>
      <c r="D161" s="200">
        <f>2^(Sep_2026_SotM[[#This Row],[Round]]+1)</f>
        <v>8</v>
      </c>
      <c r="E161" s="200">
        <f>Sep_2026_SotM[[#This Row],[Max Seed]]-Sep_2026_SotM[[#This Row],[Num]]</f>
        <v>2</v>
      </c>
      <c r="F161" s="200">
        <f>Sep_2026_SotM[[#This Row],[Max Seed]]-Sep_2026_SotM[[#This Row],[Top Seed]]+1</f>
        <v>7</v>
      </c>
      <c r="G161" s="200" t="e">
        <f>IF(Sep_2026_SotM[[#This Row],[Round]]=$C$154, TRUE(), IF(Sep_2026_SotM[[#This Row],[Round]]=$B$154, Sep_2026_SotM[[#This Row],[Top Seed]]&lt;=2*Sep_2026_SotM[[#This Row],[Max Seed]]-$A$154, FALSE()))</f>
        <v>#NUM!</v>
      </c>
      <c r="H161" s="200" t="e">
        <f>IF(Sep_2026_SotM[[#This Row],[Round]]=$C$154, TRUE(), IF(Sep_2026_SotM[[#This Row],[Round]]=$B$154, Sep_2026_SotM[[#This Row],[Low Seed]]&lt;=2*Sep_2026_SotM[[#This Row],[Max Seed]]-$A$154, FALSE()))</f>
        <v>#NUM!</v>
      </c>
      <c r="I161" s="28"/>
      <c r="J161" s="31"/>
      <c r="K161" s="33"/>
      <c r="L161" s="35"/>
      <c r="M161" s="37"/>
      <c r="N161" s="203" t="str">
        <f ca="1">IF(Sep_2026_SotM[[#This Row],[Num]]&gt;=$A$154, "-", IF(Sep_2026_SotM[[#This Row],[Initial 1]], VLOOKUP(Sep_2026_SotM[[#This Row],[Top Seed]], $Z$155:$AE$172, 6, FALSE), OFFSET(Sep_2026_SotM[[#This Row],[Winner]], Sep_2026_SotM[[#This Row],[Max Seed]], 0)))</f>
        <v>-</v>
      </c>
      <c r="O161" s="200">
        <f>COUNTIF(Sep_2026_SotM[[#This Row],[J]:[H]],"x")</f>
        <v>0</v>
      </c>
      <c r="P161" s="201" t="str">
        <f>IF(Sep_2026_SotM[[#This Row],[Num]]&gt;=$A$154, "-", IF(Sep_2026_SotM[[#This Row],[Score 1]]&gt;=3, Sep_2026_SotM[[#This Row],[Song 1]], IF(Sep_2026_SotM[[#This Row],[Score 2]]&gt;=3, Sep_2026_SotM[[#This Row],[Song 2]], "TBD")))</f>
        <v>-</v>
      </c>
      <c r="Q161" s="206">
        <f>COUNTIF(Sep_2026_SotM[[#This Row],[H ]:[J ]],"x")</f>
        <v>0</v>
      </c>
      <c r="R161" s="200" t="str">
        <f ca="1"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f>
        <v>-</v>
      </c>
      <c r="S161" s="37"/>
      <c r="T161" s="35"/>
      <c r="U161" s="33"/>
      <c r="V161" s="31"/>
      <c r="W161" s="28"/>
      <c r="X161" s="106" t="str">
        <f ca="1"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f>
        <v xml:space="preserve">J D L S H </v>
      </c>
      <c r="Z161" s="109" t="str">
        <f t="shared" si="45"/>
        <v>TBD</v>
      </c>
      <c r="AG161" s="100" t="e">
        <f t="shared" si="46"/>
        <v>#VALUE!</v>
      </c>
      <c r="AI161" s="3">
        <f>Sep_2026_SotM[[#This Row],[Max Seed]]/2 + 1</f>
        <v>5</v>
      </c>
      <c r="AJ161" t="str">
        <f>IF(Sep_2026_SotM[[#This Row],[Num]]&gt;=$A$154, "-", IF(Sep_2026_SotM[[#This Row],[Score 1]]&gt;=3, Sep_2026_SotM[[#This Row],[Song 2]], IF(Sep_2026_SotM[[#This Row],[Score 2]]&gt;=3, Sep_2026_SotM[[#This Row],[Song 1]], "TBD")))</f>
        <v>-</v>
      </c>
      <c r="AK161" s="3" t="str">
        <f>IFERROR(VLOOKUP(Sep_2025_Results67[[#This Row],[Song Title]], $AE$155:$AG$171, 3, FALSE)-Sep_2025_Results67[[#This Row],[Result]], "TBD")</f>
        <v>TBD</v>
      </c>
      <c r="AL161" s="3" t="str">
        <f t="shared" si="47"/>
        <v>↑</v>
      </c>
    </row>
    <row r="162" spans="1:38">
      <c r="A162" s="199" t="str">
        <f>_xlfn.CONCAT("Seed ", Sep_2026_SotM[[#This Row],[Top Seed]], " vs ",Sep_2026_SotM[[#This Row],[Low Seed]])</f>
        <v>Seed 1 vs 8</v>
      </c>
      <c r="B162" s="201">
        <v>7</v>
      </c>
      <c r="C162" s="200">
        <f>FLOOR(LOG(Sep_2026_SotM[[#This Row],[Num]], 2), 1)</f>
        <v>2</v>
      </c>
      <c r="D162" s="200">
        <f>2^(Sep_2026_SotM[[#This Row],[Round]]+1)</f>
        <v>8</v>
      </c>
      <c r="E162" s="200">
        <f>Sep_2026_SotM[[#This Row],[Max Seed]]-Sep_2026_SotM[[#This Row],[Num]]</f>
        <v>1</v>
      </c>
      <c r="F162" s="200">
        <f>Sep_2026_SotM[[#This Row],[Max Seed]]-Sep_2026_SotM[[#This Row],[Top Seed]]+1</f>
        <v>8</v>
      </c>
      <c r="G162" s="200" t="e">
        <f>IF(Sep_2026_SotM[[#This Row],[Round]]=$C$154, TRUE(), IF(Sep_2026_SotM[[#This Row],[Round]]=$B$154, Sep_2026_SotM[[#This Row],[Top Seed]]&lt;=2*Sep_2026_SotM[[#This Row],[Max Seed]]-$A$154, FALSE()))</f>
        <v>#NUM!</v>
      </c>
      <c r="H162" s="200" t="e">
        <f>IF(Sep_2026_SotM[[#This Row],[Round]]=$C$154, TRUE(), IF(Sep_2026_SotM[[#This Row],[Round]]=$B$154, Sep_2026_SotM[[#This Row],[Low Seed]]&lt;=2*Sep_2026_SotM[[#This Row],[Max Seed]]-$A$154, FALSE()))</f>
        <v>#NUM!</v>
      </c>
      <c r="I162" s="28"/>
      <c r="J162" s="31"/>
      <c r="K162" s="33"/>
      <c r="L162" s="35"/>
      <c r="M162" s="37"/>
      <c r="N162" s="203" t="str">
        <f ca="1">IF(Sep_2026_SotM[[#This Row],[Num]]&gt;=$A$154, "-", IF(Sep_2026_SotM[[#This Row],[Initial 1]], VLOOKUP(Sep_2026_SotM[[#This Row],[Top Seed]], $Z$155:$AE$172, 6, FALSE), OFFSET(Sep_2026_SotM[[#This Row],[Winner]], Sep_2026_SotM[[#This Row],[Max Seed]], 0)))</f>
        <v>-</v>
      </c>
      <c r="O162" s="200">
        <f>COUNTIF(Sep_2026_SotM[[#This Row],[J]:[H]],"x")</f>
        <v>0</v>
      </c>
      <c r="P162" s="201" t="str">
        <f>IF(Sep_2026_SotM[[#This Row],[Num]]&gt;=$A$154, "-", IF(Sep_2026_SotM[[#This Row],[Score 1]]&gt;=3, Sep_2026_SotM[[#This Row],[Song 1]], IF(Sep_2026_SotM[[#This Row],[Score 2]]&gt;=3, Sep_2026_SotM[[#This Row],[Song 2]], "TBD")))</f>
        <v>-</v>
      </c>
      <c r="Q162" s="206">
        <f>COUNTIF(Sep_2026_SotM[[#This Row],[H ]:[J ]],"x")</f>
        <v>0</v>
      </c>
      <c r="R162" s="200" t="str">
        <f ca="1"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f>
        <v>-</v>
      </c>
      <c r="S162" s="37"/>
      <c r="T162" s="35"/>
      <c r="U162" s="33"/>
      <c r="V162" s="31"/>
      <c r="W162" s="28"/>
      <c r="X162" s="106" t="str">
        <f ca="1"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f>
        <v xml:space="preserve">J D L S H </v>
      </c>
      <c r="Z162" s="109" t="str">
        <f t="shared" si="45"/>
        <v>TBD</v>
      </c>
      <c r="AG162" s="100" t="e">
        <f t="shared" si="46"/>
        <v>#VALUE!</v>
      </c>
      <c r="AI162" s="3">
        <f>Sep_2026_SotM[[#This Row],[Max Seed]]/2 + 1</f>
        <v>5</v>
      </c>
      <c r="AJ162" t="str">
        <f>IF(Sep_2026_SotM[[#This Row],[Num]]&gt;=$A$154, "-", IF(Sep_2026_SotM[[#This Row],[Score 1]]&gt;=3, Sep_2026_SotM[[#This Row],[Song 2]], IF(Sep_2026_SotM[[#This Row],[Score 2]]&gt;=3, Sep_2026_SotM[[#This Row],[Song 1]], "TBD")))</f>
        <v>-</v>
      </c>
      <c r="AK162" s="3" t="str">
        <f>IFERROR(VLOOKUP(Sep_2025_Results67[[#This Row],[Song Title]], $AE$155:$AG$171, 3, FALSE)-Sep_2025_Results67[[#This Row],[Result]], "TBD")</f>
        <v>TBD</v>
      </c>
      <c r="AL162" s="3" t="str">
        <f t="shared" si="47"/>
        <v>↑</v>
      </c>
    </row>
    <row r="163" spans="1:38">
      <c r="A163" s="199" t="str">
        <f>_xlfn.CONCAT("Seed ", Sep_2026_SotM[[#This Row],[Top Seed]], " vs ",Sep_2026_SotM[[#This Row],[Low Seed]])</f>
        <v>Seed 8 vs 9</v>
      </c>
      <c r="B163" s="201">
        <v>8</v>
      </c>
      <c r="C163" s="200">
        <f>FLOOR(LOG(Sep_2026_SotM[[#This Row],[Num]], 2), 1)</f>
        <v>3</v>
      </c>
      <c r="D163" s="200">
        <f>2^(Sep_2026_SotM[[#This Row],[Round]]+1)</f>
        <v>16</v>
      </c>
      <c r="E163" s="200">
        <f>Sep_2026_SotM[[#This Row],[Max Seed]]-Sep_2026_SotM[[#This Row],[Num]]</f>
        <v>8</v>
      </c>
      <c r="F163" s="200">
        <f>Sep_2026_SotM[[#This Row],[Max Seed]]-Sep_2026_SotM[[#This Row],[Top Seed]]+1</f>
        <v>9</v>
      </c>
      <c r="G163" s="200" t="e">
        <f>IF(Sep_2026_SotM[[#This Row],[Round]]=$C$154, TRUE(), IF(Sep_2026_SotM[[#This Row],[Round]]=$B$154, Sep_2026_SotM[[#This Row],[Top Seed]]&lt;=2*Sep_2026_SotM[[#This Row],[Max Seed]]-$A$154, FALSE()))</f>
        <v>#NUM!</v>
      </c>
      <c r="H163" s="200" t="e">
        <f>IF(Sep_2026_SotM[[#This Row],[Round]]=$C$154, TRUE(), IF(Sep_2026_SotM[[#This Row],[Round]]=$B$154, Sep_2026_SotM[[#This Row],[Low Seed]]&lt;=2*Sep_2026_SotM[[#This Row],[Max Seed]]-$A$154, FALSE()))</f>
        <v>#NUM!</v>
      </c>
      <c r="I163" s="28"/>
      <c r="J163" s="31"/>
      <c r="K163" s="33"/>
      <c r="L163" s="35"/>
      <c r="M163" s="37"/>
      <c r="N163" s="203" t="str">
        <f ca="1">IF(Sep_2026_SotM[[#This Row],[Num]]&gt;=$A$154, "-", IF(Sep_2026_SotM[[#This Row],[Initial 1]], VLOOKUP(Sep_2026_SotM[[#This Row],[Top Seed]], $Z$155:$AE$172, 6, FALSE), OFFSET(Sep_2026_SotM[[#This Row],[Winner]], Sep_2026_SotM[[#This Row],[Max Seed]], 0)))</f>
        <v>-</v>
      </c>
      <c r="O163" s="200">
        <f>COUNTIF(Sep_2026_SotM[[#This Row],[J]:[H]],"x")</f>
        <v>0</v>
      </c>
      <c r="P163" s="201" t="str">
        <f>IF(Sep_2026_SotM[[#This Row],[Num]]&gt;=$A$154, "-", IF(Sep_2026_SotM[[#This Row],[Score 1]]&gt;=3, Sep_2026_SotM[[#This Row],[Song 1]], IF(Sep_2026_SotM[[#This Row],[Score 2]]&gt;=3, Sep_2026_SotM[[#This Row],[Song 2]], "TBD")))</f>
        <v>-</v>
      </c>
      <c r="Q163" s="206">
        <f>COUNTIF(Sep_2026_SotM[[#This Row],[H ]:[J ]],"x")</f>
        <v>0</v>
      </c>
      <c r="R163" s="200" t="str">
        <f ca="1"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f>
        <v>-</v>
      </c>
      <c r="S163" s="37"/>
      <c r="T163" s="35"/>
      <c r="U163" s="33"/>
      <c r="V163" s="31"/>
      <c r="W163" s="28"/>
      <c r="X163" s="106" t="str">
        <f ca="1"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f>
        <v xml:space="preserve">J D L S H </v>
      </c>
      <c r="Z163" s="109" t="str">
        <f t="shared" si="45"/>
        <v>TBD</v>
      </c>
      <c r="AG163" s="100" t="e">
        <f t="shared" si="46"/>
        <v>#VALUE!</v>
      </c>
      <c r="AI163" s="3">
        <f>Sep_2026_SotM[[#This Row],[Max Seed]]/2 + 1</f>
        <v>9</v>
      </c>
      <c r="AJ163" t="str">
        <f>IF(Sep_2026_SotM[[#This Row],[Num]]&gt;=$A$154, "-", IF(Sep_2026_SotM[[#This Row],[Score 1]]&gt;=3, Sep_2026_SotM[[#This Row],[Song 2]], IF(Sep_2026_SotM[[#This Row],[Score 2]]&gt;=3, Sep_2026_SotM[[#This Row],[Song 1]], "TBD")))</f>
        <v>-</v>
      </c>
      <c r="AK163" s="3" t="str">
        <f>IFERROR(VLOOKUP(Sep_2025_Results67[[#This Row],[Song Title]], $AE$155:$AG$171, 3, FALSE)-Sep_2025_Results67[[#This Row],[Result]], "TBD")</f>
        <v>TBD</v>
      </c>
      <c r="AL163" s="3" t="str">
        <f t="shared" si="47"/>
        <v>↑</v>
      </c>
    </row>
    <row r="164" spans="1:38">
      <c r="A164" s="199" t="str">
        <f>_xlfn.CONCAT("Seed ", Sep_2026_SotM[[#This Row],[Top Seed]], " vs ",Sep_2026_SotM[[#This Row],[Low Seed]])</f>
        <v>Seed 7 vs 10</v>
      </c>
      <c r="B164" s="201">
        <v>9</v>
      </c>
      <c r="C164" s="200">
        <f>FLOOR(LOG(Sep_2026_SotM[[#This Row],[Num]], 2), 1)</f>
        <v>3</v>
      </c>
      <c r="D164" s="200">
        <f>2^(Sep_2026_SotM[[#This Row],[Round]]+1)</f>
        <v>16</v>
      </c>
      <c r="E164" s="200">
        <f>Sep_2026_SotM[[#This Row],[Max Seed]]-Sep_2026_SotM[[#This Row],[Num]]</f>
        <v>7</v>
      </c>
      <c r="F164" s="200">
        <f>Sep_2026_SotM[[#This Row],[Max Seed]]-Sep_2026_SotM[[#This Row],[Top Seed]]+1</f>
        <v>10</v>
      </c>
      <c r="G164" s="200" t="e">
        <f>IF(Sep_2026_SotM[[#This Row],[Round]]=$C$154, TRUE(), IF(Sep_2026_SotM[[#This Row],[Round]]=$B$154, Sep_2026_SotM[[#This Row],[Top Seed]]&lt;=2*Sep_2026_SotM[[#This Row],[Max Seed]]-$A$154, FALSE()))</f>
        <v>#NUM!</v>
      </c>
      <c r="H164" s="200" t="e">
        <f>IF(Sep_2026_SotM[[#This Row],[Round]]=$C$154, TRUE(), IF(Sep_2026_SotM[[#This Row],[Round]]=$B$154, Sep_2026_SotM[[#This Row],[Low Seed]]&lt;=2*Sep_2026_SotM[[#This Row],[Max Seed]]-$A$154, FALSE()))</f>
        <v>#NUM!</v>
      </c>
      <c r="I164" s="28"/>
      <c r="J164" s="31"/>
      <c r="K164" s="33"/>
      <c r="L164" s="35"/>
      <c r="M164" s="37"/>
      <c r="N164" s="203" t="str">
        <f ca="1">IF(Sep_2026_SotM[[#This Row],[Num]]&gt;=$A$154, "-", IF(Sep_2026_SotM[[#This Row],[Initial 1]], VLOOKUP(Sep_2026_SotM[[#This Row],[Top Seed]], $Z$155:$AE$172, 6, FALSE), OFFSET(Sep_2026_SotM[[#This Row],[Winner]], Sep_2026_SotM[[#This Row],[Max Seed]], 0)))</f>
        <v>-</v>
      </c>
      <c r="O164" s="200">
        <f>COUNTIF(Sep_2026_SotM[[#This Row],[J]:[H]],"x")</f>
        <v>0</v>
      </c>
      <c r="P164" s="201" t="str">
        <f>IF(Sep_2026_SotM[[#This Row],[Num]]&gt;=$A$154, "-", IF(Sep_2026_SotM[[#This Row],[Score 1]]&gt;=3, Sep_2026_SotM[[#This Row],[Song 1]], IF(Sep_2026_SotM[[#This Row],[Score 2]]&gt;=3, Sep_2026_SotM[[#This Row],[Song 2]], "TBD")))</f>
        <v>-</v>
      </c>
      <c r="Q164" s="206">
        <f>COUNTIF(Sep_2026_SotM[[#This Row],[H ]:[J ]],"x")</f>
        <v>0</v>
      </c>
      <c r="R164" s="200" t="str">
        <f ca="1"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f>
        <v>-</v>
      </c>
      <c r="S164" s="37"/>
      <c r="T164" s="35"/>
      <c r="U164" s="33"/>
      <c r="V164" s="31"/>
      <c r="W164" s="28"/>
      <c r="X164" s="106" t="str">
        <f ca="1"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f>
        <v xml:space="preserve">J D L S H </v>
      </c>
      <c r="Z164" s="109" t="str">
        <f t="shared" si="45"/>
        <v>TBD</v>
      </c>
      <c r="AG164" s="100" t="e">
        <f t="shared" si="46"/>
        <v>#VALUE!</v>
      </c>
      <c r="AI164" s="3">
        <f>Sep_2026_SotM[[#This Row],[Max Seed]]/2 + 1</f>
        <v>9</v>
      </c>
      <c r="AJ164" t="str">
        <f>IF(Sep_2026_SotM[[#This Row],[Num]]&gt;=$A$154, "-", IF(Sep_2026_SotM[[#This Row],[Score 1]]&gt;=3, Sep_2026_SotM[[#This Row],[Song 2]], IF(Sep_2026_SotM[[#This Row],[Score 2]]&gt;=3, Sep_2026_SotM[[#This Row],[Song 1]], "TBD")))</f>
        <v>-</v>
      </c>
      <c r="AK164" s="3" t="str">
        <f>IFERROR(VLOOKUP(Sep_2025_Results67[[#This Row],[Song Title]], $AE$155:$AG$171, 3, FALSE)-Sep_2025_Results67[[#This Row],[Result]], "TBD")</f>
        <v>TBD</v>
      </c>
      <c r="AL164" s="3" t="str">
        <f t="shared" si="47"/>
        <v>↑</v>
      </c>
    </row>
    <row r="165" spans="1:38">
      <c r="A165" s="199" t="str">
        <f>_xlfn.CONCAT("Seed ", Sep_2026_SotM[[#This Row],[Top Seed]], " vs ",Sep_2026_SotM[[#This Row],[Low Seed]])</f>
        <v>Seed 6 vs 11</v>
      </c>
      <c r="B165" s="201">
        <v>10</v>
      </c>
      <c r="C165" s="200">
        <f>FLOOR(LOG(Sep_2026_SotM[[#This Row],[Num]], 2), 1)</f>
        <v>3</v>
      </c>
      <c r="D165" s="200">
        <f>2^(Sep_2026_SotM[[#This Row],[Round]]+1)</f>
        <v>16</v>
      </c>
      <c r="E165" s="200">
        <f>Sep_2026_SotM[[#This Row],[Max Seed]]-Sep_2026_SotM[[#This Row],[Num]]</f>
        <v>6</v>
      </c>
      <c r="F165" s="200">
        <f>Sep_2026_SotM[[#This Row],[Max Seed]]-Sep_2026_SotM[[#This Row],[Top Seed]]+1</f>
        <v>11</v>
      </c>
      <c r="G165" s="200" t="e">
        <f>IF(Sep_2026_SotM[[#This Row],[Round]]=$C$154, TRUE(), IF(Sep_2026_SotM[[#This Row],[Round]]=$B$154, Sep_2026_SotM[[#This Row],[Top Seed]]&lt;=2*Sep_2026_SotM[[#This Row],[Max Seed]]-$A$154, FALSE()))</f>
        <v>#NUM!</v>
      </c>
      <c r="H165" s="200" t="e">
        <f>IF(Sep_2026_SotM[[#This Row],[Round]]=$C$154, TRUE(), IF(Sep_2026_SotM[[#This Row],[Round]]=$B$154, Sep_2026_SotM[[#This Row],[Low Seed]]&lt;=2*Sep_2026_SotM[[#This Row],[Max Seed]]-$A$154, FALSE()))</f>
        <v>#NUM!</v>
      </c>
      <c r="I165" s="28"/>
      <c r="J165" s="31"/>
      <c r="K165" s="33"/>
      <c r="L165" s="35"/>
      <c r="M165" s="37"/>
      <c r="N165" s="203" t="str">
        <f ca="1">IF(Sep_2026_SotM[[#This Row],[Num]]&gt;=$A$154, "-", IF(Sep_2026_SotM[[#This Row],[Initial 1]], VLOOKUP(Sep_2026_SotM[[#This Row],[Top Seed]], $Z$155:$AE$172, 6, FALSE), OFFSET(Sep_2026_SotM[[#This Row],[Winner]], Sep_2026_SotM[[#This Row],[Max Seed]], 0)))</f>
        <v>-</v>
      </c>
      <c r="O165" s="200">
        <f>COUNTIF(Sep_2026_SotM[[#This Row],[J]:[H]],"x")</f>
        <v>0</v>
      </c>
      <c r="P165" s="201" t="str">
        <f>IF(Sep_2026_SotM[[#This Row],[Num]]&gt;=$A$154, "-", IF(Sep_2026_SotM[[#This Row],[Score 1]]&gt;=3, Sep_2026_SotM[[#This Row],[Song 1]], IF(Sep_2026_SotM[[#This Row],[Score 2]]&gt;=3, Sep_2026_SotM[[#This Row],[Song 2]], "TBD")))</f>
        <v>-</v>
      </c>
      <c r="Q165" s="206">
        <f>COUNTIF(Sep_2026_SotM[[#This Row],[H ]:[J ]],"x")</f>
        <v>0</v>
      </c>
      <c r="R165" s="200" t="str">
        <f ca="1"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f>
        <v>-</v>
      </c>
      <c r="S165" s="37"/>
      <c r="T165" s="35"/>
      <c r="U165" s="33"/>
      <c r="V165" s="31"/>
      <c r="W165" s="28"/>
      <c r="X165" s="106" t="str">
        <f ca="1"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f>
        <v xml:space="preserve">J D L S H </v>
      </c>
      <c r="Z165" s="109" t="str">
        <f t="shared" si="45"/>
        <v>TBD</v>
      </c>
      <c r="AG165" s="100" t="e">
        <f t="shared" si="46"/>
        <v>#VALUE!</v>
      </c>
      <c r="AI165" s="3">
        <f>Sep_2026_SotM[[#This Row],[Max Seed]]/2 + 1</f>
        <v>9</v>
      </c>
      <c r="AJ165" t="str">
        <f>IF(Sep_2026_SotM[[#This Row],[Num]]&gt;=$A$154, "-", IF(Sep_2026_SotM[[#This Row],[Score 1]]&gt;=3, Sep_2026_SotM[[#This Row],[Song 2]], IF(Sep_2026_SotM[[#This Row],[Score 2]]&gt;=3, Sep_2026_SotM[[#This Row],[Song 1]], "TBD")))</f>
        <v>-</v>
      </c>
      <c r="AK165" s="3" t="str">
        <f>IFERROR(VLOOKUP(Sep_2025_Results67[[#This Row],[Song Title]], $AE$155:$AG$171, 3, FALSE)-Sep_2025_Results67[[#This Row],[Result]], "TBD")</f>
        <v>TBD</v>
      </c>
      <c r="AL165" s="3" t="str">
        <f t="shared" si="47"/>
        <v>↑</v>
      </c>
    </row>
    <row r="166" spans="1:38">
      <c r="A166" s="199" t="str">
        <f>_xlfn.CONCAT("Seed ", Sep_2026_SotM[[#This Row],[Top Seed]], " vs ",Sep_2026_SotM[[#This Row],[Low Seed]])</f>
        <v>Seed 5 vs 12</v>
      </c>
      <c r="B166" s="201">
        <v>11</v>
      </c>
      <c r="C166" s="200">
        <f>FLOOR(LOG(Sep_2026_SotM[[#This Row],[Num]], 2), 1)</f>
        <v>3</v>
      </c>
      <c r="D166" s="200">
        <f>2^(Sep_2026_SotM[[#This Row],[Round]]+1)</f>
        <v>16</v>
      </c>
      <c r="E166" s="200">
        <f>Sep_2026_SotM[[#This Row],[Max Seed]]-Sep_2026_SotM[[#This Row],[Num]]</f>
        <v>5</v>
      </c>
      <c r="F166" s="200">
        <f>Sep_2026_SotM[[#This Row],[Max Seed]]-Sep_2026_SotM[[#This Row],[Top Seed]]+1</f>
        <v>12</v>
      </c>
      <c r="G166" s="200" t="e">
        <f>IF(Sep_2026_SotM[[#This Row],[Round]]=$C$154, TRUE(), IF(Sep_2026_SotM[[#This Row],[Round]]=$B$154, Sep_2026_SotM[[#This Row],[Top Seed]]&lt;=2*Sep_2026_SotM[[#This Row],[Max Seed]]-$A$154, FALSE()))</f>
        <v>#NUM!</v>
      </c>
      <c r="H166" s="200" t="e">
        <f>IF(Sep_2026_SotM[[#This Row],[Round]]=$C$154, TRUE(), IF(Sep_2026_SotM[[#This Row],[Round]]=$B$154, Sep_2026_SotM[[#This Row],[Low Seed]]&lt;=2*Sep_2026_SotM[[#This Row],[Max Seed]]-$A$154, FALSE()))</f>
        <v>#NUM!</v>
      </c>
      <c r="I166" s="28"/>
      <c r="J166" s="31"/>
      <c r="K166" s="33"/>
      <c r="L166" s="35"/>
      <c r="M166" s="37"/>
      <c r="N166" s="203" t="str">
        <f ca="1">IF(Sep_2026_SotM[[#This Row],[Num]]&gt;=$A$154, "-", IF(Sep_2026_SotM[[#This Row],[Initial 1]], VLOOKUP(Sep_2026_SotM[[#This Row],[Top Seed]], $Z$155:$AE$172, 6, FALSE), OFFSET(Sep_2026_SotM[[#This Row],[Winner]], Sep_2026_SotM[[#This Row],[Max Seed]], 0)))</f>
        <v>-</v>
      </c>
      <c r="O166" s="200">
        <f>COUNTIF(Sep_2026_SotM[[#This Row],[J]:[H]],"x")</f>
        <v>0</v>
      </c>
      <c r="P166" s="201" t="str">
        <f>IF(Sep_2026_SotM[[#This Row],[Num]]&gt;=$A$154, "-", IF(Sep_2026_SotM[[#This Row],[Score 1]]&gt;=3, Sep_2026_SotM[[#This Row],[Song 1]], IF(Sep_2026_SotM[[#This Row],[Score 2]]&gt;=3, Sep_2026_SotM[[#This Row],[Song 2]], "TBD")))</f>
        <v>-</v>
      </c>
      <c r="Q166" s="206">
        <f>COUNTIF(Sep_2026_SotM[[#This Row],[H ]:[J ]],"x")</f>
        <v>0</v>
      </c>
      <c r="R166" s="200" t="str">
        <f ca="1"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f>
        <v>-</v>
      </c>
      <c r="S166" s="37"/>
      <c r="T166" s="35"/>
      <c r="U166" s="33"/>
      <c r="V166" s="31"/>
      <c r="W166" s="28"/>
      <c r="X166" s="106" t="str">
        <f ca="1"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f>
        <v xml:space="preserve">J D L S H </v>
      </c>
      <c r="Z166" s="109" t="str">
        <f t="shared" si="45"/>
        <v>TBD</v>
      </c>
      <c r="AG166" s="100" t="e">
        <f t="shared" si="46"/>
        <v>#VALUE!</v>
      </c>
      <c r="AI166" s="3">
        <f>Sep_2026_SotM[[#This Row],[Max Seed]]/2 + 1</f>
        <v>9</v>
      </c>
      <c r="AJ166" t="str">
        <f>IF(Sep_2026_SotM[[#This Row],[Num]]&gt;=$A$154, "-", IF(Sep_2026_SotM[[#This Row],[Score 1]]&gt;=3, Sep_2026_SotM[[#This Row],[Song 2]], IF(Sep_2026_SotM[[#This Row],[Score 2]]&gt;=3, Sep_2026_SotM[[#This Row],[Song 1]], "TBD")))</f>
        <v>-</v>
      </c>
      <c r="AK166" s="3" t="str">
        <f>IFERROR(VLOOKUP(Sep_2025_Results67[[#This Row],[Song Title]], $AE$155:$AG$171, 3, FALSE)-Sep_2025_Results67[[#This Row],[Result]], "TBD")</f>
        <v>TBD</v>
      </c>
      <c r="AL166" s="3" t="str">
        <f t="shared" si="47"/>
        <v>↑</v>
      </c>
    </row>
    <row r="167" spans="1:38">
      <c r="A167" s="199" t="str">
        <f>_xlfn.CONCAT("Seed ", Sep_2026_SotM[[#This Row],[Top Seed]], " vs ",Sep_2026_SotM[[#This Row],[Low Seed]])</f>
        <v>Seed 4 vs 13</v>
      </c>
      <c r="B167" s="201">
        <v>12</v>
      </c>
      <c r="C167" s="200">
        <f>FLOOR(LOG(Sep_2026_SotM[[#This Row],[Num]], 2), 1)</f>
        <v>3</v>
      </c>
      <c r="D167" s="200">
        <f>2^(Sep_2026_SotM[[#This Row],[Round]]+1)</f>
        <v>16</v>
      </c>
      <c r="E167" s="200">
        <f>Sep_2026_SotM[[#This Row],[Max Seed]]-Sep_2026_SotM[[#This Row],[Num]]</f>
        <v>4</v>
      </c>
      <c r="F167" s="200">
        <f>Sep_2026_SotM[[#This Row],[Max Seed]]-Sep_2026_SotM[[#This Row],[Top Seed]]+1</f>
        <v>13</v>
      </c>
      <c r="G167" s="200" t="e">
        <f>IF(Sep_2026_SotM[[#This Row],[Round]]=$C$154, TRUE(), IF(Sep_2026_SotM[[#This Row],[Round]]=$B$154, Sep_2026_SotM[[#This Row],[Top Seed]]&lt;=2*Sep_2026_SotM[[#This Row],[Max Seed]]-$A$154, FALSE()))</f>
        <v>#NUM!</v>
      </c>
      <c r="H167" s="200" t="e">
        <f>IF(Sep_2026_SotM[[#This Row],[Round]]=$C$154, TRUE(), IF(Sep_2026_SotM[[#This Row],[Round]]=$B$154, Sep_2026_SotM[[#This Row],[Low Seed]]&lt;=2*Sep_2026_SotM[[#This Row],[Max Seed]]-$A$154, FALSE()))</f>
        <v>#NUM!</v>
      </c>
      <c r="I167" s="28"/>
      <c r="J167" s="31"/>
      <c r="K167" s="33"/>
      <c r="L167" s="35"/>
      <c r="M167" s="37"/>
      <c r="N167" s="203" t="str">
        <f ca="1">IF(Sep_2026_SotM[[#This Row],[Num]]&gt;=$A$154, "-", IF(Sep_2026_SotM[[#This Row],[Initial 1]], VLOOKUP(Sep_2026_SotM[[#This Row],[Top Seed]], $Z$155:$AE$172, 6, FALSE), OFFSET(Sep_2026_SotM[[#This Row],[Winner]], Sep_2026_SotM[[#This Row],[Max Seed]], 0)))</f>
        <v>-</v>
      </c>
      <c r="O167" s="200">
        <f>COUNTIF(Sep_2026_SotM[[#This Row],[J]:[H]],"x")</f>
        <v>0</v>
      </c>
      <c r="P167" s="201" t="str">
        <f>IF(Sep_2026_SotM[[#This Row],[Num]]&gt;=$A$154, "-", IF(Sep_2026_SotM[[#This Row],[Score 1]]&gt;=3, Sep_2026_SotM[[#This Row],[Song 1]], IF(Sep_2026_SotM[[#This Row],[Score 2]]&gt;=3, Sep_2026_SotM[[#This Row],[Song 2]], "TBD")))</f>
        <v>-</v>
      </c>
      <c r="Q167" s="206">
        <f>COUNTIF(Sep_2026_SotM[[#This Row],[H ]:[J ]],"x")</f>
        <v>0</v>
      </c>
      <c r="R167" s="200" t="str">
        <f ca="1"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f>
        <v>-</v>
      </c>
      <c r="S167" s="37"/>
      <c r="T167" s="35"/>
      <c r="U167" s="33"/>
      <c r="V167" s="31"/>
      <c r="W167" s="28"/>
      <c r="X167" s="106" t="str">
        <f ca="1"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f>
        <v xml:space="preserve">J D L S H </v>
      </c>
      <c r="Z167" s="109" t="str">
        <f t="shared" si="45"/>
        <v>TBD</v>
      </c>
      <c r="AG167" s="100" t="e">
        <f t="shared" si="46"/>
        <v>#VALUE!</v>
      </c>
      <c r="AI167" s="3">
        <f>Sep_2026_SotM[[#This Row],[Max Seed]]/2 + 1</f>
        <v>9</v>
      </c>
      <c r="AJ167" t="str">
        <f>IF(Sep_2026_SotM[[#This Row],[Num]]&gt;=$A$154, "-", IF(Sep_2026_SotM[[#This Row],[Score 1]]&gt;=3, Sep_2026_SotM[[#This Row],[Song 2]], IF(Sep_2026_SotM[[#This Row],[Score 2]]&gt;=3, Sep_2026_SotM[[#This Row],[Song 1]], "TBD")))</f>
        <v>-</v>
      </c>
      <c r="AK167" s="3" t="str">
        <f>IFERROR(VLOOKUP(Sep_2025_Results67[[#This Row],[Song Title]], $AE$155:$AG$171, 3, FALSE)-Sep_2025_Results67[[#This Row],[Result]], "TBD")</f>
        <v>TBD</v>
      </c>
      <c r="AL167" s="3" t="str">
        <f t="shared" si="47"/>
        <v>↑</v>
      </c>
    </row>
    <row r="168" spans="1:38">
      <c r="A168" s="199" t="str">
        <f>_xlfn.CONCAT("Seed ", Sep_2026_SotM[[#This Row],[Top Seed]], " vs ",Sep_2026_SotM[[#This Row],[Low Seed]])</f>
        <v>Seed 3 vs 14</v>
      </c>
      <c r="B168" s="201">
        <v>13</v>
      </c>
      <c r="C168" s="200">
        <f>FLOOR(LOG(Sep_2026_SotM[[#This Row],[Num]], 2), 1)</f>
        <v>3</v>
      </c>
      <c r="D168" s="200">
        <f>2^(Sep_2026_SotM[[#This Row],[Round]]+1)</f>
        <v>16</v>
      </c>
      <c r="E168" s="200">
        <f>Sep_2026_SotM[[#This Row],[Max Seed]]-Sep_2026_SotM[[#This Row],[Num]]</f>
        <v>3</v>
      </c>
      <c r="F168" s="200">
        <f>Sep_2026_SotM[[#This Row],[Max Seed]]-Sep_2026_SotM[[#This Row],[Top Seed]]+1</f>
        <v>14</v>
      </c>
      <c r="G168" s="200" t="e">
        <f>IF(Sep_2026_SotM[[#This Row],[Round]]=$C$154, TRUE(), IF(Sep_2026_SotM[[#This Row],[Round]]=$B$154, Sep_2026_SotM[[#This Row],[Top Seed]]&lt;=2*Sep_2026_SotM[[#This Row],[Max Seed]]-$A$154, FALSE()))</f>
        <v>#NUM!</v>
      </c>
      <c r="H168" s="200" t="e">
        <f>IF(Sep_2026_SotM[[#This Row],[Round]]=$C$154, TRUE(), IF(Sep_2026_SotM[[#This Row],[Round]]=$B$154, Sep_2026_SotM[[#This Row],[Low Seed]]&lt;=2*Sep_2026_SotM[[#This Row],[Max Seed]]-$A$154, FALSE()))</f>
        <v>#NUM!</v>
      </c>
      <c r="I168" s="28"/>
      <c r="J168" s="31"/>
      <c r="K168" s="33"/>
      <c r="L168" s="35"/>
      <c r="M168" s="37"/>
      <c r="N168" s="203" t="str">
        <f ca="1">IF(Sep_2026_SotM[[#This Row],[Num]]&gt;=$A$154, "-", IF(Sep_2026_SotM[[#This Row],[Initial 1]], VLOOKUP(Sep_2026_SotM[[#This Row],[Top Seed]], $Z$155:$AE$172, 6, FALSE), OFFSET(Sep_2026_SotM[[#This Row],[Winner]], Sep_2026_SotM[[#This Row],[Max Seed]], 0)))</f>
        <v>-</v>
      </c>
      <c r="O168" s="200">
        <f>COUNTIF(Sep_2026_SotM[[#This Row],[J]:[H]],"x")</f>
        <v>0</v>
      </c>
      <c r="P168" s="201" t="str">
        <f>IF(Sep_2026_SotM[[#This Row],[Num]]&gt;=$A$154, "-", IF(Sep_2026_SotM[[#This Row],[Score 1]]&gt;=3, Sep_2026_SotM[[#This Row],[Song 1]], IF(Sep_2026_SotM[[#This Row],[Score 2]]&gt;=3, Sep_2026_SotM[[#This Row],[Song 2]], "TBD")))</f>
        <v>-</v>
      </c>
      <c r="Q168" s="206">
        <f>COUNTIF(Sep_2026_SotM[[#This Row],[H ]:[J ]],"x")</f>
        <v>0</v>
      </c>
      <c r="R168" s="200" t="str">
        <f ca="1"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f>
        <v>-</v>
      </c>
      <c r="S168" s="37"/>
      <c r="T168" s="35"/>
      <c r="U168" s="33"/>
      <c r="V168" s="31"/>
      <c r="W168" s="28"/>
      <c r="X168" s="106" t="str">
        <f ca="1"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f>
        <v xml:space="preserve">J D L S H </v>
      </c>
      <c r="Z168" s="109" t="str">
        <f t="shared" si="45"/>
        <v>TBD</v>
      </c>
      <c r="AG168" s="100" t="e">
        <f t="shared" si="46"/>
        <v>#VALUE!</v>
      </c>
      <c r="AI168" s="3">
        <f>Sep_2026_SotM[[#This Row],[Max Seed]]/2 + 1</f>
        <v>9</v>
      </c>
      <c r="AJ168" t="str">
        <f>IF(Sep_2026_SotM[[#This Row],[Num]]&gt;=$A$154, "-", IF(Sep_2026_SotM[[#This Row],[Score 1]]&gt;=3, Sep_2026_SotM[[#This Row],[Song 2]], IF(Sep_2026_SotM[[#This Row],[Score 2]]&gt;=3, Sep_2026_SotM[[#This Row],[Song 1]], "TBD")))</f>
        <v>-</v>
      </c>
      <c r="AK168" s="3" t="str">
        <f>IFERROR(VLOOKUP(Sep_2025_Results67[[#This Row],[Song Title]], $AE$155:$AG$171, 3, FALSE)-Sep_2025_Results67[[#This Row],[Result]], "TBD")</f>
        <v>TBD</v>
      </c>
      <c r="AL168" s="3" t="str">
        <f t="shared" si="47"/>
        <v>↑</v>
      </c>
    </row>
    <row r="169" spans="1:38">
      <c r="A169" s="199" t="str">
        <f>_xlfn.CONCAT("Seed ", Sep_2026_SotM[[#This Row],[Top Seed]], " vs ",Sep_2026_SotM[[#This Row],[Low Seed]])</f>
        <v>Seed 2 vs 15</v>
      </c>
      <c r="B169" s="201">
        <v>14</v>
      </c>
      <c r="C169" s="200">
        <f>FLOOR(LOG(Sep_2026_SotM[[#This Row],[Num]], 2), 1)</f>
        <v>3</v>
      </c>
      <c r="D169" s="200">
        <f>2^(Sep_2026_SotM[[#This Row],[Round]]+1)</f>
        <v>16</v>
      </c>
      <c r="E169" s="200">
        <f>Sep_2026_SotM[[#This Row],[Max Seed]]-Sep_2026_SotM[[#This Row],[Num]]</f>
        <v>2</v>
      </c>
      <c r="F169" s="200">
        <f>Sep_2026_SotM[[#This Row],[Max Seed]]-Sep_2026_SotM[[#This Row],[Top Seed]]+1</f>
        <v>15</v>
      </c>
      <c r="G169" s="200" t="e">
        <f>IF(Sep_2026_SotM[[#This Row],[Round]]=$C$154, TRUE(), IF(Sep_2026_SotM[[#This Row],[Round]]=$B$154, Sep_2026_SotM[[#This Row],[Top Seed]]&lt;=2*Sep_2026_SotM[[#This Row],[Max Seed]]-$A$154, FALSE()))</f>
        <v>#NUM!</v>
      </c>
      <c r="H169" s="200" t="e">
        <f>IF(Sep_2026_SotM[[#This Row],[Round]]=$C$154, TRUE(), IF(Sep_2026_SotM[[#This Row],[Round]]=$B$154, Sep_2026_SotM[[#This Row],[Low Seed]]&lt;=2*Sep_2026_SotM[[#This Row],[Max Seed]]-$A$154, FALSE()))</f>
        <v>#NUM!</v>
      </c>
      <c r="I169" s="28"/>
      <c r="J169" s="31"/>
      <c r="K169" s="33"/>
      <c r="L169" s="35"/>
      <c r="M169" s="37"/>
      <c r="N169" s="203" t="str">
        <f ca="1">IF(Sep_2026_SotM[[#This Row],[Num]]&gt;=$A$154, "-", IF(Sep_2026_SotM[[#This Row],[Initial 1]], VLOOKUP(Sep_2026_SotM[[#This Row],[Top Seed]], $Z$155:$AE$172, 6, FALSE), OFFSET(Sep_2026_SotM[[#This Row],[Winner]], Sep_2026_SotM[[#This Row],[Max Seed]], 0)))</f>
        <v>-</v>
      </c>
      <c r="O169" s="200">
        <f>COUNTIF(Sep_2026_SotM[[#This Row],[J]:[H]],"x")</f>
        <v>0</v>
      </c>
      <c r="P169" s="201" t="str">
        <f>IF(Sep_2026_SotM[[#This Row],[Num]]&gt;=$A$154, "-", IF(Sep_2026_SotM[[#This Row],[Score 1]]&gt;=3, Sep_2026_SotM[[#This Row],[Song 1]], IF(Sep_2026_SotM[[#This Row],[Score 2]]&gt;=3, Sep_2026_SotM[[#This Row],[Song 2]], "TBD")))</f>
        <v>-</v>
      </c>
      <c r="Q169" s="206">
        <f>COUNTIF(Sep_2026_SotM[[#This Row],[H ]:[J ]],"x")</f>
        <v>0</v>
      </c>
      <c r="R169" s="200" t="str">
        <f ca="1"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f>
        <v>-</v>
      </c>
      <c r="S169" s="37"/>
      <c r="T169" s="35"/>
      <c r="U169" s="33"/>
      <c r="V169" s="31"/>
      <c r="W169" s="28"/>
      <c r="X169" s="106" t="str">
        <f ca="1"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f>
        <v xml:space="preserve">J D L S H </v>
      </c>
      <c r="Z169" s="109" t="str">
        <f t="shared" si="45"/>
        <v>TBD</v>
      </c>
      <c r="AG169" s="100" t="e">
        <f t="shared" si="46"/>
        <v>#VALUE!</v>
      </c>
      <c r="AI169" s="3">
        <f>Sep_2026_SotM[[#This Row],[Max Seed]]/2 + 1</f>
        <v>9</v>
      </c>
      <c r="AJ169" t="str">
        <f>IF(Sep_2026_SotM[[#This Row],[Num]]&gt;=$A$154, "-", IF(Sep_2026_SotM[[#This Row],[Score 1]]&gt;=3, Sep_2026_SotM[[#This Row],[Song 2]], IF(Sep_2026_SotM[[#This Row],[Score 2]]&gt;=3, Sep_2026_SotM[[#This Row],[Song 1]], "TBD")))</f>
        <v>-</v>
      </c>
      <c r="AK169" s="3" t="str">
        <f>IFERROR(VLOOKUP(Sep_2025_Results67[[#This Row],[Song Title]], $AE$155:$AG$171, 3, FALSE)-Sep_2025_Results67[[#This Row],[Result]], "TBD")</f>
        <v>TBD</v>
      </c>
      <c r="AL169" s="3" t="str">
        <f t="shared" si="47"/>
        <v>↑</v>
      </c>
    </row>
    <row r="170" spans="1:38">
      <c r="A170" s="199" t="str">
        <f>_xlfn.CONCAT("Seed ", Sep_2026_SotM[[#This Row],[Top Seed]], " vs ",Sep_2026_SotM[[#This Row],[Low Seed]])</f>
        <v>Seed 1 vs 16</v>
      </c>
      <c r="B170" s="201">
        <v>15</v>
      </c>
      <c r="C170" s="200">
        <f>FLOOR(LOG(Sep_2026_SotM[[#This Row],[Num]], 2), 1)</f>
        <v>3</v>
      </c>
      <c r="D170" s="200">
        <f>2^(Sep_2026_SotM[[#This Row],[Round]]+1)</f>
        <v>16</v>
      </c>
      <c r="E170" s="200">
        <f>Sep_2026_SotM[[#This Row],[Max Seed]]-Sep_2026_SotM[[#This Row],[Num]]</f>
        <v>1</v>
      </c>
      <c r="F170" s="200">
        <f>Sep_2026_SotM[[#This Row],[Max Seed]]-Sep_2026_SotM[[#This Row],[Top Seed]]+1</f>
        <v>16</v>
      </c>
      <c r="G170" s="200" t="e">
        <f>IF(Sep_2026_SotM[[#This Row],[Round]]=$C$154, TRUE(), IF(Sep_2026_SotM[[#This Row],[Round]]=$B$154, Sep_2026_SotM[[#This Row],[Top Seed]]&lt;=2*Sep_2026_SotM[[#This Row],[Max Seed]]-$A$154, FALSE()))</f>
        <v>#NUM!</v>
      </c>
      <c r="H170" s="200" t="e">
        <f>IF(Sep_2026_SotM[[#This Row],[Round]]=$C$154, TRUE(), IF(Sep_2026_SotM[[#This Row],[Round]]=$B$154, Sep_2026_SotM[[#This Row],[Low Seed]]&lt;=2*Sep_2026_SotM[[#This Row],[Max Seed]]-$A$154, FALSE()))</f>
        <v>#NUM!</v>
      </c>
      <c r="I170" s="28"/>
      <c r="J170" s="31"/>
      <c r="K170" s="33"/>
      <c r="L170" s="35"/>
      <c r="M170" s="37"/>
      <c r="N170" s="203" t="str">
        <f ca="1">IF(Sep_2026_SotM[[#This Row],[Num]]&gt;=$A$154, "-", IF(Sep_2026_SotM[[#This Row],[Initial 1]], VLOOKUP(Sep_2026_SotM[[#This Row],[Top Seed]], $Z$155:$AE$172, 6, FALSE), OFFSET(Sep_2026_SotM[[#This Row],[Winner]], Sep_2026_SotM[[#This Row],[Max Seed]], 0)))</f>
        <v>-</v>
      </c>
      <c r="O170" s="200">
        <f>COUNTIF(Sep_2026_SotM[[#This Row],[J]:[H]],"x")</f>
        <v>0</v>
      </c>
      <c r="P170" s="201" t="str">
        <f>IF(Sep_2026_SotM[[#This Row],[Num]]&gt;=$A$154, "-", IF(Sep_2026_SotM[[#This Row],[Score 1]]&gt;=3, Sep_2026_SotM[[#This Row],[Song 1]], IF(Sep_2026_SotM[[#This Row],[Score 2]]&gt;=3, Sep_2026_SotM[[#This Row],[Song 2]], "TBD")))</f>
        <v>-</v>
      </c>
      <c r="Q170" s="206">
        <f>COUNTIF(Sep_2026_SotM[[#This Row],[H ]:[J ]],"x")</f>
        <v>0</v>
      </c>
      <c r="R170" s="200" t="str">
        <f ca="1"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f>
        <v>-</v>
      </c>
      <c r="S170" s="37"/>
      <c r="T170" s="35"/>
      <c r="U170" s="33"/>
      <c r="V170" s="31"/>
      <c r="W170" s="28"/>
      <c r="X170" s="106" t="str">
        <f ca="1"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f>
        <v xml:space="preserve">J D L S H </v>
      </c>
      <c r="Z170" s="109" t="str">
        <f t="shared" si="45"/>
        <v>TBD</v>
      </c>
      <c r="AG170" s="100" t="e">
        <f t="shared" si="46"/>
        <v>#VALUE!</v>
      </c>
      <c r="AI170" s="3">
        <f>Sep_2026_SotM[[#This Row],[Max Seed]]/2 + 1</f>
        <v>9</v>
      </c>
      <c r="AJ170" t="str">
        <f>IF(Sep_2026_SotM[[#This Row],[Num]]&gt;=$A$154, "-", IF(Sep_2026_SotM[[#This Row],[Score 1]]&gt;=3, Sep_2026_SotM[[#This Row],[Song 2]], IF(Sep_2026_SotM[[#This Row],[Score 2]]&gt;=3, Sep_2026_SotM[[#This Row],[Song 1]], "TBD")))</f>
        <v>-</v>
      </c>
      <c r="AK170" s="3" t="str">
        <f>IFERROR(VLOOKUP(Sep_2025_Results67[[#This Row],[Song Title]], $AE$155:$AG$171, 3, FALSE)-Sep_2025_Results67[[#This Row],[Result]], "TBD")</f>
        <v>TBD</v>
      </c>
      <c r="AL170" s="3" t="str">
        <f t="shared" si="47"/>
        <v>↑</v>
      </c>
    </row>
    <row r="171" spans="1:38">
      <c r="A171" s="199" t="str">
        <f>_xlfn.CONCAT("Seed ", Sep_2026_SotM[[#This Row],[Top Seed]], " vs ",Sep_2026_SotM[[#This Row],[Low Seed]])</f>
        <v>Seed 16 vs 17</v>
      </c>
      <c r="B171" s="201">
        <v>16</v>
      </c>
      <c r="C171" s="200">
        <f>FLOOR(LOG(Sep_2026_SotM[[#This Row],[Num]], 2), 1)</f>
        <v>4</v>
      </c>
      <c r="D171" s="200">
        <f>2^(Sep_2026_SotM[[#This Row],[Round]]+1)</f>
        <v>32</v>
      </c>
      <c r="E171" s="200">
        <f>Sep_2026_SotM[[#This Row],[Max Seed]]-Sep_2026_SotM[[#This Row],[Num]]</f>
        <v>16</v>
      </c>
      <c r="F171" s="200">
        <f>Sep_2026_SotM[[#This Row],[Max Seed]]-Sep_2026_SotM[[#This Row],[Top Seed]]+1</f>
        <v>17</v>
      </c>
      <c r="G171" s="200" t="e">
        <f>IF(Sep_2026_SotM[[#This Row],[Round]]=$C$154, TRUE(), IF(Sep_2026_SotM[[#This Row],[Round]]=$B$154, Sep_2026_SotM[[#This Row],[Top Seed]]&lt;=2*Sep_2026_SotM[[#This Row],[Max Seed]]-$A$154, FALSE()))</f>
        <v>#NUM!</v>
      </c>
      <c r="H171" s="200" t="e">
        <f>IF(Sep_2026_SotM[[#This Row],[Round]]=$C$154, TRUE(), IF(Sep_2026_SotM[[#This Row],[Round]]=$B$154, Sep_2026_SotM[[#This Row],[Low Seed]]&lt;=2*Sep_2026_SotM[[#This Row],[Max Seed]]-$A$154, FALSE()))</f>
        <v>#NUM!</v>
      </c>
      <c r="I171" s="28"/>
      <c r="J171" s="31"/>
      <c r="K171" s="33"/>
      <c r="L171" s="35"/>
      <c r="M171" s="37"/>
      <c r="N171" s="203" t="str">
        <f ca="1">IF(Sep_2026_SotM[[#This Row],[Num]]&gt;=$A$154, "-", IF(Sep_2026_SotM[[#This Row],[Initial 1]], VLOOKUP(Sep_2026_SotM[[#This Row],[Top Seed]], $Z$155:$AE$172, 6, FALSE), OFFSET(Sep_2026_SotM[[#This Row],[Winner]], Sep_2026_SotM[[#This Row],[Max Seed]], 0)))</f>
        <v>-</v>
      </c>
      <c r="O171" s="200">
        <f>COUNTIF(Sep_2026_SotM[[#This Row],[J]:[H]],"x")</f>
        <v>0</v>
      </c>
      <c r="P171" s="201" t="str">
        <f>IF(Sep_2026_SotM[[#This Row],[Num]]&gt;=$A$154, "-", IF(Sep_2026_SotM[[#This Row],[Score 1]]&gt;=3, Sep_2026_SotM[[#This Row],[Song 1]], IF(Sep_2026_SotM[[#This Row],[Score 2]]&gt;=3, Sep_2026_SotM[[#This Row],[Song 2]], "TBD")))</f>
        <v>-</v>
      </c>
      <c r="Q171" s="206">
        <f>COUNTIF(Sep_2026_SotM[[#This Row],[H ]:[J ]],"x")</f>
        <v>0</v>
      </c>
      <c r="R171" s="200" t="str">
        <f ca="1"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f>
        <v>-</v>
      </c>
      <c r="S171" s="37"/>
      <c r="T171" s="35"/>
      <c r="U171" s="33"/>
      <c r="V171" s="31"/>
      <c r="W171" s="28"/>
      <c r="X171" s="106" t="str">
        <f ca="1"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f>
        <v xml:space="preserve">J D L S H </v>
      </c>
      <c r="Z171" s="109" t="str">
        <f t="shared" si="45"/>
        <v>TBD</v>
      </c>
      <c r="AG171" s="100" t="e">
        <f t="shared" si="46"/>
        <v>#VALUE!</v>
      </c>
      <c r="AI171" s="3">
        <f>Sep_2026_SotM[[#This Row],[Max Seed]]/2 + 1</f>
        <v>17</v>
      </c>
      <c r="AJ171" t="str">
        <f>IF(Sep_2026_SotM[[#This Row],[Num]]&gt;=$A$154, "-", IF(Sep_2026_SotM[[#This Row],[Score 1]]&gt;=3, Sep_2026_SotM[[#This Row],[Song 2]], IF(Sep_2026_SotM[[#This Row],[Score 2]]&gt;=3, Sep_2026_SotM[[#This Row],[Song 1]], "TBD")))</f>
        <v>-</v>
      </c>
      <c r="AK171" s="3" t="str">
        <f>IFERROR(VLOOKUP(Sep_2025_Results67[[#This Row],[Song Title]], $AE$155:$AG$171, 3, FALSE)-Sep_2025_Results67[[#This Row],[Result]], "TBD")</f>
        <v>TBD</v>
      </c>
      <c r="AL171" s="3" t="str">
        <f t="shared" si="47"/>
        <v>↑</v>
      </c>
    </row>
    <row r="172" spans="1:38">
      <c r="A172" s="199" t="str">
        <f>_xlfn.CONCAT("Seed ", Sep_2026_SotM[[#This Row],[Top Seed]], " vs ",Sep_2026_SotM[[#This Row],[Low Seed]])</f>
        <v>Seed 15 vs 18</v>
      </c>
      <c r="B172" s="201">
        <v>17</v>
      </c>
      <c r="C172" s="200">
        <f>FLOOR(LOG(Sep_2026_SotM[[#This Row],[Num]], 2), 1)</f>
        <v>4</v>
      </c>
      <c r="D172" s="200">
        <f>2^(Sep_2026_SotM[[#This Row],[Round]]+1)</f>
        <v>32</v>
      </c>
      <c r="E172" s="200">
        <f>Sep_2026_SotM[[#This Row],[Max Seed]]-Sep_2026_SotM[[#This Row],[Num]]</f>
        <v>15</v>
      </c>
      <c r="F172" s="200">
        <f>Sep_2026_SotM[[#This Row],[Max Seed]]-Sep_2026_SotM[[#This Row],[Top Seed]]+1</f>
        <v>18</v>
      </c>
      <c r="G172" s="200" t="e">
        <f>IF(Sep_2026_SotM[[#This Row],[Round]]=$C$154, TRUE(), IF(Sep_2026_SotM[[#This Row],[Round]]=$B$154, Sep_2026_SotM[[#This Row],[Top Seed]]&lt;=2*Sep_2026_SotM[[#This Row],[Max Seed]]-$A$154, FALSE()))</f>
        <v>#NUM!</v>
      </c>
      <c r="H172" s="200" t="e">
        <f>IF(Sep_2026_SotM[[#This Row],[Round]]=$C$154, TRUE(), IF(Sep_2026_SotM[[#This Row],[Round]]=$B$154, Sep_2026_SotM[[#This Row],[Low Seed]]&lt;=2*Sep_2026_SotM[[#This Row],[Max Seed]]-$A$154, FALSE()))</f>
        <v>#NUM!</v>
      </c>
      <c r="I172" s="65"/>
      <c r="J172" s="66"/>
      <c r="K172" s="67"/>
      <c r="L172" s="68"/>
      <c r="M172" s="69"/>
      <c r="N172" s="203" t="str">
        <f ca="1">IF(Sep_2026_SotM[[#This Row],[Num]]&gt;=$A$154, "-", IF(Sep_2026_SotM[[#This Row],[Initial 1]], VLOOKUP(Sep_2026_SotM[[#This Row],[Top Seed]], $Z$155:$AE$172, 6, FALSE), OFFSET(Sep_2026_SotM[[#This Row],[Winner]], Sep_2026_SotM[[#This Row],[Max Seed]], 0)))</f>
        <v>-</v>
      </c>
      <c r="O172" s="200">
        <f>COUNTIF(Sep_2026_SotM[[#This Row],[J]:[H]],"x")</f>
        <v>0</v>
      </c>
      <c r="P172" s="201" t="str">
        <f>IF(Sep_2026_SotM[[#This Row],[Num]]&gt;=$A$154, "-", IF(Sep_2026_SotM[[#This Row],[Score 1]]&gt;=3, Sep_2026_SotM[[#This Row],[Song 1]], IF(Sep_2026_SotM[[#This Row],[Score 2]]&gt;=3, Sep_2026_SotM[[#This Row],[Song 2]], "TBD")))</f>
        <v>-</v>
      </c>
      <c r="Q172" s="206">
        <f>COUNTIF(Sep_2026_SotM[[#This Row],[H ]:[J ]],"x")</f>
        <v>0</v>
      </c>
      <c r="R172" s="200" t="str">
        <f ca="1">IF(Sep_2026_SotM[[#This Row],[Num]]&gt;=$A$154, "-", IF(Sep_2026_SotM[[#This Row],[Initial 2]], VLOOKUP(Sep_2026_SotM[[#This Row],[Low Seed]], $Z$155:$AE$172, 6, FALSE), OFFSET(Sep_2026_SotM[[#This Row],[Winner]], 2*(Sep_2026_SotM[[#This Row],[Max Seed]]-Sep_2026_SotM[[#This Row],[Low Seed]])+1, 0)))</f>
        <v>-</v>
      </c>
      <c r="S172" s="69"/>
      <c r="T172" s="68"/>
      <c r="U172" s="67"/>
      <c r="V172" s="66"/>
      <c r="W172" s="65"/>
      <c r="X172" s="106" t="str">
        <f ca="1">IF(OR(Sep_2026_SotM[[#This Row],[Song 1]]="TBD", Sep_2026_SotM[[#This Row],[Song 2]]="TBD"), "TBD", _xlfn.CONCAT(IF(_xlfn.XOR(ISBLANK(Sep_2026_SotM[[#This Row],[J]]), ISBLANK(Sep_2026_SotM[[#This Row],[J ]])), "", "J "), IF(_xlfn.XOR(ISBLANK(Sep_2026_SotM[[#This Row],[D]]), ISBLANK(Sep_2026_SotM[[#This Row],[D ]])), "", "D "), IF(_xlfn.XOR(ISBLANK(Sep_2026_SotM[[#This Row],[L]]), ISBLANK(Sep_2026_SotM[[#This Row],[L ]])), "", "L "), IF(_xlfn.XOR(ISBLANK(Sep_2026_SotM[[#This Row],[S]]), ISBLANK(Sep_2026_SotM[[#This Row],[S ]])), "", "S "), IF(_xlfn.XOR(ISBLANK(Sep_2026_SotM[[#This Row],[H]]), ISBLANK(Sep_2026_SotM[[#This Row],[H ]])), "", "H ")))</f>
        <v xml:space="preserve">J D L S H </v>
      </c>
      <c r="Z172" s="109" t="str">
        <f t="shared" si="45"/>
        <v>TBD</v>
      </c>
      <c r="AA172" s="211"/>
      <c r="AB172" s="157"/>
      <c r="AC172" s="101"/>
      <c r="AD172" s="157"/>
      <c r="AE172" s="157"/>
      <c r="AF172" s="157"/>
      <c r="AG172" s="102" t="e">
        <f t="shared" ref="AG172" si="48">IF(Z172&gt;1, 2^FLOOR(LOG(Z172-1, 2), 1)+1, 1)</f>
        <v>#VALUE!</v>
      </c>
      <c r="AI172" s="3">
        <f>Sep_2026_SotM[[#This Row],[Max Seed]]/2 + 1</f>
        <v>17</v>
      </c>
      <c r="AJ172" t="str">
        <f>IF(Sep_2026_SotM[[#This Row],[Num]]&gt;=$A$154, "-", IF(Sep_2026_SotM[[#This Row],[Score 1]]&gt;=3, Sep_2026_SotM[[#This Row],[Song 2]], IF(Sep_2026_SotM[[#This Row],[Score 2]]&gt;=3, Sep_2026_SotM[[#This Row],[Song 1]], "TBD")))</f>
        <v>-</v>
      </c>
      <c r="AK172" s="3" t="str">
        <f>IFERROR(VLOOKUP(Sep_2025_Results67[[#This Row],[Song Title]], $AE$155:$AG$171, 3, FALSE)-Sep_2025_Results67[[#This Row],[Result]], "TBD")</f>
        <v>TBD</v>
      </c>
      <c r="AL172" s="3" t="str">
        <f t="shared" ref="AL172" si="49">IF(AK172&lt;0,"↓",IF(AK172=0,"-","↑"))</f>
        <v>↑</v>
      </c>
    </row>
    <row r="174" spans="1:38">
      <c r="A174" s="302">
        <f>MAX(Z175:Z191)</f>
        <v>0</v>
      </c>
      <c r="B174" s="302" t="e">
        <f>FLOOR(LOG(A174, 2), 1)-1</f>
        <v>#NUM!</v>
      </c>
      <c r="C174" s="302" t="e">
        <f t="shared" ref="C174" si="50">_xlfn.CEILING.MATH(LOG(A174, 2), 1)-1</f>
        <v>#NUM!</v>
      </c>
      <c r="D174" s="302"/>
      <c r="E174" s="302"/>
      <c r="F174" s="302"/>
      <c r="G174" s="302"/>
      <c r="H174" s="302"/>
      <c r="I174" s="348" t="s">
        <v>4198</v>
      </c>
      <c r="J174" s="348"/>
      <c r="K174" s="348"/>
      <c r="L174" s="348"/>
      <c r="M174" s="348"/>
      <c r="N174" s="348"/>
      <c r="O174" s="348"/>
      <c r="P174" s="348"/>
      <c r="Q174" s="348"/>
      <c r="R174" s="348"/>
      <c r="S174" s="348"/>
      <c r="T174" s="348"/>
      <c r="U174" s="348"/>
      <c r="V174" s="348"/>
      <c r="W174" s="348"/>
      <c r="X174" s="302"/>
      <c r="Z174" s="221" t="s">
        <v>4163</v>
      </c>
      <c r="AA174" s="222" t="s">
        <v>29</v>
      </c>
      <c r="AB174" s="220" t="s">
        <v>32</v>
      </c>
      <c r="AC174" s="221" t="s">
        <v>33</v>
      </c>
      <c r="AD174" s="220" t="s">
        <v>34</v>
      </c>
      <c r="AE174" s="220" t="s">
        <v>4161</v>
      </c>
      <c r="AF174" s="220" t="s">
        <v>36</v>
      </c>
      <c r="AG174" s="221" t="s">
        <v>4164</v>
      </c>
      <c r="AI174" s="247" t="s">
        <v>4165</v>
      </c>
      <c r="AJ174" s="248" t="s">
        <v>35</v>
      </c>
      <c r="AK174" s="249" t="s">
        <v>4166</v>
      </c>
      <c r="AL174" s="282" t="s">
        <v>4167</v>
      </c>
    </row>
    <row r="175" spans="1:38">
      <c r="A175" s="218" t="s">
        <v>4168</v>
      </c>
      <c r="B175" s="213" t="s">
        <v>4169</v>
      </c>
      <c r="C175" s="219" t="s">
        <v>4170</v>
      </c>
      <c r="D175" s="219" t="s">
        <v>4171</v>
      </c>
      <c r="E175" s="219" t="s">
        <v>4172</v>
      </c>
      <c r="F175" s="219" t="s">
        <v>4173</v>
      </c>
      <c r="G175" s="219" t="s">
        <v>4174</v>
      </c>
      <c r="H175" s="219" t="s">
        <v>4175</v>
      </c>
      <c r="I175" s="219" t="s">
        <v>4176</v>
      </c>
      <c r="J175" s="219" t="s">
        <v>4177</v>
      </c>
      <c r="K175" s="219" t="s">
        <v>4178</v>
      </c>
      <c r="L175" s="219" t="s">
        <v>4179</v>
      </c>
      <c r="M175" s="219" t="s">
        <v>4180</v>
      </c>
      <c r="N175" s="226" t="s">
        <v>4181</v>
      </c>
      <c r="O175" s="219" t="s">
        <v>4182</v>
      </c>
      <c r="P175" s="213" t="s">
        <v>47</v>
      </c>
      <c r="Q175" s="231" t="s">
        <v>4183</v>
      </c>
      <c r="R175" s="219" t="s">
        <v>4184</v>
      </c>
      <c r="S175" s="219" t="s">
        <v>4185</v>
      </c>
      <c r="T175" s="219" t="s">
        <v>4186</v>
      </c>
      <c r="U175" s="219" t="s">
        <v>4187</v>
      </c>
      <c r="V175" s="219" t="s">
        <v>4188</v>
      </c>
      <c r="W175" s="219" t="s">
        <v>4189</v>
      </c>
      <c r="X175" s="110" t="s">
        <v>4190</v>
      </c>
      <c r="Z175" s="109" t="str">
        <f>IF(AC175&gt;0, COUNTIF(AC$175:AC$191, "&lt;"&amp;AC175) + COUNTIFS(AC$175:AC$191, AC175, AD$175:AD$191, "&lt;"&amp;AD175) + COUNTIFS(AC$175:AC$191, AC175, AD$175:AD$191, AD175, AA$175:AA$191, "&lt;"&amp;AA175) + 1, "TBD")</f>
        <v>TBD</v>
      </c>
      <c r="AA175" s="59" t="str" cm="1">
        <f t="array" ref="AA175">_xlfn._xlws.FILTER(Data[Date]:Data[Artist], (Data[Date]&gt;=DATE(2026,10,1))*(Data[Date]&lt;=DATE(2026,10,31))*(Data[Winner]=TRUE()), "TBD")</f>
        <v>TBD</v>
      </c>
      <c r="AG175" s="100" t="e">
        <f t="shared" ref="AG175:AG191" si="51">IF(Z175&gt;1, 2^FLOOR(LOG(Z175-1, 2), 1)+1, 1)</f>
        <v>#VALUE!</v>
      </c>
      <c r="AI175" s="280">
        <v>1</v>
      </c>
      <c r="AJ175" s="279" t="str">
        <f>P176</f>
        <v>-</v>
      </c>
      <c r="AK175" s="246" t="str">
        <f>IFERROR(VLOOKUP(Oct_2025_Results68[[#This Row],[Song Title]], $AE$175:$AG$191, 3, FALSE)-Oct_2025_Results68[[#This Row],[Result]], "TBD")</f>
        <v>TBD</v>
      </c>
      <c r="AL175" s="281" t="str">
        <f>IF(AK175&lt;0,"↓",IF(AK175=0,"-","↑"))</f>
        <v>↑</v>
      </c>
    </row>
    <row r="176" spans="1:38">
      <c r="A176" s="199" t="str">
        <f>_xlfn.CONCAT("Seed ", Oct_2026_SotM[[#This Row],[Top Seed]], " vs ",Oct_2026_SotM[[#This Row],[Low Seed]])</f>
        <v>Seed 1 vs 2</v>
      </c>
      <c r="B176" s="201">
        <v>1</v>
      </c>
      <c r="C176" s="200">
        <f>FLOOR(LOG(Oct_2026_SotM[[#This Row],[Num]], 2), 1)</f>
        <v>0</v>
      </c>
      <c r="D176" s="200">
        <f>2^(Oct_2026_SotM[[#This Row],[Round]]+1)</f>
        <v>2</v>
      </c>
      <c r="E176" s="200">
        <f>Oct_2026_SotM[[#This Row],[Max Seed]]-Oct_2026_SotM[[#This Row],[Num]]</f>
        <v>1</v>
      </c>
      <c r="F176" s="200">
        <f>Oct_2026_SotM[[#This Row],[Max Seed]]-Oct_2026_SotM[[#This Row],[Top Seed]]+1</f>
        <v>2</v>
      </c>
      <c r="G176" s="200" t="e">
        <f>IF(Oct_2026_SotM[[#This Row],[Round]]=$C$174, TRUE(), IF(Oct_2026_SotM[[#This Row],[Round]]=$B$174, Oct_2026_SotM[[#This Row],[Top Seed]]&lt;=2*Oct_2026_SotM[[#This Row],[Max Seed]]-$A$174, FALSE()))</f>
        <v>#NUM!</v>
      </c>
      <c r="H176" s="200" t="e">
        <f>IF(Oct_2026_SotM[[#This Row],[Round]]=$C$174, TRUE(), IF(Oct_2026_SotM[[#This Row],[Round]]=$B$174, Oct_2026_SotM[[#This Row],[Low Seed]]&lt;=2*Oct_2026_SotM[[#This Row],[Max Seed]]-$A$174, FALSE()))</f>
        <v>#NUM!</v>
      </c>
      <c r="I176" s="28"/>
      <c r="J176" s="31"/>
      <c r="K176" s="33"/>
      <c r="L176" s="35"/>
      <c r="M176" s="37"/>
      <c r="N176" s="203" t="str">
        <f ca="1">IF(Oct_2026_SotM[[#This Row],[Num]]&gt;=$A$174, "-", IF(Oct_2026_SotM[[#This Row],[Initial 1]], VLOOKUP(Oct_2026_SotM[[#This Row],[Top Seed]], $Z$175:$AE$191, 6, FALSE), OFFSET(Oct_2026_SotM[[#This Row],[Winner]], Oct_2026_SotM[[#This Row],[Max Seed]], 0)))</f>
        <v>-</v>
      </c>
      <c r="O176" s="200">
        <f>COUNTIF(Oct_2026_SotM[[#This Row],[J]:[H]],"x")</f>
        <v>0</v>
      </c>
      <c r="P176" s="201" t="str">
        <f>IF(Oct_2026_SotM[[#This Row],[Num]]&gt;=$A$174, "-", IF(Oct_2026_SotM[[#This Row],[Score 1]]&gt;=3, Oct_2026_SotM[[#This Row],[Song 1]], IF(Oct_2026_SotM[[#This Row],[Score 2]]&gt;=3, Oct_2026_SotM[[#This Row],[Song 2]], "TBD")))</f>
        <v>-</v>
      </c>
      <c r="Q176" s="206">
        <f>COUNTIF(Oct_2026_SotM[[#This Row],[H ]:[J ]],"x")</f>
        <v>0</v>
      </c>
      <c r="R176" s="200" t="str">
        <f ca="1">IF(Oct_2026_SotM[[#This Row],[Num]]&gt;=$A$174, "-", IF(Oct_2026_SotM[[#This Row],[Initial 2]], VLOOKUP(Oct_2026_SotM[[#This Row],[Low Seed]], $Z$175:$AE$191, 6, FALSE), OFFSET(Oct_2026_SotM[[#This Row],[Winner]], 2*(Oct_2026_SotM[[#This Row],[Max Seed]]-Oct_2026_SotM[[#This Row],[Low Seed]])+1, 0)))</f>
        <v>-</v>
      </c>
      <c r="S176" s="37"/>
      <c r="T176" s="35"/>
      <c r="U176" s="33"/>
      <c r="V176" s="31"/>
      <c r="W176" s="28"/>
      <c r="X176" s="106" t="str">
        <f ca="1">IF(OR(Oct_2026_SotM[[#This Row],[Song 1]]="TBD", Oct_2026_SotM[[#This Row],[Song 2]]="TBD"), "TBD", _xlfn.CONCAT(IF(_xlfn.XOR(ISBLANK(Oct_2026_SotM[[#This Row],[J]]), ISBLANK(Oct_2026_SotM[[#This Row],[J ]])), "", "J "), IF(_xlfn.XOR(ISBLANK(Oct_2026_SotM[[#This Row],[D]]), ISBLANK(Oct_2026_SotM[[#This Row],[D ]])), "", "D "), IF(_xlfn.XOR(ISBLANK(Oct_2026_SotM[[#This Row],[L]]), ISBLANK(Oct_2026_SotM[[#This Row],[L ]])), "", "L "), IF(_xlfn.XOR(ISBLANK(Oct_2026_SotM[[#This Row],[S]]), ISBLANK(Oct_2026_SotM[[#This Row],[S ]])), "", "S "), IF(_xlfn.XOR(ISBLANK(Oct_2026_SotM[[#This Row],[H]]), ISBLANK(Oct_2026_SotM[[#This Row],[H ]])), "", "H ")))</f>
        <v xml:space="preserve">J D L S H </v>
      </c>
      <c r="Z176" s="109" t="str">
        <f t="shared" ref="Z176:Z191" si="52">IF(AC176&gt;0, COUNTIF(AC$175:AC$191, "&lt;"&amp;AC176) + COUNTIFS(AC$175:AC$191, AC176, AD$175:AD$191, "&lt;"&amp;AD176) + COUNTIFS(AC$175:AC$191, AC176, AD$175:AD$191, AD176, AA$175:AA$191, "&lt;"&amp;AA176) + 1, "TBD")</f>
        <v>TBD</v>
      </c>
      <c r="AG176" s="100" t="e">
        <f t="shared" si="51"/>
        <v>#VALUE!</v>
      </c>
      <c r="AI176" s="280">
        <f>Oct_2026_SotM[[#This Row],[Max Seed]]/2 + 1</f>
        <v>2</v>
      </c>
      <c r="AJ176" s="279" t="str">
        <f>IF(Oct_2026_SotM[[#This Row],[Num]]&gt;=$A$174, "-", IF(Oct_2026_SotM[[#This Row],[Score 1]]&gt;=3, Oct_2026_SotM[[#This Row],[Song 2]], IF(Oct_2026_SotM[[#This Row],[Score 2]]&gt;=3, Oct_2026_SotM[[#This Row],[Song 1]], "TBD")))</f>
        <v>-</v>
      </c>
      <c r="AK176" s="246" t="str">
        <f>IFERROR(VLOOKUP(Oct_2025_Results68[[#This Row],[Song Title]], $AE$175:$AG$191, 3, FALSE)-Oct_2025_Results68[[#This Row],[Result]], "TBD")</f>
        <v>TBD</v>
      </c>
      <c r="AL176" s="281" t="str">
        <f>IF(AK176&lt;0,"↓",IF(AK176=0,"-","↑"))</f>
        <v>↑</v>
      </c>
    </row>
    <row r="177" spans="1:38">
      <c r="A177" s="199" t="str">
        <f>_xlfn.CONCAT("Seed ", Oct_2026_SotM[[#This Row],[Top Seed]], " vs ",Oct_2026_SotM[[#This Row],[Low Seed]])</f>
        <v>Seed 2 vs 3</v>
      </c>
      <c r="B177" s="201">
        <v>2</v>
      </c>
      <c r="C177" s="200">
        <f>FLOOR(LOG(Oct_2026_SotM[[#This Row],[Num]], 2), 1)</f>
        <v>1</v>
      </c>
      <c r="D177" s="200">
        <f>2^(Oct_2026_SotM[[#This Row],[Round]]+1)</f>
        <v>4</v>
      </c>
      <c r="E177" s="200">
        <f>Oct_2026_SotM[[#This Row],[Max Seed]]-Oct_2026_SotM[[#This Row],[Num]]</f>
        <v>2</v>
      </c>
      <c r="F177" s="200">
        <f>Oct_2026_SotM[[#This Row],[Max Seed]]-Oct_2026_SotM[[#This Row],[Top Seed]]+1</f>
        <v>3</v>
      </c>
      <c r="G177" s="200" t="e">
        <f>IF(Oct_2026_SotM[[#This Row],[Round]]=$C$174, TRUE(), IF(Oct_2026_SotM[[#This Row],[Round]]=$B$174, Oct_2026_SotM[[#This Row],[Top Seed]]&lt;=2*Oct_2026_SotM[[#This Row],[Max Seed]]-$A$174, FALSE()))</f>
        <v>#NUM!</v>
      </c>
      <c r="H177" s="200" t="e">
        <f>IF(Oct_2026_SotM[[#This Row],[Round]]=$C$174, TRUE(), IF(Oct_2026_SotM[[#This Row],[Round]]=$B$174, Oct_2026_SotM[[#This Row],[Low Seed]]&lt;=2*Oct_2026_SotM[[#This Row],[Max Seed]]-$A$174, FALSE()))</f>
        <v>#NUM!</v>
      </c>
      <c r="I177" s="28"/>
      <c r="J177" s="31"/>
      <c r="K177" s="33"/>
      <c r="L177" s="35"/>
      <c r="M177" s="37"/>
      <c r="N177" s="203" t="str">
        <f ca="1">IF(Oct_2026_SotM[[#This Row],[Num]]&gt;=$A$174, "-", IF(Oct_2026_SotM[[#This Row],[Initial 1]], VLOOKUP(Oct_2026_SotM[[#This Row],[Top Seed]], $Z$175:$AE$191, 6, FALSE), OFFSET(Oct_2026_SotM[[#This Row],[Winner]], Oct_2026_SotM[[#This Row],[Max Seed]], 0)))</f>
        <v>-</v>
      </c>
      <c r="O177" s="200">
        <f>COUNTIF(Oct_2026_SotM[[#This Row],[J]:[H]],"x")</f>
        <v>0</v>
      </c>
      <c r="P177" s="201" t="str">
        <f>IF(Oct_2026_SotM[[#This Row],[Num]]&gt;=$A$174, "-", IF(Oct_2026_SotM[[#This Row],[Score 1]]&gt;=3, Oct_2026_SotM[[#This Row],[Song 1]], IF(Oct_2026_SotM[[#This Row],[Score 2]]&gt;=3, Oct_2026_SotM[[#This Row],[Song 2]], "TBD")))</f>
        <v>-</v>
      </c>
      <c r="Q177" s="206">
        <f>COUNTIF(Oct_2026_SotM[[#This Row],[H ]:[J ]],"x")</f>
        <v>0</v>
      </c>
      <c r="R177" s="200" t="str">
        <f ca="1">IF(Oct_2026_SotM[[#This Row],[Num]]&gt;=$A$174, "-", IF(Oct_2026_SotM[[#This Row],[Initial 2]], VLOOKUP(Oct_2026_SotM[[#This Row],[Low Seed]], $Z$175:$AE$191, 6, FALSE), OFFSET(Oct_2026_SotM[[#This Row],[Winner]], 2*(Oct_2026_SotM[[#This Row],[Max Seed]]-Oct_2026_SotM[[#This Row],[Low Seed]])+1, 0)))</f>
        <v>-</v>
      </c>
      <c r="S177" s="37"/>
      <c r="T177" s="35"/>
      <c r="U177" s="33"/>
      <c r="V177" s="31"/>
      <c r="W177" s="28"/>
      <c r="X177" s="106" t="str">
        <f ca="1">IF(OR(Oct_2026_SotM[[#This Row],[Song 1]]="TBD", Oct_2026_SotM[[#This Row],[Song 2]]="TBD"), "TBD", _xlfn.CONCAT(IF(_xlfn.XOR(ISBLANK(Oct_2026_SotM[[#This Row],[J]]), ISBLANK(Oct_2026_SotM[[#This Row],[J ]])), "", "J "), IF(_xlfn.XOR(ISBLANK(Oct_2026_SotM[[#This Row],[D]]), ISBLANK(Oct_2026_SotM[[#This Row],[D ]])), "", "D "), IF(_xlfn.XOR(ISBLANK(Oct_2026_SotM[[#This Row],[L]]), ISBLANK(Oct_2026_SotM[[#This Row],[L ]])), "", "L "), IF(_xlfn.XOR(ISBLANK(Oct_2026_SotM[[#This Row],[S]]), ISBLANK(Oct_2026_SotM[[#This Row],[S ]])), "", "S "), IF(_xlfn.XOR(ISBLANK(Oct_2026_SotM[[#This Row],[H]]), ISBLANK(Oct_2026_SotM[[#This Row],[H ]])), "", "H ")))</f>
        <v xml:space="preserve">J D L S H </v>
      </c>
      <c r="Z177" s="109" t="str">
        <f t="shared" si="52"/>
        <v>TBD</v>
      </c>
      <c r="AG177" s="100" t="e">
        <f t="shared" si="51"/>
        <v>#VALUE!</v>
      </c>
      <c r="AI177" s="3">
        <f>Oct_2026_SotM[[#This Row],[Max Seed]]/2 + 1</f>
        <v>3</v>
      </c>
      <c r="AJ177" t="str">
        <f>IF(Oct_2026_SotM[[#This Row],[Num]]&gt;=$A$174, "-", IF(Oct_2026_SotM[[#This Row],[Score 1]]&gt;=3, Oct_2026_SotM[[#This Row],[Song 2]], IF(Oct_2026_SotM[[#This Row],[Score 2]]&gt;=3, Oct_2026_SotM[[#This Row],[Song 1]], "TBD")))</f>
        <v>-</v>
      </c>
      <c r="AK177" s="246" t="str">
        <f>IFERROR(VLOOKUP(Oct_2025_Results68[[#This Row],[Song Title]], $AE$175:$AG$191, 3, FALSE)-Oct_2025_Results68[[#This Row],[Result]], "TBD")</f>
        <v>TBD</v>
      </c>
      <c r="AL177" s="3" t="str">
        <f t="shared" ref="AL177:AL191" si="53">IF(AK177&lt;0,"↓",IF(AK177=0,"-","↑"))</f>
        <v>↑</v>
      </c>
    </row>
    <row r="178" spans="1:38">
      <c r="A178" s="199" t="str">
        <f>_xlfn.CONCAT("Seed ", Oct_2026_SotM[[#This Row],[Top Seed]], " vs ",Oct_2026_SotM[[#This Row],[Low Seed]])</f>
        <v>Seed 1 vs 4</v>
      </c>
      <c r="B178" s="201">
        <v>3</v>
      </c>
      <c r="C178" s="200">
        <f>FLOOR(LOG(Oct_2026_SotM[[#This Row],[Num]], 2), 1)</f>
        <v>1</v>
      </c>
      <c r="D178" s="200">
        <f>2^(Oct_2026_SotM[[#This Row],[Round]]+1)</f>
        <v>4</v>
      </c>
      <c r="E178" s="200">
        <f>Oct_2026_SotM[[#This Row],[Max Seed]]-Oct_2026_SotM[[#This Row],[Num]]</f>
        <v>1</v>
      </c>
      <c r="F178" s="200">
        <f>Oct_2026_SotM[[#This Row],[Max Seed]]-Oct_2026_SotM[[#This Row],[Top Seed]]+1</f>
        <v>4</v>
      </c>
      <c r="G178" s="200" t="e">
        <f>IF(Oct_2026_SotM[[#This Row],[Round]]=$C$174, TRUE(), IF(Oct_2026_SotM[[#This Row],[Round]]=$B$174, Oct_2026_SotM[[#This Row],[Top Seed]]&lt;=2*Oct_2026_SotM[[#This Row],[Max Seed]]-$A$174, FALSE()))</f>
        <v>#NUM!</v>
      </c>
      <c r="H178" s="200" t="e">
        <f>IF(Oct_2026_SotM[[#This Row],[Round]]=$C$174, TRUE(), IF(Oct_2026_SotM[[#This Row],[Round]]=$B$174, Oct_2026_SotM[[#This Row],[Low Seed]]&lt;=2*Oct_2026_SotM[[#This Row],[Max Seed]]-$A$174, FALSE()))</f>
        <v>#NUM!</v>
      </c>
      <c r="I178" s="28"/>
      <c r="J178" s="31"/>
      <c r="K178" s="33"/>
      <c r="L178" s="35"/>
      <c r="M178" s="37"/>
      <c r="N178" s="203" t="str">
        <f ca="1">IF(Oct_2026_SotM[[#This Row],[Num]]&gt;=$A$174, "-", IF(Oct_2026_SotM[[#This Row],[Initial 1]], VLOOKUP(Oct_2026_SotM[[#This Row],[Top Seed]], $Z$175:$AE$191, 6, FALSE), OFFSET(Oct_2026_SotM[[#This Row],[Winner]], Oct_2026_SotM[[#This Row],[Max Seed]], 0)))</f>
        <v>-</v>
      </c>
      <c r="O178" s="200">
        <f>COUNTIF(Oct_2026_SotM[[#This Row],[J]:[H]],"x")</f>
        <v>0</v>
      </c>
      <c r="P178" s="201" t="str">
        <f>IF(Oct_2026_SotM[[#This Row],[Num]]&gt;=$A$174, "-", IF(Oct_2026_SotM[[#This Row],[Score 1]]&gt;=3, Oct_2026_SotM[[#This Row],[Song 1]], IF(Oct_2026_SotM[[#This Row],[Score 2]]&gt;=3, Oct_2026_SotM[[#This Row],[Song 2]], "TBD")))</f>
        <v>-</v>
      </c>
      <c r="Q178" s="206">
        <f>COUNTIF(Oct_2026_SotM[[#This Row],[H ]:[J ]],"x")</f>
        <v>0</v>
      </c>
      <c r="R178" s="200" t="str">
        <f ca="1">IF(Oct_2026_SotM[[#This Row],[Num]]&gt;=$A$174, "-", IF(Oct_2026_SotM[[#This Row],[Initial 2]], VLOOKUP(Oct_2026_SotM[[#This Row],[Low Seed]], $Z$175:$AE$191, 6, FALSE), OFFSET(Oct_2026_SotM[[#This Row],[Winner]], 2*(Oct_2026_SotM[[#This Row],[Max Seed]]-Oct_2026_SotM[[#This Row],[Low Seed]])+1, 0)))</f>
        <v>-</v>
      </c>
      <c r="S178" s="37"/>
      <c r="T178" s="35"/>
      <c r="U178" s="33"/>
      <c r="V178" s="31"/>
      <c r="W178" s="28"/>
      <c r="X178" s="106" t="str">
        <f ca="1">IF(OR(Oct_2026_SotM[[#This Row],[Song 1]]="TBD", Oct_2026_SotM[[#This Row],[Song 2]]="TBD"), "TBD", _xlfn.CONCAT(IF(_xlfn.XOR(ISBLANK(Oct_2026_SotM[[#This Row],[J]]), ISBLANK(Oct_2026_SotM[[#This Row],[J ]])), "", "J "), IF(_xlfn.XOR(ISBLANK(Oct_2026_SotM[[#This Row],[D]]), ISBLANK(Oct_2026_SotM[[#This Row],[D ]])), "", "D "), IF(_xlfn.XOR(ISBLANK(Oct_2026_SotM[[#This Row],[L]]), ISBLANK(Oct_2026_SotM[[#This Row],[L ]])), "", "L "), IF(_xlfn.XOR(ISBLANK(Oct_2026_SotM[[#This Row],[S]]), ISBLANK(Oct_2026_SotM[[#This Row],[S ]])), "", "S "), IF(_xlfn.XOR(ISBLANK(Oct_2026_SotM[[#This Row],[H]]), ISBLANK(Oct_2026_SotM[[#This Row],[H ]])), "", "H ")))</f>
        <v xml:space="preserve">J D L S H </v>
      </c>
      <c r="Z178" s="109" t="str">
        <f t="shared" si="52"/>
        <v>TBD</v>
      </c>
      <c r="AG178" s="100" t="e">
        <f t="shared" si="51"/>
        <v>#VALUE!</v>
      </c>
      <c r="AI178" s="3">
        <f>Oct_2026_SotM[[#This Row],[Max Seed]]/2 + 1</f>
        <v>3</v>
      </c>
      <c r="AJ178" t="str">
        <f>IF(Oct_2026_SotM[[#This Row],[Num]]&gt;=$A$174, "-", IF(Oct_2026_SotM[[#This Row],[Score 1]]&gt;=3, Oct_2026_SotM[[#This Row],[Song 2]], IF(Oct_2026_SotM[[#This Row],[Score 2]]&gt;=3, Oct_2026_SotM[[#This Row],[Song 1]], "TBD")))</f>
        <v>-</v>
      </c>
      <c r="AK178" s="246" t="str">
        <f>IFERROR(VLOOKUP(Oct_2025_Results68[[#This Row],[Song Title]], $AE$175:$AG$191, 3, FALSE)-Oct_2025_Results68[[#This Row],[Result]], "TBD")</f>
        <v>TBD</v>
      </c>
      <c r="AL178" s="3" t="str">
        <f t="shared" si="53"/>
        <v>↑</v>
      </c>
    </row>
    <row r="179" spans="1:38">
      <c r="A179" s="199" t="str">
        <f>_xlfn.CONCAT("Seed ", Oct_2026_SotM[[#This Row],[Top Seed]], " vs ",Oct_2026_SotM[[#This Row],[Low Seed]])</f>
        <v>Seed 4 vs 5</v>
      </c>
      <c r="B179" s="201">
        <v>4</v>
      </c>
      <c r="C179" s="200">
        <f>FLOOR(LOG(Oct_2026_SotM[[#This Row],[Num]], 2), 1)</f>
        <v>2</v>
      </c>
      <c r="D179" s="200">
        <f>2^(Oct_2026_SotM[[#This Row],[Round]]+1)</f>
        <v>8</v>
      </c>
      <c r="E179" s="200">
        <f>Oct_2026_SotM[[#This Row],[Max Seed]]-Oct_2026_SotM[[#This Row],[Num]]</f>
        <v>4</v>
      </c>
      <c r="F179" s="200">
        <f>Oct_2026_SotM[[#This Row],[Max Seed]]-Oct_2026_SotM[[#This Row],[Top Seed]]+1</f>
        <v>5</v>
      </c>
      <c r="G179" s="200" t="e">
        <f>IF(Oct_2026_SotM[[#This Row],[Round]]=$C$174, TRUE(), IF(Oct_2026_SotM[[#This Row],[Round]]=$B$174, Oct_2026_SotM[[#This Row],[Top Seed]]&lt;=2*Oct_2026_SotM[[#This Row],[Max Seed]]-$A$174, FALSE()))</f>
        <v>#NUM!</v>
      </c>
      <c r="H179" s="200" t="e">
        <f>IF(Oct_2026_SotM[[#This Row],[Round]]=$C$174, TRUE(), IF(Oct_2026_SotM[[#This Row],[Round]]=$B$174, Oct_2026_SotM[[#This Row],[Low Seed]]&lt;=2*Oct_2026_SotM[[#This Row],[Max Seed]]-$A$174, FALSE()))</f>
        <v>#NUM!</v>
      </c>
      <c r="I179" s="28"/>
      <c r="J179" s="31"/>
      <c r="K179" s="33"/>
      <c r="L179" s="35"/>
      <c r="M179" s="37"/>
      <c r="N179" s="203" t="str">
        <f ca="1">IF(Oct_2026_SotM[[#This Row],[Num]]&gt;=$A$174, "-", IF(Oct_2026_SotM[[#This Row],[Initial 1]], VLOOKUP(Oct_2026_SotM[[#This Row],[Top Seed]], $Z$175:$AE$191, 6, FALSE), OFFSET(Oct_2026_SotM[[#This Row],[Winner]], Oct_2026_SotM[[#This Row],[Max Seed]], 0)))</f>
        <v>-</v>
      </c>
      <c r="O179" s="200">
        <f>COUNTIF(Oct_2026_SotM[[#This Row],[J]:[H]],"x")</f>
        <v>0</v>
      </c>
      <c r="P179" s="201" t="str">
        <f>IF(Oct_2026_SotM[[#This Row],[Num]]&gt;=$A$174, "-", IF(Oct_2026_SotM[[#This Row],[Score 1]]&gt;=3, Oct_2026_SotM[[#This Row],[Song 1]], IF(Oct_2026_SotM[[#This Row],[Score 2]]&gt;=3, Oct_2026_SotM[[#This Row],[Song 2]], "TBD")))</f>
        <v>-</v>
      </c>
      <c r="Q179" s="206">
        <f>COUNTIF(Oct_2026_SotM[[#This Row],[H ]:[J ]],"x")</f>
        <v>0</v>
      </c>
      <c r="R179" s="200" t="str">
        <f ca="1">IF(Oct_2026_SotM[[#This Row],[Num]]&gt;=$A$174, "-", IF(Oct_2026_SotM[[#This Row],[Initial 2]], VLOOKUP(Oct_2026_SotM[[#This Row],[Low Seed]], $Z$175:$AE$191, 6, FALSE), OFFSET(Oct_2026_SotM[[#This Row],[Winner]], 2*(Oct_2026_SotM[[#This Row],[Max Seed]]-Oct_2026_SotM[[#This Row],[Low Seed]])+1, 0)))</f>
        <v>-</v>
      </c>
      <c r="S179" s="37"/>
      <c r="T179" s="35"/>
      <c r="U179" s="33"/>
      <c r="V179" s="31"/>
      <c r="W179" s="28"/>
      <c r="X179" s="106" t="str">
        <f ca="1">IF(OR(Oct_2026_SotM[[#This Row],[Song 1]]="TBD", Oct_2026_SotM[[#This Row],[Song 2]]="TBD"), "TBD", _xlfn.CONCAT(IF(_xlfn.XOR(ISBLANK(Oct_2026_SotM[[#This Row],[J]]), ISBLANK(Oct_2026_SotM[[#This Row],[J ]])), "", "J "), IF(_xlfn.XOR(ISBLANK(Oct_2026_SotM[[#This Row],[D]]), ISBLANK(Oct_2026_SotM[[#This Row],[D ]])), "", "D "), IF(_xlfn.XOR(ISBLANK(Oct_2026_SotM[[#This Row],[L]]), ISBLANK(Oct_2026_SotM[[#This Row],[L ]])), "", "L "), IF(_xlfn.XOR(ISBLANK(Oct_2026_SotM[[#This Row],[S]]), ISBLANK(Oct_2026_SotM[[#This Row],[S ]])), "", "S "), IF(_xlfn.XOR(ISBLANK(Oct_2026_SotM[[#This Row],[H]]), ISBLANK(Oct_2026_SotM[[#This Row],[H ]])), "", "H ")))</f>
        <v xml:space="preserve">J D L S H </v>
      </c>
      <c r="Z179" s="109" t="str">
        <f t="shared" si="52"/>
        <v>TBD</v>
      </c>
      <c r="AG179" s="100" t="e">
        <f t="shared" si="51"/>
        <v>#VALUE!</v>
      </c>
      <c r="AI179" s="3">
        <f>Oct_2026_SotM[[#This Row],[Max Seed]]/2 + 1</f>
        <v>5</v>
      </c>
      <c r="AJ179" t="str">
        <f>IF(Oct_2026_SotM[[#This Row],[Num]]&gt;=$A$174, "-", IF(Oct_2026_SotM[[#This Row],[Score 1]]&gt;=3, Oct_2026_SotM[[#This Row],[Song 2]], IF(Oct_2026_SotM[[#This Row],[Score 2]]&gt;=3, Oct_2026_SotM[[#This Row],[Song 1]], "TBD")))</f>
        <v>-</v>
      </c>
      <c r="AK179" s="246" t="str">
        <f>IFERROR(VLOOKUP(Oct_2025_Results68[[#This Row],[Song Title]], $AE$175:$AG$191, 3, FALSE)-Oct_2025_Results68[[#This Row],[Result]], "TBD")</f>
        <v>TBD</v>
      </c>
      <c r="AL179" s="3" t="str">
        <f t="shared" si="53"/>
        <v>↑</v>
      </c>
    </row>
    <row r="180" spans="1:38">
      <c r="A180" s="199" t="str">
        <f>_xlfn.CONCAT("Seed ", Oct_2026_SotM[[#This Row],[Top Seed]], " vs ",Oct_2026_SotM[[#This Row],[Low Seed]])</f>
        <v>Seed 3 vs 6</v>
      </c>
      <c r="B180" s="201">
        <v>5</v>
      </c>
      <c r="C180" s="200">
        <f>FLOOR(LOG(Oct_2026_SotM[[#This Row],[Num]], 2), 1)</f>
        <v>2</v>
      </c>
      <c r="D180" s="200">
        <f>2^(Oct_2026_SotM[[#This Row],[Round]]+1)</f>
        <v>8</v>
      </c>
      <c r="E180" s="200">
        <f>Oct_2026_SotM[[#This Row],[Max Seed]]-Oct_2026_SotM[[#This Row],[Num]]</f>
        <v>3</v>
      </c>
      <c r="F180" s="200">
        <f>Oct_2026_SotM[[#This Row],[Max Seed]]-Oct_2026_SotM[[#This Row],[Top Seed]]+1</f>
        <v>6</v>
      </c>
      <c r="G180" s="200" t="e">
        <f>IF(Oct_2026_SotM[[#This Row],[Round]]=$C$174, TRUE(), IF(Oct_2026_SotM[[#This Row],[Round]]=$B$174, Oct_2026_SotM[[#This Row],[Top Seed]]&lt;=2*Oct_2026_SotM[[#This Row],[Max Seed]]-$A$174, FALSE()))</f>
        <v>#NUM!</v>
      </c>
      <c r="H180" s="200" t="e">
        <f>IF(Oct_2026_SotM[[#This Row],[Round]]=$C$174, TRUE(), IF(Oct_2026_SotM[[#This Row],[Round]]=$B$174, Oct_2026_SotM[[#This Row],[Low Seed]]&lt;=2*Oct_2026_SotM[[#This Row],[Max Seed]]-$A$174, FALSE()))</f>
        <v>#NUM!</v>
      </c>
      <c r="I180" s="28"/>
      <c r="J180" s="31"/>
      <c r="K180" s="33"/>
      <c r="L180" s="35"/>
      <c r="M180" s="37"/>
      <c r="N180" s="203" t="str">
        <f ca="1">IF(Oct_2026_SotM[[#This Row],[Num]]&gt;=$A$174, "-", IF(Oct_2026_SotM[[#This Row],[Initial 1]], VLOOKUP(Oct_2026_SotM[[#This Row],[Top Seed]], $Z$175:$AE$191, 6, FALSE), OFFSET(Oct_2026_SotM[[#This Row],[Winner]], Oct_2026_SotM[[#This Row],[Max Seed]], 0)))</f>
        <v>-</v>
      </c>
      <c r="O180" s="200">
        <f>COUNTIF(Oct_2026_SotM[[#This Row],[J]:[H]],"x")</f>
        <v>0</v>
      </c>
      <c r="P180" s="201" t="str">
        <f>IF(Oct_2026_SotM[[#This Row],[Num]]&gt;=$A$174, "-", IF(Oct_2026_SotM[[#This Row],[Score 1]]&gt;=3, Oct_2026_SotM[[#This Row],[Song 1]], IF(Oct_2026_SotM[[#This Row],[Score 2]]&gt;=3, Oct_2026_SotM[[#This Row],[Song 2]], "TBD")))</f>
        <v>-</v>
      </c>
      <c r="Q180" s="206">
        <f>COUNTIF(Oct_2026_SotM[[#This Row],[H ]:[J ]],"x")</f>
        <v>0</v>
      </c>
      <c r="R180" s="200" t="str">
        <f ca="1">IF(Oct_2026_SotM[[#This Row],[Num]]&gt;=$A$174, "-", IF(Oct_2026_SotM[[#This Row],[Initial 2]], VLOOKUP(Oct_2026_SotM[[#This Row],[Low Seed]], $Z$175:$AE$191, 6, FALSE), OFFSET(Oct_2026_SotM[[#This Row],[Winner]], 2*(Oct_2026_SotM[[#This Row],[Max Seed]]-Oct_2026_SotM[[#This Row],[Low Seed]])+1, 0)))</f>
        <v>-</v>
      </c>
      <c r="S180" s="37"/>
      <c r="T180" s="35"/>
      <c r="U180" s="33"/>
      <c r="V180" s="31"/>
      <c r="W180" s="28"/>
      <c r="X180" s="106" t="str">
        <f ca="1">IF(OR(Oct_2026_SotM[[#This Row],[Song 1]]="TBD", Oct_2026_SotM[[#This Row],[Song 2]]="TBD"), "TBD", _xlfn.CONCAT(IF(_xlfn.XOR(ISBLANK(Oct_2026_SotM[[#This Row],[J]]), ISBLANK(Oct_2026_SotM[[#This Row],[J ]])), "", "J "), IF(_xlfn.XOR(ISBLANK(Oct_2026_SotM[[#This Row],[D]]), ISBLANK(Oct_2026_SotM[[#This Row],[D ]])), "", "D "), IF(_xlfn.XOR(ISBLANK(Oct_2026_SotM[[#This Row],[L]]), ISBLANK(Oct_2026_SotM[[#This Row],[L ]])), "", "L "), IF(_xlfn.XOR(ISBLANK(Oct_2026_SotM[[#This Row],[S]]), ISBLANK(Oct_2026_SotM[[#This Row],[S ]])), "", "S "), IF(_xlfn.XOR(ISBLANK(Oct_2026_SotM[[#This Row],[H]]), ISBLANK(Oct_2026_SotM[[#This Row],[H ]])), "", "H ")))</f>
        <v xml:space="preserve">J D L S H </v>
      </c>
      <c r="Z180" s="109" t="str">
        <f t="shared" si="52"/>
        <v>TBD</v>
      </c>
      <c r="AG180" s="100" t="e">
        <f t="shared" si="51"/>
        <v>#VALUE!</v>
      </c>
      <c r="AI180" s="3">
        <f>Oct_2026_SotM[[#This Row],[Max Seed]]/2 + 1</f>
        <v>5</v>
      </c>
      <c r="AJ180" t="str">
        <f>IF(Oct_2026_SotM[[#This Row],[Num]]&gt;=$A$174, "-", IF(Oct_2026_SotM[[#This Row],[Score 1]]&gt;=3, Oct_2026_SotM[[#This Row],[Song 2]], IF(Oct_2026_SotM[[#This Row],[Score 2]]&gt;=3, Oct_2026_SotM[[#This Row],[Song 1]], "TBD")))</f>
        <v>-</v>
      </c>
      <c r="AK180" s="246" t="str">
        <f>IFERROR(VLOOKUP(Oct_2025_Results68[[#This Row],[Song Title]], $AE$175:$AG$191, 3, FALSE)-Oct_2025_Results68[[#This Row],[Result]], "TBD")</f>
        <v>TBD</v>
      </c>
      <c r="AL180" s="3" t="str">
        <f t="shared" si="53"/>
        <v>↑</v>
      </c>
    </row>
    <row r="181" spans="1:38">
      <c r="A181" s="199" t="str">
        <f>_xlfn.CONCAT("Seed ", Oct_2026_SotM[[#This Row],[Top Seed]], " vs ",Oct_2026_SotM[[#This Row],[Low Seed]])</f>
        <v>Seed 2 vs 7</v>
      </c>
      <c r="B181" s="201">
        <v>6</v>
      </c>
      <c r="C181" s="200">
        <f>FLOOR(LOG(Oct_2026_SotM[[#This Row],[Num]], 2), 1)</f>
        <v>2</v>
      </c>
      <c r="D181" s="200">
        <f>2^(Oct_2026_SotM[[#This Row],[Round]]+1)</f>
        <v>8</v>
      </c>
      <c r="E181" s="200">
        <f>Oct_2026_SotM[[#This Row],[Max Seed]]-Oct_2026_SotM[[#This Row],[Num]]</f>
        <v>2</v>
      </c>
      <c r="F181" s="200">
        <f>Oct_2026_SotM[[#This Row],[Max Seed]]-Oct_2026_SotM[[#This Row],[Top Seed]]+1</f>
        <v>7</v>
      </c>
      <c r="G181" s="200" t="e">
        <f>IF(Oct_2026_SotM[[#This Row],[Round]]=$C$174, TRUE(), IF(Oct_2026_SotM[[#This Row],[Round]]=$B$174, Oct_2026_SotM[[#This Row],[Top Seed]]&lt;=2*Oct_2026_SotM[[#This Row],[Max Seed]]-$A$174, FALSE()))</f>
        <v>#NUM!</v>
      </c>
      <c r="H181" s="200" t="e">
        <f>IF(Oct_2026_SotM[[#This Row],[Round]]=$C$174, TRUE(), IF(Oct_2026_SotM[[#This Row],[Round]]=$B$174, Oct_2026_SotM[[#This Row],[Low Seed]]&lt;=2*Oct_2026_SotM[[#This Row],[Max Seed]]-$A$174, FALSE()))</f>
        <v>#NUM!</v>
      </c>
      <c r="I181" s="28"/>
      <c r="J181" s="31"/>
      <c r="K181" s="33"/>
      <c r="L181" s="35"/>
      <c r="M181" s="37"/>
      <c r="N181" s="203" t="str">
        <f ca="1">IF(Oct_2026_SotM[[#This Row],[Num]]&gt;=$A$174, "-", IF(Oct_2026_SotM[[#This Row],[Initial 1]], VLOOKUP(Oct_2026_SotM[[#This Row],[Top Seed]], $Z$175:$AE$191, 6, FALSE), OFFSET(Oct_2026_SotM[[#This Row],[Winner]], Oct_2026_SotM[[#This Row],[Max Seed]], 0)))</f>
        <v>-</v>
      </c>
      <c r="O181" s="200">
        <f>COUNTIF(Oct_2026_SotM[[#This Row],[J]:[H]],"x")</f>
        <v>0</v>
      </c>
      <c r="P181" s="201" t="str">
        <f>IF(Oct_2026_SotM[[#This Row],[Num]]&gt;=$A$174, "-", IF(Oct_2026_SotM[[#This Row],[Score 1]]&gt;=3, Oct_2026_SotM[[#This Row],[Song 1]], IF(Oct_2026_SotM[[#This Row],[Score 2]]&gt;=3, Oct_2026_SotM[[#This Row],[Song 2]], "TBD")))</f>
        <v>-</v>
      </c>
      <c r="Q181" s="206">
        <f>COUNTIF(Oct_2026_SotM[[#This Row],[H ]:[J ]],"x")</f>
        <v>0</v>
      </c>
      <c r="R181" s="200" t="str">
        <f ca="1">IF(Oct_2026_SotM[[#This Row],[Num]]&gt;=$A$174, "-", IF(Oct_2026_SotM[[#This Row],[Initial 2]], VLOOKUP(Oct_2026_SotM[[#This Row],[Low Seed]], $Z$175:$AE$191, 6, FALSE), OFFSET(Oct_2026_SotM[[#This Row],[Winner]], 2*(Oct_2026_SotM[[#This Row],[Max Seed]]-Oct_2026_SotM[[#This Row],[Low Seed]])+1, 0)))</f>
        <v>-</v>
      </c>
      <c r="S181" s="37"/>
      <c r="T181" s="35"/>
      <c r="U181" s="33"/>
      <c r="V181" s="31"/>
      <c r="W181" s="28"/>
      <c r="X181" s="106" t="str">
        <f ca="1">IF(OR(Oct_2026_SotM[[#This Row],[Song 1]]="TBD", Oct_2026_SotM[[#This Row],[Song 2]]="TBD"), "TBD", _xlfn.CONCAT(IF(_xlfn.XOR(ISBLANK(Oct_2026_SotM[[#This Row],[J]]), ISBLANK(Oct_2026_SotM[[#This Row],[J ]])), "", "J "), IF(_xlfn.XOR(ISBLANK(Oct_2026_SotM[[#This Row],[D]]), ISBLANK(Oct_2026_SotM[[#This Row],[D ]])), "", "D "), IF(_xlfn.XOR(ISBLANK(Oct_2026_SotM[[#This Row],[L]]), ISBLANK(Oct_2026_SotM[[#This Row],[L ]])), "", "L "), IF(_xlfn.XOR(ISBLANK(Oct_2026_SotM[[#This Row],[S]]), ISBLANK(Oct_2026_SotM[[#This Row],[S ]])), "", "S "), IF(_xlfn.XOR(ISBLANK(Oct_2026_SotM[[#This Row],[H]]), ISBLANK(Oct_2026_SotM[[#This Row],[H ]])), "", "H ")))</f>
        <v xml:space="preserve">J D L S H </v>
      </c>
      <c r="Z181" s="109" t="str">
        <f t="shared" si="52"/>
        <v>TBD</v>
      </c>
      <c r="AG181" s="100" t="e">
        <f t="shared" si="51"/>
        <v>#VALUE!</v>
      </c>
      <c r="AI181" s="3">
        <f>Oct_2026_SotM[[#This Row],[Max Seed]]/2 + 1</f>
        <v>5</v>
      </c>
      <c r="AJ181" t="str">
        <f>IF(Oct_2026_SotM[[#This Row],[Num]]&gt;=$A$174, "-", IF(Oct_2026_SotM[[#This Row],[Score 1]]&gt;=3, Oct_2026_SotM[[#This Row],[Song 2]], IF(Oct_2026_SotM[[#This Row],[Score 2]]&gt;=3, Oct_2026_SotM[[#This Row],[Song 1]], "TBD")))</f>
        <v>-</v>
      </c>
      <c r="AK181" s="246" t="str">
        <f>IFERROR(VLOOKUP(Oct_2025_Results68[[#This Row],[Song Title]], $AE$175:$AG$191, 3, FALSE)-Oct_2025_Results68[[#This Row],[Result]], "TBD")</f>
        <v>TBD</v>
      </c>
      <c r="AL181" s="3" t="str">
        <f t="shared" si="53"/>
        <v>↑</v>
      </c>
    </row>
    <row r="182" spans="1:38">
      <c r="A182" s="199" t="str">
        <f>_xlfn.CONCAT("Seed ", Oct_2026_SotM[[#This Row],[Top Seed]], " vs ",Oct_2026_SotM[[#This Row],[Low Seed]])</f>
        <v>Seed 1 vs 8</v>
      </c>
      <c r="B182" s="201">
        <v>7</v>
      </c>
      <c r="C182" s="200">
        <f>FLOOR(LOG(Oct_2026_SotM[[#This Row],[Num]], 2), 1)</f>
        <v>2</v>
      </c>
      <c r="D182" s="200">
        <f>2^(Oct_2026_SotM[[#This Row],[Round]]+1)</f>
        <v>8</v>
      </c>
      <c r="E182" s="200">
        <f>Oct_2026_SotM[[#This Row],[Max Seed]]-Oct_2026_SotM[[#This Row],[Num]]</f>
        <v>1</v>
      </c>
      <c r="F182" s="200">
        <f>Oct_2026_SotM[[#This Row],[Max Seed]]-Oct_2026_SotM[[#This Row],[Top Seed]]+1</f>
        <v>8</v>
      </c>
      <c r="G182" s="200" t="e">
        <f>IF(Oct_2026_SotM[[#This Row],[Round]]=$C$174, TRUE(), IF(Oct_2026_SotM[[#This Row],[Round]]=$B$174, Oct_2026_SotM[[#This Row],[Top Seed]]&lt;=2*Oct_2026_SotM[[#This Row],[Max Seed]]-$A$174, FALSE()))</f>
        <v>#NUM!</v>
      </c>
      <c r="H182" s="200" t="e">
        <f>IF(Oct_2026_SotM[[#This Row],[Round]]=$C$174, TRUE(), IF(Oct_2026_SotM[[#This Row],[Round]]=$B$174, Oct_2026_SotM[[#This Row],[Low Seed]]&lt;=2*Oct_2026_SotM[[#This Row],[Max Seed]]-$A$174, FALSE()))</f>
        <v>#NUM!</v>
      </c>
      <c r="I182" s="28"/>
      <c r="J182" s="31"/>
      <c r="K182" s="33"/>
      <c r="L182" s="35"/>
      <c r="M182" s="37"/>
      <c r="N182" s="203" t="str">
        <f ca="1">IF(Oct_2026_SotM[[#This Row],[Num]]&gt;=$A$174, "-", IF(Oct_2026_SotM[[#This Row],[Initial 1]], VLOOKUP(Oct_2026_SotM[[#This Row],[Top Seed]], $Z$175:$AE$191, 6, FALSE), OFFSET(Oct_2026_SotM[[#This Row],[Winner]], Oct_2026_SotM[[#This Row],[Max Seed]], 0)))</f>
        <v>-</v>
      </c>
      <c r="O182" s="200">
        <f>COUNTIF(Oct_2026_SotM[[#This Row],[J]:[H]],"x")</f>
        <v>0</v>
      </c>
      <c r="P182" s="201" t="str">
        <f>IF(Oct_2026_SotM[[#This Row],[Num]]&gt;=$A$174, "-", IF(Oct_2026_SotM[[#This Row],[Score 1]]&gt;=3, Oct_2026_SotM[[#This Row],[Song 1]], IF(Oct_2026_SotM[[#This Row],[Score 2]]&gt;=3, Oct_2026_SotM[[#This Row],[Song 2]], "TBD")))</f>
        <v>-</v>
      </c>
      <c r="Q182" s="206">
        <f>COUNTIF(Oct_2026_SotM[[#This Row],[H ]:[J ]],"x")</f>
        <v>0</v>
      </c>
      <c r="R182" s="200" t="str">
        <f ca="1">IF(Oct_2026_SotM[[#This Row],[Num]]&gt;=$A$174, "-", IF(Oct_2026_SotM[[#This Row],[Initial 2]], VLOOKUP(Oct_2026_SotM[[#This Row],[Low Seed]], $Z$175:$AE$191, 6, FALSE), OFFSET(Oct_2026_SotM[[#This Row],[Winner]], 2*(Oct_2026_SotM[[#This Row],[Max Seed]]-Oct_2026_SotM[[#This Row],[Low Seed]])+1, 0)))</f>
        <v>-</v>
      </c>
      <c r="S182" s="37"/>
      <c r="T182" s="35"/>
      <c r="U182" s="33"/>
      <c r="V182" s="31"/>
      <c r="W182" s="28"/>
      <c r="X182" s="106" t="str">
        <f ca="1">IF(OR(Oct_2026_SotM[[#This Row],[Song 1]]="TBD", Oct_2026_SotM[[#This Row],[Song 2]]="TBD"), "TBD", _xlfn.CONCAT(IF(_xlfn.XOR(ISBLANK(Oct_2026_SotM[[#This Row],[J]]), ISBLANK(Oct_2026_SotM[[#This Row],[J ]])), "", "J "), IF(_xlfn.XOR(ISBLANK(Oct_2026_SotM[[#This Row],[D]]), ISBLANK(Oct_2026_SotM[[#This Row],[D ]])), "", "D "), IF(_xlfn.XOR(ISBLANK(Oct_2026_SotM[[#This Row],[L]]), ISBLANK(Oct_2026_SotM[[#This Row],[L ]])), "", "L "), IF(_xlfn.XOR(ISBLANK(Oct_2026_SotM[[#This Row],[S]]), ISBLANK(Oct_2026_SotM[[#This Row],[S ]])), "", "S "), IF(_xlfn.XOR(ISBLANK(Oct_2026_SotM[[#This Row],[H]]), ISBLANK(Oct_2026_SotM[[#This Row],[H ]])), "", "H ")))</f>
        <v xml:space="preserve">J D L S H </v>
      </c>
      <c r="Z182" s="109" t="str">
        <f t="shared" si="52"/>
        <v>TBD</v>
      </c>
      <c r="AG182" s="100" t="e">
        <f t="shared" si="51"/>
        <v>#VALUE!</v>
      </c>
      <c r="AI182" s="3">
        <f>Oct_2026_SotM[[#This Row],[Max Seed]]/2 + 1</f>
        <v>5</v>
      </c>
      <c r="AJ182" t="str">
        <f>IF(Oct_2026_SotM[[#This Row],[Num]]&gt;=$A$174, "-", IF(Oct_2026_SotM[[#This Row],[Score 1]]&gt;=3, Oct_2026_SotM[[#This Row],[Song 2]], IF(Oct_2026_SotM[[#This Row],[Score 2]]&gt;=3, Oct_2026_SotM[[#This Row],[Song 1]], "TBD")))</f>
        <v>-</v>
      </c>
      <c r="AK182" s="246" t="str">
        <f>IFERROR(VLOOKUP(Oct_2025_Results68[[#This Row],[Song Title]], $AE$175:$AG$191, 3, FALSE)-Oct_2025_Results68[[#This Row],[Result]], "TBD")</f>
        <v>TBD</v>
      </c>
      <c r="AL182" s="3" t="str">
        <f t="shared" si="53"/>
        <v>↑</v>
      </c>
    </row>
    <row r="183" spans="1:38">
      <c r="A183" s="199" t="str">
        <f>_xlfn.CONCAT("Seed ", Oct_2026_SotM[[#This Row],[Top Seed]], " vs ",Oct_2026_SotM[[#This Row],[Low Seed]])</f>
        <v>Seed 8 vs 9</v>
      </c>
      <c r="B183" s="201">
        <v>8</v>
      </c>
      <c r="C183" s="200">
        <f>FLOOR(LOG(Oct_2026_SotM[[#This Row],[Num]], 2), 1)</f>
        <v>3</v>
      </c>
      <c r="D183" s="200">
        <f>2^(Oct_2026_SotM[[#This Row],[Round]]+1)</f>
        <v>16</v>
      </c>
      <c r="E183" s="200">
        <f>Oct_2026_SotM[[#This Row],[Max Seed]]-Oct_2026_SotM[[#This Row],[Num]]</f>
        <v>8</v>
      </c>
      <c r="F183" s="200">
        <f>Oct_2026_SotM[[#This Row],[Max Seed]]-Oct_2026_SotM[[#This Row],[Top Seed]]+1</f>
        <v>9</v>
      </c>
      <c r="G183" s="200" t="e">
        <f>IF(Oct_2026_SotM[[#This Row],[Round]]=$C$174, TRUE(), IF(Oct_2026_SotM[[#This Row],[Round]]=$B$174, Oct_2026_SotM[[#This Row],[Top Seed]]&lt;=2*Oct_2026_SotM[[#This Row],[Max Seed]]-$A$174, FALSE()))</f>
        <v>#NUM!</v>
      </c>
      <c r="H183" s="200" t="e">
        <f>IF(Oct_2026_SotM[[#This Row],[Round]]=$C$174, TRUE(), IF(Oct_2026_SotM[[#This Row],[Round]]=$B$174, Oct_2026_SotM[[#This Row],[Low Seed]]&lt;=2*Oct_2026_SotM[[#This Row],[Max Seed]]-$A$174, FALSE()))</f>
        <v>#NUM!</v>
      </c>
      <c r="I183" s="28"/>
      <c r="J183" s="31"/>
      <c r="K183" s="33"/>
      <c r="L183" s="35"/>
      <c r="M183" s="37"/>
      <c r="N183" s="203" t="str">
        <f ca="1">IF(Oct_2026_SotM[[#This Row],[Num]]&gt;=$A$174, "-", IF(Oct_2026_SotM[[#This Row],[Initial 1]], VLOOKUP(Oct_2026_SotM[[#This Row],[Top Seed]], $Z$175:$AE$191, 6, FALSE), OFFSET(Oct_2026_SotM[[#This Row],[Winner]], Oct_2026_SotM[[#This Row],[Max Seed]], 0)))</f>
        <v>-</v>
      </c>
      <c r="O183" s="200">
        <f>COUNTIF(Oct_2026_SotM[[#This Row],[J]:[H]],"x")</f>
        <v>0</v>
      </c>
      <c r="P183" s="201" t="str">
        <f>IF(Oct_2026_SotM[[#This Row],[Num]]&gt;=$A$174, "-", IF(Oct_2026_SotM[[#This Row],[Score 1]]&gt;=3, Oct_2026_SotM[[#This Row],[Song 1]], IF(Oct_2026_SotM[[#This Row],[Score 2]]&gt;=3, Oct_2026_SotM[[#This Row],[Song 2]], "TBD")))</f>
        <v>-</v>
      </c>
      <c r="Q183" s="206">
        <f>COUNTIF(Oct_2026_SotM[[#This Row],[H ]:[J ]],"x")</f>
        <v>0</v>
      </c>
      <c r="R183" s="200" t="str">
        <f ca="1">IF(Oct_2026_SotM[[#This Row],[Num]]&gt;=$A$174, "-", IF(Oct_2026_SotM[[#This Row],[Initial 2]], VLOOKUP(Oct_2026_SotM[[#This Row],[Low Seed]], $Z$175:$AE$191, 6, FALSE), OFFSET(Oct_2026_SotM[[#This Row],[Winner]], 2*(Oct_2026_SotM[[#This Row],[Max Seed]]-Oct_2026_SotM[[#This Row],[Low Seed]])+1, 0)))</f>
        <v>-</v>
      </c>
      <c r="S183" s="37"/>
      <c r="T183" s="35"/>
      <c r="U183" s="33"/>
      <c r="V183" s="31"/>
      <c r="W183" s="28"/>
      <c r="X183" s="106" t="str">
        <f ca="1">IF(OR(Oct_2026_SotM[[#This Row],[Song 1]]="TBD", Oct_2026_SotM[[#This Row],[Song 2]]="TBD"), "TBD", _xlfn.CONCAT(IF(_xlfn.XOR(ISBLANK(Oct_2026_SotM[[#This Row],[J]]), ISBLANK(Oct_2026_SotM[[#This Row],[J ]])), "", "J "), IF(_xlfn.XOR(ISBLANK(Oct_2026_SotM[[#This Row],[D]]), ISBLANK(Oct_2026_SotM[[#This Row],[D ]])), "", "D "), IF(_xlfn.XOR(ISBLANK(Oct_2026_SotM[[#This Row],[L]]), ISBLANK(Oct_2026_SotM[[#This Row],[L ]])), "", "L "), IF(_xlfn.XOR(ISBLANK(Oct_2026_SotM[[#This Row],[S]]), ISBLANK(Oct_2026_SotM[[#This Row],[S ]])), "", "S "), IF(_xlfn.XOR(ISBLANK(Oct_2026_SotM[[#This Row],[H]]), ISBLANK(Oct_2026_SotM[[#This Row],[H ]])), "", "H ")))</f>
        <v xml:space="preserve">J D L S H </v>
      </c>
      <c r="Z183" s="109" t="str">
        <f t="shared" si="52"/>
        <v>TBD</v>
      </c>
      <c r="AG183" s="100" t="e">
        <f t="shared" si="51"/>
        <v>#VALUE!</v>
      </c>
      <c r="AI183" s="3">
        <f>Oct_2026_SotM[[#This Row],[Max Seed]]/2 + 1</f>
        <v>9</v>
      </c>
      <c r="AJ183" t="str">
        <f>IF(Oct_2026_SotM[[#This Row],[Num]]&gt;=$A$174, "-", IF(Oct_2026_SotM[[#This Row],[Score 1]]&gt;=3, Oct_2026_SotM[[#This Row],[Song 2]], IF(Oct_2026_SotM[[#This Row],[Score 2]]&gt;=3, Oct_2026_SotM[[#This Row],[Song 1]], "TBD")))</f>
        <v>-</v>
      </c>
      <c r="AK183" s="246" t="str">
        <f>IFERROR(VLOOKUP(Oct_2025_Results68[[#This Row],[Song Title]], $AE$175:$AG$191, 3, FALSE)-Oct_2025_Results68[[#This Row],[Result]], "TBD")</f>
        <v>TBD</v>
      </c>
      <c r="AL183" s="3" t="str">
        <f t="shared" si="53"/>
        <v>↑</v>
      </c>
    </row>
    <row r="184" spans="1:38">
      <c r="A184" s="199" t="str">
        <f>_xlfn.CONCAT("Seed ", Oct_2026_SotM[[#This Row],[Top Seed]], " vs ",Oct_2026_SotM[[#This Row],[Low Seed]])</f>
        <v>Seed 7 vs 10</v>
      </c>
      <c r="B184" s="201">
        <v>9</v>
      </c>
      <c r="C184" s="200">
        <f>FLOOR(LOG(Oct_2026_SotM[[#This Row],[Num]], 2), 1)</f>
        <v>3</v>
      </c>
      <c r="D184" s="200">
        <f>2^(Oct_2026_SotM[[#This Row],[Round]]+1)</f>
        <v>16</v>
      </c>
      <c r="E184" s="200">
        <f>Oct_2026_SotM[[#This Row],[Max Seed]]-Oct_2026_SotM[[#This Row],[Num]]</f>
        <v>7</v>
      </c>
      <c r="F184" s="200">
        <f>Oct_2026_SotM[[#This Row],[Max Seed]]-Oct_2026_SotM[[#This Row],[Top Seed]]+1</f>
        <v>10</v>
      </c>
      <c r="G184" s="200" t="e">
        <f>IF(Oct_2026_SotM[[#This Row],[Round]]=$C$174, TRUE(), IF(Oct_2026_SotM[[#This Row],[Round]]=$B$174, Oct_2026_SotM[[#This Row],[Top Seed]]&lt;=2*Oct_2026_SotM[[#This Row],[Max Seed]]-$A$174, FALSE()))</f>
        <v>#NUM!</v>
      </c>
      <c r="H184" s="200" t="e">
        <f>IF(Oct_2026_SotM[[#This Row],[Round]]=$C$174, TRUE(), IF(Oct_2026_SotM[[#This Row],[Round]]=$B$174, Oct_2026_SotM[[#This Row],[Low Seed]]&lt;=2*Oct_2026_SotM[[#This Row],[Max Seed]]-$A$174, FALSE()))</f>
        <v>#NUM!</v>
      </c>
      <c r="I184" s="28"/>
      <c r="J184" s="31"/>
      <c r="K184" s="33"/>
      <c r="L184" s="35"/>
      <c r="M184" s="37"/>
      <c r="N184" s="203" t="str">
        <f ca="1">IF(Oct_2026_SotM[[#This Row],[Num]]&gt;=$A$174, "-", IF(Oct_2026_SotM[[#This Row],[Initial 1]], VLOOKUP(Oct_2026_SotM[[#This Row],[Top Seed]], $Z$175:$AE$191, 6, FALSE), OFFSET(Oct_2026_SotM[[#This Row],[Winner]], Oct_2026_SotM[[#This Row],[Max Seed]], 0)))</f>
        <v>-</v>
      </c>
      <c r="O184" s="200">
        <f>COUNTIF(Oct_2026_SotM[[#This Row],[J]:[H]],"x")</f>
        <v>0</v>
      </c>
      <c r="P184" s="201" t="str">
        <f>IF(Oct_2026_SotM[[#This Row],[Num]]&gt;=$A$174, "-", IF(Oct_2026_SotM[[#This Row],[Score 1]]&gt;=3, Oct_2026_SotM[[#This Row],[Song 1]], IF(Oct_2026_SotM[[#This Row],[Score 2]]&gt;=3, Oct_2026_SotM[[#This Row],[Song 2]], "TBD")))</f>
        <v>-</v>
      </c>
      <c r="Q184" s="206">
        <f>COUNTIF(Oct_2026_SotM[[#This Row],[H ]:[J ]],"x")</f>
        <v>0</v>
      </c>
      <c r="R184" s="200" t="str">
        <f ca="1">IF(Oct_2026_SotM[[#This Row],[Num]]&gt;=$A$174, "-", IF(Oct_2026_SotM[[#This Row],[Initial 2]], VLOOKUP(Oct_2026_SotM[[#This Row],[Low Seed]], $Z$175:$AE$191, 6, FALSE), OFFSET(Oct_2026_SotM[[#This Row],[Winner]], 2*(Oct_2026_SotM[[#This Row],[Max Seed]]-Oct_2026_SotM[[#This Row],[Low Seed]])+1, 0)))</f>
        <v>-</v>
      </c>
      <c r="S184" s="37"/>
      <c r="T184" s="35"/>
      <c r="U184" s="33"/>
      <c r="V184" s="31"/>
      <c r="W184" s="28"/>
      <c r="X184" s="106" t="str">
        <f ca="1">IF(OR(Oct_2026_SotM[[#This Row],[Song 1]]="TBD", Oct_2026_SotM[[#This Row],[Song 2]]="TBD"), "TBD", _xlfn.CONCAT(IF(_xlfn.XOR(ISBLANK(Oct_2026_SotM[[#This Row],[J]]), ISBLANK(Oct_2026_SotM[[#This Row],[J ]])), "", "J "), IF(_xlfn.XOR(ISBLANK(Oct_2026_SotM[[#This Row],[D]]), ISBLANK(Oct_2026_SotM[[#This Row],[D ]])), "", "D "), IF(_xlfn.XOR(ISBLANK(Oct_2026_SotM[[#This Row],[L]]), ISBLANK(Oct_2026_SotM[[#This Row],[L ]])), "", "L "), IF(_xlfn.XOR(ISBLANK(Oct_2026_SotM[[#This Row],[S]]), ISBLANK(Oct_2026_SotM[[#This Row],[S ]])), "", "S "), IF(_xlfn.XOR(ISBLANK(Oct_2026_SotM[[#This Row],[H]]), ISBLANK(Oct_2026_SotM[[#This Row],[H ]])), "", "H ")))</f>
        <v xml:space="preserve">J D L S H </v>
      </c>
      <c r="Z184" s="109" t="str">
        <f t="shared" si="52"/>
        <v>TBD</v>
      </c>
      <c r="AG184" s="100" t="e">
        <f t="shared" si="51"/>
        <v>#VALUE!</v>
      </c>
      <c r="AI184" s="3">
        <f>Oct_2026_SotM[[#This Row],[Max Seed]]/2 + 1</f>
        <v>9</v>
      </c>
      <c r="AJ184" t="str">
        <f>IF(Oct_2026_SotM[[#This Row],[Num]]&gt;=$A$174, "-", IF(Oct_2026_SotM[[#This Row],[Score 1]]&gt;=3, Oct_2026_SotM[[#This Row],[Song 2]], IF(Oct_2026_SotM[[#This Row],[Score 2]]&gt;=3, Oct_2026_SotM[[#This Row],[Song 1]], "TBD")))</f>
        <v>-</v>
      </c>
      <c r="AK184" s="246" t="str">
        <f>IFERROR(VLOOKUP(Oct_2025_Results68[[#This Row],[Song Title]], $AE$175:$AG$191, 3, FALSE)-Oct_2025_Results68[[#This Row],[Result]], "TBD")</f>
        <v>TBD</v>
      </c>
      <c r="AL184" s="3" t="str">
        <f t="shared" si="53"/>
        <v>↑</v>
      </c>
    </row>
    <row r="185" spans="1:38">
      <c r="A185" s="199" t="str">
        <f>_xlfn.CONCAT("Seed ", Oct_2026_SotM[[#This Row],[Top Seed]], " vs ",Oct_2026_SotM[[#This Row],[Low Seed]])</f>
        <v>Seed 6 vs 11</v>
      </c>
      <c r="B185" s="201">
        <v>10</v>
      </c>
      <c r="C185" s="200">
        <f>FLOOR(LOG(Oct_2026_SotM[[#This Row],[Num]], 2), 1)</f>
        <v>3</v>
      </c>
      <c r="D185" s="200">
        <f>2^(Oct_2026_SotM[[#This Row],[Round]]+1)</f>
        <v>16</v>
      </c>
      <c r="E185" s="200">
        <f>Oct_2026_SotM[[#This Row],[Max Seed]]-Oct_2026_SotM[[#This Row],[Num]]</f>
        <v>6</v>
      </c>
      <c r="F185" s="200">
        <f>Oct_2026_SotM[[#This Row],[Max Seed]]-Oct_2026_SotM[[#This Row],[Top Seed]]+1</f>
        <v>11</v>
      </c>
      <c r="G185" s="200" t="e">
        <f>IF(Oct_2026_SotM[[#This Row],[Round]]=$C$174, TRUE(), IF(Oct_2026_SotM[[#This Row],[Round]]=$B$174, Oct_2026_SotM[[#This Row],[Top Seed]]&lt;=2*Oct_2026_SotM[[#This Row],[Max Seed]]-$A$174, FALSE()))</f>
        <v>#NUM!</v>
      </c>
      <c r="H185" s="200" t="e">
        <f>IF(Oct_2026_SotM[[#This Row],[Round]]=$C$174, TRUE(), IF(Oct_2026_SotM[[#This Row],[Round]]=$B$174, Oct_2026_SotM[[#This Row],[Low Seed]]&lt;=2*Oct_2026_SotM[[#This Row],[Max Seed]]-$A$174, FALSE()))</f>
        <v>#NUM!</v>
      </c>
      <c r="I185" s="28"/>
      <c r="J185" s="31"/>
      <c r="K185" s="33"/>
      <c r="L185" s="35"/>
      <c r="M185" s="37"/>
      <c r="N185" s="203" t="str">
        <f ca="1">IF(Oct_2026_SotM[[#This Row],[Num]]&gt;=$A$174, "-", IF(Oct_2026_SotM[[#This Row],[Initial 1]], VLOOKUP(Oct_2026_SotM[[#This Row],[Top Seed]], $Z$175:$AE$191, 6, FALSE), OFFSET(Oct_2026_SotM[[#This Row],[Winner]], Oct_2026_SotM[[#This Row],[Max Seed]], 0)))</f>
        <v>-</v>
      </c>
      <c r="O185" s="200">
        <f>COUNTIF(Oct_2026_SotM[[#This Row],[J]:[H]],"x")</f>
        <v>0</v>
      </c>
      <c r="P185" s="201" t="str">
        <f>IF(Oct_2026_SotM[[#This Row],[Num]]&gt;=$A$174, "-", IF(Oct_2026_SotM[[#This Row],[Score 1]]&gt;=3, Oct_2026_SotM[[#This Row],[Song 1]], IF(Oct_2026_SotM[[#This Row],[Score 2]]&gt;=3, Oct_2026_SotM[[#This Row],[Song 2]], "TBD")))</f>
        <v>-</v>
      </c>
      <c r="Q185" s="206">
        <f>COUNTIF(Oct_2026_SotM[[#This Row],[H ]:[J ]],"x")</f>
        <v>0</v>
      </c>
      <c r="R185" s="200" t="str">
        <f ca="1">IF(Oct_2026_SotM[[#This Row],[Num]]&gt;=$A$174, "-", IF(Oct_2026_SotM[[#This Row],[Initial 2]], VLOOKUP(Oct_2026_SotM[[#This Row],[Low Seed]], $Z$175:$AE$191, 6, FALSE), OFFSET(Oct_2026_SotM[[#This Row],[Winner]], 2*(Oct_2026_SotM[[#This Row],[Max Seed]]-Oct_2026_SotM[[#This Row],[Low Seed]])+1, 0)))</f>
        <v>-</v>
      </c>
      <c r="S185" s="37"/>
      <c r="T185" s="35"/>
      <c r="U185" s="33"/>
      <c r="V185" s="31"/>
      <c r="W185" s="28"/>
      <c r="X185" s="106" t="str">
        <f ca="1">IF(OR(Oct_2026_SotM[[#This Row],[Song 1]]="TBD", Oct_2026_SotM[[#This Row],[Song 2]]="TBD"), "TBD", _xlfn.CONCAT(IF(_xlfn.XOR(ISBLANK(Oct_2026_SotM[[#This Row],[J]]), ISBLANK(Oct_2026_SotM[[#This Row],[J ]])), "", "J "), IF(_xlfn.XOR(ISBLANK(Oct_2026_SotM[[#This Row],[D]]), ISBLANK(Oct_2026_SotM[[#This Row],[D ]])), "", "D "), IF(_xlfn.XOR(ISBLANK(Oct_2026_SotM[[#This Row],[L]]), ISBLANK(Oct_2026_SotM[[#This Row],[L ]])), "", "L "), IF(_xlfn.XOR(ISBLANK(Oct_2026_SotM[[#This Row],[S]]), ISBLANK(Oct_2026_SotM[[#This Row],[S ]])), "", "S "), IF(_xlfn.XOR(ISBLANK(Oct_2026_SotM[[#This Row],[H]]), ISBLANK(Oct_2026_SotM[[#This Row],[H ]])), "", "H ")))</f>
        <v xml:space="preserve">J D L S H </v>
      </c>
      <c r="Z185" s="109" t="str">
        <f t="shared" si="52"/>
        <v>TBD</v>
      </c>
      <c r="AG185" s="100" t="e">
        <f t="shared" si="51"/>
        <v>#VALUE!</v>
      </c>
      <c r="AI185" s="3">
        <f>Oct_2026_SotM[[#This Row],[Max Seed]]/2 + 1</f>
        <v>9</v>
      </c>
      <c r="AJ185" t="str">
        <f>IF(Oct_2026_SotM[[#This Row],[Num]]&gt;=$A$174, "-", IF(Oct_2026_SotM[[#This Row],[Score 1]]&gt;=3, Oct_2026_SotM[[#This Row],[Song 2]], IF(Oct_2026_SotM[[#This Row],[Score 2]]&gt;=3, Oct_2026_SotM[[#This Row],[Song 1]], "TBD")))</f>
        <v>-</v>
      </c>
      <c r="AK185" s="246" t="str">
        <f>IFERROR(VLOOKUP(Oct_2025_Results68[[#This Row],[Song Title]], $AE$175:$AG$191, 3, FALSE)-Oct_2025_Results68[[#This Row],[Result]], "TBD")</f>
        <v>TBD</v>
      </c>
      <c r="AL185" s="3" t="str">
        <f t="shared" si="53"/>
        <v>↑</v>
      </c>
    </row>
    <row r="186" spans="1:38">
      <c r="A186" s="199" t="str">
        <f>_xlfn.CONCAT("Seed ", Oct_2026_SotM[[#This Row],[Top Seed]], " vs ",Oct_2026_SotM[[#This Row],[Low Seed]])</f>
        <v>Seed 5 vs 12</v>
      </c>
      <c r="B186" s="201">
        <v>11</v>
      </c>
      <c r="C186" s="200">
        <f>FLOOR(LOG(Oct_2026_SotM[[#This Row],[Num]], 2), 1)</f>
        <v>3</v>
      </c>
      <c r="D186" s="200">
        <f>2^(Oct_2026_SotM[[#This Row],[Round]]+1)</f>
        <v>16</v>
      </c>
      <c r="E186" s="200">
        <f>Oct_2026_SotM[[#This Row],[Max Seed]]-Oct_2026_SotM[[#This Row],[Num]]</f>
        <v>5</v>
      </c>
      <c r="F186" s="200">
        <f>Oct_2026_SotM[[#This Row],[Max Seed]]-Oct_2026_SotM[[#This Row],[Top Seed]]+1</f>
        <v>12</v>
      </c>
      <c r="G186" s="200" t="e">
        <f>IF(Oct_2026_SotM[[#This Row],[Round]]=$C$174, TRUE(), IF(Oct_2026_SotM[[#This Row],[Round]]=$B$174, Oct_2026_SotM[[#This Row],[Top Seed]]&lt;=2*Oct_2026_SotM[[#This Row],[Max Seed]]-$A$174, FALSE()))</f>
        <v>#NUM!</v>
      </c>
      <c r="H186" s="200" t="e">
        <f>IF(Oct_2026_SotM[[#This Row],[Round]]=$C$174, TRUE(), IF(Oct_2026_SotM[[#This Row],[Round]]=$B$174, Oct_2026_SotM[[#This Row],[Low Seed]]&lt;=2*Oct_2026_SotM[[#This Row],[Max Seed]]-$A$174, FALSE()))</f>
        <v>#NUM!</v>
      </c>
      <c r="I186" s="28"/>
      <c r="J186" s="31"/>
      <c r="K186" s="33"/>
      <c r="L186" s="35"/>
      <c r="M186" s="37"/>
      <c r="N186" s="203" t="str">
        <f ca="1">IF(Oct_2026_SotM[[#This Row],[Num]]&gt;=$A$174, "-", IF(Oct_2026_SotM[[#This Row],[Initial 1]], VLOOKUP(Oct_2026_SotM[[#This Row],[Top Seed]], $Z$175:$AE$191, 6, FALSE), OFFSET(Oct_2026_SotM[[#This Row],[Winner]], Oct_2026_SotM[[#This Row],[Max Seed]], 0)))</f>
        <v>-</v>
      </c>
      <c r="O186" s="200">
        <f>COUNTIF(Oct_2026_SotM[[#This Row],[J]:[H]],"x")</f>
        <v>0</v>
      </c>
      <c r="P186" s="201" t="str">
        <f>IF(Oct_2026_SotM[[#This Row],[Num]]&gt;=$A$174, "-", IF(Oct_2026_SotM[[#This Row],[Score 1]]&gt;=3, Oct_2026_SotM[[#This Row],[Song 1]], IF(Oct_2026_SotM[[#This Row],[Score 2]]&gt;=3, Oct_2026_SotM[[#This Row],[Song 2]], "TBD")))</f>
        <v>-</v>
      </c>
      <c r="Q186" s="206">
        <f>COUNTIF(Oct_2026_SotM[[#This Row],[H ]:[J ]],"x")</f>
        <v>0</v>
      </c>
      <c r="R186" s="200" t="str">
        <f ca="1">IF(Oct_2026_SotM[[#This Row],[Num]]&gt;=$A$174, "-", IF(Oct_2026_SotM[[#This Row],[Initial 2]], VLOOKUP(Oct_2026_SotM[[#This Row],[Low Seed]], $Z$175:$AE$191, 6, FALSE), OFFSET(Oct_2026_SotM[[#This Row],[Winner]], 2*(Oct_2026_SotM[[#This Row],[Max Seed]]-Oct_2026_SotM[[#This Row],[Low Seed]])+1, 0)))</f>
        <v>-</v>
      </c>
      <c r="S186" s="37"/>
      <c r="T186" s="35"/>
      <c r="U186" s="33"/>
      <c r="V186" s="31"/>
      <c r="W186" s="28"/>
      <c r="X186" s="106" t="str">
        <f ca="1">IF(OR(Oct_2026_SotM[[#This Row],[Song 1]]="TBD", Oct_2026_SotM[[#This Row],[Song 2]]="TBD"), "TBD", _xlfn.CONCAT(IF(_xlfn.XOR(ISBLANK(Oct_2026_SotM[[#This Row],[J]]), ISBLANK(Oct_2026_SotM[[#This Row],[J ]])), "", "J "), IF(_xlfn.XOR(ISBLANK(Oct_2026_SotM[[#This Row],[D]]), ISBLANK(Oct_2026_SotM[[#This Row],[D ]])), "", "D "), IF(_xlfn.XOR(ISBLANK(Oct_2026_SotM[[#This Row],[L]]), ISBLANK(Oct_2026_SotM[[#This Row],[L ]])), "", "L "), IF(_xlfn.XOR(ISBLANK(Oct_2026_SotM[[#This Row],[S]]), ISBLANK(Oct_2026_SotM[[#This Row],[S ]])), "", "S "), IF(_xlfn.XOR(ISBLANK(Oct_2026_SotM[[#This Row],[H]]), ISBLANK(Oct_2026_SotM[[#This Row],[H ]])), "", "H ")))</f>
        <v xml:space="preserve">J D L S H </v>
      </c>
      <c r="Z186" s="109" t="str">
        <f t="shared" si="52"/>
        <v>TBD</v>
      </c>
      <c r="AG186" s="100" t="e">
        <f t="shared" si="51"/>
        <v>#VALUE!</v>
      </c>
      <c r="AI186" s="3">
        <f>Oct_2026_SotM[[#This Row],[Max Seed]]/2 + 1</f>
        <v>9</v>
      </c>
      <c r="AJ186" t="str">
        <f>IF(Oct_2026_SotM[[#This Row],[Num]]&gt;=$A$174, "-", IF(Oct_2026_SotM[[#This Row],[Score 1]]&gt;=3, Oct_2026_SotM[[#This Row],[Song 2]], IF(Oct_2026_SotM[[#This Row],[Score 2]]&gt;=3, Oct_2026_SotM[[#This Row],[Song 1]], "TBD")))</f>
        <v>-</v>
      </c>
      <c r="AK186" s="246" t="str">
        <f>IFERROR(VLOOKUP(Oct_2025_Results68[[#This Row],[Song Title]], $AE$175:$AG$191, 3, FALSE)-Oct_2025_Results68[[#This Row],[Result]], "TBD")</f>
        <v>TBD</v>
      </c>
      <c r="AL186" s="3" t="str">
        <f t="shared" si="53"/>
        <v>↑</v>
      </c>
    </row>
    <row r="187" spans="1:38">
      <c r="A187" s="199" t="str">
        <f>_xlfn.CONCAT("Seed ", Oct_2026_SotM[[#This Row],[Top Seed]], " vs ",Oct_2026_SotM[[#This Row],[Low Seed]])</f>
        <v>Seed 4 vs 13</v>
      </c>
      <c r="B187" s="201">
        <v>12</v>
      </c>
      <c r="C187" s="200">
        <f>FLOOR(LOG(Oct_2026_SotM[[#This Row],[Num]], 2), 1)</f>
        <v>3</v>
      </c>
      <c r="D187" s="200">
        <f>2^(Oct_2026_SotM[[#This Row],[Round]]+1)</f>
        <v>16</v>
      </c>
      <c r="E187" s="200">
        <f>Oct_2026_SotM[[#This Row],[Max Seed]]-Oct_2026_SotM[[#This Row],[Num]]</f>
        <v>4</v>
      </c>
      <c r="F187" s="200">
        <f>Oct_2026_SotM[[#This Row],[Max Seed]]-Oct_2026_SotM[[#This Row],[Top Seed]]+1</f>
        <v>13</v>
      </c>
      <c r="G187" s="200" t="e">
        <f>IF(Oct_2026_SotM[[#This Row],[Round]]=$C$174, TRUE(), IF(Oct_2026_SotM[[#This Row],[Round]]=$B$174, Oct_2026_SotM[[#This Row],[Top Seed]]&lt;=2*Oct_2026_SotM[[#This Row],[Max Seed]]-$A$174, FALSE()))</f>
        <v>#NUM!</v>
      </c>
      <c r="H187" s="200" t="e">
        <f>IF(Oct_2026_SotM[[#This Row],[Round]]=$C$174, TRUE(), IF(Oct_2026_SotM[[#This Row],[Round]]=$B$174, Oct_2026_SotM[[#This Row],[Low Seed]]&lt;=2*Oct_2026_SotM[[#This Row],[Max Seed]]-$A$174, FALSE()))</f>
        <v>#NUM!</v>
      </c>
      <c r="I187" s="28"/>
      <c r="J187" s="31"/>
      <c r="K187" s="33"/>
      <c r="L187" s="35"/>
      <c r="M187" s="37"/>
      <c r="N187" s="203" t="str">
        <f ca="1">IF(Oct_2026_SotM[[#This Row],[Num]]&gt;=$A$174, "-", IF(Oct_2026_SotM[[#This Row],[Initial 1]], VLOOKUP(Oct_2026_SotM[[#This Row],[Top Seed]], $Z$175:$AE$191, 6, FALSE), OFFSET(Oct_2026_SotM[[#This Row],[Winner]], Oct_2026_SotM[[#This Row],[Max Seed]], 0)))</f>
        <v>-</v>
      </c>
      <c r="O187" s="200">
        <f>COUNTIF(Oct_2026_SotM[[#This Row],[J]:[H]],"x")</f>
        <v>0</v>
      </c>
      <c r="P187" s="201" t="str">
        <f>IF(Oct_2026_SotM[[#This Row],[Num]]&gt;=$A$174, "-", IF(Oct_2026_SotM[[#This Row],[Score 1]]&gt;=3, Oct_2026_SotM[[#This Row],[Song 1]], IF(Oct_2026_SotM[[#This Row],[Score 2]]&gt;=3, Oct_2026_SotM[[#This Row],[Song 2]], "TBD")))</f>
        <v>-</v>
      </c>
      <c r="Q187" s="206">
        <f>COUNTIF(Oct_2026_SotM[[#This Row],[H ]:[J ]],"x")</f>
        <v>0</v>
      </c>
      <c r="R187" s="200" t="str">
        <f ca="1">IF(Oct_2026_SotM[[#This Row],[Num]]&gt;=$A$174, "-", IF(Oct_2026_SotM[[#This Row],[Initial 2]], VLOOKUP(Oct_2026_SotM[[#This Row],[Low Seed]], $Z$175:$AE$191, 6, FALSE), OFFSET(Oct_2026_SotM[[#This Row],[Winner]], 2*(Oct_2026_SotM[[#This Row],[Max Seed]]-Oct_2026_SotM[[#This Row],[Low Seed]])+1, 0)))</f>
        <v>-</v>
      </c>
      <c r="S187" s="37"/>
      <c r="T187" s="35"/>
      <c r="U187" s="33"/>
      <c r="V187" s="31"/>
      <c r="W187" s="28"/>
      <c r="X187" s="106" t="str">
        <f ca="1">IF(OR(Oct_2026_SotM[[#This Row],[Song 1]]="TBD", Oct_2026_SotM[[#This Row],[Song 2]]="TBD"), "TBD", _xlfn.CONCAT(IF(_xlfn.XOR(ISBLANK(Oct_2026_SotM[[#This Row],[J]]), ISBLANK(Oct_2026_SotM[[#This Row],[J ]])), "", "J "), IF(_xlfn.XOR(ISBLANK(Oct_2026_SotM[[#This Row],[D]]), ISBLANK(Oct_2026_SotM[[#This Row],[D ]])), "", "D "), IF(_xlfn.XOR(ISBLANK(Oct_2026_SotM[[#This Row],[L]]), ISBLANK(Oct_2026_SotM[[#This Row],[L ]])), "", "L "), IF(_xlfn.XOR(ISBLANK(Oct_2026_SotM[[#This Row],[S]]), ISBLANK(Oct_2026_SotM[[#This Row],[S ]])), "", "S "), IF(_xlfn.XOR(ISBLANK(Oct_2026_SotM[[#This Row],[H]]), ISBLANK(Oct_2026_SotM[[#This Row],[H ]])), "", "H ")))</f>
        <v xml:space="preserve">J D L S H </v>
      </c>
      <c r="Z187" s="109" t="str">
        <f t="shared" si="52"/>
        <v>TBD</v>
      </c>
      <c r="AG187" s="100" t="e">
        <f t="shared" si="51"/>
        <v>#VALUE!</v>
      </c>
      <c r="AI187" s="3">
        <f>Oct_2026_SotM[[#This Row],[Max Seed]]/2 + 1</f>
        <v>9</v>
      </c>
      <c r="AJ187" t="str">
        <f>IF(Oct_2026_SotM[[#This Row],[Num]]&gt;=$A$174, "-", IF(Oct_2026_SotM[[#This Row],[Score 1]]&gt;=3, Oct_2026_SotM[[#This Row],[Song 2]], IF(Oct_2026_SotM[[#This Row],[Score 2]]&gt;=3, Oct_2026_SotM[[#This Row],[Song 1]], "TBD")))</f>
        <v>-</v>
      </c>
      <c r="AK187" s="246" t="str">
        <f>IFERROR(VLOOKUP(Oct_2025_Results68[[#This Row],[Song Title]], $AE$175:$AG$191, 3, FALSE)-Oct_2025_Results68[[#This Row],[Result]], "TBD")</f>
        <v>TBD</v>
      </c>
      <c r="AL187" s="3" t="str">
        <f t="shared" si="53"/>
        <v>↑</v>
      </c>
    </row>
    <row r="188" spans="1:38">
      <c r="A188" s="199" t="str">
        <f>_xlfn.CONCAT("Seed ", Oct_2026_SotM[[#This Row],[Top Seed]], " vs ",Oct_2026_SotM[[#This Row],[Low Seed]])</f>
        <v>Seed 3 vs 14</v>
      </c>
      <c r="B188" s="201">
        <v>13</v>
      </c>
      <c r="C188" s="200">
        <f>FLOOR(LOG(Oct_2026_SotM[[#This Row],[Num]], 2), 1)</f>
        <v>3</v>
      </c>
      <c r="D188" s="200">
        <f>2^(Oct_2026_SotM[[#This Row],[Round]]+1)</f>
        <v>16</v>
      </c>
      <c r="E188" s="200">
        <f>Oct_2026_SotM[[#This Row],[Max Seed]]-Oct_2026_SotM[[#This Row],[Num]]</f>
        <v>3</v>
      </c>
      <c r="F188" s="200">
        <f>Oct_2026_SotM[[#This Row],[Max Seed]]-Oct_2026_SotM[[#This Row],[Top Seed]]+1</f>
        <v>14</v>
      </c>
      <c r="G188" s="200" t="e">
        <f>IF(Oct_2026_SotM[[#This Row],[Round]]=$C$174, TRUE(), IF(Oct_2026_SotM[[#This Row],[Round]]=$B$174, Oct_2026_SotM[[#This Row],[Top Seed]]&lt;=2*Oct_2026_SotM[[#This Row],[Max Seed]]-$A$174, FALSE()))</f>
        <v>#NUM!</v>
      </c>
      <c r="H188" s="200" t="e">
        <f>IF(Oct_2026_SotM[[#This Row],[Round]]=$C$174, TRUE(), IF(Oct_2026_SotM[[#This Row],[Round]]=$B$174, Oct_2026_SotM[[#This Row],[Low Seed]]&lt;=2*Oct_2026_SotM[[#This Row],[Max Seed]]-$A$174, FALSE()))</f>
        <v>#NUM!</v>
      </c>
      <c r="I188" s="28"/>
      <c r="J188" s="31"/>
      <c r="K188" s="33"/>
      <c r="L188" s="35"/>
      <c r="M188" s="37"/>
      <c r="N188" s="203" t="str">
        <f ca="1">IF(Oct_2026_SotM[[#This Row],[Num]]&gt;=$A$174, "-", IF(Oct_2026_SotM[[#This Row],[Initial 1]], VLOOKUP(Oct_2026_SotM[[#This Row],[Top Seed]], $Z$175:$AE$191, 6, FALSE), OFFSET(Oct_2026_SotM[[#This Row],[Winner]], Oct_2026_SotM[[#This Row],[Max Seed]], 0)))</f>
        <v>-</v>
      </c>
      <c r="O188" s="200">
        <f>COUNTIF(Oct_2026_SotM[[#This Row],[J]:[H]],"x")</f>
        <v>0</v>
      </c>
      <c r="P188" s="201" t="str">
        <f>IF(Oct_2026_SotM[[#This Row],[Num]]&gt;=$A$174, "-", IF(Oct_2026_SotM[[#This Row],[Score 1]]&gt;=3, Oct_2026_SotM[[#This Row],[Song 1]], IF(Oct_2026_SotM[[#This Row],[Score 2]]&gt;=3, Oct_2026_SotM[[#This Row],[Song 2]], "TBD")))</f>
        <v>-</v>
      </c>
      <c r="Q188" s="206">
        <f>COUNTIF(Oct_2026_SotM[[#This Row],[H ]:[J ]],"x")</f>
        <v>0</v>
      </c>
      <c r="R188" s="200" t="str">
        <f ca="1">IF(Oct_2026_SotM[[#This Row],[Num]]&gt;=$A$174, "-", IF(Oct_2026_SotM[[#This Row],[Initial 2]], VLOOKUP(Oct_2026_SotM[[#This Row],[Low Seed]], $Z$175:$AE$191, 6, FALSE), OFFSET(Oct_2026_SotM[[#This Row],[Winner]], 2*(Oct_2026_SotM[[#This Row],[Max Seed]]-Oct_2026_SotM[[#This Row],[Low Seed]])+1, 0)))</f>
        <v>-</v>
      </c>
      <c r="S188" s="37"/>
      <c r="T188" s="35"/>
      <c r="U188" s="33"/>
      <c r="V188" s="31"/>
      <c r="W188" s="28"/>
      <c r="X188" s="106" t="str">
        <f ca="1">IF(OR(Oct_2026_SotM[[#This Row],[Song 1]]="TBD", Oct_2026_SotM[[#This Row],[Song 2]]="TBD"), "TBD", _xlfn.CONCAT(IF(_xlfn.XOR(ISBLANK(Oct_2026_SotM[[#This Row],[J]]), ISBLANK(Oct_2026_SotM[[#This Row],[J ]])), "", "J "), IF(_xlfn.XOR(ISBLANK(Oct_2026_SotM[[#This Row],[D]]), ISBLANK(Oct_2026_SotM[[#This Row],[D ]])), "", "D "), IF(_xlfn.XOR(ISBLANK(Oct_2026_SotM[[#This Row],[L]]), ISBLANK(Oct_2026_SotM[[#This Row],[L ]])), "", "L "), IF(_xlfn.XOR(ISBLANK(Oct_2026_SotM[[#This Row],[S]]), ISBLANK(Oct_2026_SotM[[#This Row],[S ]])), "", "S "), IF(_xlfn.XOR(ISBLANK(Oct_2026_SotM[[#This Row],[H]]), ISBLANK(Oct_2026_SotM[[#This Row],[H ]])), "", "H ")))</f>
        <v xml:space="preserve">J D L S H </v>
      </c>
      <c r="Z188" s="109" t="str">
        <f t="shared" si="52"/>
        <v>TBD</v>
      </c>
      <c r="AG188" s="100" t="e">
        <f t="shared" si="51"/>
        <v>#VALUE!</v>
      </c>
      <c r="AI188" s="3">
        <f>Oct_2026_SotM[[#This Row],[Max Seed]]/2 + 1</f>
        <v>9</v>
      </c>
      <c r="AJ188" t="str">
        <f>IF(Oct_2026_SotM[[#This Row],[Num]]&gt;=$A$174, "-", IF(Oct_2026_SotM[[#This Row],[Score 1]]&gt;=3, Oct_2026_SotM[[#This Row],[Song 2]], IF(Oct_2026_SotM[[#This Row],[Score 2]]&gt;=3, Oct_2026_SotM[[#This Row],[Song 1]], "TBD")))</f>
        <v>-</v>
      </c>
      <c r="AK188" s="246" t="str">
        <f>IFERROR(VLOOKUP(Oct_2025_Results68[[#This Row],[Song Title]], $AE$175:$AG$191, 3, FALSE)-Oct_2025_Results68[[#This Row],[Result]], "TBD")</f>
        <v>TBD</v>
      </c>
      <c r="AL188" s="3" t="str">
        <f t="shared" si="53"/>
        <v>↑</v>
      </c>
    </row>
    <row r="189" spans="1:38">
      <c r="A189" s="199" t="str">
        <f>_xlfn.CONCAT("Seed ", Oct_2026_SotM[[#This Row],[Top Seed]], " vs ",Oct_2026_SotM[[#This Row],[Low Seed]])</f>
        <v>Seed 2 vs 15</v>
      </c>
      <c r="B189" s="201">
        <v>14</v>
      </c>
      <c r="C189" s="200">
        <f>FLOOR(LOG(Oct_2026_SotM[[#This Row],[Num]], 2), 1)</f>
        <v>3</v>
      </c>
      <c r="D189" s="200">
        <f>2^(Oct_2026_SotM[[#This Row],[Round]]+1)</f>
        <v>16</v>
      </c>
      <c r="E189" s="200">
        <f>Oct_2026_SotM[[#This Row],[Max Seed]]-Oct_2026_SotM[[#This Row],[Num]]</f>
        <v>2</v>
      </c>
      <c r="F189" s="200">
        <f>Oct_2026_SotM[[#This Row],[Max Seed]]-Oct_2026_SotM[[#This Row],[Top Seed]]+1</f>
        <v>15</v>
      </c>
      <c r="G189" s="200" t="e">
        <f>IF(Oct_2026_SotM[[#This Row],[Round]]=$C$174, TRUE(), IF(Oct_2026_SotM[[#This Row],[Round]]=$B$174, Oct_2026_SotM[[#This Row],[Top Seed]]&lt;=2*Oct_2026_SotM[[#This Row],[Max Seed]]-$A$174, FALSE()))</f>
        <v>#NUM!</v>
      </c>
      <c r="H189" s="200" t="e">
        <f>IF(Oct_2026_SotM[[#This Row],[Round]]=$C$174, TRUE(), IF(Oct_2026_SotM[[#This Row],[Round]]=$B$174, Oct_2026_SotM[[#This Row],[Low Seed]]&lt;=2*Oct_2026_SotM[[#This Row],[Max Seed]]-$A$174, FALSE()))</f>
        <v>#NUM!</v>
      </c>
      <c r="I189" s="28"/>
      <c r="J189" s="31"/>
      <c r="K189" s="33"/>
      <c r="L189" s="35"/>
      <c r="M189" s="37"/>
      <c r="N189" s="203" t="str">
        <f ca="1">IF(Oct_2026_SotM[[#This Row],[Num]]&gt;=$A$174, "-", IF(Oct_2026_SotM[[#This Row],[Initial 1]], VLOOKUP(Oct_2026_SotM[[#This Row],[Top Seed]], $Z$175:$AE$191, 6, FALSE), OFFSET(Oct_2026_SotM[[#This Row],[Winner]], Oct_2026_SotM[[#This Row],[Max Seed]], 0)))</f>
        <v>-</v>
      </c>
      <c r="O189" s="200">
        <f>COUNTIF(Oct_2026_SotM[[#This Row],[J]:[H]],"x")</f>
        <v>0</v>
      </c>
      <c r="P189" s="201" t="str">
        <f>IF(Oct_2026_SotM[[#This Row],[Num]]&gt;=$A$174, "-", IF(Oct_2026_SotM[[#This Row],[Score 1]]&gt;=3, Oct_2026_SotM[[#This Row],[Song 1]], IF(Oct_2026_SotM[[#This Row],[Score 2]]&gt;=3, Oct_2026_SotM[[#This Row],[Song 2]], "TBD")))</f>
        <v>-</v>
      </c>
      <c r="Q189" s="206">
        <f>COUNTIF(Oct_2026_SotM[[#This Row],[H ]:[J ]],"x")</f>
        <v>0</v>
      </c>
      <c r="R189" s="200" t="str">
        <f ca="1">IF(Oct_2026_SotM[[#This Row],[Num]]&gt;=$A$174, "-", IF(Oct_2026_SotM[[#This Row],[Initial 2]], VLOOKUP(Oct_2026_SotM[[#This Row],[Low Seed]], $Z$175:$AE$191, 6, FALSE), OFFSET(Oct_2026_SotM[[#This Row],[Winner]], 2*(Oct_2026_SotM[[#This Row],[Max Seed]]-Oct_2026_SotM[[#This Row],[Low Seed]])+1, 0)))</f>
        <v>-</v>
      </c>
      <c r="S189" s="37"/>
      <c r="T189" s="35"/>
      <c r="U189" s="33"/>
      <c r="V189" s="31"/>
      <c r="W189" s="28"/>
      <c r="X189" s="106" t="str">
        <f ca="1">IF(OR(Oct_2026_SotM[[#This Row],[Song 1]]="TBD", Oct_2026_SotM[[#This Row],[Song 2]]="TBD"), "TBD", _xlfn.CONCAT(IF(_xlfn.XOR(ISBLANK(Oct_2026_SotM[[#This Row],[J]]), ISBLANK(Oct_2026_SotM[[#This Row],[J ]])), "", "J "), IF(_xlfn.XOR(ISBLANK(Oct_2026_SotM[[#This Row],[D]]), ISBLANK(Oct_2026_SotM[[#This Row],[D ]])), "", "D "), IF(_xlfn.XOR(ISBLANK(Oct_2026_SotM[[#This Row],[L]]), ISBLANK(Oct_2026_SotM[[#This Row],[L ]])), "", "L "), IF(_xlfn.XOR(ISBLANK(Oct_2026_SotM[[#This Row],[S]]), ISBLANK(Oct_2026_SotM[[#This Row],[S ]])), "", "S "), IF(_xlfn.XOR(ISBLANK(Oct_2026_SotM[[#This Row],[H]]), ISBLANK(Oct_2026_SotM[[#This Row],[H ]])), "", "H ")))</f>
        <v xml:space="preserve">J D L S H </v>
      </c>
      <c r="Z189" s="109" t="str">
        <f t="shared" si="52"/>
        <v>TBD</v>
      </c>
      <c r="AG189" s="100" t="e">
        <f t="shared" si="51"/>
        <v>#VALUE!</v>
      </c>
      <c r="AI189" s="3">
        <f>Oct_2026_SotM[[#This Row],[Max Seed]]/2 + 1</f>
        <v>9</v>
      </c>
      <c r="AJ189" t="str">
        <f>IF(Oct_2026_SotM[[#This Row],[Num]]&gt;=$A$174, "-", IF(Oct_2026_SotM[[#This Row],[Score 1]]&gt;=3, Oct_2026_SotM[[#This Row],[Song 2]], IF(Oct_2026_SotM[[#This Row],[Score 2]]&gt;=3, Oct_2026_SotM[[#This Row],[Song 1]], "TBD")))</f>
        <v>-</v>
      </c>
      <c r="AK189" s="246" t="str">
        <f>IFERROR(VLOOKUP(Oct_2025_Results68[[#This Row],[Song Title]], $AE$175:$AG$191, 3, FALSE)-Oct_2025_Results68[[#This Row],[Result]], "TBD")</f>
        <v>TBD</v>
      </c>
      <c r="AL189" s="3" t="str">
        <f t="shared" si="53"/>
        <v>↑</v>
      </c>
    </row>
    <row r="190" spans="1:38">
      <c r="A190" s="199" t="str">
        <f>_xlfn.CONCAT("Seed ", Oct_2026_SotM[[#This Row],[Top Seed]], " vs ",Oct_2026_SotM[[#This Row],[Low Seed]])</f>
        <v>Seed 1 vs 16</v>
      </c>
      <c r="B190" s="201">
        <v>15</v>
      </c>
      <c r="C190" s="200">
        <f>FLOOR(LOG(Oct_2026_SotM[[#This Row],[Num]], 2), 1)</f>
        <v>3</v>
      </c>
      <c r="D190" s="200">
        <f>2^(Oct_2026_SotM[[#This Row],[Round]]+1)</f>
        <v>16</v>
      </c>
      <c r="E190" s="200">
        <f>Oct_2026_SotM[[#This Row],[Max Seed]]-Oct_2026_SotM[[#This Row],[Num]]</f>
        <v>1</v>
      </c>
      <c r="F190" s="200">
        <f>Oct_2026_SotM[[#This Row],[Max Seed]]-Oct_2026_SotM[[#This Row],[Top Seed]]+1</f>
        <v>16</v>
      </c>
      <c r="G190" s="200" t="e">
        <f>IF(Oct_2026_SotM[[#This Row],[Round]]=$C$174, TRUE(), IF(Oct_2026_SotM[[#This Row],[Round]]=$B$174, Oct_2026_SotM[[#This Row],[Top Seed]]&lt;=2*Oct_2026_SotM[[#This Row],[Max Seed]]-$A$174, FALSE()))</f>
        <v>#NUM!</v>
      </c>
      <c r="H190" s="200" t="e">
        <f>IF(Oct_2026_SotM[[#This Row],[Round]]=$C$174, TRUE(), IF(Oct_2026_SotM[[#This Row],[Round]]=$B$174, Oct_2026_SotM[[#This Row],[Low Seed]]&lt;=2*Oct_2026_SotM[[#This Row],[Max Seed]]-$A$174, FALSE()))</f>
        <v>#NUM!</v>
      </c>
      <c r="I190" s="28"/>
      <c r="J190" s="31"/>
      <c r="K190" s="33"/>
      <c r="L190" s="35"/>
      <c r="M190" s="37"/>
      <c r="N190" s="203" t="str">
        <f ca="1">IF(Oct_2026_SotM[[#This Row],[Num]]&gt;=$A$174, "-", IF(Oct_2026_SotM[[#This Row],[Initial 1]], VLOOKUP(Oct_2026_SotM[[#This Row],[Top Seed]], $Z$175:$AE$191, 6, FALSE), OFFSET(Oct_2026_SotM[[#This Row],[Winner]], Oct_2026_SotM[[#This Row],[Max Seed]], 0)))</f>
        <v>-</v>
      </c>
      <c r="O190" s="200">
        <f>COUNTIF(Oct_2026_SotM[[#This Row],[J]:[H]],"x")</f>
        <v>0</v>
      </c>
      <c r="P190" s="201" t="str">
        <f>IF(Oct_2026_SotM[[#This Row],[Num]]&gt;=$A$174, "-", IF(Oct_2026_SotM[[#This Row],[Score 1]]&gt;=3, Oct_2026_SotM[[#This Row],[Song 1]], IF(Oct_2026_SotM[[#This Row],[Score 2]]&gt;=3, Oct_2026_SotM[[#This Row],[Song 2]], "TBD")))</f>
        <v>-</v>
      </c>
      <c r="Q190" s="206">
        <f>COUNTIF(Oct_2026_SotM[[#This Row],[H ]:[J ]],"x")</f>
        <v>0</v>
      </c>
      <c r="R190" s="200" t="str">
        <f ca="1">IF(Oct_2026_SotM[[#This Row],[Num]]&gt;=$A$174, "-", IF(Oct_2026_SotM[[#This Row],[Initial 2]], VLOOKUP(Oct_2026_SotM[[#This Row],[Low Seed]], $Z$175:$AE$191, 6, FALSE), OFFSET(Oct_2026_SotM[[#This Row],[Winner]], 2*(Oct_2026_SotM[[#This Row],[Max Seed]]-Oct_2026_SotM[[#This Row],[Low Seed]])+1, 0)))</f>
        <v>-</v>
      </c>
      <c r="S190" s="37"/>
      <c r="T190" s="35"/>
      <c r="U190" s="33"/>
      <c r="V190" s="31"/>
      <c r="W190" s="28"/>
      <c r="X190" s="106" t="str">
        <f ca="1">IF(OR(Oct_2026_SotM[[#This Row],[Song 1]]="TBD", Oct_2026_SotM[[#This Row],[Song 2]]="TBD"), "TBD", _xlfn.CONCAT(IF(_xlfn.XOR(ISBLANK(Oct_2026_SotM[[#This Row],[J]]), ISBLANK(Oct_2026_SotM[[#This Row],[J ]])), "", "J "), IF(_xlfn.XOR(ISBLANK(Oct_2026_SotM[[#This Row],[D]]), ISBLANK(Oct_2026_SotM[[#This Row],[D ]])), "", "D "), IF(_xlfn.XOR(ISBLANK(Oct_2026_SotM[[#This Row],[L]]), ISBLANK(Oct_2026_SotM[[#This Row],[L ]])), "", "L "), IF(_xlfn.XOR(ISBLANK(Oct_2026_SotM[[#This Row],[S]]), ISBLANK(Oct_2026_SotM[[#This Row],[S ]])), "", "S "), IF(_xlfn.XOR(ISBLANK(Oct_2026_SotM[[#This Row],[H]]), ISBLANK(Oct_2026_SotM[[#This Row],[H ]])), "", "H ")))</f>
        <v xml:space="preserve">J D L S H </v>
      </c>
      <c r="Z190" s="109" t="str">
        <f t="shared" si="52"/>
        <v>TBD</v>
      </c>
      <c r="AG190" s="100" t="e">
        <f t="shared" si="51"/>
        <v>#VALUE!</v>
      </c>
      <c r="AI190" s="3">
        <f>Oct_2026_SotM[[#This Row],[Max Seed]]/2 + 1</f>
        <v>9</v>
      </c>
      <c r="AJ190" t="str">
        <f>IF(Oct_2026_SotM[[#This Row],[Num]]&gt;=$A$174, "-", IF(Oct_2026_SotM[[#This Row],[Score 1]]&gt;=3, Oct_2026_SotM[[#This Row],[Song 2]], IF(Oct_2026_SotM[[#This Row],[Score 2]]&gt;=3, Oct_2026_SotM[[#This Row],[Song 1]], "TBD")))</f>
        <v>-</v>
      </c>
      <c r="AK190" s="246" t="str">
        <f>IFERROR(VLOOKUP(Oct_2025_Results68[[#This Row],[Song Title]], $AE$175:$AG$191, 3, FALSE)-Oct_2025_Results68[[#This Row],[Result]], "TBD")</f>
        <v>TBD</v>
      </c>
      <c r="AL190" s="3" t="str">
        <f t="shared" si="53"/>
        <v>↑</v>
      </c>
    </row>
    <row r="191" spans="1:38">
      <c r="A191" s="199" t="str">
        <f>_xlfn.CONCAT("Seed ", Oct_2026_SotM[[#This Row],[Top Seed]], " vs ",Oct_2026_SotM[[#This Row],[Low Seed]])</f>
        <v>Seed 16 vs 17</v>
      </c>
      <c r="B191" s="201">
        <v>16</v>
      </c>
      <c r="C191" s="200">
        <f>FLOOR(LOG(Oct_2026_SotM[[#This Row],[Num]], 2), 1)</f>
        <v>4</v>
      </c>
      <c r="D191" s="200">
        <f>2^(Oct_2026_SotM[[#This Row],[Round]]+1)</f>
        <v>32</v>
      </c>
      <c r="E191" s="200">
        <f>Oct_2026_SotM[[#This Row],[Max Seed]]-Oct_2026_SotM[[#This Row],[Num]]</f>
        <v>16</v>
      </c>
      <c r="F191" s="200">
        <f>Oct_2026_SotM[[#This Row],[Max Seed]]-Oct_2026_SotM[[#This Row],[Top Seed]]+1</f>
        <v>17</v>
      </c>
      <c r="G191" s="200" t="e">
        <f>IF(Oct_2026_SotM[[#This Row],[Round]]=$C$174, TRUE(), IF(Oct_2026_SotM[[#This Row],[Round]]=$B$174, Oct_2026_SotM[[#This Row],[Top Seed]]&lt;=2*Oct_2026_SotM[[#This Row],[Max Seed]]-$A$174, FALSE()))</f>
        <v>#NUM!</v>
      </c>
      <c r="H191" s="200" t="e">
        <f>IF(Oct_2026_SotM[[#This Row],[Round]]=$C$174, TRUE(), IF(Oct_2026_SotM[[#This Row],[Round]]=$B$174, Oct_2026_SotM[[#This Row],[Low Seed]]&lt;=2*Oct_2026_SotM[[#This Row],[Max Seed]]-$A$174, FALSE()))</f>
        <v>#NUM!</v>
      </c>
      <c r="I191" s="28"/>
      <c r="J191" s="31"/>
      <c r="K191" s="33"/>
      <c r="L191" s="35"/>
      <c r="M191" s="37"/>
      <c r="N191" s="203" t="str">
        <f ca="1">IF(Oct_2026_SotM[[#This Row],[Num]]&gt;=$A$174, "-", IF(Oct_2026_SotM[[#This Row],[Initial 1]], VLOOKUP(Oct_2026_SotM[[#This Row],[Top Seed]], $Z$175:$AE$191, 6, FALSE), OFFSET(Oct_2026_SotM[[#This Row],[Winner]], Oct_2026_SotM[[#This Row],[Max Seed]], 0)))</f>
        <v>-</v>
      </c>
      <c r="O191" s="200">
        <f>COUNTIF(Oct_2026_SotM[[#This Row],[J]:[H]],"x")</f>
        <v>0</v>
      </c>
      <c r="P191" s="201" t="str">
        <f>IF(Oct_2026_SotM[[#This Row],[Num]]&gt;=$A$174, "-", IF(Oct_2026_SotM[[#This Row],[Score 1]]&gt;=3, Oct_2026_SotM[[#This Row],[Song 1]], IF(Oct_2026_SotM[[#This Row],[Score 2]]&gt;=3, Oct_2026_SotM[[#This Row],[Song 2]], "TBD")))</f>
        <v>-</v>
      </c>
      <c r="Q191" s="206">
        <f>COUNTIF(Oct_2026_SotM[[#This Row],[H ]:[J ]],"x")</f>
        <v>0</v>
      </c>
      <c r="R191" s="200" t="str">
        <f ca="1">IF(Oct_2026_SotM[[#This Row],[Num]]&gt;=$A$174, "-", IF(Oct_2026_SotM[[#This Row],[Initial 2]], VLOOKUP(Oct_2026_SotM[[#This Row],[Low Seed]], $Z$175:$AE$191, 6, FALSE), OFFSET(Oct_2026_SotM[[#This Row],[Winner]], 2*(Oct_2026_SotM[[#This Row],[Max Seed]]-Oct_2026_SotM[[#This Row],[Low Seed]])+1, 0)))</f>
        <v>-</v>
      </c>
      <c r="S191" s="37"/>
      <c r="T191" s="35"/>
      <c r="U191" s="33"/>
      <c r="V191" s="31"/>
      <c r="W191" s="28"/>
      <c r="X191" s="106" t="str">
        <f ca="1">IF(OR(Oct_2026_SotM[[#This Row],[Song 1]]="TBD", Oct_2026_SotM[[#This Row],[Song 2]]="TBD"), "TBD", _xlfn.CONCAT(IF(_xlfn.XOR(ISBLANK(Oct_2026_SotM[[#This Row],[J]]), ISBLANK(Oct_2026_SotM[[#This Row],[J ]])), "", "J "), IF(_xlfn.XOR(ISBLANK(Oct_2026_SotM[[#This Row],[D]]), ISBLANK(Oct_2026_SotM[[#This Row],[D ]])), "", "D "), IF(_xlfn.XOR(ISBLANK(Oct_2026_SotM[[#This Row],[L]]), ISBLANK(Oct_2026_SotM[[#This Row],[L ]])), "", "L "), IF(_xlfn.XOR(ISBLANK(Oct_2026_SotM[[#This Row],[S]]), ISBLANK(Oct_2026_SotM[[#This Row],[S ]])), "", "S "), IF(_xlfn.XOR(ISBLANK(Oct_2026_SotM[[#This Row],[H]]), ISBLANK(Oct_2026_SotM[[#This Row],[H ]])), "", "H ")))</f>
        <v xml:space="preserve">J D L S H </v>
      </c>
      <c r="Z191" s="110" t="str">
        <f t="shared" si="52"/>
        <v>TBD</v>
      </c>
      <c r="AA191" s="211"/>
      <c r="AB191" s="157"/>
      <c r="AC191" s="101"/>
      <c r="AD191" s="157"/>
      <c r="AE191" s="157"/>
      <c r="AF191" s="157"/>
      <c r="AG191" s="102" t="e">
        <f t="shared" si="51"/>
        <v>#VALUE!</v>
      </c>
      <c r="AI191" s="3">
        <f>Oct_2026_SotM[[#This Row],[Max Seed]]/2 + 1</f>
        <v>17</v>
      </c>
      <c r="AJ191" t="str">
        <f>IF(Oct_2026_SotM[[#This Row],[Num]]&gt;=$A$174, "-", IF(Oct_2026_SotM[[#This Row],[Score 1]]&gt;=3, Oct_2026_SotM[[#This Row],[Song 2]], IF(Oct_2026_SotM[[#This Row],[Score 2]]&gt;=3, Oct_2026_SotM[[#This Row],[Song 1]], "TBD")))</f>
        <v>-</v>
      </c>
      <c r="AK191" s="246" t="str">
        <f>IFERROR(VLOOKUP(Oct_2025_Results68[[#This Row],[Song Title]], $AE$175:$AG$191, 3, FALSE)-Oct_2025_Results68[[#This Row],[Result]], "TBD")</f>
        <v>TBD</v>
      </c>
      <c r="AL191" s="3" t="str">
        <f t="shared" si="53"/>
        <v>↑</v>
      </c>
    </row>
    <row r="193" spans="1:38">
      <c r="A193" s="302">
        <f>MAX(Z194:Z210)</f>
        <v>0</v>
      </c>
      <c r="B193" s="302" t="e">
        <f>FLOOR(LOG(A193, 2), 1)-1</f>
        <v>#NUM!</v>
      </c>
      <c r="C193" s="302" t="e">
        <f t="shared" ref="C193" si="54">_xlfn.CEILING.MATH(LOG(A193, 2), 1)-1</f>
        <v>#NUM!</v>
      </c>
      <c r="D193" s="302"/>
      <c r="E193" s="302"/>
      <c r="F193" s="302"/>
      <c r="G193" s="302"/>
      <c r="H193" s="302"/>
      <c r="I193" s="348" t="s">
        <v>4199</v>
      </c>
      <c r="J193" s="348"/>
      <c r="K193" s="348"/>
      <c r="L193" s="348"/>
      <c r="M193" s="348"/>
      <c r="N193" s="348"/>
      <c r="O193" s="348"/>
      <c r="P193" s="348"/>
      <c r="Q193" s="348"/>
      <c r="R193" s="348"/>
      <c r="S193" s="348"/>
      <c r="T193" s="348"/>
      <c r="U193" s="348"/>
      <c r="V193" s="348"/>
      <c r="W193" s="348"/>
      <c r="X193" s="302"/>
      <c r="Z193" s="221" t="s">
        <v>4163</v>
      </c>
      <c r="AA193" s="222" t="s">
        <v>29</v>
      </c>
      <c r="AB193" s="220" t="s">
        <v>32</v>
      </c>
      <c r="AC193" s="221" t="s">
        <v>33</v>
      </c>
      <c r="AD193" s="220" t="s">
        <v>34</v>
      </c>
      <c r="AE193" s="220" t="s">
        <v>4161</v>
      </c>
      <c r="AF193" s="220" t="s">
        <v>36</v>
      </c>
      <c r="AG193" s="221" t="s">
        <v>4164</v>
      </c>
      <c r="AI193" s="249" t="s">
        <v>4165</v>
      </c>
      <c r="AJ193" s="248" t="s">
        <v>35</v>
      </c>
      <c r="AK193" s="249" t="s">
        <v>4166</v>
      </c>
      <c r="AL193" s="249" t="s">
        <v>4167</v>
      </c>
    </row>
    <row r="194" spans="1:38">
      <c r="A194" s="218" t="s">
        <v>4168</v>
      </c>
      <c r="B194" s="213" t="s">
        <v>4169</v>
      </c>
      <c r="C194" s="219" t="s">
        <v>4170</v>
      </c>
      <c r="D194" s="219" t="s">
        <v>4171</v>
      </c>
      <c r="E194" s="219" t="s">
        <v>4172</v>
      </c>
      <c r="F194" s="219" t="s">
        <v>4173</v>
      </c>
      <c r="G194" s="219" t="s">
        <v>4174</v>
      </c>
      <c r="H194" s="219" t="s">
        <v>4175</v>
      </c>
      <c r="I194" s="219" t="s">
        <v>4176</v>
      </c>
      <c r="J194" s="219" t="s">
        <v>4177</v>
      </c>
      <c r="K194" s="219" t="s">
        <v>4178</v>
      </c>
      <c r="L194" s="219" t="s">
        <v>4179</v>
      </c>
      <c r="M194" s="219" t="s">
        <v>4180</v>
      </c>
      <c r="N194" s="226" t="s">
        <v>4181</v>
      </c>
      <c r="O194" s="219" t="s">
        <v>4182</v>
      </c>
      <c r="P194" s="213" t="s">
        <v>47</v>
      </c>
      <c r="Q194" s="231" t="s">
        <v>4183</v>
      </c>
      <c r="R194" s="219" t="s">
        <v>4184</v>
      </c>
      <c r="S194" s="219" t="s">
        <v>4185</v>
      </c>
      <c r="T194" s="219" t="s">
        <v>4186</v>
      </c>
      <c r="U194" s="219" t="s">
        <v>4187</v>
      </c>
      <c r="V194" s="219" t="s">
        <v>4188</v>
      </c>
      <c r="W194" s="219" t="s">
        <v>4189</v>
      </c>
      <c r="X194" s="110" t="s">
        <v>4190</v>
      </c>
      <c r="Z194" s="109" t="str">
        <f t="shared" ref="Z194:Z210" si="55">IF(AC194&gt;0, COUNTIF(AC$194:AC$210, "&lt;"&amp;AC194) + COUNTIFS(AC$194:AC$210, AC194, AD$194:AD$210, "&lt;"&amp;AD194) + COUNTIFS(AC$194:AC$210, AC194, AD$194:AD$210, AD194, AA$194:AA$210, "&lt;"&amp;AA194) + 1, "TBD")</f>
        <v>TBD</v>
      </c>
      <c r="AA194" s="59" t="str" cm="1">
        <f t="array" ref="AA194">_xlfn._xlws.FILTER(Data[Date]:Data[Artist], (Data[Date]&gt;=DATE(2026,11,1))*(Data[Date]&lt;=DATE(2026,11,30))*(Data[Winner]=TRUE()), "TBD")</f>
        <v>TBD</v>
      </c>
      <c r="AG194" s="100" t="e">
        <f t="shared" ref="AG194:AG209" si="56">IF(Z194&gt;1, 2^FLOOR(LOG(Z194-1, 2), 1)+1, 1)</f>
        <v>#VALUE!</v>
      </c>
      <c r="AI194" s="246">
        <v>1</v>
      </c>
      <c r="AJ194" s="279" t="str">
        <f>P195</f>
        <v>-</v>
      </c>
      <c r="AK194" s="246" t="str">
        <f>IFERROR(VLOOKUP(Nov_2025_Results69[[#This Row],[Song Title]], $AE$194:$AG$209, 3, FALSE)-Nov_2025_Results69[[#This Row],[Result]], "TBD")</f>
        <v>TBD</v>
      </c>
      <c r="AL194" s="246" t="str">
        <f>IF(AK194&lt;0,"↓",IF(AK194=0,"-","↑"))</f>
        <v>↑</v>
      </c>
    </row>
    <row r="195" spans="1:38">
      <c r="A195" s="199" t="str">
        <f>_xlfn.CONCAT("Seed ", Nov_2026_SotM[[#This Row],[Top Seed]], " vs ",Nov_2026_SotM[[#This Row],[Low Seed]])</f>
        <v>Seed 1 vs 2</v>
      </c>
      <c r="B195" s="201">
        <v>1</v>
      </c>
      <c r="C195" s="200">
        <f>FLOOR(LOG(Nov_2026_SotM[[#This Row],[Num]], 2), 1)</f>
        <v>0</v>
      </c>
      <c r="D195" s="200">
        <f>2^(Nov_2026_SotM[[#This Row],[Round]]+1)</f>
        <v>2</v>
      </c>
      <c r="E195" s="200">
        <f>Nov_2026_SotM[[#This Row],[Max Seed]]-Nov_2026_SotM[[#This Row],[Num]]</f>
        <v>1</v>
      </c>
      <c r="F195" s="200">
        <f>Nov_2026_SotM[[#This Row],[Max Seed]]-Nov_2026_SotM[[#This Row],[Top Seed]]+1</f>
        <v>2</v>
      </c>
      <c r="G195" s="200" t="e">
        <f>IF(Nov_2026_SotM[[#This Row],[Round]]=$C$193, TRUE(), IF(Nov_2026_SotM[[#This Row],[Round]]=$B$193, Nov_2026_SotM[[#This Row],[Top Seed]]&lt;=2*Nov_2026_SotM[[#This Row],[Max Seed]]-$A$193, FALSE()))</f>
        <v>#NUM!</v>
      </c>
      <c r="H195" s="200" t="e">
        <f>IF(Nov_2026_SotM[[#This Row],[Round]]=$C$193, TRUE(), IF(Nov_2026_SotM[[#This Row],[Round]]=$B$193, Nov_2026_SotM[[#This Row],[Low Seed]]&lt;=2*Nov_2026_SotM[[#This Row],[Max Seed]]-$A$193, FALSE()))</f>
        <v>#NUM!</v>
      </c>
      <c r="I195" s="28"/>
      <c r="J195" s="31"/>
      <c r="K195" s="33"/>
      <c r="L195" s="35"/>
      <c r="M195" s="37"/>
      <c r="N195" s="203" t="str">
        <f ca="1">IF(Nov_2026_SotM[[#This Row],[Num]]&gt;=$A$193, "-", IF(Nov_2026_SotM[[#This Row],[Initial 1]], VLOOKUP(Nov_2026_SotM[[#This Row],[Top Seed]], $Z$194:$AE$210, 6, FALSE), OFFSET(Nov_2026_SotM[[#This Row],[Winner]], Nov_2026_SotM[[#This Row],[Max Seed]], 0)))</f>
        <v>-</v>
      </c>
      <c r="O195" s="200">
        <f>COUNTIF(Nov_2026_SotM[[#This Row],[J]:[H]],"x")</f>
        <v>0</v>
      </c>
      <c r="P195" s="201" t="str">
        <f>IF(Nov_2026_SotM[[#This Row],[Num]]&gt;=$A$193, "-", IF(Nov_2026_SotM[[#This Row],[Score 1]]&gt;=3, Nov_2026_SotM[[#This Row],[Song 1]], IF(Nov_2026_SotM[[#This Row],[Score 2]]&gt;=3, Nov_2026_SotM[[#This Row],[Song 2]], "TBD")))</f>
        <v>-</v>
      </c>
      <c r="Q195" s="206">
        <f>COUNTIF(Nov_2026_SotM[[#This Row],[H ]:[J ]],"x")</f>
        <v>0</v>
      </c>
      <c r="R195" s="200" t="str">
        <f ca="1">IF(Nov_2026_SotM[[#This Row],[Num]]&gt;=$A$193, "-", IF(Nov_2026_SotM[[#This Row],[Initial 2]], VLOOKUP(Nov_2026_SotM[[#This Row],[Low Seed]], $Z$194:$AE$210, 6, FALSE), OFFSET(Nov_2026_SotM[[#This Row],[Winner]], 2*(Nov_2026_SotM[[#This Row],[Max Seed]]-Nov_2026_SotM[[#This Row],[Low Seed]])+1, 0)))</f>
        <v>-</v>
      </c>
      <c r="S195" s="37"/>
      <c r="T195" s="35"/>
      <c r="U195" s="33"/>
      <c r="V195" s="31"/>
      <c r="W195" s="28"/>
      <c r="X195" s="106" t="str">
        <f ca="1">IF(OR(Nov_2026_SotM[[#This Row],[Song 1]]="TBD", Nov_2026_SotM[[#This Row],[Song 2]]="TBD"), "TBD", _xlfn.CONCAT(IF(_xlfn.XOR(ISBLANK(Nov_2026_SotM[[#This Row],[J]]), ISBLANK(Nov_2026_SotM[[#This Row],[J ]])), "", "J "), IF(_xlfn.XOR(ISBLANK(Nov_2026_SotM[[#This Row],[D]]), ISBLANK(Nov_2026_SotM[[#This Row],[D ]])), "", "D "), IF(_xlfn.XOR(ISBLANK(Nov_2026_SotM[[#This Row],[L]]), ISBLANK(Nov_2026_SotM[[#This Row],[L ]])), "", "L "), IF(_xlfn.XOR(ISBLANK(Nov_2026_SotM[[#This Row],[S]]), ISBLANK(Nov_2026_SotM[[#This Row],[S ]])), "", "S "), IF(_xlfn.XOR(ISBLANK(Nov_2026_SotM[[#This Row],[H]]), ISBLANK(Nov_2026_SotM[[#This Row],[H ]])), "", "H ")))</f>
        <v xml:space="preserve">J D L S H </v>
      </c>
      <c r="Z195" s="109" t="str">
        <f t="shared" si="55"/>
        <v>TBD</v>
      </c>
      <c r="AG195" s="100" t="e">
        <f t="shared" si="56"/>
        <v>#VALUE!</v>
      </c>
      <c r="AI195" s="246">
        <f>Nov_2026_SotM[[#This Row],[Max Seed]]/2 + 1</f>
        <v>2</v>
      </c>
      <c r="AJ195" s="279" t="str">
        <f>IF(Nov_2026_SotM[[#This Row],[Num]]&gt;=$A$193, "-", IF(Nov_2026_SotM[[#This Row],[Score 1]]&gt;=3, Nov_2026_SotM[[#This Row],[Song 2]], IF(Nov_2026_SotM[[#This Row],[Score 2]]&gt;=3, Nov_2026_SotM[[#This Row],[Song 1]], "TBD")))</f>
        <v>-</v>
      </c>
      <c r="AK195" s="246" t="str">
        <f>IFERROR(VLOOKUP(Nov_2025_Results69[[#This Row],[Song Title]], $AE$194:$AG$209, 3, FALSE)-Nov_2025_Results69[[#This Row],[Result]], "TBD")</f>
        <v>TBD</v>
      </c>
      <c r="AL195" s="246" t="str">
        <f>IF(AK195&lt;0,"↓",IF(AK195=0,"-","↑"))</f>
        <v>↑</v>
      </c>
    </row>
    <row r="196" spans="1:38">
      <c r="A196" s="199" t="str">
        <f>_xlfn.CONCAT("Seed ", Nov_2026_SotM[[#This Row],[Top Seed]], " vs ",Nov_2026_SotM[[#This Row],[Low Seed]])</f>
        <v>Seed 2 vs 3</v>
      </c>
      <c r="B196" s="201">
        <v>2</v>
      </c>
      <c r="C196" s="200">
        <f>FLOOR(LOG(Nov_2026_SotM[[#This Row],[Num]], 2), 1)</f>
        <v>1</v>
      </c>
      <c r="D196" s="200">
        <f>2^(Nov_2026_SotM[[#This Row],[Round]]+1)</f>
        <v>4</v>
      </c>
      <c r="E196" s="200">
        <f>Nov_2026_SotM[[#This Row],[Max Seed]]-Nov_2026_SotM[[#This Row],[Num]]</f>
        <v>2</v>
      </c>
      <c r="F196" s="200">
        <f>Nov_2026_SotM[[#This Row],[Max Seed]]-Nov_2026_SotM[[#This Row],[Top Seed]]+1</f>
        <v>3</v>
      </c>
      <c r="G196" s="200" t="e">
        <f>IF(Nov_2026_SotM[[#This Row],[Round]]=$C$193, TRUE(), IF(Nov_2026_SotM[[#This Row],[Round]]=$B$193, Nov_2026_SotM[[#This Row],[Top Seed]]&lt;=2*Nov_2026_SotM[[#This Row],[Max Seed]]-$A$193, FALSE()))</f>
        <v>#NUM!</v>
      </c>
      <c r="H196" s="200" t="e">
        <f>IF(Nov_2026_SotM[[#This Row],[Round]]=$C$193, TRUE(), IF(Nov_2026_SotM[[#This Row],[Round]]=$B$193, Nov_2026_SotM[[#This Row],[Low Seed]]&lt;=2*Nov_2026_SotM[[#This Row],[Max Seed]]-$A$193, FALSE()))</f>
        <v>#NUM!</v>
      </c>
      <c r="I196" s="28"/>
      <c r="J196" s="31"/>
      <c r="K196" s="33"/>
      <c r="L196" s="35"/>
      <c r="M196" s="37"/>
      <c r="N196" s="203" t="str">
        <f ca="1">IF(Nov_2026_SotM[[#This Row],[Num]]&gt;=$A$193, "-", IF(Nov_2026_SotM[[#This Row],[Initial 1]], VLOOKUP(Nov_2026_SotM[[#This Row],[Top Seed]], $Z$194:$AE$210, 6, FALSE), OFFSET(Nov_2026_SotM[[#This Row],[Winner]], Nov_2026_SotM[[#This Row],[Max Seed]], 0)))</f>
        <v>-</v>
      </c>
      <c r="O196" s="200">
        <f>COUNTIF(Nov_2026_SotM[[#This Row],[J]:[H]],"x")</f>
        <v>0</v>
      </c>
      <c r="P196" s="201" t="str">
        <f>IF(Nov_2026_SotM[[#This Row],[Num]]&gt;=$A$193, "-", IF(Nov_2026_SotM[[#This Row],[Score 1]]&gt;=3, Nov_2026_SotM[[#This Row],[Song 1]], IF(Nov_2026_SotM[[#This Row],[Score 2]]&gt;=3, Nov_2026_SotM[[#This Row],[Song 2]], "TBD")))</f>
        <v>-</v>
      </c>
      <c r="Q196" s="206">
        <f>COUNTIF(Nov_2026_SotM[[#This Row],[H ]:[J ]],"x")</f>
        <v>0</v>
      </c>
      <c r="R196" s="200" t="str">
        <f ca="1">IF(Nov_2026_SotM[[#This Row],[Num]]&gt;=$A$193, "-", IF(Nov_2026_SotM[[#This Row],[Initial 2]], VLOOKUP(Nov_2026_SotM[[#This Row],[Low Seed]], $Z$194:$AE$210, 6, FALSE), OFFSET(Nov_2026_SotM[[#This Row],[Winner]], 2*(Nov_2026_SotM[[#This Row],[Max Seed]]-Nov_2026_SotM[[#This Row],[Low Seed]])+1, 0)))</f>
        <v>-</v>
      </c>
      <c r="S196" s="37"/>
      <c r="T196" s="35"/>
      <c r="U196" s="33"/>
      <c r="V196" s="31"/>
      <c r="W196" s="28"/>
      <c r="X196" s="106" t="str">
        <f ca="1">IF(OR(Nov_2026_SotM[[#This Row],[Song 1]]="TBD", Nov_2026_SotM[[#This Row],[Song 2]]="TBD"), "TBD", _xlfn.CONCAT(IF(_xlfn.XOR(ISBLANK(Nov_2026_SotM[[#This Row],[J]]), ISBLANK(Nov_2026_SotM[[#This Row],[J ]])), "", "J "), IF(_xlfn.XOR(ISBLANK(Nov_2026_SotM[[#This Row],[D]]), ISBLANK(Nov_2026_SotM[[#This Row],[D ]])), "", "D "), IF(_xlfn.XOR(ISBLANK(Nov_2026_SotM[[#This Row],[L]]), ISBLANK(Nov_2026_SotM[[#This Row],[L ]])), "", "L "), IF(_xlfn.XOR(ISBLANK(Nov_2026_SotM[[#This Row],[S]]), ISBLANK(Nov_2026_SotM[[#This Row],[S ]])), "", "S "), IF(_xlfn.XOR(ISBLANK(Nov_2026_SotM[[#This Row],[H]]), ISBLANK(Nov_2026_SotM[[#This Row],[H ]])), "", "H ")))</f>
        <v xml:space="preserve">J D L S H </v>
      </c>
      <c r="Z196" s="109" t="str">
        <f t="shared" si="55"/>
        <v>TBD</v>
      </c>
      <c r="AG196" s="100" t="e">
        <f t="shared" si="56"/>
        <v>#VALUE!</v>
      </c>
      <c r="AI196" s="246">
        <f>Nov_2026_SotM[[#This Row],[Max Seed]]/2 + 1</f>
        <v>3</v>
      </c>
      <c r="AJ196" s="279" t="str">
        <f>IF(Nov_2026_SotM[[#This Row],[Num]]&gt;=$A$193, "-", IF(Nov_2026_SotM[[#This Row],[Score 1]]&gt;=3, Nov_2026_SotM[[#This Row],[Song 2]], IF(Nov_2026_SotM[[#This Row],[Score 2]]&gt;=3, Nov_2026_SotM[[#This Row],[Song 1]], "TBD")))</f>
        <v>-</v>
      </c>
      <c r="AK196" s="246" t="str">
        <f>IFERROR(VLOOKUP(Nov_2025_Results69[[#This Row],[Song Title]], $AE$194:$AG$209, 3, FALSE)-Nov_2025_Results69[[#This Row],[Result]], "TBD")</f>
        <v>TBD</v>
      </c>
      <c r="AL196" s="246" t="str">
        <f t="shared" ref="AL196:AL209" si="57">IF(AK196&lt;0,"↓",IF(AK196=0,"-","↑"))</f>
        <v>↑</v>
      </c>
    </row>
    <row r="197" spans="1:38">
      <c r="A197" s="199" t="str">
        <f>_xlfn.CONCAT("Seed ", Nov_2026_SotM[[#This Row],[Top Seed]], " vs ",Nov_2026_SotM[[#This Row],[Low Seed]])</f>
        <v>Seed 1 vs 4</v>
      </c>
      <c r="B197" s="201">
        <v>3</v>
      </c>
      <c r="C197" s="200">
        <f>FLOOR(LOG(Nov_2026_SotM[[#This Row],[Num]], 2), 1)</f>
        <v>1</v>
      </c>
      <c r="D197" s="200">
        <f>2^(Nov_2026_SotM[[#This Row],[Round]]+1)</f>
        <v>4</v>
      </c>
      <c r="E197" s="200">
        <f>Nov_2026_SotM[[#This Row],[Max Seed]]-Nov_2026_SotM[[#This Row],[Num]]</f>
        <v>1</v>
      </c>
      <c r="F197" s="200">
        <f>Nov_2026_SotM[[#This Row],[Max Seed]]-Nov_2026_SotM[[#This Row],[Top Seed]]+1</f>
        <v>4</v>
      </c>
      <c r="G197" s="200" t="e">
        <f>IF(Nov_2026_SotM[[#This Row],[Round]]=$C$193, TRUE(), IF(Nov_2026_SotM[[#This Row],[Round]]=$B$193, Nov_2026_SotM[[#This Row],[Top Seed]]&lt;=2*Nov_2026_SotM[[#This Row],[Max Seed]]-$A$193, FALSE()))</f>
        <v>#NUM!</v>
      </c>
      <c r="H197" s="200" t="e">
        <f>IF(Nov_2026_SotM[[#This Row],[Round]]=$C$193, TRUE(), IF(Nov_2026_SotM[[#This Row],[Round]]=$B$193, Nov_2026_SotM[[#This Row],[Low Seed]]&lt;=2*Nov_2026_SotM[[#This Row],[Max Seed]]-$A$193, FALSE()))</f>
        <v>#NUM!</v>
      </c>
      <c r="I197" s="28"/>
      <c r="J197" s="31"/>
      <c r="K197" s="33"/>
      <c r="L197" s="35"/>
      <c r="M197" s="37"/>
      <c r="N197" s="203" t="str">
        <f ca="1">IF(Nov_2026_SotM[[#This Row],[Num]]&gt;=$A$193, "-", IF(Nov_2026_SotM[[#This Row],[Initial 1]], VLOOKUP(Nov_2026_SotM[[#This Row],[Top Seed]], $Z$194:$AE$210, 6, FALSE), OFFSET(Nov_2026_SotM[[#This Row],[Winner]], Nov_2026_SotM[[#This Row],[Max Seed]], 0)))</f>
        <v>-</v>
      </c>
      <c r="O197" s="200">
        <f>COUNTIF(Nov_2026_SotM[[#This Row],[J]:[H]],"x")</f>
        <v>0</v>
      </c>
      <c r="P197" s="201" t="str">
        <f>IF(Nov_2026_SotM[[#This Row],[Num]]&gt;=$A$193, "-", IF(Nov_2026_SotM[[#This Row],[Score 1]]&gt;=3, Nov_2026_SotM[[#This Row],[Song 1]], IF(Nov_2026_SotM[[#This Row],[Score 2]]&gt;=3, Nov_2026_SotM[[#This Row],[Song 2]], "TBD")))</f>
        <v>-</v>
      </c>
      <c r="Q197" s="206">
        <f>COUNTIF(Nov_2026_SotM[[#This Row],[H ]:[J ]],"x")</f>
        <v>0</v>
      </c>
      <c r="R197" s="200" t="str">
        <f ca="1">IF(Nov_2026_SotM[[#This Row],[Num]]&gt;=$A$193, "-", IF(Nov_2026_SotM[[#This Row],[Initial 2]], VLOOKUP(Nov_2026_SotM[[#This Row],[Low Seed]], $Z$194:$AE$210, 6, FALSE), OFFSET(Nov_2026_SotM[[#This Row],[Winner]], 2*(Nov_2026_SotM[[#This Row],[Max Seed]]-Nov_2026_SotM[[#This Row],[Low Seed]])+1, 0)))</f>
        <v>-</v>
      </c>
      <c r="S197" s="37"/>
      <c r="T197" s="35"/>
      <c r="U197" s="33"/>
      <c r="V197" s="31"/>
      <c r="W197" s="28"/>
      <c r="X197" s="106" t="str">
        <f ca="1">IF(OR(Nov_2026_SotM[[#This Row],[Song 1]]="TBD", Nov_2026_SotM[[#This Row],[Song 2]]="TBD"), "TBD", _xlfn.CONCAT(IF(_xlfn.XOR(ISBLANK(Nov_2026_SotM[[#This Row],[J]]), ISBLANK(Nov_2026_SotM[[#This Row],[J ]])), "", "J "), IF(_xlfn.XOR(ISBLANK(Nov_2026_SotM[[#This Row],[D]]), ISBLANK(Nov_2026_SotM[[#This Row],[D ]])), "", "D "), IF(_xlfn.XOR(ISBLANK(Nov_2026_SotM[[#This Row],[L]]), ISBLANK(Nov_2026_SotM[[#This Row],[L ]])), "", "L "), IF(_xlfn.XOR(ISBLANK(Nov_2026_SotM[[#This Row],[S]]), ISBLANK(Nov_2026_SotM[[#This Row],[S ]])), "", "S "), IF(_xlfn.XOR(ISBLANK(Nov_2026_SotM[[#This Row],[H]]), ISBLANK(Nov_2026_SotM[[#This Row],[H ]])), "", "H ")))</f>
        <v xml:space="preserve">J D L S H </v>
      </c>
      <c r="Z197" s="109" t="str">
        <f t="shared" si="55"/>
        <v>TBD</v>
      </c>
      <c r="AG197" s="100" t="e">
        <f t="shared" si="56"/>
        <v>#VALUE!</v>
      </c>
      <c r="AI197" s="3">
        <f>Nov_2026_SotM[[#This Row],[Max Seed]]/2 + 1</f>
        <v>3</v>
      </c>
      <c r="AJ197" t="str">
        <f>IF(Nov_2026_SotM[[#This Row],[Num]]&gt;=$A$193, "-", IF(Nov_2026_SotM[[#This Row],[Score 1]]&gt;=3, Nov_2026_SotM[[#This Row],[Song 2]], IF(Nov_2026_SotM[[#This Row],[Score 2]]&gt;=3, Nov_2026_SotM[[#This Row],[Song 1]], "TBD")))</f>
        <v>-</v>
      </c>
      <c r="AK197" s="3" t="str">
        <f>IFERROR(VLOOKUP(Nov_2025_Results69[[#This Row],[Song Title]], $AE$194:$AG$209, 3, FALSE)-Nov_2025_Results69[[#This Row],[Result]], "TBD")</f>
        <v>TBD</v>
      </c>
      <c r="AL197" s="3" t="str">
        <f t="shared" si="57"/>
        <v>↑</v>
      </c>
    </row>
    <row r="198" spans="1:38">
      <c r="A198" s="199" t="str">
        <f>_xlfn.CONCAT("Seed ", Nov_2026_SotM[[#This Row],[Top Seed]], " vs ",Nov_2026_SotM[[#This Row],[Low Seed]])</f>
        <v>Seed 4 vs 5</v>
      </c>
      <c r="B198" s="201">
        <v>4</v>
      </c>
      <c r="C198" s="200">
        <f>FLOOR(LOG(Nov_2026_SotM[[#This Row],[Num]], 2), 1)</f>
        <v>2</v>
      </c>
      <c r="D198" s="200">
        <f>2^(Nov_2026_SotM[[#This Row],[Round]]+1)</f>
        <v>8</v>
      </c>
      <c r="E198" s="200">
        <f>Nov_2026_SotM[[#This Row],[Max Seed]]-Nov_2026_SotM[[#This Row],[Num]]</f>
        <v>4</v>
      </c>
      <c r="F198" s="200">
        <f>Nov_2026_SotM[[#This Row],[Max Seed]]-Nov_2026_SotM[[#This Row],[Top Seed]]+1</f>
        <v>5</v>
      </c>
      <c r="G198" s="200" t="e">
        <f>IF(Nov_2026_SotM[[#This Row],[Round]]=$C$193, TRUE(), IF(Nov_2026_SotM[[#This Row],[Round]]=$B$193, Nov_2026_SotM[[#This Row],[Top Seed]]&lt;=2*Nov_2026_SotM[[#This Row],[Max Seed]]-$A$193, FALSE()))</f>
        <v>#NUM!</v>
      </c>
      <c r="H198" s="200" t="e">
        <f>IF(Nov_2026_SotM[[#This Row],[Round]]=$C$193, TRUE(), IF(Nov_2026_SotM[[#This Row],[Round]]=$B$193, Nov_2026_SotM[[#This Row],[Low Seed]]&lt;=2*Nov_2026_SotM[[#This Row],[Max Seed]]-$A$193, FALSE()))</f>
        <v>#NUM!</v>
      </c>
      <c r="I198" s="28"/>
      <c r="J198" s="31"/>
      <c r="K198" s="33"/>
      <c r="L198" s="35"/>
      <c r="M198" s="37"/>
      <c r="N198" s="203" t="str">
        <f ca="1">IF(Nov_2026_SotM[[#This Row],[Num]]&gt;=$A$193, "-", IF(Nov_2026_SotM[[#This Row],[Initial 1]], VLOOKUP(Nov_2026_SotM[[#This Row],[Top Seed]], $Z$194:$AE$210, 6, FALSE), OFFSET(Nov_2026_SotM[[#This Row],[Winner]], Nov_2026_SotM[[#This Row],[Max Seed]], 0)))</f>
        <v>-</v>
      </c>
      <c r="O198" s="200">
        <f>COUNTIF(Nov_2026_SotM[[#This Row],[J]:[H]],"x")</f>
        <v>0</v>
      </c>
      <c r="P198" s="201" t="str">
        <f>IF(Nov_2026_SotM[[#This Row],[Num]]&gt;=$A$193, "-", IF(Nov_2026_SotM[[#This Row],[Score 1]]&gt;=3, Nov_2026_SotM[[#This Row],[Song 1]], IF(Nov_2026_SotM[[#This Row],[Score 2]]&gt;=3, Nov_2026_SotM[[#This Row],[Song 2]], "TBD")))</f>
        <v>-</v>
      </c>
      <c r="Q198" s="206">
        <f>COUNTIF(Nov_2026_SotM[[#This Row],[H ]:[J ]],"x")</f>
        <v>0</v>
      </c>
      <c r="R198" s="200" t="str">
        <f ca="1">IF(Nov_2026_SotM[[#This Row],[Num]]&gt;=$A$193, "-", IF(Nov_2026_SotM[[#This Row],[Initial 2]], VLOOKUP(Nov_2026_SotM[[#This Row],[Low Seed]], $Z$194:$AE$210, 6, FALSE), OFFSET(Nov_2026_SotM[[#This Row],[Winner]], 2*(Nov_2026_SotM[[#This Row],[Max Seed]]-Nov_2026_SotM[[#This Row],[Low Seed]])+1, 0)))</f>
        <v>-</v>
      </c>
      <c r="S198" s="37"/>
      <c r="T198" s="35"/>
      <c r="U198" s="33"/>
      <c r="V198" s="31"/>
      <c r="W198" s="28"/>
      <c r="X198" s="106" t="str">
        <f ca="1">IF(OR(Nov_2026_SotM[[#This Row],[Song 1]]="TBD", Nov_2026_SotM[[#This Row],[Song 2]]="TBD"), "TBD", _xlfn.CONCAT(IF(_xlfn.XOR(ISBLANK(Nov_2026_SotM[[#This Row],[J]]), ISBLANK(Nov_2026_SotM[[#This Row],[J ]])), "", "J "), IF(_xlfn.XOR(ISBLANK(Nov_2026_SotM[[#This Row],[D]]), ISBLANK(Nov_2026_SotM[[#This Row],[D ]])), "", "D "), IF(_xlfn.XOR(ISBLANK(Nov_2026_SotM[[#This Row],[L]]), ISBLANK(Nov_2026_SotM[[#This Row],[L ]])), "", "L "), IF(_xlfn.XOR(ISBLANK(Nov_2026_SotM[[#This Row],[S]]), ISBLANK(Nov_2026_SotM[[#This Row],[S ]])), "", "S "), IF(_xlfn.XOR(ISBLANK(Nov_2026_SotM[[#This Row],[H]]), ISBLANK(Nov_2026_SotM[[#This Row],[H ]])), "", "H ")))</f>
        <v xml:space="preserve">J D L S H </v>
      </c>
      <c r="Z198" s="109" t="str">
        <f t="shared" si="55"/>
        <v>TBD</v>
      </c>
      <c r="AG198" s="100" t="e">
        <f t="shared" si="56"/>
        <v>#VALUE!</v>
      </c>
      <c r="AI198" s="3">
        <f>Nov_2026_SotM[[#This Row],[Max Seed]]/2 + 1</f>
        <v>5</v>
      </c>
      <c r="AJ198" t="str">
        <f>IF(Nov_2026_SotM[[#This Row],[Num]]&gt;=$A$193, "-", IF(Nov_2026_SotM[[#This Row],[Score 1]]&gt;=3, Nov_2026_SotM[[#This Row],[Song 2]], IF(Nov_2026_SotM[[#This Row],[Score 2]]&gt;=3, Nov_2026_SotM[[#This Row],[Song 1]], "TBD")))</f>
        <v>-</v>
      </c>
      <c r="AK198" s="3" t="str">
        <f>IFERROR(VLOOKUP(Nov_2025_Results69[[#This Row],[Song Title]], $AE$194:$AG$209, 3, FALSE)-Nov_2025_Results69[[#This Row],[Result]], "TBD")</f>
        <v>TBD</v>
      </c>
      <c r="AL198" s="3" t="str">
        <f t="shared" si="57"/>
        <v>↑</v>
      </c>
    </row>
    <row r="199" spans="1:38">
      <c r="A199" s="199" t="str">
        <f>_xlfn.CONCAT("Seed ", Nov_2026_SotM[[#This Row],[Top Seed]], " vs ",Nov_2026_SotM[[#This Row],[Low Seed]])</f>
        <v>Seed 3 vs 6</v>
      </c>
      <c r="B199" s="201">
        <v>5</v>
      </c>
      <c r="C199" s="200">
        <f>FLOOR(LOG(Nov_2026_SotM[[#This Row],[Num]], 2), 1)</f>
        <v>2</v>
      </c>
      <c r="D199" s="200">
        <f>2^(Nov_2026_SotM[[#This Row],[Round]]+1)</f>
        <v>8</v>
      </c>
      <c r="E199" s="200">
        <f>Nov_2026_SotM[[#This Row],[Max Seed]]-Nov_2026_SotM[[#This Row],[Num]]</f>
        <v>3</v>
      </c>
      <c r="F199" s="200">
        <f>Nov_2026_SotM[[#This Row],[Max Seed]]-Nov_2026_SotM[[#This Row],[Top Seed]]+1</f>
        <v>6</v>
      </c>
      <c r="G199" s="200" t="e">
        <f>IF(Nov_2026_SotM[[#This Row],[Round]]=$C$193, TRUE(), IF(Nov_2026_SotM[[#This Row],[Round]]=$B$193, Nov_2026_SotM[[#This Row],[Top Seed]]&lt;=2*Nov_2026_SotM[[#This Row],[Max Seed]]-$A$193, FALSE()))</f>
        <v>#NUM!</v>
      </c>
      <c r="H199" s="200" t="e">
        <f>IF(Nov_2026_SotM[[#This Row],[Round]]=$C$193, TRUE(), IF(Nov_2026_SotM[[#This Row],[Round]]=$B$193, Nov_2026_SotM[[#This Row],[Low Seed]]&lt;=2*Nov_2026_SotM[[#This Row],[Max Seed]]-$A$193, FALSE()))</f>
        <v>#NUM!</v>
      </c>
      <c r="I199" s="28"/>
      <c r="J199" s="31"/>
      <c r="K199" s="33"/>
      <c r="L199" s="35"/>
      <c r="M199" s="37"/>
      <c r="N199" s="203" t="str">
        <f ca="1">IF(Nov_2026_SotM[[#This Row],[Num]]&gt;=$A$193, "-", IF(Nov_2026_SotM[[#This Row],[Initial 1]], VLOOKUP(Nov_2026_SotM[[#This Row],[Top Seed]], $Z$194:$AE$210, 6, FALSE), OFFSET(Nov_2026_SotM[[#This Row],[Winner]], Nov_2026_SotM[[#This Row],[Max Seed]], 0)))</f>
        <v>-</v>
      </c>
      <c r="O199" s="200">
        <f>COUNTIF(Nov_2026_SotM[[#This Row],[J]:[H]],"x")</f>
        <v>0</v>
      </c>
      <c r="P199" s="201" t="str">
        <f>IF(Nov_2026_SotM[[#This Row],[Num]]&gt;=$A$193, "-", IF(Nov_2026_SotM[[#This Row],[Score 1]]&gt;=3, Nov_2026_SotM[[#This Row],[Song 1]], IF(Nov_2026_SotM[[#This Row],[Score 2]]&gt;=3, Nov_2026_SotM[[#This Row],[Song 2]], "TBD")))</f>
        <v>-</v>
      </c>
      <c r="Q199" s="206">
        <f>COUNTIF(Nov_2026_SotM[[#This Row],[H ]:[J ]],"x")</f>
        <v>0</v>
      </c>
      <c r="R199" s="200" t="str">
        <f ca="1">IF(Nov_2026_SotM[[#This Row],[Num]]&gt;=$A$193, "-", IF(Nov_2026_SotM[[#This Row],[Initial 2]], VLOOKUP(Nov_2026_SotM[[#This Row],[Low Seed]], $Z$194:$AE$210, 6, FALSE), OFFSET(Nov_2026_SotM[[#This Row],[Winner]], 2*(Nov_2026_SotM[[#This Row],[Max Seed]]-Nov_2026_SotM[[#This Row],[Low Seed]])+1, 0)))</f>
        <v>-</v>
      </c>
      <c r="S199" s="37"/>
      <c r="T199" s="35"/>
      <c r="U199" s="33"/>
      <c r="V199" s="31"/>
      <c r="W199" s="28"/>
      <c r="X199" s="106" t="str">
        <f ca="1">IF(OR(Nov_2026_SotM[[#This Row],[Song 1]]="TBD", Nov_2026_SotM[[#This Row],[Song 2]]="TBD"), "TBD", _xlfn.CONCAT(IF(_xlfn.XOR(ISBLANK(Nov_2026_SotM[[#This Row],[J]]), ISBLANK(Nov_2026_SotM[[#This Row],[J ]])), "", "J "), IF(_xlfn.XOR(ISBLANK(Nov_2026_SotM[[#This Row],[D]]), ISBLANK(Nov_2026_SotM[[#This Row],[D ]])), "", "D "), IF(_xlfn.XOR(ISBLANK(Nov_2026_SotM[[#This Row],[L]]), ISBLANK(Nov_2026_SotM[[#This Row],[L ]])), "", "L "), IF(_xlfn.XOR(ISBLANK(Nov_2026_SotM[[#This Row],[S]]), ISBLANK(Nov_2026_SotM[[#This Row],[S ]])), "", "S "), IF(_xlfn.XOR(ISBLANK(Nov_2026_SotM[[#This Row],[H]]), ISBLANK(Nov_2026_SotM[[#This Row],[H ]])), "", "H ")))</f>
        <v xml:space="preserve">J D L S H </v>
      </c>
      <c r="Z199" s="109" t="str">
        <f t="shared" si="55"/>
        <v>TBD</v>
      </c>
      <c r="AG199" s="100" t="e">
        <f t="shared" si="56"/>
        <v>#VALUE!</v>
      </c>
      <c r="AI199" s="3">
        <f>Nov_2026_SotM[[#This Row],[Max Seed]]/2 + 1</f>
        <v>5</v>
      </c>
      <c r="AJ199" t="str">
        <f>IF(Nov_2026_SotM[[#This Row],[Num]]&gt;=$A$193, "-", IF(Nov_2026_SotM[[#This Row],[Score 1]]&gt;=3, Nov_2026_SotM[[#This Row],[Song 2]], IF(Nov_2026_SotM[[#This Row],[Score 2]]&gt;=3, Nov_2026_SotM[[#This Row],[Song 1]], "TBD")))</f>
        <v>-</v>
      </c>
      <c r="AK199" s="3" t="str">
        <f>IFERROR(VLOOKUP(Nov_2025_Results69[[#This Row],[Song Title]], $AE$194:$AG$209, 3, FALSE)-Nov_2025_Results69[[#This Row],[Result]], "TBD")</f>
        <v>TBD</v>
      </c>
      <c r="AL199" s="3" t="str">
        <f t="shared" si="57"/>
        <v>↑</v>
      </c>
    </row>
    <row r="200" spans="1:38">
      <c r="A200" s="199" t="str">
        <f>_xlfn.CONCAT("Seed ", Nov_2026_SotM[[#This Row],[Top Seed]], " vs ",Nov_2026_SotM[[#This Row],[Low Seed]])</f>
        <v>Seed 2 vs 7</v>
      </c>
      <c r="B200" s="201">
        <v>6</v>
      </c>
      <c r="C200" s="200">
        <f>FLOOR(LOG(Nov_2026_SotM[[#This Row],[Num]], 2), 1)</f>
        <v>2</v>
      </c>
      <c r="D200" s="200">
        <f>2^(Nov_2026_SotM[[#This Row],[Round]]+1)</f>
        <v>8</v>
      </c>
      <c r="E200" s="200">
        <f>Nov_2026_SotM[[#This Row],[Max Seed]]-Nov_2026_SotM[[#This Row],[Num]]</f>
        <v>2</v>
      </c>
      <c r="F200" s="200">
        <f>Nov_2026_SotM[[#This Row],[Max Seed]]-Nov_2026_SotM[[#This Row],[Top Seed]]+1</f>
        <v>7</v>
      </c>
      <c r="G200" s="200" t="e">
        <f>IF(Nov_2026_SotM[[#This Row],[Round]]=$C$193, TRUE(), IF(Nov_2026_SotM[[#This Row],[Round]]=$B$193, Nov_2026_SotM[[#This Row],[Top Seed]]&lt;=2*Nov_2026_SotM[[#This Row],[Max Seed]]-$A$193, FALSE()))</f>
        <v>#NUM!</v>
      </c>
      <c r="H200" s="200" t="e">
        <f>IF(Nov_2026_SotM[[#This Row],[Round]]=$C$193, TRUE(), IF(Nov_2026_SotM[[#This Row],[Round]]=$B$193, Nov_2026_SotM[[#This Row],[Low Seed]]&lt;=2*Nov_2026_SotM[[#This Row],[Max Seed]]-$A$193, FALSE()))</f>
        <v>#NUM!</v>
      </c>
      <c r="I200" s="28"/>
      <c r="J200" s="31"/>
      <c r="K200" s="33"/>
      <c r="L200" s="35"/>
      <c r="M200" s="37"/>
      <c r="N200" s="203" t="str">
        <f ca="1">IF(Nov_2026_SotM[[#This Row],[Num]]&gt;=$A$193, "-", IF(Nov_2026_SotM[[#This Row],[Initial 1]], VLOOKUP(Nov_2026_SotM[[#This Row],[Top Seed]], $Z$194:$AE$210, 6, FALSE), OFFSET(Nov_2026_SotM[[#This Row],[Winner]], Nov_2026_SotM[[#This Row],[Max Seed]], 0)))</f>
        <v>-</v>
      </c>
      <c r="O200" s="200">
        <f>COUNTIF(Nov_2026_SotM[[#This Row],[J]:[H]],"x")</f>
        <v>0</v>
      </c>
      <c r="P200" s="201" t="str">
        <f>IF(Nov_2026_SotM[[#This Row],[Num]]&gt;=$A$193, "-", IF(Nov_2026_SotM[[#This Row],[Score 1]]&gt;=3, Nov_2026_SotM[[#This Row],[Song 1]], IF(Nov_2026_SotM[[#This Row],[Score 2]]&gt;=3, Nov_2026_SotM[[#This Row],[Song 2]], "TBD")))</f>
        <v>-</v>
      </c>
      <c r="Q200" s="206">
        <f>COUNTIF(Nov_2026_SotM[[#This Row],[H ]:[J ]],"x")</f>
        <v>0</v>
      </c>
      <c r="R200" s="200" t="str">
        <f ca="1">IF(Nov_2026_SotM[[#This Row],[Num]]&gt;=$A$193, "-", IF(Nov_2026_SotM[[#This Row],[Initial 2]], VLOOKUP(Nov_2026_SotM[[#This Row],[Low Seed]], $Z$194:$AE$210, 6, FALSE), OFFSET(Nov_2026_SotM[[#This Row],[Winner]], 2*(Nov_2026_SotM[[#This Row],[Max Seed]]-Nov_2026_SotM[[#This Row],[Low Seed]])+1, 0)))</f>
        <v>-</v>
      </c>
      <c r="S200" s="37"/>
      <c r="T200" s="35"/>
      <c r="U200" s="33"/>
      <c r="V200" s="31"/>
      <c r="W200" s="28"/>
      <c r="X200" s="106" t="str">
        <f ca="1">IF(OR(Nov_2026_SotM[[#This Row],[Song 1]]="TBD", Nov_2026_SotM[[#This Row],[Song 2]]="TBD"), "TBD", _xlfn.CONCAT(IF(_xlfn.XOR(ISBLANK(Nov_2026_SotM[[#This Row],[J]]), ISBLANK(Nov_2026_SotM[[#This Row],[J ]])), "", "J "), IF(_xlfn.XOR(ISBLANK(Nov_2026_SotM[[#This Row],[D]]), ISBLANK(Nov_2026_SotM[[#This Row],[D ]])), "", "D "), IF(_xlfn.XOR(ISBLANK(Nov_2026_SotM[[#This Row],[L]]), ISBLANK(Nov_2026_SotM[[#This Row],[L ]])), "", "L "), IF(_xlfn.XOR(ISBLANK(Nov_2026_SotM[[#This Row],[S]]), ISBLANK(Nov_2026_SotM[[#This Row],[S ]])), "", "S "), IF(_xlfn.XOR(ISBLANK(Nov_2026_SotM[[#This Row],[H]]), ISBLANK(Nov_2026_SotM[[#This Row],[H ]])), "", "H ")))</f>
        <v xml:space="preserve">J D L S H </v>
      </c>
      <c r="Z200" s="109" t="str">
        <f t="shared" si="55"/>
        <v>TBD</v>
      </c>
      <c r="AG200" s="100" t="e">
        <f t="shared" si="56"/>
        <v>#VALUE!</v>
      </c>
      <c r="AI200" s="3">
        <f>Nov_2026_SotM[[#This Row],[Max Seed]]/2 + 1</f>
        <v>5</v>
      </c>
      <c r="AJ200" t="str">
        <f>IF(Nov_2026_SotM[[#This Row],[Num]]&gt;=$A$193, "-", IF(Nov_2026_SotM[[#This Row],[Score 1]]&gt;=3, Nov_2026_SotM[[#This Row],[Song 2]], IF(Nov_2026_SotM[[#This Row],[Score 2]]&gt;=3, Nov_2026_SotM[[#This Row],[Song 1]], "TBD")))</f>
        <v>-</v>
      </c>
      <c r="AK200" s="3" t="str">
        <f>IFERROR(VLOOKUP(Nov_2025_Results69[[#This Row],[Song Title]], $AE$194:$AG$209, 3, FALSE)-Nov_2025_Results69[[#This Row],[Result]], "TBD")</f>
        <v>TBD</v>
      </c>
      <c r="AL200" s="3" t="str">
        <f t="shared" si="57"/>
        <v>↑</v>
      </c>
    </row>
    <row r="201" spans="1:38">
      <c r="A201" s="199" t="str">
        <f>_xlfn.CONCAT("Seed ", Nov_2026_SotM[[#This Row],[Top Seed]], " vs ",Nov_2026_SotM[[#This Row],[Low Seed]])</f>
        <v>Seed 1 vs 8</v>
      </c>
      <c r="B201" s="201">
        <v>7</v>
      </c>
      <c r="C201" s="200">
        <f>FLOOR(LOG(Nov_2026_SotM[[#This Row],[Num]], 2), 1)</f>
        <v>2</v>
      </c>
      <c r="D201" s="200">
        <f>2^(Nov_2026_SotM[[#This Row],[Round]]+1)</f>
        <v>8</v>
      </c>
      <c r="E201" s="200">
        <f>Nov_2026_SotM[[#This Row],[Max Seed]]-Nov_2026_SotM[[#This Row],[Num]]</f>
        <v>1</v>
      </c>
      <c r="F201" s="200">
        <f>Nov_2026_SotM[[#This Row],[Max Seed]]-Nov_2026_SotM[[#This Row],[Top Seed]]+1</f>
        <v>8</v>
      </c>
      <c r="G201" s="200" t="e">
        <f>IF(Nov_2026_SotM[[#This Row],[Round]]=$C$193, TRUE(), IF(Nov_2026_SotM[[#This Row],[Round]]=$B$193, Nov_2026_SotM[[#This Row],[Top Seed]]&lt;=2*Nov_2026_SotM[[#This Row],[Max Seed]]-$A$193, FALSE()))</f>
        <v>#NUM!</v>
      </c>
      <c r="H201" s="200" t="e">
        <f>IF(Nov_2026_SotM[[#This Row],[Round]]=$C$193, TRUE(), IF(Nov_2026_SotM[[#This Row],[Round]]=$B$193, Nov_2026_SotM[[#This Row],[Low Seed]]&lt;=2*Nov_2026_SotM[[#This Row],[Max Seed]]-$A$193, FALSE()))</f>
        <v>#NUM!</v>
      </c>
      <c r="I201" s="28"/>
      <c r="J201" s="31"/>
      <c r="K201" s="33"/>
      <c r="L201" s="35"/>
      <c r="M201" s="37"/>
      <c r="N201" s="203" t="str">
        <f ca="1">IF(Nov_2026_SotM[[#This Row],[Num]]&gt;=$A$193, "-", IF(Nov_2026_SotM[[#This Row],[Initial 1]], VLOOKUP(Nov_2026_SotM[[#This Row],[Top Seed]], $Z$194:$AE$210, 6, FALSE), OFFSET(Nov_2026_SotM[[#This Row],[Winner]], Nov_2026_SotM[[#This Row],[Max Seed]], 0)))</f>
        <v>-</v>
      </c>
      <c r="O201" s="200">
        <f>COUNTIF(Nov_2026_SotM[[#This Row],[J]:[H]],"x")</f>
        <v>0</v>
      </c>
      <c r="P201" s="201" t="str">
        <f>IF(Nov_2026_SotM[[#This Row],[Num]]&gt;=$A$193, "-", IF(Nov_2026_SotM[[#This Row],[Score 1]]&gt;=3, Nov_2026_SotM[[#This Row],[Song 1]], IF(Nov_2026_SotM[[#This Row],[Score 2]]&gt;=3, Nov_2026_SotM[[#This Row],[Song 2]], "TBD")))</f>
        <v>-</v>
      </c>
      <c r="Q201" s="206">
        <f>COUNTIF(Nov_2026_SotM[[#This Row],[H ]:[J ]],"x")</f>
        <v>0</v>
      </c>
      <c r="R201" s="200" t="str">
        <f ca="1">IF(Nov_2026_SotM[[#This Row],[Num]]&gt;=$A$193, "-", IF(Nov_2026_SotM[[#This Row],[Initial 2]], VLOOKUP(Nov_2026_SotM[[#This Row],[Low Seed]], $Z$194:$AE$210, 6, FALSE), OFFSET(Nov_2026_SotM[[#This Row],[Winner]], 2*(Nov_2026_SotM[[#This Row],[Max Seed]]-Nov_2026_SotM[[#This Row],[Low Seed]])+1, 0)))</f>
        <v>-</v>
      </c>
      <c r="S201" s="37"/>
      <c r="T201" s="35"/>
      <c r="U201" s="33"/>
      <c r="V201" s="31"/>
      <c r="W201" s="28"/>
      <c r="X201" s="106" t="str">
        <f ca="1">IF(OR(Nov_2026_SotM[[#This Row],[Song 1]]="TBD", Nov_2026_SotM[[#This Row],[Song 2]]="TBD"), "TBD", _xlfn.CONCAT(IF(_xlfn.XOR(ISBLANK(Nov_2026_SotM[[#This Row],[J]]), ISBLANK(Nov_2026_SotM[[#This Row],[J ]])), "", "J "), IF(_xlfn.XOR(ISBLANK(Nov_2026_SotM[[#This Row],[D]]), ISBLANK(Nov_2026_SotM[[#This Row],[D ]])), "", "D "), IF(_xlfn.XOR(ISBLANK(Nov_2026_SotM[[#This Row],[L]]), ISBLANK(Nov_2026_SotM[[#This Row],[L ]])), "", "L "), IF(_xlfn.XOR(ISBLANK(Nov_2026_SotM[[#This Row],[S]]), ISBLANK(Nov_2026_SotM[[#This Row],[S ]])), "", "S "), IF(_xlfn.XOR(ISBLANK(Nov_2026_SotM[[#This Row],[H]]), ISBLANK(Nov_2026_SotM[[#This Row],[H ]])), "", "H ")))</f>
        <v xml:space="preserve">J D L S H </v>
      </c>
      <c r="Z201" s="109" t="str">
        <f t="shared" si="55"/>
        <v>TBD</v>
      </c>
      <c r="AG201" s="100" t="e">
        <f t="shared" si="56"/>
        <v>#VALUE!</v>
      </c>
      <c r="AI201" s="3">
        <f>Nov_2026_SotM[[#This Row],[Max Seed]]/2 + 1</f>
        <v>5</v>
      </c>
      <c r="AJ201" t="str">
        <f>IF(Nov_2026_SotM[[#This Row],[Num]]&gt;=$A$193, "-", IF(Nov_2026_SotM[[#This Row],[Score 1]]&gt;=3, Nov_2026_SotM[[#This Row],[Song 2]], IF(Nov_2026_SotM[[#This Row],[Score 2]]&gt;=3, Nov_2026_SotM[[#This Row],[Song 1]], "TBD")))</f>
        <v>-</v>
      </c>
      <c r="AK201" s="3" t="str">
        <f>IFERROR(VLOOKUP(Nov_2025_Results69[[#This Row],[Song Title]], $AE$194:$AG$209, 3, FALSE)-Nov_2025_Results69[[#This Row],[Result]], "TBD")</f>
        <v>TBD</v>
      </c>
      <c r="AL201" s="3" t="str">
        <f t="shared" si="57"/>
        <v>↑</v>
      </c>
    </row>
    <row r="202" spans="1:38">
      <c r="A202" s="199" t="str">
        <f>_xlfn.CONCAT("Seed ", Nov_2026_SotM[[#This Row],[Top Seed]], " vs ",Nov_2026_SotM[[#This Row],[Low Seed]])</f>
        <v>Seed 8 vs 9</v>
      </c>
      <c r="B202" s="201">
        <v>8</v>
      </c>
      <c r="C202" s="200">
        <f>FLOOR(LOG(Nov_2026_SotM[[#This Row],[Num]], 2), 1)</f>
        <v>3</v>
      </c>
      <c r="D202" s="200">
        <f>2^(Nov_2026_SotM[[#This Row],[Round]]+1)</f>
        <v>16</v>
      </c>
      <c r="E202" s="200">
        <f>Nov_2026_SotM[[#This Row],[Max Seed]]-Nov_2026_SotM[[#This Row],[Num]]</f>
        <v>8</v>
      </c>
      <c r="F202" s="200">
        <f>Nov_2026_SotM[[#This Row],[Max Seed]]-Nov_2026_SotM[[#This Row],[Top Seed]]+1</f>
        <v>9</v>
      </c>
      <c r="G202" s="200" t="e">
        <f>IF(Nov_2026_SotM[[#This Row],[Round]]=$C$193, TRUE(), IF(Nov_2026_SotM[[#This Row],[Round]]=$B$193, Nov_2026_SotM[[#This Row],[Top Seed]]&lt;=2*Nov_2026_SotM[[#This Row],[Max Seed]]-$A$193, FALSE()))</f>
        <v>#NUM!</v>
      </c>
      <c r="H202" s="200" t="e">
        <f>IF(Nov_2026_SotM[[#This Row],[Round]]=$C$193, TRUE(), IF(Nov_2026_SotM[[#This Row],[Round]]=$B$193, Nov_2026_SotM[[#This Row],[Low Seed]]&lt;=2*Nov_2026_SotM[[#This Row],[Max Seed]]-$A$193, FALSE()))</f>
        <v>#NUM!</v>
      </c>
      <c r="I202" s="28"/>
      <c r="J202" s="31"/>
      <c r="K202" s="33"/>
      <c r="L202" s="35"/>
      <c r="M202" s="37"/>
      <c r="N202" s="203" t="str">
        <f ca="1">IF(Nov_2026_SotM[[#This Row],[Num]]&gt;=$A$193, "-", IF(Nov_2026_SotM[[#This Row],[Initial 1]], VLOOKUP(Nov_2026_SotM[[#This Row],[Top Seed]], $Z$194:$AE$210, 6, FALSE), OFFSET(Nov_2026_SotM[[#This Row],[Winner]], Nov_2026_SotM[[#This Row],[Max Seed]], 0)))</f>
        <v>-</v>
      </c>
      <c r="O202" s="200">
        <f>COUNTIF(Nov_2026_SotM[[#This Row],[J]:[H]],"x")</f>
        <v>0</v>
      </c>
      <c r="P202" s="201" t="str">
        <f>IF(Nov_2026_SotM[[#This Row],[Num]]&gt;=$A$193, "-", IF(Nov_2026_SotM[[#This Row],[Score 1]]&gt;=3, Nov_2026_SotM[[#This Row],[Song 1]], IF(Nov_2026_SotM[[#This Row],[Score 2]]&gt;=3, Nov_2026_SotM[[#This Row],[Song 2]], "TBD")))</f>
        <v>-</v>
      </c>
      <c r="Q202" s="206">
        <f>COUNTIF(Nov_2026_SotM[[#This Row],[H ]:[J ]],"x")</f>
        <v>0</v>
      </c>
      <c r="R202" s="200" t="str">
        <f ca="1">IF(Nov_2026_SotM[[#This Row],[Num]]&gt;=$A$193, "-", IF(Nov_2026_SotM[[#This Row],[Initial 2]], VLOOKUP(Nov_2026_SotM[[#This Row],[Low Seed]], $Z$194:$AE$210, 6, FALSE), OFFSET(Nov_2026_SotM[[#This Row],[Winner]], 2*(Nov_2026_SotM[[#This Row],[Max Seed]]-Nov_2026_SotM[[#This Row],[Low Seed]])+1, 0)))</f>
        <v>-</v>
      </c>
      <c r="S202" s="37"/>
      <c r="T202" s="35"/>
      <c r="U202" s="33"/>
      <c r="V202" s="31"/>
      <c r="W202" s="28"/>
      <c r="X202" s="106" t="str">
        <f ca="1">IF(OR(Nov_2026_SotM[[#This Row],[Song 1]]="TBD", Nov_2026_SotM[[#This Row],[Song 2]]="TBD"), "TBD", _xlfn.CONCAT(IF(_xlfn.XOR(ISBLANK(Nov_2026_SotM[[#This Row],[J]]), ISBLANK(Nov_2026_SotM[[#This Row],[J ]])), "", "J "), IF(_xlfn.XOR(ISBLANK(Nov_2026_SotM[[#This Row],[D]]), ISBLANK(Nov_2026_SotM[[#This Row],[D ]])), "", "D "), IF(_xlfn.XOR(ISBLANK(Nov_2026_SotM[[#This Row],[L]]), ISBLANK(Nov_2026_SotM[[#This Row],[L ]])), "", "L "), IF(_xlfn.XOR(ISBLANK(Nov_2026_SotM[[#This Row],[S]]), ISBLANK(Nov_2026_SotM[[#This Row],[S ]])), "", "S "), IF(_xlfn.XOR(ISBLANK(Nov_2026_SotM[[#This Row],[H]]), ISBLANK(Nov_2026_SotM[[#This Row],[H ]])), "", "H ")))</f>
        <v xml:space="preserve">J D L S H </v>
      </c>
      <c r="Z202" s="109" t="str">
        <f t="shared" si="55"/>
        <v>TBD</v>
      </c>
      <c r="AG202" s="100" t="e">
        <f t="shared" si="56"/>
        <v>#VALUE!</v>
      </c>
      <c r="AI202" s="3">
        <f>Nov_2026_SotM[[#This Row],[Max Seed]]/2 + 1</f>
        <v>9</v>
      </c>
      <c r="AJ202" t="str">
        <f>IF(Nov_2026_SotM[[#This Row],[Num]]&gt;=$A$193, "-", IF(Nov_2026_SotM[[#This Row],[Score 1]]&gt;=3, Nov_2026_SotM[[#This Row],[Song 2]], IF(Nov_2026_SotM[[#This Row],[Score 2]]&gt;=3, Nov_2026_SotM[[#This Row],[Song 1]], "TBD")))</f>
        <v>-</v>
      </c>
      <c r="AK202" s="3" t="str">
        <f>IFERROR(VLOOKUP(Nov_2025_Results69[[#This Row],[Song Title]], $AE$194:$AG$209, 3, FALSE)-Nov_2025_Results69[[#This Row],[Result]], "TBD")</f>
        <v>TBD</v>
      </c>
      <c r="AL202" s="3" t="str">
        <f t="shared" si="57"/>
        <v>↑</v>
      </c>
    </row>
    <row r="203" spans="1:38">
      <c r="A203" s="199" t="str">
        <f>_xlfn.CONCAT("Seed ", Nov_2026_SotM[[#This Row],[Top Seed]], " vs ",Nov_2026_SotM[[#This Row],[Low Seed]])</f>
        <v>Seed 7 vs 10</v>
      </c>
      <c r="B203" s="201">
        <v>9</v>
      </c>
      <c r="C203" s="200">
        <f>FLOOR(LOG(Nov_2026_SotM[[#This Row],[Num]], 2), 1)</f>
        <v>3</v>
      </c>
      <c r="D203" s="200">
        <f>2^(Nov_2026_SotM[[#This Row],[Round]]+1)</f>
        <v>16</v>
      </c>
      <c r="E203" s="200">
        <f>Nov_2026_SotM[[#This Row],[Max Seed]]-Nov_2026_SotM[[#This Row],[Num]]</f>
        <v>7</v>
      </c>
      <c r="F203" s="200">
        <f>Nov_2026_SotM[[#This Row],[Max Seed]]-Nov_2026_SotM[[#This Row],[Top Seed]]+1</f>
        <v>10</v>
      </c>
      <c r="G203" s="200" t="e">
        <f>IF(Nov_2026_SotM[[#This Row],[Round]]=$C$193, TRUE(), IF(Nov_2026_SotM[[#This Row],[Round]]=$B$193, Nov_2026_SotM[[#This Row],[Top Seed]]&lt;=2*Nov_2026_SotM[[#This Row],[Max Seed]]-$A$193, FALSE()))</f>
        <v>#NUM!</v>
      </c>
      <c r="H203" s="200" t="e">
        <f>IF(Nov_2026_SotM[[#This Row],[Round]]=$C$193, TRUE(), IF(Nov_2026_SotM[[#This Row],[Round]]=$B$193, Nov_2026_SotM[[#This Row],[Low Seed]]&lt;=2*Nov_2026_SotM[[#This Row],[Max Seed]]-$A$193, FALSE()))</f>
        <v>#NUM!</v>
      </c>
      <c r="I203" s="28"/>
      <c r="J203" s="31"/>
      <c r="K203" s="33"/>
      <c r="L203" s="35"/>
      <c r="M203" s="37"/>
      <c r="N203" s="203" t="str">
        <f ca="1">IF(Nov_2026_SotM[[#This Row],[Num]]&gt;=$A$193, "-", IF(Nov_2026_SotM[[#This Row],[Initial 1]], VLOOKUP(Nov_2026_SotM[[#This Row],[Top Seed]], $Z$194:$AE$210, 6, FALSE), OFFSET(Nov_2026_SotM[[#This Row],[Winner]], Nov_2026_SotM[[#This Row],[Max Seed]], 0)))</f>
        <v>-</v>
      </c>
      <c r="O203" s="200">
        <f>COUNTIF(Nov_2026_SotM[[#This Row],[J]:[H]],"x")</f>
        <v>0</v>
      </c>
      <c r="P203" s="201" t="str">
        <f>IF(Nov_2026_SotM[[#This Row],[Num]]&gt;=$A$193, "-", IF(Nov_2026_SotM[[#This Row],[Score 1]]&gt;=3, Nov_2026_SotM[[#This Row],[Song 1]], IF(Nov_2026_SotM[[#This Row],[Score 2]]&gt;=3, Nov_2026_SotM[[#This Row],[Song 2]], "TBD")))</f>
        <v>-</v>
      </c>
      <c r="Q203" s="206">
        <f>COUNTIF(Nov_2026_SotM[[#This Row],[H ]:[J ]],"x")</f>
        <v>0</v>
      </c>
      <c r="R203" s="200" t="str">
        <f ca="1">IF(Nov_2026_SotM[[#This Row],[Num]]&gt;=$A$193, "-", IF(Nov_2026_SotM[[#This Row],[Initial 2]], VLOOKUP(Nov_2026_SotM[[#This Row],[Low Seed]], $Z$194:$AE$210, 6, FALSE), OFFSET(Nov_2026_SotM[[#This Row],[Winner]], 2*(Nov_2026_SotM[[#This Row],[Max Seed]]-Nov_2026_SotM[[#This Row],[Low Seed]])+1, 0)))</f>
        <v>-</v>
      </c>
      <c r="S203" s="37"/>
      <c r="T203" s="35"/>
      <c r="U203" s="33"/>
      <c r="V203" s="31"/>
      <c r="W203" s="28"/>
      <c r="X203" s="106" t="str">
        <f ca="1">IF(OR(Nov_2026_SotM[[#This Row],[Song 1]]="TBD", Nov_2026_SotM[[#This Row],[Song 2]]="TBD"), "TBD", _xlfn.CONCAT(IF(_xlfn.XOR(ISBLANK(Nov_2026_SotM[[#This Row],[J]]), ISBLANK(Nov_2026_SotM[[#This Row],[J ]])), "", "J "), IF(_xlfn.XOR(ISBLANK(Nov_2026_SotM[[#This Row],[D]]), ISBLANK(Nov_2026_SotM[[#This Row],[D ]])), "", "D "), IF(_xlfn.XOR(ISBLANK(Nov_2026_SotM[[#This Row],[L]]), ISBLANK(Nov_2026_SotM[[#This Row],[L ]])), "", "L "), IF(_xlfn.XOR(ISBLANK(Nov_2026_SotM[[#This Row],[S]]), ISBLANK(Nov_2026_SotM[[#This Row],[S ]])), "", "S "), IF(_xlfn.XOR(ISBLANK(Nov_2026_SotM[[#This Row],[H]]), ISBLANK(Nov_2026_SotM[[#This Row],[H ]])), "", "H ")))</f>
        <v xml:space="preserve">J D L S H </v>
      </c>
      <c r="Z203" s="109" t="str">
        <f t="shared" si="55"/>
        <v>TBD</v>
      </c>
      <c r="AG203" s="100" t="e">
        <f t="shared" si="56"/>
        <v>#VALUE!</v>
      </c>
      <c r="AI203" s="3">
        <f>Nov_2026_SotM[[#This Row],[Max Seed]]/2 + 1</f>
        <v>9</v>
      </c>
      <c r="AJ203" t="str">
        <f>IF(Nov_2026_SotM[[#This Row],[Num]]&gt;=$A$193, "-", IF(Nov_2026_SotM[[#This Row],[Score 1]]&gt;=3, Nov_2026_SotM[[#This Row],[Song 2]], IF(Nov_2026_SotM[[#This Row],[Score 2]]&gt;=3, Nov_2026_SotM[[#This Row],[Song 1]], "TBD")))</f>
        <v>-</v>
      </c>
      <c r="AK203" s="3" t="str">
        <f>IFERROR(VLOOKUP(Nov_2025_Results69[[#This Row],[Song Title]], $AE$194:$AG$209, 3, FALSE)-Nov_2025_Results69[[#This Row],[Result]], "TBD")</f>
        <v>TBD</v>
      </c>
      <c r="AL203" s="3" t="str">
        <f t="shared" si="57"/>
        <v>↑</v>
      </c>
    </row>
    <row r="204" spans="1:38">
      <c r="A204" s="199" t="str">
        <f>_xlfn.CONCAT("Seed ", Nov_2026_SotM[[#This Row],[Top Seed]], " vs ",Nov_2026_SotM[[#This Row],[Low Seed]])</f>
        <v>Seed 6 vs 11</v>
      </c>
      <c r="B204" s="201">
        <v>10</v>
      </c>
      <c r="C204" s="200">
        <f>FLOOR(LOG(Nov_2026_SotM[[#This Row],[Num]], 2), 1)</f>
        <v>3</v>
      </c>
      <c r="D204" s="200">
        <f>2^(Nov_2026_SotM[[#This Row],[Round]]+1)</f>
        <v>16</v>
      </c>
      <c r="E204" s="200">
        <f>Nov_2026_SotM[[#This Row],[Max Seed]]-Nov_2026_SotM[[#This Row],[Num]]</f>
        <v>6</v>
      </c>
      <c r="F204" s="200">
        <f>Nov_2026_SotM[[#This Row],[Max Seed]]-Nov_2026_SotM[[#This Row],[Top Seed]]+1</f>
        <v>11</v>
      </c>
      <c r="G204" s="200" t="e">
        <f>IF(Nov_2026_SotM[[#This Row],[Round]]=$C$193, TRUE(), IF(Nov_2026_SotM[[#This Row],[Round]]=$B$193, Nov_2026_SotM[[#This Row],[Top Seed]]&lt;=2*Nov_2026_SotM[[#This Row],[Max Seed]]-$A$193, FALSE()))</f>
        <v>#NUM!</v>
      </c>
      <c r="H204" s="200" t="e">
        <f>IF(Nov_2026_SotM[[#This Row],[Round]]=$C$193, TRUE(), IF(Nov_2026_SotM[[#This Row],[Round]]=$B$193, Nov_2026_SotM[[#This Row],[Low Seed]]&lt;=2*Nov_2026_SotM[[#This Row],[Max Seed]]-$A$193, FALSE()))</f>
        <v>#NUM!</v>
      </c>
      <c r="I204" s="28"/>
      <c r="J204" s="31"/>
      <c r="K204" s="33"/>
      <c r="L204" s="35"/>
      <c r="M204" s="37"/>
      <c r="N204" s="203" t="str">
        <f ca="1">IF(Nov_2026_SotM[[#This Row],[Num]]&gt;=$A$193, "-", IF(Nov_2026_SotM[[#This Row],[Initial 1]], VLOOKUP(Nov_2026_SotM[[#This Row],[Top Seed]], $Z$194:$AE$210, 6, FALSE), OFFSET(Nov_2026_SotM[[#This Row],[Winner]], Nov_2026_SotM[[#This Row],[Max Seed]], 0)))</f>
        <v>-</v>
      </c>
      <c r="O204" s="200">
        <f>COUNTIF(Nov_2026_SotM[[#This Row],[J]:[H]],"x")</f>
        <v>0</v>
      </c>
      <c r="P204" s="201" t="str">
        <f>IF(Nov_2026_SotM[[#This Row],[Num]]&gt;=$A$193, "-", IF(Nov_2026_SotM[[#This Row],[Score 1]]&gt;=3, Nov_2026_SotM[[#This Row],[Song 1]], IF(Nov_2026_SotM[[#This Row],[Score 2]]&gt;=3, Nov_2026_SotM[[#This Row],[Song 2]], "TBD")))</f>
        <v>-</v>
      </c>
      <c r="Q204" s="206">
        <f>COUNTIF(Nov_2026_SotM[[#This Row],[H ]:[J ]],"x")</f>
        <v>0</v>
      </c>
      <c r="R204" s="200" t="str">
        <f ca="1">IF(Nov_2026_SotM[[#This Row],[Num]]&gt;=$A$193, "-", IF(Nov_2026_SotM[[#This Row],[Initial 2]], VLOOKUP(Nov_2026_SotM[[#This Row],[Low Seed]], $Z$194:$AE$210, 6, FALSE), OFFSET(Nov_2026_SotM[[#This Row],[Winner]], 2*(Nov_2026_SotM[[#This Row],[Max Seed]]-Nov_2026_SotM[[#This Row],[Low Seed]])+1, 0)))</f>
        <v>-</v>
      </c>
      <c r="S204" s="37"/>
      <c r="T204" s="35"/>
      <c r="U204" s="33"/>
      <c r="V204" s="31"/>
      <c r="W204" s="28"/>
      <c r="X204" s="106" t="str">
        <f ca="1">IF(OR(Nov_2026_SotM[[#This Row],[Song 1]]="TBD", Nov_2026_SotM[[#This Row],[Song 2]]="TBD"), "TBD", _xlfn.CONCAT(IF(_xlfn.XOR(ISBLANK(Nov_2026_SotM[[#This Row],[J]]), ISBLANK(Nov_2026_SotM[[#This Row],[J ]])), "", "J "), IF(_xlfn.XOR(ISBLANK(Nov_2026_SotM[[#This Row],[D]]), ISBLANK(Nov_2026_SotM[[#This Row],[D ]])), "", "D "), IF(_xlfn.XOR(ISBLANK(Nov_2026_SotM[[#This Row],[L]]), ISBLANK(Nov_2026_SotM[[#This Row],[L ]])), "", "L "), IF(_xlfn.XOR(ISBLANK(Nov_2026_SotM[[#This Row],[S]]), ISBLANK(Nov_2026_SotM[[#This Row],[S ]])), "", "S "), IF(_xlfn.XOR(ISBLANK(Nov_2026_SotM[[#This Row],[H]]), ISBLANK(Nov_2026_SotM[[#This Row],[H ]])), "", "H ")))</f>
        <v xml:space="preserve">J D L S H </v>
      </c>
      <c r="Z204" s="109" t="str">
        <f t="shared" si="55"/>
        <v>TBD</v>
      </c>
      <c r="AG204" s="100" t="e">
        <f t="shared" si="56"/>
        <v>#VALUE!</v>
      </c>
      <c r="AI204" s="3">
        <f>Nov_2026_SotM[[#This Row],[Max Seed]]/2 + 1</f>
        <v>9</v>
      </c>
      <c r="AJ204" t="str">
        <f>IF(Nov_2026_SotM[[#This Row],[Num]]&gt;=$A$193, "-", IF(Nov_2026_SotM[[#This Row],[Score 1]]&gt;=3, Nov_2026_SotM[[#This Row],[Song 2]], IF(Nov_2026_SotM[[#This Row],[Score 2]]&gt;=3, Nov_2026_SotM[[#This Row],[Song 1]], "TBD")))</f>
        <v>-</v>
      </c>
      <c r="AK204" s="3" t="str">
        <f>IFERROR(VLOOKUP(Nov_2025_Results69[[#This Row],[Song Title]], $AE$194:$AG$209, 3, FALSE)-Nov_2025_Results69[[#This Row],[Result]], "TBD")</f>
        <v>TBD</v>
      </c>
      <c r="AL204" s="3" t="str">
        <f t="shared" si="57"/>
        <v>↑</v>
      </c>
    </row>
    <row r="205" spans="1:38">
      <c r="A205" s="199" t="str">
        <f>_xlfn.CONCAT("Seed ", Nov_2026_SotM[[#This Row],[Top Seed]], " vs ",Nov_2026_SotM[[#This Row],[Low Seed]])</f>
        <v>Seed 5 vs 12</v>
      </c>
      <c r="B205" s="201">
        <v>11</v>
      </c>
      <c r="C205" s="200">
        <f>FLOOR(LOG(Nov_2026_SotM[[#This Row],[Num]], 2), 1)</f>
        <v>3</v>
      </c>
      <c r="D205" s="200">
        <f>2^(Nov_2026_SotM[[#This Row],[Round]]+1)</f>
        <v>16</v>
      </c>
      <c r="E205" s="200">
        <f>Nov_2026_SotM[[#This Row],[Max Seed]]-Nov_2026_SotM[[#This Row],[Num]]</f>
        <v>5</v>
      </c>
      <c r="F205" s="200">
        <f>Nov_2026_SotM[[#This Row],[Max Seed]]-Nov_2026_SotM[[#This Row],[Top Seed]]+1</f>
        <v>12</v>
      </c>
      <c r="G205" s="200" t="e">
        <f>IF(Nov_2026_SotM[[#This Row],[Round]]=$C$193, TRUE(), IF(Nov_2026_SotM[[#This Row],[Round]]=$B$193, Nov_2026_SotM[[#This Row],[Top Seed]]&lt;=2*Nov_2026_SotM[[#This Row],[Max Seed]]-$A$193, FALSE()))</f>
        <v>#NUM!</v>
      </c>
      <c r="H205" s="200" t="e">
        <f>IF(Nov_2026_SotM[[#This Row],[Round]]=$C$193, TRUE(), IF(Nov_2026_SotM[[#This Row],[Round]]=$B$193, Nov_2026_SotM[[#This Row],[Low Seed]]&lt;=2*Nov_2026_SotM[[#This Row],[Max Seed]]-$A$193, FALSE()))</f>
        <v>#NUM!</v>
      </c>
      <c r="I205" s="28"/>
      <c r="J205" s="31"/>
      <c r="K205" s="33"/>
      <c r="L205" s="35"/>
      <c r="M205" s="37"/>
      <c r="N205" s="203" t="str">
        <f ca="1">IF(Nov_2026_SotM[[#This Row],[Num]]&gt;=$A$193, "-", IF(Nov_2026_SotM[[#This Row],[Initial 1]], VLOOKUP(Nov_2026_SotM[[#This Row],[Top Seed]], $Z$194:$AE$210, 6, FALSE), OFFSET(Nov_2026_SotM[[#This Row],[Winner]], Nov_2026_SotM[[#This Row],[Max Seed]], 0)))</f>
        <v>-</v>
      </c>
      <c r="O205" s="200">
        <f>COUNTIF(Nov_2026_SotM[[#This Row],[J]:[H]],"x")</f>
        <v>0</v>
      </c>
      <c r="P205" s="201" t="str">
        <f>IF(Nov_2026_SotM[[#This Row],[Num]]&gt;=$A$193, "-", IF(Nov_2026_SotM[[#This Row],[Score 1]]&gt;=3, Nov_2026_SotM[[#This Row],[Song 1]], IF(Nov_2026_SotM[[#This Row],[Score 2]]&gt;=3, Nov_2026_SotM[[#This Row],[Song 2]], "TBD")))</f>
        <v>-</v>
      </c>
      <c r="Q205" s="206">
        <f>COUNTIF(Nov_2026_SotM[[#This Row],[H ]:[J ]],"x")</f>
        <v>0</v>
      </c>
      <c r="R205" s="200" t="str">
        <f ca="1">IF(Nov_2026_SotM[[#This Row],[Num]]&gt;=$A$193, "-", IF(Nov_2026_SotM[[#This Row],[Initial 2]], VLOOKUP(Nov_2026_SotM[[#This Row],[Low Seed]], $Z$194:$AE$210, 6, FALSE), OFFSET(Nov_2026_SotM[[#This Row],[Winner]], 2*(Nov_2026_SotM[[#This Row],[Max Seed]]-Nov_2026_SotM[[#This Row],[Low Seed]])+1, 0)))</f>
        <v>-</v>
      </c>
      <c r="S205" s="37"/>
      <c r="T205" s="35"/>
      <c r="U205" s="33"/>
      <c r="V205" s="31"/>
      <c r="W205" s="28"/>
      <c r="X205" s="106" t="str">
        <f ca="1">IF(OR(Nov_2026_SotM[[#This Row],[Song 1]]="TBD", Nov_2026_SotM[[#This Row],[Song 2]]="TBD"), "TBD", _xlfn.CONCAT(IF(_xlfn.XOR(ISBLANK(Nov_2026_SotM[[#This Row],[J]]), ISBLANK(Nov_2026_SotM[[#This Row],[J ]])), "", "J "), IF(_xlfn.XOR(ISBLANK(Nov_2026_SotM[[#This Row],[D]]), ISBLANK(Nov_2026_SotM[[#This Row],[D ]])), "", "D "), IF(_xlfn.XOR(ISBLANK(Nov_2026_SotM[[#This Row],[L]]), ISBLANK(Nov_2026_SotM[[#This Row],[L ]])), "", "L "), IF(_xlfn.XOR(ISBLANK(Nov_2026_SotM[[#This Row],[S]]), ISBLANK(Nov_2026_SotM[[#This Row],[S ]])), "", "S "), IF(_xlfn.XOR(ISBLANK(Nov_2026_SotM[[#This Row],[H]]), ISBLANK(Nov_2026_SotM[[#This Row],[H ]])), "", "H ")))</f>
        <v xml:space="preserve">J D L S H </v>
      </c>
      <c r="Z205" s="109" t="str">
        <f t="shared" si="55"/>
        <v>TBD</v>
      </c>
      <c r="AG205" s="100" t="e">
        <f t="shared" si="56"/>
        <v>#VALUE!</v>
      </c>
      <c r="AI205" s="3">
        <f>Nov_2026_SotM[[#This Row],[Max Seed]]/2 + 1</f>
        <v>9</v>
      </c>
      <c r="AJ205" t="str">
        <f>IF(Nov_2026_SotM[[#This Row],[Num]]&gt;=$A$193, "-", IF(Nov_2026_SotM[[#This Row],[Score 1]]&gt;=3, Nov_2026_SotM[[#This Row],[Song 2]], IF(Nov_2026_SotM[[#This Row],[Score 2]]&gt;=3, Nov_2026_SotM[[#This Row],[Song 1]], "TBD")))</f>
        <v>-</v>
      </c>
      <c r="AK205" s="3" t="str">
        <f>IFERROR(VLOOKUP(Nov_2025_Results69[[#This Row],[Song Title]], $AE$194:$AG$209, 3, FALSE)-Nov_2025_Results69[[#This Row],[Result]], "TBD")</f>
        <v>TBD</v>
      </c>
      <c r="AL205" s="3" t="str">
        <f t="shared" si="57"/>
        <v>↑</v>
      </c>
    </row>
    <row r="206" spans="1:38">
      <c r="A206" s="199" t="str">
        <f>_xlfn.CONCAT("Seed ", Nov_2026_SotM[[#This Row],[Top Seed]], " vs ",Nov_2026_SotM[[#This Row],[Low Seed]])</f>
        <v>Seed 4 vs 13</v>
      </c>
      <c r="B206" s="201">
        <v>12</v>
      </c>
      <c r="C206" s="200">
        <f>FLOOR(LOG(Nov_2026_SotM[[#This Row],[Num]], 2), 1)</f>
        <v>3</v>
      </c>
      <c r="D206" s="200">
        <f>2^(Nov_2026_SotM[[#This Row],[Round]]+1)</f>
        <v>16</v>
      </c>
      <c r="E206" s="200">
        <f>Nov_2026_SotM[[#This Row],[Max Seed]]-Nov_2026_SotM[[#This Row],[Num]]</f>
        <v>4</v>
      </c>
      <c r="F206" s="200">
        <f>Nov_2026_SotM[[#This Row],[Max Seed]]-Nov_2026_SotM[[#This Row],[Top Seed]]+1</f>
        <v>13</v>
      </c>
      <c r="G206" s="200" t="e">
        <f>IF(Nov_2026_SotM[[#This Row],[Round]]=$C$193, TRUE(), IF(Nov_2026_SotM[[#This Row],[Round]]=$B$193, Nov_2026_SotM[[#This Row],[Top Seed]]&lt;=2*Nov_2026_SotM[[#This Row],[Max Seed]]-$A$193, FALSE()))</f>
        <v>#NUM!</v>
      </c>
      <c r="H206" s="200" t="e">
        <f>IF(Nov_2026_SotM[[#This Row],[Round]]=$C$193, TRUE(), IF(Nov_2026_SotM[[#This Row],[Round]]=$B$193, Nov_2026_SotM[[#This Row],[Low Seed]]&lt;=2*Nov_2026_SotM[[#This Row],[Max Seed]]-$A$193, FALSE()))</f>
        <v>#NUM!</v>
      </c>
      <c r="I206" s="28"/>
      <c r="J206" s="31"/>
      <c r="K206" s="33"/>
      <c r="L206" s="35"/>
      <c r="M206" s="37"/>
      <c r="N206" s="203" t="str">
        <f ca="1">IF(Nov_2026_SotM[[#This Row],[Num]]&gt;=$A$193, "-", IF(Nov_2026_SotM[[#This Row],[Initial 1]], VLOOKUP(Nov_2026_SotM[[#This Row],[Top Seed]], $Z$194:$AE$210, 6, FALSE), OFFSET(Nov_2026_SotM[[#This Row],[Winner]], Nov_2026_SotM[[#This Row],[Max Seed]], 0)))</f>
        <v>-</v>
      </c>
      <c r="O206" s="200">
        <f>COUNTIF(Nov_2026_SotM[[#This Row],[J]:[H]],"x")</f>
        <v>0</v>
      </c>
      <c r="P206" s="201" t="str">
        <f>IF(Nov_2026_SotM[[#This Row],[Num]]&gt;=$A$193, "-", IF(Nov_2026_SotM[[#This Row],[Score 1]]&gt;=3, Nov_2026_SotM[[#This Row],[Song 1]], IF(Nov_2026_SotM[[#This Row],[Score 2]]&gt;=3, Nov_2026_SotM[[#This Row],[Song 2]], "TBD")))</f>
        <v>-</v>
      </c>
      <c r="Q206" s="206">
        <f>COUNTIF(Nov_2026_SotM[[#This Row],[H ]:[J ]],"x")</f>
        <v>0</v>
      </c>
      <c r="R206" s="200" t="str">
        <f ca="1">IF(Nov_2026_SotM[[#This Row],[Num]]&gt;=$A$193, "-", IF(Nov_2026_SotM[[#This Row],[Initial 2]], VLOOKUP(Nov_2026_SotM[[#This Row],[Low Seed]], $Z$194:$AE$210, 6, FALSE), OFFSET(Nov_2026_SotM[[#This Row],[Winner]], 2*(Nov_2026_SotM[[#This Row],[Max Seed]]-Nov_2026_SotM[[#This Row],[Low Seed]])+1, 0)))</f>
        <v>-</v>
      </c>
      <c r="S206" s="37"/>
      <c r="T206" s="35"/>
      <c r="U206" s="33"/>
      <c r="V206" s="31"/>
      <c r="W206" s="28"/>
      <c r="X206" s="106" t="str">
        <f ca="1">IF(OR(Nov_2026_SotM[[#This Row],[Song 1]]="TBD", Nov_2026_SotM[[#This Row],[Song 2]]="TBD"), "TBD", _xlfn.CONCAT(IF(_xlfn.XOR(ISBLANK(Nov_2026_SotM[[#This Row],[J]]), ISBLANK(Nov_2026_SotM[[#This Row],[J ]])), "", "J "), IF(_xlfn.XOR(ISBLANK(Nov_2026_SotM[[#This Row],[D]]), ISBLANK(Nov_2026_SotM[[#This Row],[D ]])), "", "D "), IF(_xlfn.XOR(ISBLANK(Nov_2026_SotM[[#This Row],[L]]), ISBLANK(Nov_2026_SotM[[#This Row],[L ]])), "", "L "), IF(_xlfn.XOR(ISBLANK(Nov_2026_SotM[[#This Row],[S]]), ISBLANK(Nov_2026_SotM[[#This Row],[S ]])), "", "S "), IF(_xlfn.XOR(ISBLANK(Nov_2026_SotM[[#This Row],[H]]), ISBLANK(Nov_2026_SotM[[#This Row],[H ]])), "", "H ")))</f>
        <v xml:space="preserve">J D L S H </v>
      </c>
      <c r="Z206" s="109" t="str">
        <f t="shared" si="55"/>
        <v>TBD</v>
      </c>
      <c r="AG206" s="100" t="e">
        <f t="shared" si="56"/>
        <v>#VALUE!</v>
      </c>
      <c r="AI206" s="3">
        <f>Nov_2026_SotM[[#This Row],[Max Seed]]/2 + 1</f>
        <v>9</v>
      </c>
      <c r="AJ206" t="str">
        <f>IF(Nov_2026_SotM[[#This Row],[Num]]&gt;=$A$193, "-", IF(Nov_2026_SotM[[#This Row],[Score 1]]&gt;=3, Nov_2026_SotM[[#This Row],[Song 2]], IF(Nov_2026_SotM[[#This Row],[Score 2]]&gt;=3, Nov_2026_SotM[[#This Row],[Song 1]], "TBD")))</f>
        <v>-</v>
      </c>
      <c r="AK206" s="3" t="str">
        <f>IFERROR(VLOOKUP(Nov_2025_Results69[[#This Row],[Song Title]], $AE$194:$AG$209, 3, FALSE)-Nov_2025_Results69[[#This Row],[Result]], "TBD")</f>
        <v>TBD</v>
      </c>
      <c r="AL206" s="3" t="str">
        <f t="shared" si="57"/>
        <v>↑</v>
      </c>
    </row>
    <row r="207" spans="1:38">
      <c r="A207" s="199" t="str">
        <f>_xlfn.CONCAT("Seed ", Nov_2026_SotM[[#This Row],[Top Seed]], " vs ",Nov_2026_SotM[[#This Row],[Low Seed]])</f>
        <v>Seed 3 vs 14</v>
      </c>
      <c r="B207" s="201">
        <v>13</v>
      </c>
      <c r="C207" s="200">
        <f>FLOOR(LOG(Nov_2026_SotM[[#This Row],[Num]], 2), 1)</f>
        <v>3</v>
      </c>
      <c r="D207" s="200">
        <f>2^(Nov_2026_SotM[[#This Row],[Round]]+1)</f>
        <v>16</v>
      </c>
      <c r="E207" s="200">
        <f>Nov_2026_SotM[[#This Row],[Max Seed]]-Nov_2026_SotM[[#This Row],[Num]]</f>
        <v>3</v>
      </c>
      <c r="F207" s="200">
        <f>Nov_2026_SotM[[#This Row],[Max Seed]]-Nov_2026_SotM[[#This Row],[Top Seed]]+1</f>
        <v>14</v>
      </c>
      <c r="G207" s="200" t="e">
        <f>IF(Nov_2026_SotM[[#This Row],[Round]]=$C$193, TRUE(), IF(Nov_2026_SotM[[#This Row],[Round]]=$B$193, Nov_2026_SotM[[#This Row],[Top Seed]]&lt;=2*Nov_2026_SotM[[#This Row],[Max Seed]]-$A$193, FALSE()))</f>
        <v>#NUM!</v>
      </c>
      <c r="H207" s="200" t="e">
        <f>IF(Nov_2026_SotM[[#This Row],[Round]]=$C$193, TRUE(), IF(Nov_2026_SotM[[#This Row],[Round]]=$B$193, Nov_2026_SotM[[#This Row],[Low Seed]]&lt;=2*Nov_2026_SotM[[#This Row],[Max Seed]]-$A$193, FALSE()))</f>
        <v>#NUM!</v>
      </c>
      <c r="I207" s="28"/>
      <c r="J207" s="31"/>
      <c r="K207" s="33"/>
      <c r="L207" s="35"/>
      <c r="M207" s="37"/>
      <c r="N207" s="203" t="str">
        <f ca="1">IF(Nov_2026_SotM[[#This Row],[Num]]&gt;=$A$193, "-", IF(Nov_2026_SotM[[#This Row],[Initial 1]], VLOOKUP(Nov_2026_SotM[[#This Row],[Top Seed]], $Z$194:$AE$210, 6, FALSE), OFFSET(Nov_2026_SotM[[#This Row],[Winner]], Nov_2026_SotM[[#This Row],[Max Seed]], 0)))</f>
        <v>-</v>
      </c>
      <c r="O207" s="200">
        <f>COUNTIF(Nov_2026_SotM[[#This Row],[J]:[H]],"x")</f>
        <v>0</v>
      </c>
      <c r="P207" s="201" t="str">
        <f>IF(Nov_2026_SotM[[#This Row],[Num]]&gt;=$A$193, "-", IF(Nov_2026_SotM[[#This Row],[Score 1]]&gt;=3, Nov_2026_SotM[[#This Row],[Song 1]], IF(Nov_2026_SotM[[#This Row],[Score 2]]&gt;=3, Nov_2026_SotM[[#This Row],[Song 2]], "TBD")))</f>
        <v>-</v>
      </c>
      <c r="Q207" s="206">
        <f>COUNTIF(Nov_2026_SotM[[#This Row],[H ]:[J ]],"x")</f>
        <v>0</v>
      </c>
      <c r="R207" s="200" t="str">
        <f ca="1">IF(Nov_2026_SotM[[#This Row],[Num]]&gt;=$A$193, "-", IF(Nov_2026_SotM[[#This Row],[Initial 2]], VLOOKUP(Nov_2026_SotM[[#This Row],[Low Seed]], $Z$194:$AE$210, 6, FALSE), OFFSET(Nov_2026_SotM[[#This Row],[Winner]], 2*(Nov_2026_SotM[[#This Row],[Max Seed]]-Nov_2026_SotM[[#This Row],[Low Seed]])+1, 0)))</f>
        <v>-</v>
      </c>
      <c r="S207" s="37"/>
      <c r="T207" s="35"/>
      <c r="U207" s="33"/>
      <c r="V207" s="31"/>
      <c r="W207" s="28"/>
      <c r="X207" s="106" t="str">
        <f ca="1">IF(OR(Nov_2026_SotM[[#This Row],[Song 1]]="TBD", Nov_2026_SotM[[#This Row],[Song 2]]="TBD"), "TBD", _xlfn.CONCAT(IF(_xlfn.XOR(ISBLANK(Nov_2026_SotM[[#This Row],[J]]), ISBLANK(Nov_2026_SotM[[#This Row],[J ]])), "", "J "), IF(_xlfn.XOR(ISBLANK(Nov_2026_SotM[[#This Row],[D]]), ISBLANK(Nov_2026_SotM[[#This Row],[D ]])), "", "D "), IF(_xlfn.XOR(ISBLANK(Nov_2026_SotM[[#This Row],[L]]), ISBLANK(Nov_2026_SotM[[#This Row],[L ]])), "", "L "), IF(_xlfn.XOR(ISBLANK(Nov_2026_SotM[[#This Row],[S]]), ISBLANK(Nov_2026_SotM[[#This Row],[S ]])), "", "S "), IF(_xlfn.XOR(ISBLANK(Nov_2026_SotM[[#This Row],[H]]), ISBLANK(Nov_2026_SotM[[#This Row],[H ]])), "", "H ")))</f>
        <v xml:space="preserve">J D L S H </v>
      </c>
      <c r="Z207" s="109" t="str">
        <f t="shared" si="55"/>
        <v>TBD</v>
      </c>
      <c r="AG207" s="100" t="e">
        <f t="shared" si="56"/>
        <v>#VALUE!</v>
      </c>
      <c r="AI207" s="3">
        <f>Nov_2026_SotM[[#This Row],[Max Seed]]/2 + 1</f>
        <v>9</v>
      </c>
      <c r="AJ207" t="str">
        <f>IF(Nov_2026_SotM[[#This Row],[Num]]&gt;=$A$193, "-", IF(Nov_2026_SotM[[#This Row],[Score 1]]&gt;=3, Nov_2026_SotM[[#This Row],[Song 2]], IF(Nov_2026_SotM[[#This Row],[Score 2]]&gt;=3, Nov_2026_SotM[[#This Row],[Song 1]], "TBD")))</f>
        <v>-</v>
      </c>
      <c r="AK207" s="3" t="str">
        <f>IFERROR(VLOOKUP(Nov_2025_Results69[[#This Row],[Song Title]], $AE$194:$AG$209, 3, FALSE)-Nov_2025_Results69[[#This Row],[Result]], "TBD")</f>
        <v>TBD</v>
      </c>
      <c r="AL207" s="3" t="str">
        <f t="shared" si="57"/>
        <v>↑</v>
      </c>
    </row>
    <row r="208" spans="1:38">
      <c r="A208" s="199" t="str">
        <f>_xlfn.CONCAT("Seed ", Nov_2026_SotM[[#This Row],[Top Seed]], " vs ",Nov_2026_SotM[[#This Row],[Low Seed]])</f>
        <v>Seed 2 vs 15</v>
      </c>
      <c r="B208" s="201">
        <v>14</v>
      </c>
      <c r="C208" s="200">
        <f>FLOOR(LOG(Nov_2026_SotM[[#This Row],[Num]], 2), 1)</f>
        <v>3</v>
      </c>
      <c r="D208" s="200">
        <f>2^(Nov_2026_SotM[[#This Row],[Round]]+1)</f>
        <v>16</v>
      </c>
      <c r="E208" s="200">
        <f>Nov_2026_SotM[[#This Row],[Max Seed]]-Nov_2026_SotM[[#This Row],[Num]]</f>
        <v>2</v>
      </c>
      <c r="F208" s="200">
        <f>Nov_2026_SotM[[#This Row],[Max Seed]]-Nov_2026_SotM[[#This Row],[Top Seed]]+1</f>
        <v>15</v>
      </c>
      <c r="G208" s="200" t="e">
        <f>IF(Nov_2026_SotM[[#This Row],[Round]]=$C$193, TRUE(), IF(Nov_2026_SotM[[#This Row],[Round]]=$B$193, Nov_2026_SotM[[#This Row],[Top Seed]]&lt;=2*Nov_2026_SotM[[#This Row],[Max Seed]]-$A$193, FALSE()))</f>
        <v>#NUM!</v>
      </c>
      <c r="H208" s="200" t="e">
        <f>IF(Nov_2026_SotM[[#This Row],[Round]]=$C$193, TRUE(), IF(Nov_2026_SotM[[#This Row],[Round]]=$B$193, Nov_2026_SotM[[#This Row],[Low Seed]]&lt;=2*Nov_2026_SotM[[#This Row],[Max Seed]]-$A$193, FALSE()))</f>
        <v>#NUM!</v>
      </c>
      <c r="I208" s="28"/>
      <c r="J208" s="31"/>
      <c r="K208" s="33"/>
      <c r="L208" s="35"/>
      <c r="M208" s="37"/>
      <c r="N208" s="203" t="str">
        <f ca="1">IF(Nov_2026_SotM[[#This Row],[Num]]&gt;=$A$193, "-", IF(Nov_2026_SotM[[#This Row],[Initial 1]], VLOOKUP(Nov_2026_SotM[[#This Row],[Top Seed]], $Z$194:$AE$210, 6, FALSE), OFFSET(Nov_2026_SotM[[#This Row],[Winner]], Nov_2026_SotM[[#This Row],[Max Seed]], 0)))</f>
        <v>-</v>
      </c>
      <c r="O208" s="200">
        <f>COUNTIF(Nov_2026_SotM[[#This Row],[J]:[H]],"x")</f>
        <v>0</v>
      </c>
      <c r="P208" s="201" t="str">
        <f>IF(Nov_2026_SotM[[#This Row],[Num]]&gt;=$A$193, "-", IF(Nov_2026_SotM[[#This Row],[Score 1]]&gt;=3, Nov_2026_SotM[[#This Row],[Song 1]], IF(Nov_2026_SotM[[#This Row],[Score 2]]&gt;=3, Nov_2026_SotM[[#This Row],[Song 2]], "TBD")))</f>
        <v>-</v>
      </c>
      <c r="Q208" s="206">
        <f>COUNTIF(Nov_2026_SotM[[#This Row],[H ]:[J ]],"x")</f>
        <v>0</v>
      </c>
      <c r="R208" s="200" t="str">
        <f ca="1">IF(Nov_2026_SotM[[#This Row],[Num]]&gt;=$A$193, "-", IF(Nov_2026_SotM[[#This Row],[Initial 2]], VLOOKUP(Nov_2026_SotM[[#This Row],[Low Seed]], $Z$194:$AE$210, 6, FALSE), OFFSET(Nov_2026_SotM[[#This Row],[Winner]], 2*(Nov_2026_SotM[[#This Row],[Max Seed]]-Nov_2026_SotM[[#This Row],[Low Seed]])+1, 0)))</f>
        <v>-</v>
      </c>
      <c r="S208" s="37"/>
      <c r="T208" s="35"/>
      <c r="U208" s="33"/>
      <c r="V208" s="31"/>
      <c r="W208" s="28"/>
      <c r="X208" s="106" t="str">
        <f ca="1">IF(OR(Nov_2026_SotM[[#This Row],[Song 1]]="TBD", Nov_2026_SotM[[#This Row],[Song 2]]="TBD"), "TBD", _xlfn.CONCAT(IF(_xlfn.XOR(ISBLANK(Nov_2026_SotM[[#This Row],[J]]), ISBLANK(Nov_2026_SotM[[#This Row],[J ]])), "", "J "), IF(_xlfn.XOR(ISBLANK(Nov_2026_SotM[[#This Row],[D]]), ISBLANK(Nov_2026_SotM[[#This Row],[D ]])), "", "D "), IF(_xlfn.XOR(ISBLANK(Nov_2026_SotM[[#This Row],[L]]), ISBLANK(Nov_2026_SotM[[#This Row],[L ]])), "", "L "), IF(_xlfn.XOR(ISBLANK(Nov_2026_SotM[[#This Row],[S]]), ISBLANK(Nov_2026_SotM[[#This Row],[S ]])), "", "S "), IF(_xlfn.XOR(ISBLANK(Nov_2026_SotM[[#This Row],[H]]), ISBLANK(Nov_2026_SotM[[#This Row],[H ]])), "", "H ")))</f>
        <v xml:space="preserve">J D L S H </v>
      </c>
      <c r="Z208" s="109" t="str">
        <f t="shared" si="55"/>
        <v>TBD</v>
      </c>
      <c r="AG208" s="100" t="e">
        <f t="shared" si="56"/>
        <v>#VALUE!</v>
      </c>
      <c r="AI208" s="3">
        <f>Nov_2026_SotM[[#This Row],[Max Seed]]/2 + 1</f>
        <v>9</v>
      </c>
      <c r="AJ208" t="str">
        <f>IF(Nov_2026_SotM[[#This Row],[Num]]&gt;=$A$193, "-", IF(Nov_2026_SotM[[#This Row],[Score 1]]&gt;=3, Nov_2026_SotM[[#This Row],[Song 2]], IF(Nov_2026_SotM[[#This Row],[Score 2]]&gt;=3, Nov_2026_SotM[[#This Row],[Song 1]], "TBD")))</f>
        <v>-</v>
      </c>
      <c r="AK208" s="3" t="str">
        <f>IFERROR(VLOOKUP(Nov_2025_Results69[[#This Row],[Song Title]], $AE$194:$AG$209, 3, FALSE)-Nov_2025_Results69[[#This Row],[Result]], "TBD")</f>
        <v>TBD</v>
      </c>
      <c r="AL208" s="3" t="str">
        <f t="shared" si="57"/>
        <v>↑</v>
      </c>
    </row>
    <row r="209" spans="1:38">
      <c r="A209" s="199" t="str">
        <f>_xlfn.CONCAT("Seed ", Nov_2026_SotM[[#This Row],[Top Seed]], " vs ",Nov_2026_SotM[[#This Row],[Low Seed]])</f>
        <v>Seed 1 vs 16</v>
      </c>
      <c r="B209" s="201">
        <v>15</v>
      </c>
      <c r="C209" s="200">
        <f>FLOOR(LOG(Nov_2026_SotM[[#This Row],[Num]], 2), 1)</f>
        <v>3</v>
      </c>
      <c r="D209" s="200">
        <f>2^(Nov_2026_SotM[[#This Row],[Round]]+1)</f>
        <v>16</v>
      </c>
      <c r="E209" s="200">
        <f>Nov_2026_SotM[[#This Row],[Max Seed]]-Nov_2026_SotM[[#This Row],[Num]]</f>
        <v>1</v>
      </c>
      <c r="F209" s="200">
        <f>Nov_2026_SotM[[#This Row],[Max Seed]]-Nov_2026_SotM[[#This Row],[Top Seed]]+1</f>
        <v>16</v>
      </c>
      <c r="G209" s="200" t="e">
        <f>IF(Nov_2026_SotM[[#This Row],[Round]]=$C$193, TRUE(), IF(Nov_2026_SotM[[#This Row],[Round]]=$B$193, Nov_2026_SotM[[#This Row],[Top Seed]]&lt;=2*Nov_2026_SotM[[#This Row],[Max Seed]]-$A$193, FALSE()))</f>
        <v>#NUM!</v>
      </c>
      <c r="H209" s="200" t="e">
        <f>IF(Nov_2026_SotM[[#This Row],[Round]]=$C$193, TRUE(), IF(Nov_2026_SotM[[#This Row],[Round]]=$B$193, Nov_2026_SotM[[#This Row],[Low Seed]]&lt;=2*Nov_2026_SotM[[#This Row],[Max Seed]]-$A$193, FALSE()))</f>
        <v>#NUM!</v>
      </c>
      <c r="I209" s="28"/>
      <c r="J209" s="31"/>
      <c r="K209" s="33"/>
      <c r="L209" s="35"/>
      <c r="M209" s="37"/>
      <c r="N209" s="203" t="str">
        <f ca="1">IF(Nov_2026_SotM[[#This Row],[Num]]&gt;=$A$193, "-", IF(Nov_2026_SotM[[#This Row],[Initial 1]], VLOOKUP(Nov_2026_SotM[[#This Row],[Top Seed]], $Z$194:$AE$210, 6, FALSE), OFFSET(Nov_2026_SotM[[#This Row],[Winner]], Nov_2026_SotM[[#This Row],[Max Seed]], 0)))</f>
        <v>-</v>
      </c>
      <c r="O209" s="200">
        <f>COUNTIF(Nov_2026_SotM[[#This Row],[J]:[H]],"x")</f>
        <v>0</v>
      </c>
      <c r="P209" s="201" t="str">
        <f>IF(Nov_2026_SotM[[#This Row],[Num]]&gt;=$A$193, "-", IF(Nov_2026_SotM[[#This Row],[Score 1]]&gt;=3, Nov_2026_SotM[[#This Row],[Song 1]], IF(Nov_2026_SotM[[#This Row],[Score 2]]&gt;=3, Nov_2026_SotM[[#This Row],[Song 2]], "TBD")))</f>
        <v>-</v>
      </c>
      <c r="Q209" s="206">
        <f>COUNTIF(Nov_2026_SotM[[#This Row],[H ]:[J ]],"x")</f>
        <v>0</v>
      </c>
      <c r="R209" s="200" t="str">
        <f ca="1">IF(Nov_2026_SotM[[#This Row],[Num]]&gt;=$A$193, "-", IF(Nov_2026_SotM[[#This Row],[Initial 2]], VLOOKUP(Nov_2026_SotM[[#This Row],[Low Seed]], $Z$194:$AE$210, 6, FALSE), OFFSET(Nov_2026_SotM[[#This Row],[Winner]], 2*(Nov_2026_SotM[[#This Row],[Max Seed]]-Nov_2026_SotM[[#This Row],[Low Seed]])+1, 0)))</f>
        <v>-</v>
      </c>
      <c r="S209" s="37"/>
      <c r="T209" s="35"/>
      <c r="U209" s="33"/>
      <c r="V209" s="31"/>
      <c r="W209" s="28"/>
      <c r="X209" s="106" t="str">
        <f ca="1">IF(OR(Nov_2026_SotM[[#This Row],[Song 1]]="TBD", Nov_2026_SotM[[#This Row],[Song 2]]="TBD"), "TBD", _xlfn.CONCAT(IF(_xlfn.XOR(ISBLANK(Nov_2026_SotM[[#This Row],[J]]), ISBLANK(Nov_2026_SotM[[#This Row],[J ]])), "", "J "), IF(_xlfn.XOR(ISBLANK(Nov_2026_SotM[[#This Row],[D]]), ISBLANK(Nov_2026_SotM[[#This Row],[D ]])), "", "D "), IF(_xlfn.XOR(ISBLANK(Nov_2026_SotM[[#This Row],[L]]), ISBLANK(Nov_2026_SotM[[#This Row],[L ]])), "", "L "), IF(_xlfn.XOR(ISBLANK(Nov_2026_SotM[[#This Row],[S]]), ISBLANK(Nov_2026_SotM[[#This Row],[S ]])), "", "S "), IF(_xlfn.XOR(ISBLANK(Nov_2026_SotM[[#This Row],[H]]), ISBLANK(Nov_2026_SotM[[#This Row],[H ]])), "", "H ")))</f>
        <v xml:space="preserve">J D L S H </v>
      </c>
      <c r="Z209" s="109" t="str">
        <f t="shared" si="55"/>
        <v>TBD</v>
      </c>
      <c r="AG209" s="100" t="e">
        <f t="shared" si="56"/>
        <v>#VALUE!</v>
      </c>
      <c r="AI209" s="3">
        <f>Nov_2026_SotM[[#This Row],[Max Seed]]/2 + 1</f>
        <v>9</v>
      </c>
      <c r="AJ209" t="str">
        <f>IF(Nov_2026_SotM[[#This Row],[Num]]&gt;=$A$193, "-", IF(Nov_2026_SotM[[#This Row],[Score 1]]&gt;=3, Nov_2026_SotM[[#This Row],[Song 2]], IF(Nov_2026_SotM[[#This Row],[Score 2]]&gt;=3, Nov_2026_SotM[[#This Row],[Song 1]], "TBD")))</f>
        <v>-</v>
      </c>
      <c r="AK209" s="3" t="str">
        <f>IFERROR(VLOOKUP(Nov_2025_Results69[[#This Row],[Song Title]], $AE$194:$AG$209, 3, FALSE)-Nov_2025_Results69[[#This Row],[Result]], "TBD")</f>
        <v>TBD</v>
      </c>
      <c r="AL209" s="3" t="str">
        <f t="shared" si="57"/>
        <v>↑</v>
      </c>
    </row>
    <row r="210" spans="1:38">
      <c r="A210" s="199" t="str">
        <f>_xlfn.CONCAT("Seed ", Nov_2026_SotM[[#This Row],[Top Seed]], " vs ",Nov_2026_SotM[[#This Row],[Low Seed]])</f>
        <v>Seed 16 vs 17</v>
      </c>
      <c r="B210" s="201">
        <v>16</v>
      </c>
      <c r="C210" s="200">
        <f>FLOOR(LOG(Nov_2026_SotM[[#This Row],[Num]], 2), 1)</f>
        <v>4</v>
      </c>
      <c r="D210" s="200">
        <f>2^(Nov_2026_SotM[[#This Row],[Round]]+1)</f>
        <v>32</v>
      </c>
      <c r="E210" s="200">
        <f>Nov_2026_SotM[[#This Row],[Max Seed]]-Nov_2026_SotM[[#This Row],[Num]]</f>
        <v>16</v>
      </c>
      <c r="F210" s="200">
        <f>Nov_2026_SotM[[#This Row],[Max Seed]]-Nov_2026_SotM[[#This Row],[Top Seed]]+1</f>
        <v>17</v>
      </c>
      <c r="G210" s="200" t="e">
        <f>IF(Nov_2026_SotM[[#This Row],[Round]]=$C$193, TRUE(), IF(Nov_2026_SotM[[#This Row],[Round]]=$B$193, Nov_2026_SotM[[#This Row],[Top Seed]]&lt;=2*Nov_2026_SotM[[#This Row],[Max Seed]]-$A$193, FALSE()))</f>
        <v>#NUM!</v>
      </c>
      <c r="H210" s="200" t="e">
        <f>IF(Nov_2026_SotM[[#This Row],[Round]]=$C$193, TRUE(), IF(Nov_2026_SotM[[#This Row],[Round]]=$B$193, Nov_2026_SotM[[#This Row],[Low Seed]]&lt;=2*Nov_2026_SotM[[#This Row],[Max Seed]]-$A$193, FALSE()))</f>
        <v>#NUM!</v>
      </c>
      <c r="I210" s="65"/>
      <c r="J210" s="66"/>
      <c r="K210" s="67"/>
      <c r="L210" s="68"/>
      <c r="M210" s="69"/>
      <c r="N210" s="203" t="str">
        <f ca="1">IF(Nov_2026_SotM[[#This Row],[Num]]&gt;=$A$193, "-", IF(Nov_2026_SotM[[#This Row],[Initial 1]], VLOOKUP(Nov_2026_SotM[[#This Row],[Top Seed]], $Z$194:$AE$210, 6, FALSE), OFFSET(Nov_2026_SotM[[#This Row],[Winner]], Nov_2026_SotM[[#This Row],[Max Seed]], 0)))</f>
        <v>-</v>
      </c>
      <c r="O210" s="200">
        <f>COUNTIF(Nov_2026_SotM[[#This Row],[J]:[H]],"x")</f>
        <v>0</v>
      </c>
      <c r="P210" s="201" t="str">
        <f>IF(Nov_2026_SotM[[#This Row],[Num]]&gt;=$A$193, "-", IF(Nov_2026_SotM[[#This Row],[Score 1]]&gt;=3, Nov_2026_SotM[[#This Row],[Song 1]], IF(Nov_2026_SotM[[#This Row],[Score 2]]&gt;=3, Nov_2026_SotM[[#This Row],[Song 2]], "TBD")))</f>
        <v>-</v>
      </c>
      <c r="Q210" s="206">
        <f>COUNTIF(Nov_2026_SotM[[#This Row],[H ]:[J ]],"x")</f>
        <v>0</v>
      </c>
      <c r="R210" s="200" t="str">
        <f ca="1">IF(Nov_2026_SotM[[#This Row],[Num]]&gt;=$A$193, "-", IF(Nov_2026_SotM[[#This Row],[Initial 2]], VLOOKUP(Nov_2026_SotM[[#This Row],[Low Seed]], $Z$194:$AE$210, 6, FALSE), OFFSET(Nov_2026_SotM[[#This Row],[Winner]], 2*(Nov_2026_SotM[[#This Row],[Max Seed]]-Nov_2026_SotM[[#This Row],[Low Seed]])+1, 0)))</f>
        <v>-</v>
      </c>
      <c r="S210" s="69"/>
      <c r="T210" s="68"/>
      <c r="U210" s="67"/>
      <c r="V210" s="66"/>
      <c r="W210" s="65"/>
      <c r="X210" s="106" t="str">
        <f ca="1">IF(OR(Nov_2026_SotM[[#This Row],[Song 1]]="TBD", Nov_2026_SotM[[#This Row],[Song 2]]="TBD"), "TBD", _xlfn.CONCAT(IF(_xlfn.XOR(ISBLANK(Nov_2026_SotM[[#This Row],[J]]), ISBLANK(Nov_2026_SotM[[#This Row],[J ]])), "", "J "), IF(_xlfn.XOR(ISBLANK(Nov_2026_SotM[[#This Row],[D]]), ISBLANK(Nov_2026_SotM[[#This Row],[D ]])), "", "D "), IF(_xlfn.XOR(ISBLANK(Nov_2026_SotM[[#This Row],[L]]), ISBLANK(Nov_2026_SotM[[#This Row],[L ]])), "", "L "), IF(_xlfn.XOR(ISBLANK(Nov_2026_SotM[[#This Row],[S]]), ISBLANK(Nov_2026_SotM[[#This Row],[S ]])), "", "S "), IF(_xlfn.XOR(ISBLANK(Nov_2026_SotM[[#This Row],[H]]), ISBLANK(Nov_2026_SotM[[#This Row],[H ]])), "", "H ")))</f>
        <v xml:space="preserve">J D L S H </v>
      </c>
      <c r="Z210" s="110" t="str">
        <f t="shared" si="55"/>
        <v>TBD</v>
      </c>
      <c r="AA210" s="211"/>
      <c r="AB210" s="157"/>
      <c r="AC210" s="101"/>
      <c r="AD210" s="157"/>
      <c r="AE210" s="157"/>
      <c r="AF210" s="157"/>
      <c r="AG210" s="102" t="e">
        <f t="shared" ref="AG210" si="58">IF(Z210&gt;1, 2^FLOOR(LOG(Z210-1, 2), 1)+1, 1)</f>
        <v>#VALUE!</v>
      </c>
      <c r="AI210" s="3">
        <f>Nov_2026_SotM[[#This Row],[Max Seed]]/2 + 1</f>
        <v>17</v>
      </c>
      <c r="AJ210" t="str">
        <f>IF(Nov_2026_SotM[[#This Row],[Num]]&gt;=$A$193, "-", IF(Nov_2026_SotM[[#This Row],[Score 1]]&gt;=3, Nov_2026_SotM[[#This Row],[Song 2]], IF(Nov_2026_SotM[[#This Row],[Score 2]]&gt;=3, Nov_2026_SotM[[#This Row],[Song 1]], "TBD")))</f>
        <v>-</v>
      </c>
      <c r="AK210" s="3" t="str">
        <f>IFERROR(VLOOKUP(Nov_2025_Results69[[#This Row],[Song Title]], $AE$194:$AG$209, 3, FALSE)-Nov_2025_Results69[[#This Row],[Result]], "TBD")</f>
        <v>TBD</v>
      </c>
      <c r="AL210" s="3" t="str">
        <f t="shared" ref="AL210" si="59">IF(AK210&lt;0,"↓",IF(AK210=0,"-","↑"))</f>
        <v>↑</v>
      </c>
    </row>
    <row r="212" spans="1:38">
      <c r="A212" s="302">
        <f>MAX(Z213:Z223)</f>
        <v>0</v>
      </c>
      <c r="B212" s="302" t="e">
        <f>FLOOR(LOG(A212, 2), 1)-1</f>
        <v>#NUM!</v>
      </c>
      <c r="C212" s="302" t="e">
        <f t="shared" ref="C212" si="60">_xlfn.CEILING.MATH(LOG(A212, 2), 1)-1</f>
        <v>#NUM!</v>
      </c>
      <c r="D212" s="302"/>
      <c r="E212" s="302"/>
      <c r="F212" s="302"/>
      <c r="G212" s="302"/>
      <c r="H212" s="302"/>
      <c r="I212" s="348" t="s">
        <v>4200</v>
      </c>
      <c r="J212" s="348"/>
      <c r="K212" s="348"/>
      <c r="L212" s="348"/>
      <c r="M212" s="348"/>
      <c r="N212" s="348"/>
      <c r="O212" s="348"/>
      <c r="P212" s="348"/>
      <c r="Q212" s="348"/>
      <c r="R212" s="348"/>
      <c r="S212" s="348"/>
      <c r="T212" s="348"/>
      <c r="U212" s="348"/>
      <c r="V212" s="348"/>
      <c r="W212" s="348"/>
      <c r="X212" s="302"/>
      <c r="Z212" s="221" t="s">
        <v>4163</v>
      </c>
      <c r="AA212" s="222" t="s">
        <v>29</v>
      </c>
      <c r="AB212" s="220" t="s">
        <v>32</v>
      </c>
      <c r="AC212" s="221" t="s">
        <v>33</v>
      </c>
      <c r="AD212" s="220" t="s">
        <v>34</v>
      </c>
      <c r="AE212" s="220" t="s">
        <v>4161</v>
      </c>
      <c r="AF212" s="220" t="s">
        <v>36</v>
      </c>
      <c r="AG212" s="221" t="s">
        <v>4164</v>
      </c>
      <c r="AI212" s="247" t="s">
        <v>4165</v>
      </c>
      <c r="AJ212" s="248" t="s">
        <v>35</v>
      </c>
      <c r="AK212" s="249" t="s">
        <v>4166</v>
      </c>
      <c r="AL212" s="282" t="s">
        <v>4167</v>
      </c>
    </row>
    <row r="213" spans="1:38">
      <c r="A213" s="218" t="s">
        <v>4168</v>
      </c>
      <c r="B213" s="213" t="s">
        <v>4169</v>
      </c>
      <c r="C213" s="219" t="s">
        <v>4170</v>
      </c>
      <c r="D213" s="219" t="s">
        <v>4171</v>
      </c>
      <c r="E213" s="219" t="s">
        <v>4172</v>
      </c>
      <c r="F213" s="219" t="s">
        <v>4173</v>
      </c>
      <c r="G213" s="219" t="s">
        <v>4174</v>
      </c>
      <c r="H213" s="219" t="s">
        <v>4175</v>
      </c>
      <c r="I213" s="219" t="s">
        <v>4176</v>
      </c>
      <c r="J213" s="219" t="s">
        <v>4177</v>
      </c>
      <c r="K213" s="219" t="s">
        <v>4178</v>
      </c>
      <c r="L213" s="219" t="s">
        <v>4179</v>
      </c>
      <c r="M213" s="219" t="s">
        <v>4180</v>
      </c>
      <c r="N213" s="226" t="s">
        <v>4181</v>
      </c>
      <c r="O213" s="219" t="s">
        <v>4182</v>
      </c>
      <c r="P213" s="213" t="s">
        <v>47</v>
      </c>
      <c r="Q213" s="231" t="s">
        <v>4183</v>
      </c>
      <c r="R213" s="219" t="s">
        <v>4184</v>
      </c>
      <c r="S213" s="219" t="s">
        <v>4185</v>
      </c>
      <c r="T213" s="219" t="s">
        <v>4186</v>
      </c>
      <c r="U213" s="219" t="s">
        <v>4187</v>
      </c>
      <c r="V213" s="219" t="s">
        <v>4188</v>
      </c>
      <c r="W213" s="219" t="s">
        <v>4189</v>
      </c>
      <c r="X213" s="110" t="s">
        <v>4190</v>
      </c>
      <c r="Z213" s="109" t="str">
        <f t="shared" ref="Z213:Z223" si="61">IF(AC213&gt;0, COUNTIF(AC$213:AC$223, "&lt;"&amp;AC213) + COUNTIFS(AC$213:AC$223, AC213, AD$213:AD$223, "&lt;"&amp;AD213) + COUNTIFS(AC$213:AC$223, AC213, AD$213:AD$223, AD213, AA$213:AA$223, "&lt;"&amp;AA213) + 1, "TBD")</f>
        <v>TBD</v>
      </c>
      <c r="AA213" s="59" t="str" cm="1">
        <f t="array" ref="AA213">_xlfn._xlws.FILTER(Data[Date]:Data[Artist], (Data[Date]&gt;=DATE(2026,12,1))*(Data[Date]&lt;=DATE(2026,12,31))*(Data[Winner]=TRUE()), "TBD")</f>
        <v>TBD</v>
      </c>
      <c r="AG213" s="100" t="e">
        <f t="shared" ref="AG213:AG223" si="62">IF(Z213&gt;1, 2^FLOOR(LOG(Z213-1, 2), 1)+1, 1)</f>
        <v>#VALUE!</v>
      </c>
      <c r="AI213" s="280">
        <v>1</v>
      </c>
      <c r="AJ213" s="279" t="str">
        <f>P214</f>
        <v>-</v>
      </c>
      <c r="AK213" s="246" t="str">
        <f>IFERROR(VLOOKUP(Dec_2025_Results70[[#This Row],[Song Title]], $AE$213:$AG$223, 3, FALSE)-Dec_2025_Results70[[#This Row],[Result]], "TBD")</f>
        <v>TBD</v>
      </c>
      <c r="AL213" s="281" t="str">
        <f>IF(AK213&lt;0,"↓",IF(AK213=0,"-","↑"))</f>
        <v>↑</v>
      </c>
    </row>
    <row r="214" spans="1:38">
      <c r="A214" s="199" t="str">
        <f>_xlfn.CONCAT("Seed ", Dec_2026_SotM[[#This Row],[Top Seed]], " vs ",Dec_2026_SotM[[#This Row],[Low Seed]])</f>
        <v>Seed 1 vs 2</v>
      </c>
      <c r="B214" s="201">
        <v>1</v>
      </c>
      <c r="C214" s="200">
        <f>FLOOR(LOG(Dec_2026_SotM[[#This Row],[Num]], 2), 1)</f>
        <v>0</v>
      </c>
      <c r="D214" s="200">
        <f>2^(Dec_2026_SotM[[#This Row],[Round]]+1)</f>
        <v>2</v>
      </c>
      <c r="E214" s="200">
        <f>Dec_2026_SotM[[#This Row],[Max Seed]]-Dec_2026_SotM[[#This Row],[Num]]</f>
        <v>1</v>
      </c>
      <c r="F214" s="200">
        <f>Dec_2026_SotM[[#This Row],[Max Seed]]-Dec_2026_SotM[[#This Row],[Top Seed]]+1</f>
        <v>2</v>
      </c>
      <c r="G214" s="200" t="e">
        <f>IF(Dec_2026_SotM[[#This Row],[Round]]=$C$212, TRUE(), IF(Dec_2026_SotM[[#This Row],[Round]]=$B$212, Dec_2026_SotM[[#This Row],[Top Seed]]&lt;=2*Dec_2026_SotM[[#This Row],[Max Seed]]-$A$212, FALSE()))</f>
        <v>#NUM!</v>
      </c>
      <c r="H214" s="200" t="e">
        <f>IF(Dec_2026_SotM[[#This Row],[Round]]=$C$212, TRUE(), IF(Dec_2026_SotM[[#This Row],[Round]]=$B$212, Dec_2026_SotM[[#This Row],[Low Seed]]&lt;=2*Dec_2026_SotM[[#This Row],[Max Seed]]-$A$212, FALSE()))</f>
        <v>#NUM!</v>
      </c>
      <c r="I214" s="28"/>
      <c r="J214" s="31"/>
      <c r="K214" s="33"/>
      <c r="L214" s="35"/>
      <c r="M214" s="37"/>
      <c r="N214" s="203" t="str">
        <f ca="1">IF(Dec_2026_SotM[[#This Row],[Num]]&gt;=$A$212, "-", IF(Dec_2026_SotM[[#This Row],[Initial 1]], VLOOKUP(Dec_2026_SotM[[#This Row],[Top Seed]], $Z$213:$AE$223, 6, FALSE), OFFSET(Dec_2026_SotM[[#This Row],[Winner]], Dec_2026_SotM[[#This Row],[Max Seed]], 0)))</f>
        <v>-</v>
      </c>
      <c r="O214" s="200">
        <f>COUNTIF(Dec_2026_SotM[[#This Row],[J]:[H]],"x")</f>
        <v>0</v>
      </c>
      <c r="P214" s="201" t="str">
        <f>IF(Dec_2026_SotM[[#This Row],[Num]]&gt;=$A$212, "-", IF(Dec_2026_SotM[[#This Row],[Score 1]]&gt;=3, Dec_2026_SotM[[#This Row],[Song 1]], IF(Dec_2026_SotM[[#This Row],[Score 2]]&gt;=3, Dec_2026_SotM[[#This Row],[Song 2]], "TBD")))</f>
        <v>-</v>
      </c>
      <c r="Q214" s="206">
        <f>COUNTIF(Dec_2026_SotM[[#This Row],[H ]:[J ]],"x")</f>
        <v>0</v>
      </c>
      <c r="R214" s="200" t="str">
        <f ca="1">IF(Dec_2026_SotM[[#This Row],[Num]]&gt;=$A$212, "-", IF(Dec_2026_SotM[[#This Row],[Initial 2]], VLOOKUP(Dec_2026_SotM[[#This Row],[Low Seed]], $Z$213:$AE$223, 6, FALSE), OFFSET(Dec_2026_SotM[[#This Row],[Winner]], 2*(Dec_2026_SotM[[#This Row],[Max Seed]]-Dec_2026_SotM[[#This Row],[Low Seed]])+1, 0)))</f>
        <v>-</v>
      </c>
      <c r="S214" s="37"/>
      <c r="T214" s="35"/>
      <c r="U214" s="33"/>
      <c r="V214" s="31"/>
      <c r="W214" s="28"/>
      <c r="X214" s="106" t="str">
        <f ca="1">IF(OR(Dec_2026_SotM[[#This Row],[Song 1]]="TBD", Dec_2026_SotM[[#This Row],[Song 2]]="TBD"), "TBD", _xlfn.CONCAT(IF(_xlfn.XOR(ISBLANK(Dec_2026_SotM[[#This Row],[J]]), ISBLANK(Dec_2026_SotM[[#This Row],[J ]])), "", "J "), IF(_xlfn.XOR(ISBLANK(Dec_2026_SotM[[#This Row],[D]]), ISBLANK(Dec_2026_SotM[[#This Row],[D ]])), "", "D "), IF(_xlfn.XOR(ISBLANK(Dec_2026_SotM[[#This Row],[L]]), ISBLANK(Dec_2026_SotM[[#This Row],[L ]])), "", "L "), IF(_xlfn.XOR(ISBLANK(Dec_2026_SotM[[#This Row],[S]]), ISBLANK(Dec_2026_SotM[[#This Row],[S ]])), "", "S "), IF(_xlfn.XOR(ISBLANK(Dec_2026_SotM[[#This Row],[H]]), ISBLANK(Dec_2026_SotM[[#This Row],[H ]])), "", "H ")))</f>
        <v xml:space="preserve">J D L S H </v>
      </c>
      <c r="Z214" s="109" t="str">
        <f t="shared" si="61"/>
        <v>TBD</v>
      </c>
      <c r="AG214" s="100" t="e">
        <f t="shared" si="62"/>
        <v>#VALUE!</v>
      </c>
      <c r="AI214" s="280">
        <f>Dec_2026_SotM[[#This Row],[Max Seed]]/2 + 1</f>
        <v>2</v>
      </c>
      <c r="AJ214" s="279" t="str">
        <f>IF(Dec_2026_SotM[[#This Row],[Num]]&gt;=$A$212, "-", IF(Dec_2026_SotM[[#This Row],[Score 1]]&gt;=3, Dec_2026_SotM[[#This Row],[Song 2]], IF(Dec_2026_SotM[[#This Row],[Score 2]]&gt;=3, Dec_2026_SotM[[#This Row],[Song 1]], "TBD")))</f>
        <v>-</v>
      </c>
      <c r="AK214" s="246" t="str">
        <f>IFERROR(VLOOKUP(Dec_2025_Results70[[#This Row],[Song Title]], $AE$213:$AG$223, 3, FALSE)-Dec_2025_Results70[[#This Row],[Result]], "TBD")</f>
        <v>TBD</v>
      </c>
      <c r="AL214" s="281" t="str">
        <f t="shared" ref="AL214:AL223" si="63">IF(AK214&lt;0,"↓",IF(AK214=0,"-","↑"))</f>
        <v>↑</v>
      </c>
    </row>
    <row r="215" spans="1:38">
      <c r="A215" s="199" t="str">
        <f>_xlfn.CONCAT("Seed ", Dec_2026_SotM[[#This Row],[Top Seed]], " vs ",Dec_2026_SotM[[#This Row],[Low Seed]])</f>
        <v>Seed 2 vs 3</v>
      </c>
      <c r="B215" s="201">
        <v>2</v>
      </c>
      <c r="C215" s="200">
        <f>FLOOR(LOG(Dec_2026_SotM[[#This Row],[Num]], 2), 1)</f>
        <v>1</v>
      </c>
      <c r="D215" s="200">
        <f>2^(Dec_2026_SotM[[#This Row],[Round]]+1)</f>
        <v>4</v>
      </c>
      <c r="E215" s="200">
        <f>Dec_2026_SotM[[#This Row],[Max Seed]]-Dec_2026_SotM[[#This Row],[Num]]</f>
        <v>2</v>
      </c>
      <c r="F215" s="200">
        <f>Dec_2026_SotM[[#This Row],[Max Seed]]-Dec_2026_SotM[[#This Row],[Top Seed]]+1</f>
        <v>3</v>
      </c>
      <c r="G215" s="200" t="e">
        <f>IF(Dec_2026_SotM[[#This Row],[Round]]=$C$212, TRUE(), IF(Dec_2026_SotM[[#This Row],[Round]]=$B$212, Dec_2026_SotM[[#This Row],[Top Seed]]&lt;=2*Dec_2026_SotM[[#This Row],[Max Seed]]-$A$212, FALSE()))</f>
        <v>#NUM!</v>
      </c>
      <c r="H215" s="200" t="e">
        <f>IF(Dec_2026_SotM[[#This Row],[Round]]=$C$212, TRUE(), IF(Dec_2026_SotM[[#This Row],[Round]]=$B$212, Dec_2026_SotM[[#This Row],[Low Seed]]&lt;=2*Dec_2026_SotM[[#This Row],[Max Seed]]-$A$212, FALSE()))</f>
        <v>#NUM!</v>
      </c>
      <c r="I215" s="28"/>
      <c r="J215" s="31"/>
      <c r="K215" s="33"/>
      <c r="L215" s="35"/>
      <c r="M215" s="37"/>
      <c r="N215" s="203" t="str">
        <f ca="1">IF(Dec_2026_SotM[[#This Row],[Num]]&gt;=$A$212, "-", IF(Dec_2026_SotM[[#This Row],[Initial 1]], VLOOKUP(Dec_2026_SotM[[#This Row],[Top Seed]], $Z$213:$AE$223, 6, FALSE), OFFSET(Dec_2026_SotM[[#This Row],[Winner]], Dec_2026_SotM[[#This Row],[Max Seed]], 0)))</f>
        <v>-</v>
      </c>
      <c r="O215" s="200">
        <f>COUNTIF(Dec_2026_SotM[[#This Row],[J]:[H]],"x")</f>
        <v>0</v>
      </c>
      <c r="P215" s="201" t="str">
        <f>IF(Dec_2026_SotM[[#This Row],[Num]]&gt;=$A$212, "-", IF(Dec_2026_SotM[[#This Row],[Score 1]]&gt;=3, Dec_2026_SotM[[#This Row],[Song 1]], IF(Dec_2026_SotM[[#This Row],[Score 2]]&gt;=3, Dec_2026_SotM[[#This Row],[Song 2]], "TBD")))</f>
        <v>-</v>
      </c>
      <c r="Q215" s="206">
        <f>COUNTIF(Dec_2026_SotM[[#This Row],[H ]:[J ]],"x")</f>
        <v>0</v>
      </c>
      <c r="R215" s="200" t="str">
        <f ca="1">IF(Dec_2026_SotM[[#This Row],[Num]]&gt;=$A$212, "-", IF(Dec_2026_SotM[[#This Row],[Initial 2]], VLOOKUP(Dec_2026_SotM[[#This Row],[Low Seed]], $Z$213:$AE$223, 6, FALSE), OFFSET(Dec_2026_SotM[[#This Row],[Winner]], 2*(Dec_2026_SotM[[#This Row],[Max Seed]]-Dec_2026_SotM[[#This Row],[Low Seed]])+1, 0)))</f>
        <v>-</v>
      </c>
      <c r="S215" s="37"/>
      <c r="T215" s="35"/>
      <c r="U215" s="33"/>
      <c r="V215" s="31"/>
      <c r="W215" s="28"/>
      <c r="X215" s="106" t="str">
        <f ca="1">IF(OR(Dec_2026_SotM[[#This Row],[Song 1]]="TBD", Dec_2026_SotM[[#This Row],[Song 2]]="TBD"), "TBD", _xlfn.CONCAT(IF(_xlfn.XOR(ISBLANK(Dec_2026_SotM[[#This Row],[J]]), ISBLANK(Dec_2026_SotM[[#This Row],[J ]])), "", "J "), IF(_xlfn.XOR(ISBLANK(Dec_2026_SotM[[#This Row],[D]]), ISBLANK(Dec_2026_SotM[[#This Row],[D ]])), "", "D "), IF(_xlfn.XOR(ISBLANK(Dec_2026_SotM[[#This Row],[L]]), ISBLANK(Dec_2026_SotM[[#This Row],[L ]])), "", "L "), IF(_xlfn.XOR(ISBLANK(Dec_2026_SotM[[#This Row],[S]]), ISBLANK(Dec_2026_SotM[[#This Row],[S ]])), "", "S "), IF(_xlfn.XOR(ISBLANK(Dec_2026_SotM[[#This Row],[H]]), ISBLANK(Dec_2026_SotM[[#This Row],[H ]])), "", "H ")))</f>
        <v xml:space="preserve">J D L S H </v>
      </c>
      <c r="Z215" s="109" t="str">
        <f t="shared" si="61"/>
        <v>TBD</v>
      </c>
      <c r="AG215" s="100" t="e">
        <f t="shared" si="62"/>
        <v>#VALUE!</v>
      </c>
      <c r="AI215" s="3">
        <f>Dec_2026_SotM[[#This Row],[Max Seed]]/2 + 1</f>
        <v>3</v>
      </c>
      <c r="AJ215" t="str">
        <f>IF(Dec_2026_SotM[[#This Row],[Num]]&gt;=$A$212, "-", IF(Dec_2026_SotM[[#This Row],[Score 1]]&gt;=3, Dec_2026_SotM[[#This Row],[Song 2]], IF(Dec_2026_SotM[[#This Row],[Score 2]]&gt;=3, Dec_2026_SotM[[#This Row],[Song 1]], "TBD")))</f>
        <v>-</v>
      </c>
      <c r="AK215" s="3" t="str">
        <f>IFERROR(VLOOKUP(Dec_2025_Results70[[#This Row],[Song Title]], $AE$213:$AG$223, 3, FALSE)-Dec_2025_Results70[[#This Row],[Result]], "TBD")</f>
        <v>TBD</v>
      </c>
      <c r="AL215" s="3" t="str">
        <f t="shared" si="63"/>
        <v>↑</v>
      </c>
    </row>
    <row r="216" spans="1:38">
      <c r="A216" s="199" t="str">
        <f>_xlfn.CONCAT("Seed ", Dec_2026_SotM[[#This Row],[Top Seed]], " vs ",Dec_2026_SotM[[#This Row],[Low Seed]])</f>
        <v>Seed 1 vs 4</v>
      </c>
      <c r="B216" s="201">
        <v>3</v>
      </c>
      <c r="C216" s="200">
        <f>FLOOR(LOG(Dec_2026_SotM[[#This Row],[Num]], 2), 1)</f>
        <v>1</v>
      </c>
      <c r="D216" s="200">
        <f>2^(Dec_2026_SotM[[#This Row],[Round]]+1)</f>
        <v>4</v>
      </c>
      <c r="E216" s="200">
        <f>Dec_2026_SotM[[#This Row],[Max Seed]]-Dec_2026_SotM[[#This Row],[Num]]</f>
        <v>1</v>
      </c>
      <c r="F216" s="200">
        <f>Dec_2026_SotM[[#This Row],[Max Seed]]-Dec_2026_SotM[[#This Row],[Top Seed]]+1</f>
        <v>4</v>
      </c>
      <c r="G216" s="200" t="e">
        <f>IF(Dec_2026_SotM[[#This Row],[Round]]=$C$212, TRUE(), IF(Dec_2026_SotM[[#This Row],[Round]]=$B$212, Dec_2026_SotM[[#This Row],[Top Seed]]&lt;=2*Dec_2026_SotM[[#This Row],[Max Seed]]-$A$212, FALSE()))</f>
        <v>#NUM!</v>
      </c>
      <c r="H216" s="200" t="e">
        <f>IF(Dec_2026_SotM[[#This Row],[Round]]=$C$212, TRUE(), IF(Dec_2026_SotM[[#This Row],[Round]]=$B$212, Dec_2026_SotM[[#This Row],[Low Seed]]&lt;=2*Dec_2026_SotM[[#This Row],[Max Seed]]-$A$212, FALSE()))</f>
        <v>#NUM!</v>
      </c>
      <c r="I216" s="28"/>
      <c r="J216" s="31"/>
      <c r="K216" s="33"/>
      <c r="L216" s="35"/>
      <c r="M216" s="37"/>
      <c r="N216" s="203" t="str">
        <f ca="1">IF(Dec_2026_SotM[[#This Row],[Num]]&gt;=$A$212, "-", IF(Dec_2026_SotM[[#This Row],[Initial 1]], VLOOKUP(Dec_2026_SotM[[#This Row],[Top Seed]], $Z$213:$AE$223, 6, FALSE), OFFSET(Dec_2026_SotM[[#This Row],[Winner]], Dec_2026_SotM[[#This Row],[Max Seed]], 0)))</f>
        <v>-</v>
      </c>
      <c r="O216" s="200">
        <f>COUNTIF(Dec_2026_SotM[[#This Row],[J]:[H]],"x")</f>
        <v>0</v>
      </c>
      <c r="P216" s="201" t="str">
        <f>IF(Dec_2026_SotM[[#This Row],[Num]]&gt;=$A$212, "-", IF(Dec_2026_SotM[[#This Row],[Score 1]]&gt;=3, Dec_2026_SotM[[#This Row],[Song 1]], IF(Dec_2026_SotM[[#This Row],[Score 2]]&gt;=3, Dec_2026_SotM[[#This Row],[Song 2]], "TBD")))</f>
        <v>-</v>
      </c>
      <c r="Q216" s="206">
        <f>COUNTIF(Dec_2026_SotM[[#This Row],[H ]:[J ]],"x")</f>
        <v>0</v>
      </c>
      <c r="R216" s="200" t="str">
        <f ca="1">IF(Dec_2026_SotM[[#This Row],[Num]]&gt;=$A$212, "-", IF(Dec_2026_SotM[[#This Row],[Initial 2]], VLOOKUP(Dec_2026_SotM[[#This Row],[Low Seed]], $Z$213:$AE$223, 6, FALSE), OFFSET(Dec_2026_SotM[[#This Row],[Winner]], 2*(Dec_2026_SotM[[#This Row],[Max Seed]]-Dec_2026_SotM[[#This Row],[Low Seed]])+1, 0)))</f>
        <v>-</v>
      </c>
      <c r="S216" s="37"/>
      <c r="T216" s="35"/>
      <c r="U216" s="33"/>
      <c r="V216" s="31"/>
      <c r="W216" s="28"/>
      <c r="X216" s="106" t="str">
        <f ca="1">IF(OR(Dec_2026_SotM[[#This Row],[Song 1]]="TBD", Dec_2026_SotM[[#This Row],[Song 2]]="TBD"), "TBD", _xlfn.CONCAT(IF(_xlfn.XOR(ISBLANK(Dec_2026_SotM[[#This Row],[J]]), ISBLANK(Dec_2026_SotM[[#This Row],[J ]])), "", "J "), IF(_xlfn.XOR(ISBLANK(Dec_2026_SotM[[#This Row],[D]]), ISBLANK(Dec_2026_SotM[[#This Row],[D ]])), "", "D "), IF(_xlfn.XOR(ISBLANK(Dec_2026_SotM[[#This Row],[L]]), ISBLANK(Dec_2026_SotM[[#This Row],[L ]])), "", "L "), IF(_xlfn.XOR(ISBLANK(Dec_2026_SotM[[#This Row],[S]]), ISBLANK(Dec_2026_SotM[[#This Row],[S ]])), "", "S "), IF(_xlfn.XOR(ISBLANK(Dec_2026_SotM[[#This Row],[H]]), ISBLANK(Dec_2026_SotM[[#This Row],[H ]])), "", "H ")))</f>
        <v xml:space="preserve">J D L S H </v>
      </c>
      <c r="Z216" s="109" t="str">
        <f t="shared" si="61"/>
        <v>TBD</v>
      </c>
      <c r="AG216" s="100" t="e">
        <f t="shared" si="62"/>
        <v>#VALUE!</v>
      </c>
      <c r="AI216" s="3">
        <f>Dec_2026_SotM[[#This Row],[Max Seed]]/2 + 1</f>
        <v>3</v>
      </c>
      <c r="AJ216" t="str">
        <f>IF(Dec_2026_SotM[[#This Row],[Num]]&gt;=$A$212, "-", IF(Dec_2026_SotM[[#This Row],[Score 1]]&gt;=3, Dec_2026_SotM[[#This Row],[Song 2]], IF(Dec_2026_SotM[[#This Row],[Score 2]]&gt;=3, Dec_2026_SotM[[#This Row],[Song 1]], "TBD")))</f>
        <v>-</v>
      </c>
      <c r="AK216" s="3" t="str">
        <f>IFERROR(VLOOKUP(Dec_2025_Results70[[#This Row],[Song Title]], $AE$213:$AG$223, 3, FALSE)-Dec_2025_Results70[[#This Row],[Result]], "TBD")</f>
        <v>TBD</v>
      </c>
      <c r="AL216" s="3" t="str">
        <f t="shared" si="63"/>
        <v>↑</v>
      </c>
    </row>
    <row r="217" spans="1:38">
      <c r="A217" s="199" t="str">
        <f>_xlfn.CONCAT("Seed ", Dec_2026_SotM[[#This Row],[Top Seed]], " vs ",Dec_2026_SotM[[#This Row],[Low Seed]])</f>
        <v>Seed 4 vs 5</v>
      </c>
      <c r="B217" s="201">
        <v>4</v>
      </c>
      <c r="C217" s="200">
        <f>FLOOR(LOG(Dec_2026_SotM[[#This Row],[Num]], 2), 1)</f>
        <v>2</v>
      </c>
      <c r="D217" s="200">
        <f>2^(Dec_2026_SotM[[#This Row],[Round]]+1)</f>
        <v>8</v>
      </c>
      <c r="E217" s="200">
        <f>Dec_2026_SotM[[#This Row],[Max Seed]]-Dec_2026_SotM[[#This Row],[Num]]</f>
        <v>4</v>
      </c>
      <c r="F217" s="200">
        <f>Dec_2026_SotM[[#This Row],[Max Seed]]-Dec_2026_SotM[[#This Row],[Top Seed]]+1</f>
        <v>5</v>
      </c>
      <c r="G217" s="200" t="e">
        <f>IF(Dec_2026_SotM[[#This Row],[Round]]=$C$212, TRUE(), IF(Dec_2026_SotM[[#This Row],[Round]]=$B$212, Dec_2026_SotM[[#This Row],[Top Seed]]&lt;=2*Dec_2026_SotM[[#This Row],[Max Seed]]-$A$212, FALSE()))</f>
        <v>#NUM!</v>
      </c>
      <c r="H217" s="200" t="e">
        <f>IF(Dec_2026_SotM[[#This Row],[Round]]=$C$212, TRUE(), IF(Dec_2026_SotM[[#This Row],[Round]]=$B$212, Dec_2026_SotM[[#This Row],[Low Seed]]&lt;=2*Dec_2026_SotM[[#This Row],[Max Seed]]-$A$212, FALSE()))</f>
        <v>#NUM!</v>
      </c>
      <c r="I217" s="28"/>
      <c r="J217" s="31"/>
      <c r="K217" s="33"/>
      <c r="L217" s="35"/>
      <c r="M217" s="37"/>
      <c r="N217" s="203" t="str">
        <f ca="1">IF(Dec_2026_SotM[[#This Row],[Num]]&gt;=$A$212, "-", IF(Dec_2026_SotM[[#This Row],[Initial 1]], VLOOKUP(Dec_2026_SotM[[#This Row],[Top Seed]], $Z$213:$AE$223, 6, FALSE), OFFSET(Dec_2026_SotM[[#This Row],[Winner]], Dec_2026_SotM[[#This Row],[Max Seed]], 0)))</f>
        <v>-</v>
      </c>
      <c r="O217" s="200">
        <f>COUNTIF(Dec_2026_SotM[[#This Row],[J]:[H]],"x")</f>
        <v>0</v>
      </c>
      <c r="P217" s="201" t="str">
        <f>IF(Dec_2026_SotM[[#This Row],[Num]]&gt;=$A$212, "-", IF(Dec_2026_SotM[[#This Row],[Score 1]]&gt;=3, Dec_2026_SotM[[#This Row],[Song 1]], IF(Dec_2026_SotM[[#This Row],[Score 2]]&gt;=3, Dec_2026_SotM[[#This Row],[Song 2]], "TBD")))</f>
        <v>-</v>
      </c>
      <c r="Q217" s="206">
        <f>COUNTIF(Dec_2026_SotM[[#This Row],[H ]:[J ]],"x")</f>
        <v>0</v>
      </c>
      <c r="R217" s="200" t="str">
        <f ca="1">IF(Dec_2026_SotM[[#This Row],[Num]]&gt;=$A$212, "-", IF(Dec_2026_SotM[[#This Row],[Initial 2]], VLOOKUP(Dec_2026_SotM[[#This Row],[Low Seed]], $Z$213:$AE$223, 6, FALSE), OFFSET(Dec_2026_SotM[[#This Row],[Winner]], 2*(Dec_2026_SotM[[#This Row],[Max Seed]]-Dec_2026_SotM[[#This Row],[Low Seed]])+1, 0)))</f>
        <v>-</v>
      </c>
      <c r="S217" s="37"/>
      <c r="T217" s="35"/>
      <c r="U217" s="33"/>
      <c r="V217" s="31"/>
      <c r="W217" s="28"/>
      <c r="X217" s="106" t="str">
        <f ca="1">IF(OR(Dec_2026_SotM[[#This Row],[Song 1]]="TBD", Dec_2026_SotM[[#This Row],[Song 2]]="TBD"), "TBD", _xlfn.CONCAT(IF(_xlfn.XOR(ISBLANK(Dec_2026_SotM[[#This Row],[J]]), ISBLANK(Dec_2026_SotM[[#This Row],[J ]])), "", "J "), IF(_xlfn.XOR(ISBLANK(Dec_2026_SotM[[#This Row],[D]]), ISBLANK(Dec_2026_SotM[[#This Row],[D ]])), "", "D "), IF(_xlfn.XOR(ISBLANK(Dec_2026_SotM[[#This Row],[L]]), ISBLANK(Dec_2026_SotM[[#This Row],[L ]])), "", "L "), IF(_xlfn.XOR(ISBLANK(Dec_2026_SotM[[#This Row],[S]]), ISBLANK(Dec_2026_SotM[[#This Row],[S ]])), "", "S "), IF(_xlfn.XOR(ISBLANK(Dec_2026_SotM[[#This Row],[H]]), ISBLANK(Dec_2026_SotM[[#This Row],[H ]])), "", "H ")))</f>
        <v xml:space="preserve">J D L S H </v>
      </c>
      <c r="Z217" s="109" t="str">
        <f t="shared" si="61"/>
        <v>TBD</v>
      </c>
      <c r="AG217" s="100" t="e">
        <f t="shared" si="62"/>
        <v>#VALUE!</v>
      </c>
      <c r="AI217" s="3">
        <f>Dec_2026_SotM[[#This Row],[Max Seed]]/2 + 1</f>
        <v>5</v>
      </c>
      <c r="AJ217" t="str">
        <f>IF(Dec_2026_SotM[[#This Row],[Num]]&gt;=$A$212, "-", IF(Dec_2026_SotM[[#This Row],[Score 1]]&gt;=3, Dec_2026_SotM[[#This Row],[Song 2]], IF(Dec_2026_SotM[[#This Row],[Score 2]]&gt;=3, Dec_2026_SotM[[#This Row],[Song 1]], "TBD")))</f>
        <v>-</v>
      </c>
      <c r="AK217" s="3" t="str">
        <f>IFERROR(VLOOKUP(Dec_2025_Results70[[#This Row],[Song Title]], $AE$213:$AG$223, 3, FALSE)-Dec_2025_Results70[[#This Row],[Result]], "TBD")</f>
        <v>TBD</v>
      </c>
      <c r="AL217" s="3" t="str">
        <f t="shared" si="63"/>
        <v>↑</v>
      </c>
    </row>
    <row r="218" spans="1:38">
      <c r="A218" s="199" t="str">
        <f>_xlfn.CONCAT("Seed ", Dec_2026_SotM[[#This Row],[Top Seed]], " vs ",Dec_2026_SotM[[#This Row],[Low Seed]])</f>
        <v>Seed 3 vs 6</v>
      </c>
      <c r="B218" s="201">
        <v>5</v>
      </c>
      <c r="C218" s="200">
        <f>FLOOR(LOG(Dec_2026_SotM[[#This Row],[Num]], 2), 1)</f>
        <v>2</v>
      </c>
      <c r="D218" s="200">
        <f>2^(Dec_2026_SotM[[#This Row],[Round]]+1)</f>
        <v>8</v>
      </c>
      <c r="E218" s="200">
        <f>Dec_2026_SotM[[#This Row],[Max Seed]]-Dec_2026_SotM[[#This Row],[Num]]</f>
        <v>3</v>
      </c>
      <c r="F218" s="200">
        <f>Dec_2026_SotM[[#This Row],[Max Seed]]-Dec_2026_SotM[[#This Row],[Top Seed]]+1</f>
        <v>6</v>
      </c>
      <c r="G218" s="200" t="e">
        <f>IF(Dec_2026_SotM[[#This Row],[Round]]=$C$212, TRUE(), IF(Dec_2026_SotM[[#This Row],[Round]]=$B$212, Dec_2026_SotM[[#This Row],[Top Seed]]&lt;=2*Dec_2026_SotM[[#This Row],[Max Seed]]-$A$212, FALSE()))</f>
        <v>#NUM!</v>
      </c>
      <c r="H218" s="200" t="e">
        <f>IF(Dec_2026_SotM[[#This Row],[Round]]=$C$212, TRUE(), IF(Dec_2026_SotM[[#This Row],[Round]]=$B$212, Dec_2026_SotM[[#This Row],[Low Seed]]&lt;=2*Dec_2026_SotM[[#This Row],[Max Seed]]-$A$212, FALSE()))</f>
        <v>#NUM!</v>
      </c>
      <c r="I218" s="28"/>
      <c r="J218" s="31"/>
      <c r="K218" s="33"/>
      <c r="L218" s="35"/>
      <c r="M218" s="37"/>
      <c r="N218" s="203" t="str">
        <f ca="1">IF(Dec_2026_SotM[[#This Row],[Num]]&gt;=$A$212, "-", IF(Dec_2026_SotM[[#This Row],[Initial 1]], VLOOKUP(Dec_2026_SotM[[#This Row],[Top Seed]], $Z$213:$AE$223, 6, FALSE), OFFSET(Dec_2026_SotM[[#This Row],[Winner]], Dec_2026_SotM[[#This Row],[Max Seed]], 0)))</f>
        <v>-</v>
      </c>
      <c r="O218" s="200">
        <f>COUNTIF(Dec_2026_SotM[[#This Row],[J]:[H]],"x")</f>
        <v>0</v>
      </c>
      <c r="P218" s="201" t="str">
        <f>IF(Dec_2026_SotM[[#This Row],[Num]]&gt;=$A$212, "-", IF(Dec_2026_SotM[[#This Row],[Score 1]]&gt;=3, Dec_2026_SotM[[#This Row],[Song 1]], IF(Dec_2026_SotM[[#This Row],[Score 2]]&gt;=3, Dec_2026_SotM[[#This Row],[Song 2]], "TBD")))</f>
        <v>-</v>
      </c>
      <c r="Q218" s="206">
        <f>COUNTIF(Dec_2026_SotM[[#This Row],[H ]:[J ]],"x")</f>
        <v>0</v>
      </c>
      <c r="R218" s="200" t="str">
        <f ca="1">IF(Dec_2026_SotM[[#This Row],[Num]]&gt;=$A$212, "-", IF(Dec_2026_SotM[[#This Row],[Initial 2]], VLOOKUP(Dec_2026_SotM[[#This Row],[Low Seed]], $Z$213:$AE$223, 6, FALSE), OFFSET(Dec_2026_SotM[[#This Row],[Winner]], 2*(Dec_2026_SotM[[#This Row],[Max Seed]]-Dec_2026_SotM[[#This Row],[Low Seed]])+1, 0)))</f>
        <v>-</v>
      </c>
      <c r="S218" s="37"/>
      <c r="T218" s="35"/>
      <c r="U218" s="33"/>
      <c r="V218" s="31"/>
      <c r="W218" s="28"/>
      <c r="X218" s="106" t="str">
        <f ca="1">IF(OR(Dec_2026_SotM[[#This Row],[Song 1]]="TBD", Dec_2026_SotM[[#This Row],[Song 2]]="TBD"), "TBD", _xlfn.CONCAT(IF(_xlfn.XOR(ISBLANK(Dec_2026_SotM[[#This Row],[J]]), ISBLANK(Dec_2026_SotM[[#This Row],[J ]])), "", "J "), IF(_xlfn.XOR(ISBLANK(Dec_2026_SotM[[#This Row],[D]]), ISBLANK(Dec_2026_SotM[[#This Row],[D ]])), "", "D "), IF(_xlfn.XOR(ISBLANK(Dec_2026_SotM[[#This Row],[L]]), ISBLANK(Dec_2026_SotM[[#This Row],[L ]])), "", "L "), IF(_xlfn.XOR(ISBLANK(Dec_2026_SotM[[#This Row],[S]]), ISBLANK(Dec_2026_SotM[[#This Row],[S ]])), "", "S "), IF(_xlfn.XOR(ISBLANK(Dec_2026_SotM[[#This Row],[H]]), ISBLANK(Dec_2026_SotM[[#This Row],[H ]])), "", "H ")))</f>
        <v xml:space="preserve">J D L S H </v>
      </c>
      <c r="Z218" s="109" t="str">
        <f t="shared" si="61"/>
        <v>TBD</v>
      </c>
      <c r="AG218" s="100" t="e">
        <f t="shared" si="62"/>
        <v>#VALUE!</v>
      </c>
      <c r="AI218" s="3">
        <f>Dec_2026_SotM[[#This Row],[Max Seed]]/2 + 1</f>
        <v>5</v>
      </c>
      <c r="AJ218" t="str">
        <f>IF(Dec_2026_SotM[[#This Row],[Num]]&gt;=$A$212, "-", IF(Dec_2026_SotM[[#This Row],[Score 1]]&gt;=3, Dec_2026_SotM[[#This Row],[Song 2]], IF(Dec_2026_SotM[[#This Row],[Score 2]]&gt;=3, Dec_2026_SotM[[#This Row],[Song 1]], "TBD")))</f>
        <v>-</v>
      </c>
      <c r="AK218" s="3" t="str">
        <f>IFERROR(VLOOKUP(Dec_2025_Results70[[#This Row],[Song Title]], $AE$213:$AG$223, 3, FALSE)-Dec_2025_Results70[[#This Row],[Result]], "TBD")</f>
        <v>TBD</v>
      </c>
      <c r="AL218" s="3" t="str">
        <f t="shared" si="63"/>
        <v>↑</v>
      </c>
    </row>
    <row r="219" spans="1:38">
      <c r="A219" s="199" t="str">
        <f>_xlfn.CONCAT("Seed ", Dec_2026_SotM[[#This Row],[Top Seed]], " vs ",Dec_2026_SotM[[#This Row],[Low Seed]])</f>
        <v>Seed 2 vs 7</v>
      </c>
      <c r="B219" s="201">
        <v>6</v>
      </c>
      <c r="C219" s="200">
        <f>FLOOR(LOG(Dec_2026_SotM[[#This Row],[Num]], 2), 1)</f>
        <v>2</v>
      </c>
      <c r="D219" s="200">
        <f>2^(Dec_2026_SotM[[#This Row],[Round]]+1)</f>
        <v>8</v>
      </c>
      <c r="E219" s="200">
        <f>Dec_2026_SotM[[#This Row],[Max Seed]]-Dec_2026_SotM[[#This Row],[Num]]</f>
        <v>2</v>
      </c>
      <c r="F219" s="200">
        <f>Dec_2026_SotM[[#This Row],[Max Seed]]-Dec_2026_SotM[[#This Row],[Top Seed]]+1</f>
        <v>7</v>
      </c>
      <c r="G219" s="200" t="e">
        <f>IF(Dec_2026_SotM[[#This Row],[Round]]=$C$212, TRUE(), IF(Dec_2026_SotM[[#This Row],[Round]]=$B$212, Dec_2026_SotM[[#This Row],[Top Seed]]&lt;=2*Dec_2026_SotM[[#This Row],[Max Seed]]-$A$212, FALSE()))</f>
        <v>#NUM!</v>
      </c>
      <c r="H219" s="200" t="e">
        <f>IF(Dec_2026_SotM[[#This Row],[Round]]=$C$212, TRUE(), IF(Dec_2026_SotM[[#This Row],[Round]]=$B$212, Dec_2026_SotM[[#This Row],[Low Seed]]&lt;=2*Dec_2026_SotM[[#This Row],[Max Seed]]-$A$212, FALSE()))</f>
        <v>#NUM!</v>
      </c>
      <c r="I219" s="28"/>
      <c r="J219" s="31"/>
      <c r="K219" s="33"/>
      <c r="L219" s="35"/>
      <c r="M219" s="37"/>
      <c r="N219" s="203" t="str">
        <f ca="1">IF(Dec_2026_SotM[[#This Row],[Num]]&gt;=$A$212, "-", IF(Dec_2026_SotM[[#This Row],[Initial 1]], VLOOKUP(Dec_2026_SotM[[#This Row],[Top Seed]], $Z$213:$AE$223, 6, FALSE), OFFSET(Dec_2026_SotM[[#This Row],[Winner]], Dec_2026_SotM[[#This Row],[Max Seed]], 0)))</f>
        <v>-</v>
      </c>
      <c r="O219" s="200">
        <f>COUNTIF(Dec_2026_SotM[[#This Row],[J]:[H]],"x")</f>
        <v>0</v>
      </c>
      <c r="P219" s="201" t="str">
        <f>IF(Dec_2026_SotM[[#This Row],[Num]]&gt;=$A$212, "-", IF(Dec_2026_SotM[[#This Row],[Score 1]]&gt;=3, Dec_2026_SotM[[#This Row],[Song 1]], IF(Dec_2026_SotM[[#This Row],[Score 2]]&gt;=3, Dec_2026_SotM[[#This Row],[Song 2]], "TBD")))</f>
        <v>-</v>
      </c>
      <c r="Q219" s="206">
        <f>COUNTIF(Dec_2026_SotM[[#This Row],[H ]:[J ]],"x")</f>
        <v>0</v>
      </c>
      <c r="R219" s="200" t="str">
        <f ca="1">IF(Dec_2026_SotM[[#This Row],[Num]]&gt;=$A$212, "-", IF(Dec_2026_SotM[[#This Row],[Initial 2]], VLOOKUP(Dec_2026_SotM[[#This Row],[Low Seed]], $Z$213:$AE$223, 6, FALSE), OFFSET(Dec_2026_SotM[[#This Row],[Winner]], 2*(Dec_2026_SotM[[#This Row],[Max Seed]]-Dec_2026_SotM[[#This Row],[Low Seed]])+1, 0)))</f>
        <v>-</v>
      </c>
      <c r="S219" s="37"/>
      <c r="T219" s="35"/>
      <c r="U219" s="33"/>
      <c r="V219" s="31"/>
      <c r="W219" s="28"/>
      <c r="X219" s="106" t="str">
        <f ca="1">IF(OR(Dec_2026_SotM[[#This Row],[Song 1]]="TBD", Dec_2026_SotM[[#This Row],[Song 2]]="TBD"), "TBD", _xlfn.CONCAT(IF(_xlfn.XOR(ISBLANK(Dec_2026_SotM[[#This Row],[J]]), ISBLANK(Dec_2026_SotM[[#This Row],[J ]])), "", "J "), IF(_xlfn.XOR(ISBLANK(Dec_2026_SotM[[#This Row],[D]]), ISBLANK(Dec_2026_SotM[[#This Row],[D ]])), "", "D "), IF(_xlfn.XOR(ISBLANK(Dec_2026_SotM[[#This Row],[L]]), ISBLANK(Dec_2026_SotM[[#This Row],[L ]])), "", "L "), IF(_xlfn.XOR(ISBLANK(Dec_2026_SotM[[#This Row],[S]]), ISBLANK(Dec_2026_SotM[[#This Row],[S ]])), "", "S "), IF(_xlfn.XOR(ISBLANK(Dec_2026_SotM[[#This Row],[H]]), ISBLANK(Dec_2026_SotM[[#This Row],[H ]])), "", "H ")))</f>
        <v xml:space="preserve">J D L S H </v>
      </c>
      <c r="Z219" s="109" t="str">
        <f t="shared" si="61"/>
        <v>TBD</v>
      </c>
      <c r="AG219" s="100" t="e">
        <f t="shared" si="62"/>
        <v>#VALUE!</v>
      </c>
      <c r="AI219" s="3">
        <f>Dec_2026_SotM[[#This Row],[Max Seed]]/2 + 1</f>
        <v>5</v>
      </c>
      <c r="AJ219" t="str">
        <f>IF(Dec_2026_SotM[[#This Row],[Num]]&gt;=$A$212, "-", IF(Dec_2026_SotM[[#This Row],[Score 1]]&gt;=3, Dec_2026_SotM[[#This Row],[Song 2]], IF(Dec_2026_SotM[[#This Row],[Score 2]]&gt;=3, Dec_2026_SotM[[#This Row],[Song 1]], "TBD")))</f>
        <v>-</v>
      </c>
      <c r="AK219" s="3" t="str">
        <f>IFERROR(VLOOKUP(Dec_2025_Results70[[#This Row],[Song Title]], $AE$213:$AG$223, 3, FALSE)-Dec_2025_Results70[[#This Row],[Result]], "TBD")</f>
        <v>TBD</v>
      </c>
      <c r="AL219" s="3" t="str">
        <f t="shared" si="63"/>
        <v>↑</v>
      </c>
    </row>
    <row r="220" spans="1:38">
      <c r="A220" s="199" t="str">
        <f>_xlfn.CONCAT("Seed ", Dec_2026_SotM[[#This Row],[Top Seed]], " vs ",Dec_2026_SotM[[#This Row],[Low Seed]])</f>
        <v>Seed 1 vs 8</v>
      </c>
      <c r="B220" s="201">
        <v>7</v>
      </c>
      <c r="C220" s="200">
        <f>FLOOR(LOG(Dec_2026_SotM[[#This Row],[Num]], 2), 1)</f>
        <v>2</v>
      </c>
      <c r="D220" s="200">
        <f>2^(Dec_2026_SotM[[#This Row],[Round]]+1)</f>
        <v>8</v>
      </c>
      <c r="E220" s="200">
        <f>Dec_2026_SotM[[#This Row],[Max Seed]]-Dec_2026_SotM[[#This Row],[Num]]</f>
        <v>1</v>
      </c>
      <c r="F220" s="200">
        <f>Dec_2026_SotM[[#This Row],[Max Seed]]-Dec_2026_SotM[[#This Row],[Top Seed]]+1</f>
        <v>8</v>
      </c>
      <c r="G220" s="200" t="e">
        <f>IF(Dec_2026_SotM[[#This Row],[Round]]=$C$212, TRUE(), IF(Dec_2026_SotM[[#This Row],[Round]]=$B$212, Dec_2026_SotM[[#This Row],[Top Seed]]&lt;=2*Dec_2026_SotM[[#This Row],[Max Seed]]-$A$212, FALSE()))</f>
        <v>#NUM!</v>
      </c>
      <c r="H220" s="200" t="e">
        <f>IF(Dec_2026_SotM[[#This Row],[Round]]=$C$212, TRUE(), IF(Dec_2026_SotM[[#This Row],[Round]]=$B$212, Dec_2026_SotM[[#This Row],[Low Seed]]&lt;=2*Dec_2026_SotM[[#This Row],[Max Seed]]-$A$212, FALSE()))</f>
        <v>#NUM!</v>
      </c>
      <c r="I220" s="28"/>
      <c r="J220" s="31"/>
      <c r="K220" s="33"/>
      <c r="L220" s="35"/>
      <c r="M220" s="37"/>
      <c r="N220" s="203" t="str">
        <f ca="1">IF(Dec_2026_SotM[[#This Row],[Num]]&gt;=$A$212, "-", IF(Dec_2026_SotM[[#This Row],[Initial 1]], VLOOKUP(Dec_2026_SotM[[#This Row],[Top Seed]], $Z$213:$AE$223, 6, FALSE), OFFSET(Dec_2026_SotM[[#This Row],[Winner]], Dec_2026_SotM[[#This Row],[Max Seed]], 0)))</f>
        <v>-</v>
      </c>
      <c r="O220" s="200">
        <f>COUNTIF(Dec_2026_SotM[[#This Row],[J]:[H]],"x")</f>
        <v>0</v>
      </c>
      <c r="P220" s="201" t="str">
        <f>IF(Dec_2026_SotM[[#This Row],[Num]]&gt;=$A$212, "-", IF(Dec_2026_SotM[[#This Row],[Score 1]]&gt;=3, Dec_2026_SotM[[#This Row],[Song 1]], IF(Dec_2026_SotM[[#This Row],[Score 2]]&gt;=3, Dec_2026_SotM[[#This Row],[Song 2]], "TBD")))</f>
        <v>-</v>
      </c>
      <c r="Q220" s="206">
        <f>COUNTIF(Dec_2026_SotM[[#This Row],[H ]:[J ]],"x")</f>
        <v>0</v>
      </c>
      <c r="R220" s="200" t="str">
        <f ca="1">IF(Dec_2026_SotM[[#This Row],[Num]]&gt;=$A$212, "-", IF(Dec_2026_SotM[[#This Row],[Initial 2]], VLOOKUP(Dec_2026_SotM[[#This Row],[Low Seed]], $Z$213:$AE$223, 6, FALSE), OFFSET(Dec_2026_SotM[[#This Row],[Winner]], 2*(Dec_2026_SotM[[#This Row],[Max Seed]]-Dec_2026_SotM[[#This Row],[Low Seed]])+1, 0)))</f>
        <v>-</v>
      </c>
      <c r="S220" s="37"/>
      <c r="T220" s="35"/>
      <c r="U220" s="33"/>
      <c r="V220" s="31"/>
      <c r="W220" s="28"/>
      <c r="X220" s="106" t="str">
        <f ca="1">IF(OR(Dec_2026_SotM[[#This Row],[Song 1]]="TBD", Dec_2026_SotM[[#This Row],[Song 2]]="TBD"), "TBD", _xlfn.CONCAT(IF(_xlfn.XOR(ISBLANK(Dec_2026_SotM[[#This Row],[J]]), ISBLANK(Dec_2026_SotM[[#This Row],[J ]])), "", "J "), IF(_xlfn.XOR(ISBLANK(Dec_2026_SotM[[#This Row],[D]]), ISBLANK(Dec_2026_SotM[[#This Row],[D ]])), "", "D "), IF(_xlfn.XOR(ISBLANK(Dec_2026_SotM[[#This Row],[L]]), ISBLANK(Dec_2026_SotM[[#This Row],[L ]])), "", "L "), IF(_xlfn.XOR(ISBLANK(Dec_2026_SotM[[#This Row],[S]]), ISBLANK(Dec_2026_SotM[[#This Row],[S ]])), "", "S "), IF(_xlfn.XOR(ISBLANK(Dec_2026_SotM[[#This Row],[H]]), ISBLANK(Dec_2026_SotM[[#This Row],[H ]])), "", "H ")))</f>
        <v xml:space="preserve">J D L S H </v>
      </c>
      <c r="Z220" s="109" t="str">
        <f t="shared" si="61"/>
        <v>TBD</v>
      </c>
      <c r="AG220" s="100" t="e">
        <f t="shared" si="62"/>
        <v>#VALUE!</v>
      </c>
      <c r="AI220" s="3">
        <f>Dec_2026_SotM[[#This Row],[Max Seed]]/2 + 1</f>
        <v>5</v>
      </c>
      <c r="AJ220" t="str">
        <f>IF(Dec_2026_SotM[[#This Row],[Num]]&gt;=$A$212, "-", IF(Dec_2026_SotM[[#This Row],[Score 1]]&gt;=3, Dec_2026_SotM[[#This Row],[Song 2]], IF(Dec_2026_SotM[[#This Row],[Score 2]]&gt;=3, Dec_2026_SotM[[#This Row],[Song 1]], "TBD")))</f>
        <v>-</v>
      </c>
      <c r="AK220" s="3" t="str">
        <f>IFERROR(VLOOKUP(Dec_2025_Results70[[#This Row],[Song Title]], $AE$213:$AG$223, 3, FALSE)-Dec_2025_Results70[[#This Row],[Result]], "TBD")</f>
        <v>TBD</v>
      </c>
      <c r="AL220" s="3" t="str">
        <f t="shared" si="63"/>
        <v>↑</v>
      </c>
    </row>
    <row r="221" spans="1:38">
      <c r="A221" s="199" t="str">
        <f>_xlfn.CONCAT("Seed ", Dec_2026_SotM[[#This Row],[Top Seed]], " vs ",Dec_2026_SotM[[#This Row],[Low Seed]])</f>
        <v>Seed 8 vs 9</v>
      </c>
      <c r="B221" s="201">
        <v>8</v>
      </c>
      <c r="C221" s="200">
        <f>FLOOR(LOG(Dec_2026_SotM[[#This Row],[Num]], 2), 1)</f>
        <v>3</v>
      </c>
      <c r="D221" s="200">
        <f>2^(Dec_2026_SotM[[#This Row],[Round]]+1)</f>
        <v>16</v>
      </c>
      <c r="E221" s="200">
        <f>Dec_2026_SotM[[#This Row],[Max Seed]]-Dec_2026_SotM[[#This Row],[Num]]</f>
        <v>8</v>
      </c>
      <c r="F221" s="200">
        <f>Dec_2026_SotM[[#This Row],[Max Seed]]-Dec_2026_SotM[[#This Row],[Top Seed]]+1</f>
        <v>9</v>
      </c>
      <c r="G221" s="200" t="e">
        <f>IF(Dec_2026_SotM[[#This Row],[Round]]=$C$212, TRUE(), IF(Dec_2026_SotM[[#This Row],[Round]]=$B$212, Dec_2026_SotM[[#This Row],[Top Seed]]&lt;=2*Dec_2026_SotM[[#This Row],[Max Seed]]-$A$212, FALSE()))</f>
        <v>#NUM!</v>
      </c>
      <c r="H221" s="200" t="e">
        <f>IF(Dec_2026_SotM[[#This Row],[Round]]=$C$212, TRUE(), IF(Dec_2026_SotM[[#This Row],[Round]]=$B$212, Dec_2026_SotM[[#This Row],[Low Seed]]&lt;=2*Dec_2026_SotM[[#This Row],[Max Seed]]-$A$212, FALSE()))</f>
        <v>#NUM!</v>
      </c>
      <c r="I221" s="28"/>
      <c r="J221" s="31"/>
      <c r="K221" s="33"/>
      <c r="L221" s="35"/>
      <c r="M221" s="37"/>
      <c r="N221" s="203" t="str">
        <f ca="1">IF(Dec_2026_SotM[[#This Row],[Num]]&gt;=$A$212, "-", IF(Dec_2026_SotM[[#This Row],[Initial 1]], VLOOKUP(Dec_2026_SotM[[#This Row],[Top Seed]], $Z$213:$AE$223, 6, FALSE), OFFSET(Dec_2026_SotM[[#This Row],[Winner]], Dec_2026_SotM[[#This Row],[Max Seed]], 0)))</f>
        <v>-</v>
      </c>
      <c r="O221" s="200">
        <f>COUNTIF(Dec_2026_SotM[[#This Row],[J]:[H]],"x")</f>
        <v>0</v>
      </c>
      <c r="P221" s="201" t="str">
        <f>IF(Dec_2026_SotM[[#This Row],[Num]]&gt;=$A$212, "-", IF(Dec_2026_SotM[[#This Row],[Score 1]]&gt;=3, Dec_2026_SotM[[#This Row],[Song 1]], IF(Dec_2026_SotM[[#This Row],[Score 2]]&gt;=3, Dec_2026_SotM[[#This Row],[Song 2]], "TBD")))</f>
        <v>-</v>
      </c>
      <c r="Q221" s="206">
        <f>COUNTIF(Dec_2026_SotM[[#This Row],[H ]:[J ]],"x")</f>
        <v>0</v>
      </c>
      <c r="R221" s="200" t="str">
        <f ca="1">IF(Dec_2026_SotM[[#This Row],[Num]]&gt;=$A$212, "-", IF(Dec_2026_SotM[[#This Row],[Initial 2]], VLOOKUP(Dec_2026_SotM[[#This Row],[Low Seed]], $Z$213:$AE$223, 6, FALSE), OFFSET(Dec_2026_SotM[[#This Row],[Winner]], 2*(Dec_2026_SotM[[#This Row],[Max Seed]]-Dec_2026_SotM[[#This Row],[Low Seed]])+1, 0)))</f>
        <v>-</v>
      </c>
      <c r="S221" s="37"/>
      <c r="T221" s="35"/>
      <c r="U221" s="33"/>
      <c r="V221" s="31"/>
      <c r="W221" s="28"/>
      <c r="X221" s="106" t="str">
        <f ca="1">IF(OR(Dec_2026_SotM[[#This Row],[Song 1]]="TBD", Dec_2026_SotM[[#This Row],[Song 2]]="TBD"), "TBD", _xlfn.CONCAT(IF(_xlfn.XOR(ISBLANK(Dec_2026_SotM[[#This Row],[J]]), ISBLANK(Dec_2026_SotM[[#This Row],[J ]])), "", "J "), IF(_xlfn.XOR(ISBLANK(Dec_2026_SotM[[#This Row],[D]]), ISBLANK(Dec_2026_SotM[[#This Row],[D ]])), "", "D "), IF(_xlfn.XOR(ISBLANK(Dec_2026_SotM[[#This Row],[L]]), ISBLANK(Dec_2026_SotM[[#This Row],[L ]])), "", "L "), IF(_xlfn.XOR(ISBLANK(Dec_2026_SotM[[#This Row],[S]]), ISBLANK(Dec_2026_SotM[[#This Row],[S ]])), "", "S "), IF(_xlfn.XOR(ISBLANK(Dec_2026_SotM[[#This Row],[H]]), ISBLANK(Dec_2026_SotM[[#This Row],[H ]])), "", "H ")))</f>
        <v xml:space="preserve">J D L S H </v>
      </c>
      <c r="Z221" s="109" t="str">
        <f t="shared" si="61"/>
        <v>TBD</v>
      </c>
      <c r="AG221" s="100" t="e">
        <f t="shared" si="62"/>
        <v>#VALUE!</v>
      </c>
      <c r="AI221" s="3">
        <f>Dec_2026_SotM[[#This Row],[Max Seed]]/2 + 1</f>
        <v>9</v>
      </c>
      <c r="AJ221" t="str">
        <f>IF(Dec_2026_SotM[[#This Row],[Num]]&gt;=$A$212, "-", IF(Dec_2026_SotM[[#This Row],[Score 1]]&gt;=3, Dec_2026_SotM[[#This Row],[Song 2]], IF(Dec_2026_SotM[[#This Row],[Score 2]]&gt;=3, Dec_2026_SotM[[#This Row],[Song 1]], "TBD")))</f>
        <v>-</v>
      </c>
      <c r="AK221" s="3" t="str">
        <f>IFERROR(VLOOKUP(Dec_2025_Results70[[#This Row],[Song Title]], $AE$213:$AG$223, 3, FALSE)-Dec_2025_Results70[[#This Row],[Result]], "TBD")</f>
        <v>TBD</v>
      </c>
      <c r="AL221" s="3" t="str">
        <f t="shared" si="63"/>
        <v>↑</v>
      </c>
    </row>
    <row r="222" spans="1:38">
      <c r="A222" s="199" t="str">
        <f>_xlfn.CONCAT("Seed ", Dec_2026_SotM[[#This Row],[Top Seed]], " vs ",Dec_2026_SotM[[#This Row],[Low Seed]])</f>
        <v>Seed 7 vs 10</v>
      </c>
      <c r="B222" s="201">
        <v>9</v>
      </c>
      <c r="C222" s="200">
        <f>FLOOR(LOG(Dec_2026_SotM[[#This Row],[Num]], 2), 1)</f>
        <v>3</v>
      </c>
      <c r="D222" s="200">
        <f>2^(Dec_2026_SotM[[#This Row],[Round]]+1)</f>
        <v>16</v>
      </c>
      <c r="E222" s="200">
        <f>Dec_2026_SotM[[#This Row],[Max Seed]]-Dec_2026_SotM[[#This Row],[Num]]</f>
        <v>7</v>
      </c>
      <c r="F222" s="200">
        <f>Dec_2026_SotM[[#This Row],[Max Seed]]-Dec_2026_SotM[[#This Row],[Top Seed]]+1</f>
        <v>10</v>
      </c>
      <c r="G222" s="200" t="e">
        <f>IF(Dec_2026_SotM[[#This Row],[Round]]=$C$212, TRUE(), IF(Dec_2026_SotM[[#This Row],[Round]]=$B$212, Dec_2026_SotM[[#This Row],[Top Seed]]&lt;=2*Dec_2026_SotM[[#This Row],[Max Seed]]-$A$212, FALSE()))</f>
        <v>#NUM!</v>
      </c>
      <c r="H222" s="200" t="e">
        <f>IF(Dec_2026_SotM[[#This Row],[Round]]=$C$212, TRUE(), IF(Dec_2026_SotM[[#This Row],[Round]]=$B$212, Dec_2026_SotM[[#This Row],[Low Seed]]&lt;=2*Dec_2026_SotM[[#This Row],[Max Seed]]-$A$212, FALSE()))</f>
        <v>#NUM!</v>
      </c>
      <c r="I222" s="28"/>
      <c r="J222" s="31"/>
      <c r="K222" s="33"/>
      <c r="L222" s="35"/>
      <c r="M222" s="37"/>
      <c r="N222" s="203" t="str">
        <f ca="1">IF(Dec_2026_SotM[[#This Row],[Num]]&gt;=$A$212, "-", IF(Dec_2026_SotM[[#This Row],[Initial 1]], VLOOKUP(Dec_2026_SotM[[#This Row],[Top Seed]], $Z$213:$AE$223, 6, FALSE), OFFSET(Dec_2026_SotM[[#This Row],[Winner]], Dec_2026_SotM[[#This Row],[Max Seed]], 0)))</f>
        <v>-</v>
      </c>
      <c r="O222" s="200">
        <f>COUNTIF(Dec_2026_SotM[[#This Row],[J]:[H]],"x")</f>
        <v>0</v>
      </c>
      <c r="P222" s="201" t="str">
        <f>IF(Dec_2026_SotM[[#This Row],[Num]]&gt;=$A$212, "-", IF(Dec_2026_SotM[[#This Row],[Score 1]]&gt;=3, Dec_2026_SotM[[#This Row],[Song 1]], IF(Dec_2026_SotM[[#This Row],[Score 2]]&gt;=3, Dec_2026_SotM[[#This Row],[Song 2]], "TBD")))</f>
        <v>-</v>
      </c>
      <c r="Q222" s="206">
        <f>COUNTIF(Dec_2026_SotM[[#This Row],[H ]:[J ]],"x")</f>
        <v>0</v>
      </c>
      <c r="R222" s="200" t="str">
        <f ca="1">IF(Dec_2026_SotM[[#This Row],[Num]]&gt;=$A$212, "-", IF(Dec_2026_SotM[[#This Row],[Initial 2]], VLOOKUP(Dec_2026_SotM[[#This Row],[Low Seed]], $Z$213:$AE$223, 6, FALSE), OFFSET(Dec_2026_SotM[[#This Row],[Winner]], 2*(Dec_2026_SotM[[#This Row],[Max Seed]]-Dec_2026_SotM[[#This Row],[Low Seed]])+1, 0)))</f>
        <v>-</v>
      </c>
      <c r="S222" s="37"/>
      <c r="T222" s="35"/>
      <c r="U222" s="33"/>
      <c r="V222" s="31"/>
      <c r="W222" s="28"/>
      <c r="X222" s="106" t="str">
        <f ca="1">IF(OR(Dec_2026_SotM[[#This Row],[Song 1]]="TBD", Dec_2026_SotM[[#This Row],[Song 2]]="TBD"), "TBD", _xlfn.CONCAT(IF(_xlfn.XOR(ISBLANK(Dec_2026_SotM[[#This Row],[J]]), ISBLANK(Dec_2026_SotM[[#This Row],[J ]])), "", "J "), IF(_xlfn.XOR(ISBLANK(Dec_2026_SotM[[#This Row],[D]]), ISBLANK(Dec_2026_SotM[[#This Row],[D ]])), "", "D "), IF(_xlfn.XOR(ISBLANK(Dec_2026_SotM[[#This Row],[L]]), ISBLANK(Dec_2026_SotM[[#This Row],[L ]])), "", "L "), IF(_xlfn.XOR(ISBLANK(Dec_2026_SotM[[#This Row],[S]]), ISBLANK(Dec_2026_SotM[[#This Row],[S ]])), "", "S "), IF(_xlfn.XOR(ISBLANK(Dec_2026_SotM[[#This Row],[H]]), ISBLANK(Dec_2026_SotM[[#This Row],[H ]])), "", "H ")))</f>
        <v xml:space="preserve">J D L S H </v>
      </c>
      <c r="Z222" s="109" t="str">
        <f t="shared" si="61"/>
        <v>TBD</v>
      </c>
      <c r="AG222" s="100" t="e">
        <f t="shared" si="62"/>
        <v>#VALUE!</v>
      </c>
      <c r="AI222" s="3">
        <f>Dec_2026_SotM[[#This Row],[Max Seed]]/2 + 1</f>
        <v>9</v>
      </c>
      <c r="AJ222" t="str">
        <f>IF(Dec_2026_SotM[[#This Row],[Num]]&gt;=$A$212, "-", IF(Dec_2026_SotM[[#This Row],[Score 1]]&gt;=3, Dec_2026_SotM[[#This Row],[Song 2]], IF(Dec_2026_SotM[[#This Row],[Score 2]]&gt;=3, Dec_2026_SotM[[#This Row],[Song 1]], "TBD")))</f>
        <v>-</v>
      </c>
      <c r="AK222" s="3" t="str">
        <f>IFERROR(VLOOKUP(Dec_2025_Results70[[#This Row],[Song Title]], $AE$213:$AG$223, 3, FALSE)-Dec_2025_Results70[[#This Row],[Result]], "TBD")</f>
        <v>TBD</v>
      </c>
      <c r="AL222" s="3" t="str">
        <f t="shared" si="63"/>
        <v>↑</v>
      </c>
    </row>
    <row r="223" spans="1:38">
      <c r="A223" s="199" t="str">
        <f>_xlfn.CONCAT("Seed ", Dec_2026_SotM[[#This Row],[Top Seed]], " vs ",Dec_2026_SotM[[#This Row],[Low Seed]])</f>
        <v>Seed 6 vs 11</v>
      </c>
      <c r="B223" s="201">
        <v>10</v>
      </c>
      <c r="C223" s="200">
        <f>FLOOR(LOG(Dec_2026_SotM[[#This Row],[Num]], 2), 1)</f>
        <v>3</v>
      </c>
      <c r="D223" s="200">
        <f>2^(Dec_2026_SotM[[#This Row],[Round]]+1)</f>
        <v>16</v>
      </c>
      <c r="E223" s="200">
        <f>Dec_2026_SotM[[#This Row],[Max Seed]]-Dec_2026_SotM[[#This Row],[Num]]</f>
        <v>6</v>
      </c>
      <c r="F223" s="200">
        <f>Dec_2026_SotM[[#This Row],[Max Seed]]-Dec_2026_SotM[[#This Row],[Top Seed]]+1</f>
        <v>11</v>
      </c>
      <c r="G223" s="200" t="e">
        <f>IF(Dec_2026_SotM[[#This Row],[Round]]=$C$212, TRUE(), IF(Dec_2026_SotM[[#This Row],[Round]]=$B$212, Dec_2026_SotM[[#This Row],[Top Seed]]&lt;=2*Dec_2026_SotM[[#This Row],[Max Seed]]-$A$212, FALSE()))</f>
        <v>#NUM!</v>
      </c>
      <c r="H223" s="200" t="e">
        <f>IF(Dec_2026_SotM[[#This Row],[Round]]=$C$212, TRUE(), IF(Dec_2026_SotM[[#This Row],[Round]]=$B$212, Dec_2026_SotM[[#This Row],[Low Seed]]&lt;=2*Dec_2026_SotM[[#This Row],[Max Seed]]-$A$212, FALSE()))</f>
        <v>#NUM!</v>
      </c>
      <c r="I223" s="28"/>
      <c r="J223" s="31"/>
      <c r="K223" s="33"/>
      <c r="L223" s="35"/>
      <c r="M223" s="37"/>
      <c r="N223" s="203" t="str">
        <f ca="1">IF(Dec_2026_SotM[[#This Row],[Num]]&gt;=$A$212, "-", IF(Dec_2026_SotM[[#This Row],[Initial 1]], VLOOKUP(Dec_2026_SotM[[#This Row],[Top Seed]], $Z$213:$AE$223, 6, FALSE), OFFSET(Dec_2026_SotM[[#This Row],[Winner]], Dec_2026_SotM[[#This Row],[Max Seed]], 0)))</f>
        <v>-</v>
      </c>
      <c r="O223" s="200">
        <f>COUNTIF(Dec_2026_SotM[[#This Row],[J]:[H]],"x")</f>
        <v>0</v>
      </c>
      <c r="P223" s="201" t="str">
        <f>IF(Dec_2026_SotM[[#This Row],[Num]]&gt;=$A$212, "-", IF(Dec_2026_SotM[[#This Row],[Score 1]]&gt;=3, Dec_2026_SotM[[#This Row],[Song 1]], IF(Dec_2026_SotM[[#This Row],[Score 2]]&gt;=3, Dec_2026_SotM[[#This Row],[Song 2]], "TBD")))</f>
        <v>-</v>
      </c>
      <c r="Q223" s="206">
        <f>COUNTIF(Dec_2026_SotM[[#This Row],[H ]:[J ]],"x")</f>
        <v>0</v>
      </c>
      <c r="R223" s="200" t="str">
        <f ca="1">IF(Dec_2026_SotM[[#This Row],[Num]]&gt;=$A$212, "-", IF(Dec_2026_SotM[[#This Row],[Initial 2]], VLOOKUP(Dec_2026_SotM[[#This Row],[Low Seed]], $Z$213:$AE$223, 6, FALSE), OFFSET(Dec_2026_SotM[[#This Row],[Winner]], 2*(Dec_2026_SotM[[#This Row],[Max Seed]]-Dec_2026_SotM[[#This Row],[Low Seed]])+1, 0)))</f>
        <v>-</v>
      </c>
      <c r="S223" s="37"/>
      <c r="T223" s="35"/>
      <c r="U223" s="33"/>
      <c r="V223" s="31"/>
      <c r="W223" s="28"/>
      <c r="X223" s="106" t="str">
        <f ca="1">IF(OR(Dec_2026_SotM[[#This Row],[Song 1]]="TBD", Dec_2026_SotM[[#This Row],[Song 2]]="TBD"), "TBD", _xlfn.CONCAT(IF(_xlfn.XOR(ISBLANK(Dec_2026_SotM[[#This Row],[J]]), ISBLANK(Dec_2026_SotM[[#This Row],[J ]])), "", "J "), IF(_xlfn.XOR(ISBLANK(Dec_2026_SotM[[#This Row],[D]]), ISBLANK(Dec_2026_SotM[[#This Row],[D ]])), "", "D "), IF(_xlfn.XOR(ISBLANK(Dec_2026_SotM[[#This Row],[L]]), ISBLANK(Dec_2026_SotM[[#This Row],[L ]])), "", "L "), IF(_xlfn.XOR(ISBLANK(Dec_2026_SotM[[#This Row],[S]]), ISBLANK(Dec_2026_SotM[[#This Row],[S ]])), "", "S "), IF(_xlfn.XOR(ISBLANK(Dec_2026_SotM[[#This Row],[H]]), ISBLANK(Dec_2026_SotM[[#This Row],[H ]])), "", "H ")))</f>
        <v xml:space="preserve">J D L S H </v>
      </c>
      <c r="Z223" s="110" t="str">
        <f t="shared" si="61"/>
        <v>TBD</v>
      </c>
      <c r="AA223" s="211"/>
      <c r="AB223" s="157"/>
      <c r="AC223" s="101"/>
      <c r="AD223" s="157"/>
      <c r="AE223" s="157"/>
      <c r="AF223" s="157"/>
      <c r="AG223" s="102" t="e">
        <f t="shared" si="62"/>
        <v>#VALUE!</v>
      </c>
      <c r="AI223" s="3">
        <f>Dec_2026_SotM[[#This Row],[Max Seed]]/2 + 1</f>
        <v>9</v>
      </c>
      <c r="AJ223" t="str">
        <f>IF(Dec_2026_SotM[[#This Row],[Num]]&gt;=$A$212, "-", IF(Dec_2026_SotM[[#This Row],[Score 1]]&gt;=3, Dec_2026_SotM[[#This Row],[Song 2]], IF(Dec_2026_SotM[[#This Row],[Score 2]]&gt;=3, Dec_2026_SotM[[#This Row],[Song 1]], "TBD")))</f>
        <v>-</v>
      </c>
      <c r="AK223" s="3" t="str">
        <f>IFERROR(VLOOKUP(Dec_2025_Results70[[#This Row],[Song Title]], $AE$213:$AG$223, 3, FALSE)-Dec_2025_Results70[[#This Row],[Result]], "TBD")</f>
        <v>TBD</v>
      </c>
      <c r="AL223" s="3" t="str">
        <f t="shared" si="63"/>
        <v>↑</v>
      </c>
    </row>
  </sheetData>
  <mergeCells count="12">
    <mergeCell ref="I212:W212"/>
    <mergeCell ref="I1:W1"/>
    <mergeCell ref="I19:W19"/>
    <mergeCell ref="I37:W37"/>
    <mergeCell ref="I57:W57"/>
    <mergeCell ref="I77:W77"/>
    <mergeCell ref="I95:W95"/>
    <mergeCell ref="I115:W115"/>
    <mergeCell ref="I135:W135"/>
    <mergeCell ref="I154:W154"/>
    <mergeCell ref="I174:W174"/>
    <mergeCell ref="I193:W193"/>
  </mergeCells>
  <conditionalFormatting sqref="AK1:AK1048576">
    <cfRule type="cellIs" dxfId="235" priority="1" operator="equal">
      <formula>"Diff"</formula>
    </cfRule>
    <cfRule type="expression" dxfId="234" priority="5">
      <formula>AND(ISNUMBER(AK1), AK1=0, NOT(ISBLANK(AK1)))</formula>
    </cfRule>
    <cfRule type="expression" dxfId="233" priority="6">
      <formula>AND(ISNUMBER(AK1), AK1&gt;0, NOT(ISBLANK(AK1)))</formula>
    </cfRule>
    <cfRule type="cellIs" dxfId="232" priority="7" operator="lessThan">
      <formula>0</formula>
    </cfRule>
  </conditionalFormatting>
  <conditionalFormatting sqref="AL1:AL1048576">
    <cfRule type="cellIs" dxfId="231" priority="2" operator="equal">
      <formula>"↓"</formula>
    </cfRule>
    <cfRule type="cellIs" dxfId="230" priority="3" operator="equal">
      <formula>"↑"</formula>
    </cfRule>
    <cfRule type="cellIs" dxfId="229" priority="4" operator="equal">
      <formula>"-"</formula>
    </cfRule>
  </conditionalFormatting>
  <pageMargins left="0.7" right="0.7" top="0.75" bottom="0.75" header="0.3" footer="0.3"/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885" id="{B5373341-E45A-48B2-8DF3-C1417A298224}">
            <xm:f>INDEX($AB$2:$AB$223, MATCH(N1, $AE$2:$AE$223,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2886" id="{84F88C32-C5FB-45F3-8615-9D6388DA7259}">
            <xm:f>INDEX($AB$2:$AB$223, MATCH(N1, $AE$2:$AE$223, 0), 1)=Leaderboard!$B$4</xm:f>
            <x14:dxf>
              <fill>
                <patternFill patternType="solid">
                  <bgColor rgb="FFDDEBF7"/>
                </patternFill>
              </fill>
            </x14:dxf>
          </x14:cfRule>
          <x14:cfRule type="expression" priority="2887" id="{2AB80CA7-BB21-429D-A24E-FD8AAF5206AA}">
            <xm:f>INDEX($AB$2:$AB$223, MATCH(N1, $AE$2:$AE$223, 0), 1)=Leaderboard!$B$5</xm:f>
            <x14:dxf>
              <fill>
                <patternFill patternType="solid">
                  <bgColor rgb="FFFFF2CC"/>
                </patternFill>
              </fill>
            </x14:dxf>
          </x14:cfRule>
          <x14:cfRule type="expression" priority="2888" id="{3A37B424-676D-4A4D-95B5-B8334501FE90}">
            <xm:f>INDEX($AB$2:$AB$223, MATCH(N1, $AE$2:$AE$223, 0), 1)=Leaderboard!$B$6</xm:f>
            <x14:dxf>
              <fill>
                <patternFill patternType="solid">
                  <bgColor rgb="FFEDEDED"/>
                </patternFill>
              </fill>
            </x14:dxf>
          </x14:cfRule>
          <x14:cfRule type="expression" priority="2889" id="{77E55317-DAD5-4B4D-ADCA-992C0F4D180C}">
            <xm:f>INDEX($AB$2:$AB$223, MATCH(N1, $AE$2:$AE$223, 0), 1)=Leaderboard!$B$7</xm:f>
            <x14:dxf>
              <fill>
                <patternFill patternType="solid">
                  <bgColor rgb="FFFCE4D6"/>
                </patternFill>
              </fill>
            </x14:dxf>
          </x14:cfRule>
          <xm:sqref>N1:R1048576</xm:sqref>
        </x14:conditionalFormatting>
        <x14:conditionalFormatting xmlns:xm="http://schemas.microsoft.com/office/excel/2006/main">
          <x14:cfRule type="expression" priority="8" id="{76D3D091-9B3A-4916-A4A1-2FF4E4E46B6F}">
            <xm:f>$AB1=Leaderboard!$B$3</xm:f>
            <x14:dxf>
              <fill>
                <patternFill patternType="solid">
                  <bgColor rgb="FFE2EFDA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9" id="{DFC8CD77-9818-4583-8943-4A03CF29F765}">
            <xm:f>$AB1=Leaderboard!$B$4</xm:f>
            <x14:dxf>
              <fill>
                <patternFill patternType="solid">
                  <bgColor theme="8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10" id="{91502FF7-CE84-4144-9580-D267F915348C}">
            <xm:f>$AB1=Leaderboard!$B$5</xm:f>
            <x14:dxf>
              <fill>
                <patternFill patternType="solid">
                  <bgColor theme="7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11" id="{11CBC1D4-6DD2-4702-9989-4773F8CBC30D}">
            <xm:f>$AB1=Leaderboard!$B$6</xm:f>
            <x14:dxf>
              <fill>
                <patternFill patternType="solid">
                  <bgColor theme="6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12" id="{A57C2841-76B9-49FF-90B3-BB14811AF674}">
            <xm:f>$AB1=Leaderboard!$B$7</xm:f>
            <x14:dxf>
              <fill>
                <patternFill patternType="solid">
                  <bgColor theme="5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m:sqref>Z1:AG1048576</xm:sqref>
        </x14:conditionalFormatting>
        <x14:conditionalFormatting xmlns:xm="http://schemas.microsoft.com/office/excel/2006/main">
          <x14:cfRule type="expression" priority="2900" id="{2197E5A4-547C-4FCF-BE8F-5146245050B3}">
            <xm:f>INDEX($AB$2:$AB$223, MATCH($AJ1, $AE$2:$AE$223,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2901" id="{112230E5-7E13-4920-B1A8-66F712D0C14D}">
            <xm:f>INDEX($AB$2:$AB$223, MATCH($AJ1, $AE$2:$AE$223, 0), 1)=Leaderboard!$B$4</xm:f>
            <x14:dxf>
              <fill>
                <patternFill patternType="solid">
                  <bgColor theme="8" tint="0.79998168889431442"/>
                </patternFill>
              </fill>
            </x14:dxf>
          </x14:cfRule>
          <x14:cfRule type="expression" priority="2902" id="{2594C85F-69FE-4255-B02D-ECAF4C87C245}">
            <xm:f>INDEX($AB$2:$AB$223, MATCH($AJ1, $AE$2:$AE$223, 0), 1)=Leaderboard!$B$5</xm:f>
            <x14:dxf>
              <fill>
                <patternFill patternType="solid">
                  <bgColor theme="7" tint="0.79998168889431442"/>
                </patternFill>
              </fill>
            </x14:dxf>
          </x14:cfRule>
          <x14:cfRule type="expression" priority="2903" id="{43C84C93-1E6A-4104-A22A-EAF0871D96E5}">
            <xm:f>INDEX($AB$2:$AB$223, MATCH($AJ1, $AE$2:$AE$223, 0), 1)=Leaderboard!$B$6</xm:f>
            <x14:dxf>
              <fill>
                <patternFill patternType="solid">
                  <bgColor theme="6" tint="0.79998168889431442"/>
                </patternFill>
              </fill>
            </x14:dxf>
          </x14:cfRule>
          <x14:cfRule type="expression" priority="2904" id="{A276471B-CF8D-470D-AF19-6069C744DC3A}">
            <xm:f>INDEX($AB$2:$AB$223, MATCH($AJ1, $AE$2:$AE$223, 0), 1)=Leaderboard!$B$7</xm:f>
            <x14:dxf>
              <fill>
                <patternFill patternType="solid">
                  <bgColor theme="5" tint="0.79998168889431442"/>
                </patternFill>
              </fill>
            </x14:dxf>
          </x14:cfRule>
          <xm:sqref>AI1:AJ1048576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CBCD-CF48-4914-AB8F-7EEB9B4A8F9C}">
  <sheetPr codeName="Sheet4"/>
  <dimension ref="A1:L127"/>
  <sheetViews>
    <sheetView workbookViewId="0">
      <pane ySplit="2" topLeftCell="A109" activePane="bottomLeft" state="frozen"/>
      <selection pane="bottomLeft" activeCell="D119" sqref="D119"/>
    </sheetView>
  </sheetViews>
  <sheetFormatPr defaultRowHeight="15"/>
  <cols>
    <col min="1" max="1" width="14.28515625" style="59" bestFit="1" customWidth="1"/>
    <col min="2" max="2" width="16.42578125" bestFit="1" customWidth="1"/>
    <col min="3" max="3" width="43.140625" bestFit="1" customWidth="1"/>
    <col min="4" max="4" width="38.140625" style="88" customWidth="1"/>
    <col min="5" max="5" width="13" style="3" bestFit="1" customWidth="1"/>
    <col min="6" max="6" width="10.28515625" style="3" bestFit="1" customWidth="1"/>
    <col min="7" max="7" width="16.140625" style="3" bestFit="1" customWidth="1"/>
    <col min="8" max="8" width="16.85546875" style="3" bestFit="1" customWidth="1"/>
    <col min="9" max="9" width="18.85546875" style="3" bestFit="1" customWidth="1"/>
    <col min="10" max="10" width="9.5703125" style="3" bestFit="1" customWidth="1"/>
    <col min="11" max="11" width="40.42578125" style="3" bestFit="1" customWidth="1"/>
    <col min="12" max="12" width="16.42578125" style="3" bestFit="1" customWidth="1"/>
  </cols>
  <sheetData>
    <row r="1" spans="1:12">
      <c r="A1" s="354" t="s">
        <v>4201</v>
      </c>
      <c r="B1" s="352"/>
      <c r="C1" s="352"/>
      <c r="D1" s="353"/>
      <c r="E1" s="352" t="s">
        <v>4202</v>
      </c>
      <c r="F1" s="352"/>
      <c r="G1" s="352"/>
      <c r="H1" s="352"/>
      <c r="I1" s="353"/>
      <c r="J1" s="347" t="s">
        <v>4203</v>
      </c>
      <c r="K1" s="347"/>
      <c r="L1" s="347"/>
    </row>
    <row r="2" spans="1:12">
      <c r="A2" s="60" t="s">
        <v>4204</v>
      </c>
      <c r="B2" s="58" t="s">
        <v>4205</v>
      </c>
      <c r="C2" s="58" t="s">
        <v>4206</v>
      </c>
      <c r="D2" s="87" t="s">
        <v>4207</v>
      </c>
      <c r="E2" s="71" t="s">
        <v>37</v>
      </c>
      <c r="F2" s="72" t="s">
        <v>38</v>
      </c>
      <c r="G2" s="73" t="s">
        <v>39</v>
      </c>
      <c r="H2" s="74" t="s">
        <v>40</v>
      </c>
      <c r="I2" s="5" t="s">
        <v>41</v>
      </c>
      <c r="J2" s="75" t="s">
        <v>4208</v>
      </c>
      <c r="K2" s="58" t="s">
        <v>4209</v>
      </c>
      <c r="L2" s="22" t="s">
        <v>47</v>
      </c>
    </row>
    <row r="3" spans="1:12">
      <c r="A3" s="59">
        <v>45470</v>
      </c>
      <c r="B3" t="s">
        <v>37</v>
      </c>
      <c r="C3" t="s">
        <v>4210</v>
      </c>
      <c r="D3" s="88" t="s">
        <v>4211</v>
      </c>
      <c r="F3" s="3" t="s">
        <v>4212</v>
      </c>
      <c r="G3" s="3" t="s">
        <v>4212</v>
      </c>
      <c r="H3" s="3" t="s">
        <v>4212</v>
      </c>
      <c r="I3" s="3" t="s">
        <v>4212</v>
      </c>
      <c r="J3" s="3" t="b">
        <f>COUNTIFS(E3:I3, "Opposed") &lt; 2</f>
        <v>1</v>
      </c>
      <c r="K3" s="3" t="str" cm="1">
        <f t="array" aca="1" ref="K3" ca="1">IF(Table1[[#This Row],[Winner]]&lt;&gt;"TBD", INDEX(Rankings!H:H, MATCH(Table1[[#This Row],[Theme Date]], Rankings!A:A, 0) + MATCH(Table1[[#This Row],[Winner]], Rankings!$J$1:$N$1, 0) - 1, 1), Table1[[#This Row],[Winner]])</f>
        <v>Doritos &amp; Fritos</v>
      </c>
      <c r="L3" s="3" t="str">
        <f ca="1">IF(AND(Table1[[#This Row],[Theme Date]]&lt;=TODAY(), Table1[[#This Row],[Passed]]), VLOOKUP(Table1[[#This Row],[Theme Date]], Rankings!A:C, 3, FALSE), "TBD")</f>
        <v>samuelbattista</v>
      </c>
    </row>
    <row r="4" spans="1:12">
      <c r="A4" s="59">
        <v>45484</v>
      </c>
      <c r="B4" t="s">
        <v>38</v>
      </c>
      <c r="C4" t="s">
        <v>4213</v>
      </c>
      <c r="D4" s="88" t="s">
        <v>4214</v>
      </c>
      <c r="E4" s="3" t="s">
        <v>4212</v>
      </c>
      <c r="G4" s="3" t="s">
        <v>4212</v>
      </c>
      <c r="H4" s="3" t="s">
        <v>4212</v>
      </c>
      <c r="I4" s="3" t="s">
        <v>4212</v>
      </c>
      <c r="J4" s="3" t="b">
        <f>COUNTIFS(E4:I4, "Opposed") &lt; 2</f>
        <v>1</v>
      </c>
      <c r="K4" s="3" t="str" cm="1">
        <f t="array" aca="1" ref="K4" ca="1">IF(Table1[[#This Row],[Winner]]&lt;&gt;"TBD", INDEX(Rankings!H:H, MATCH(Table1[[#This Row],[Theme Date]], Rankings!A:A, 0) + MATCH(Table1[[#This Row],[Winner]], Rankings!$J$1:$N$1, 0) - 1, 1), Table1[[#This Row],[Winner]])</f>
        <v>Congratulations</v>
      </c>
      <c r="L4" s="3" t="str">
        <f ca="1">IF(AND(Table1[[#This Row],[Theme Date]]&lt;=TODAY(), Table1[[#This Row],[Passed]]), VLOOKUP(Table1[[#This Row],[Theme Date]], Rankings!A:C, 3, FALSE), "TBD")</f>
        <v>samuelbattista</v>
      </c>
    </row>
    <row r="5" spans="1:12">
      <c r="A5" s="59">
        <v>45491</v>
      </c>
      <c r="B5" t="s">
        <v>39</v>
      </c>
      <c r="C5" t="s">
        <v>4215</v>
      </c>
      <c r="D5" s="88" t="s">
        <v>4216</v>
      </c>
      <c r="E5" s="3" t="s">
        <v>4212</v>
      </c>
      <c r="F5" s="3" t="s">
        <v>4212</v>
      </c>
      <c r="H5" s="3" t="s">
        <v>4212</v>
      </c>
      <c r="I5" s="3" t="s">
        <v>4212</v>
      </c>
      <c r="J5" s="3" t="b">
        <f>COUNTIFS(E5:I5, "Opposed") &lt; 2</f>
        <v>1</v>
      </c>
      <c r="K5" s="3" t="str" cm="1">
        <f t="array" aca="1" ref="K5" ca="1">IF(Table1[[#This Row],[Winner]]&lt;&gt;"TBD", INDEX(Rankings!H:H, MATCH(Table1[[#This Row],[Theme Date]], Rankings!A:A, 0) + MATCH(Table1[[#This Row],[Winner]], Rankings!$J$1:$N$1, 0) - 1, 1), Table1[[#This Row],[Winner]])</f>
        <v>Otro Atardecer</v>
      </c>
      <c r="L5" s="3" t="str">
        <f ca="1">IF(AND(Table1[[#This Row],[Theme Date]]&lt;=TODAY(), Table1[[#This Row],[Passed]]), VLOOKUP(Table1[[#This Row],[Theme Date]], Rankings!A:C, 3, FALSE), "TBD")</f>
        <v>danram</v>
      </c>
    </row>
    <row r="6" spans="1:12">
      <c r="A6" s="59">
        <v>45498</v>
      </c>
      <c r="B6" t="s">
        <v>40</v>
      </c>
      <c r="C6" t="s">
        <v>4217</v>
      </c>
      <c r="D6" s="88" t="s">
        <v>4218</v>
      </c>
      <c r="E6" s="3" t="s">
        <v>4212</v>
      </c>
      <c r="F6" s="3" t="s">
        <v>4212</v>
      </c>
      <c r="G6" s="3" t="s">
        <v>4212</v>
      </c>
      <c r="I6" s="3" t="s">
        <v>4212</v>
      </c>
      <c r="J6" s="3" t="b">
        <f t="shared" ref="J6:J8" si="0">COUNTIFS(E6:I6, "Opposed") &lt; 2</f>
        <v>1</v>
      </c>
      <c r="K6" s="3" t="str" cm="1">
        <f t="array" aca="1" ref="K6" ca="1">IF(Table1[[#This Row],[Winner]]&lt;&gt;"TBD", INDEX(Rankings!H:H, MATCH(Table1[[#This Row],[Theme Date]], Rankings!A:A, 0) + MATCH(Table1[[#This Row],[Winner]], Rankings!$J$1:$N$1, 0) - 1, 1), Table1[[#This Row],[Winner]])</f>
        <v>Don't Speak</v>
      </c>
      <c r="L6" s="3" t="str">
        <f ca="1">IF(AND(Table1[[#This Row],[Theme Date]]&lt;=TODAY(), Table1[[#This Row],[Passed]]), VLOOKUP(Table1[[#This Row],[Theme Date]], Rankings!A:C, 3, FALSE), "TBD")</f>
        <v>danram</v>
      </c>
    </row>
    <row r="7" spans="1:12" ht="30">
      <c r="A7" s="59">
        <v>45505</v>
      </c>
      <c r="B7" t="s">
        <v>41</v>
      </c>
      <c r="C7" t="s">
        <v>4219</v>
      </c>
      <c r="D7" s="88" t="s">
        <v>4220</v>
      </c>
      <c r="E7" s="3" t="s">
        <v>4212</v>
      </c>
      <c r="F7" s="3" t="s">
        <v>4212</v>
      </c>
      <c r="G7" s="3" t="s">
        <v>4212</v>
      </c>
      <c r="H7" s="3" t="s">
        <v>4212</v>
      </c>
      <c r="J7" s="3" t="b">
        <f t="shared" si="0"/>
        <v>1</v>
      </c>
      <c r="K7" s="3" t="str" cm="1">
        <f t="array" aca="1" ref="K7" ca="1">IF(Table1[[#This Row],[Winner]]&lt;&gt;"TBD", INDEX(Rankings!H:H, MATCH(Table1[[#This Row],[Theme Date]], Rankings!A:A, 0) + MATCH(Table1[[#This Row],[Winner]], Rankings!$J$1:$N$1, 0) - 1, 1), Table1[[#This Row],[Winner]])</f>
        <v>Only Girl (In The World)</v>
      </c>
      <c r="L7" s="3" t="str">
        <f ca="1">IF(AND(Table1[[#This Row],[Theme Date]]&lt;=TODAY(), Table1[[#This Row],[Passed]]), VLOOKUP(Table1[[#This Row],[Theme Date]], Rankings!A:C, 3, FALSE), "TBD")</f>
        <v>currydestroyer27</v>
      </c>
    </row>
    <row r="8" spans="1:12">
      <c r="A8" s="59">
        <v>45512</v>
      </c>
      <c r="B8" t="s">
        <v>37</v>
      </c>
      <c r="C8" t="s">
        <v>4221</v>
      </c>
      <c r="D8" s="88" t="s">
        <v>4222</v>
      </c>
      <c r="F8" s="3" t="s">
        <v>4212</v>
      </c>
      <c r="G8" s="3" t="s">
        <v>4212</v>
      </c>
      <c r="H8" s="3" t="s">
        <v>4212</v>
      </c>
      <c r="I8" s="3" t="s">
        <v>4212</v>
      </c>
      <c r="J8" s="3" t="b">
        <f t="shared" si="0"/>
        <v>1</v>
      </c>
      <c r="K8" s="3" t="str" cm="1">
        <f t="array" aca="1" ref="K8" ca="1">IF(Table1[[#This Row],[Winner]]&lt;&gt;"TBD", INDEX(Rankings!H:H, MATCH(Table1[[#This Row],[Theme Date]], Rankings!A:A, 0) + MATCH(Table1[[#This Row],[Winner]], Rankings!$J$1:$N$1, 0) - 1, 1), Table1[[#This Row],[Winner]])</f>
        <v>The Woven Web</v>
      </c>
      <c r="L8" s="3" t="str">
        <f ca="1">IF(AND(Table1[[#This Row],[Theme Date]]&lt;=TODAY(), Table1[[#This Row],[Passed]]), VLOOKUP(Table1[[#This Row],[Theme Date]], Rankings!A:C, 3, FALSE), "TBD")</f>
        <v>danram</v>
      </c>
    </row>
    <row r="9" spans="1:12">
      <c r="A9" s="59">
        <v>45519</v>
      </c>
      <c r="B9" t="s">
        <v>38</v>
      </c>
      <c r="C9" t="s">
        <v>4223</v>
      </c>
      <c r="D9" s="88" t="s">
        <v>4224</v>
      </c>
      <c r="E9" s="3" t="s">
        <v>4212</v>
      </c>
      <c r="G9" s="3" t="s">
        <v>4212</v>
      </c>
      <c r="H9" s="3" t="s">
        <v>4212</v>
      </c>
      <c r="I9" s="3" t="s">
        <v>4212</v>
      </c>
      <c r="J9" s="3" t="b">
        <f t="shared" ref="J9:J16" si="1">COUNTIFS(E9:I9, "Opposed") &lt; 2</f>
        <v>1</v>
      </c>
      <c r="K9" s="3" t="str" cm="1">
        <f t="array" aca="1" ref="K9" ca="1">IF(Table1[[#This Row],[Winner]]&lt;&gt;"TBD", INDEX(Rankings!H:H, MATCH(Table1[[#This Row],[Theme Date]], Rankings!A:A, 0) + MATCH(Table1[[#This Row],[Winner]], Rankings!$J$1:$N$1, 0) - 1, 1), Table1[[#This Row],[Winner]])</f>
        <v>Put The Money In The Bag</v>
      </c>
      <c r="L9" s="3" t="str">
        <f ca="1">IF(AND(Table1[[#This Row],[Theme Date]]&lt;=TODAY(), Table1[[#This Row],[Passed]]), VLOOKUP(Table1[[#This Row],[Theme Date]], Rankings!A:C, 3, FALSE), "TBD")</f>
        <v>danram</v>
      </c>
    </row>
    <row r="10" spans="1:12">
      <c r="A10" s="59">
        <v>45526</v>
      </c>
      <c r="B10" t="s">
        <v>39</v>
      </c>
      <c r="C10" t="s">
        <v>4225</v>
      </c>
      <c r="D10" s="88" t="s">
        <v>4226</v>
      </c>
      <c r="E10" s="3" t="s">
        <v>4212</v>
      </c>
      <c r="F10" s="3" t="s">
        <v>4212</v>
      </c>
      <c r="H10" s="3" t="s">
        <v>4212</v>
      </c>
      <c r="I10" s="3" t="s">
        <v>4212</v>
      </c>
      <c r="J10" s="3" t="b">
        <f t="shared" si="1"/>
        <v>1</v>
      </c>
      <c r="K10" s="3" t="str" cm="1">
        <f t="array" aca="1" ref="K10" ca="1">IF(Table1[[#This Row],[Winner]]&lt;&gt;"TBD", INDEX(Rankings!H:H, MATCH(Table1[[#This Row],[Theme Date]], Rankings!A:A, 0) + MATCH(Table1[[#This Row],[Winner]], Rankings!$J$1:$N$1, 0) - 1, 1), Table1[[#This Row],[Winner]])</f>
        <v>STYX HELIX</v>
      </c>
      <c r="L10" s="3" t="str">
        <f ca="1">IF(AND(Table1[[#This Row],[Theme Date]]&lt;=TODAY(), Table1[[#This Row],[Passed]]), VLOOKUP(Table1[[#This Row],[Theme Date]], Rankings!A:C, 3, FALSE), "TBD")</f>
        <v>currydestroyer27</v>
      </c>
    </row>
    <row r="11" spans="1:12">
      <c r="A11" s="59">
        <v>45533</v>
      </c>
      <c r="B11" s="90" t="s">
        <v>40</v>
      </c>
      <c r="C11" t="s">
        <v>4227</v>
      </c>
      <c r="D11" s="88" t="s">
        <v>4228</v>
      </c>
      <c r="E11" s="3" t="s">
        <v>4212</v>
      </c>
      <c r="F11" s="3" t="s">
        <v>4212</v>
      </c>
      <c r="G11" s="3" t="s">
        <v>4212</v>
      </c>
      <c r="I11" s="3" t="s">
        <v>4212</v>
      </c>
      <c r="J11" s="3" t="b">
        <f t="shared" si="1"/>
        <v>1</v>
      </c>
      <c r="K11" s="3" t="str" cm="1">
        <f t="array" aca="1" ref="K11" ca="1">IF(Table1[[#This Row],[Winner]]&lt;&gt;"TBD", INDEX(Rankings!H:H, MATCH(Table1[[#This Row],[Theme Date]], Rankings!A:A, 0) + MATCH(Table1[[#This Row],[Winner]], Rankings!$J$1:$N$1, 0) - 1, 1), Table1[[#This Row],[Winner]])</f>
        <v>Go-Getters</v>
      </c>
      <c r="L11" s="3" t="str">
        <f ca="1">IF(AND(Table1[[#This Row],[Theme Date]]&lt;=TODAY(), Table1[[#This Row],[Passed]]), VLOOKUP(Table1[[#This Row],[Theme Date]], Rankings!A:C, 3, FALSE), "TBD")</f>
        <v>alappatjoe</v>
      </c>
    </row>
    <row r="12" spans="1:12" ht="30">
      <c r="A12" s="59">
        <v>45540</v>
      </c>
      <c r="B12" t="s">
        <v>41</v>
      </c>
      <c r="C12" t="s">
        <v>4229</v>
      </c>
      <c r="D12" s="88" t="s">
        <v>4230</v>
      </c>
      <c r="E12" s="3" t="s">
        <v>4212</v>
      </c>
      <c r="F12" s="3" t="s">
        <v>4212</v>
      </c>
      <c r="G12" s="3" t="s">
        <v>4212</v>
      </c>
      <c r="H12" s="3" t="s">
        <v>4212</v>
      </c>
      <c r="J12" s="3" t="b">
        <f t="shared" si="1"/>
        <v>1</v>
      </c>
      <c r="K12" s="3" t="str" cm="1">
        <f t="array" aca="1" ref="K12" ca="1">IF(Table1[[#This Row],[Winner]]&lt;&gt;"TBD", INDEX(Rankings!H:H, MATCH(Table1[[#This Row],[Theme Date]], Rankings!A:A, 0) + MATCH(Table1[[#This Row],[Winner]], Rankings!$J$1:$N$1, 0) - 1, 1), Table1[[#This Row],[Winner]])</f>
        <v>Don't Stop The Music</v>
      </c>
      <c r="L12" s="3" t="str">
        <f ca="1">IF(AND(Table1[[#This Row],[Theme Date]]&lt;=TODAY(), Table1[[#This Row],[Passed]]), VLOOKUP(Table1[[#This Row],[Theme Date]], Rankings!A:C, 3, FALSE), "TBD")</f>
        <v>currydestroyer27</v>
      </c>
    </row>
    <row r="13" spans="1:12" ht="30">
      <c r="A13" s="59">
        <v>45547</v>
      </c>
      <c r="B13" s="90" t="s">
        <v>37</v>
      </c>
      <c r="C13" s="91" t="s">
        <v>4231</v>
      </c>
      <c r="D13" s="88" t="s">
        <v>4232</v>
      </c>
      <c r="F13" s="3" t="s">
        <v>4212</v>
      </c>
      <c r="G13" s="3" t="s">
        <v>4212</v>
      </c>
      <c r="I13" s="3" t="s">
        <v>4212</v>
      </c>
      <c r="J13" s="3" t="b">
        <f t="shared" si="1"/>
        <v>1</v>
      </c>
      <c r="K13" s="3" t="str" cm="1">
        <f t="array" aca="1" ref="K13" ca="1">IF(Table1[[#This Row],[Winner]]&lt;&gt;"TBD", INDEX(Rankings!H:H, MATCH(Table1[[#This Row],[Theme Date]], Rankings!A:A, 0) + MATCH(Table1[[#This Row],[Winner]], Rankings!$J$1:$N$1, 0) - 1, 1), Table1[[#This Row],[Winner]])</f>
        <v>Sprinter</v>
      </c>
      <c r="L13" s="3" t="str">
        <f ca="1">IF(AND(Table1[[#This Row],[Theme Date]]&lt;=TODAY(), Table1[[#This Row],[Passed]]), VLOOKUP(Table1[[#This Row],[Theme Date]], Rankings!A:C, 3, FALSE), "TBD")</f>
        <v>samuelbattista</v>
      </c>
    </row>
    <row r="14" spans="1:12" ht="45">
      <c r="A14" s="59">
        <v>45554</v>
      </c>
      <c r="B14" t="s">
        <v>38</v>
      </c>
      <c r="C14" t="s">
        <v>4233</v>
      </c>
      <c r="D14" s="88" t="s">
        <v>4234</v>
      </c>
      <c r="E14" s="3" t="s">
        <v>4235</v>
      </c>
      <c r="G14" s="3" t="s">
        <v>4212</v>
      </c>
      <c r="H14" s="3" t="s">
        <v>4235</v>
      </c>
      <c r="I14" s="3" t="s">
        <v>4235</v>
      </c>
      <c r="J14" s="3" t="b">
        <f t="shared" si="1"/>
        <v>0</v>
      </c>
      <c r="K14" s="3" t="str" cm="1">
        <f t="array" aca="1" ref="K14" ca="1">IF(Table1[[#This Row],[Winner]]&lt;&gt;"TBD", INDEX(Rankings!H:H, MATCH(Table1[[#This Row],[Theme Date]], Rankings!A:A, 0) + MATCH(Table1[[#This Row],[Winner]], Rankings!$J$1:$N$1, 0) - 1, 1), Table1[[#This Row],[Winner]])</f>
        <v>TBD</v>
      </c>
      <c r="L14" s="3" t="str">
        <f ca="1">IF(AND(Table1[[#This Row],[Theme Date]]&lt;=TODAY(), Table1[[#This Row],[Passed]]), VLOOKUP(Table1[[#This Row],[Theme Date]], Rankings!A:C, 3, FALSE), "TBD")</f>
        <v>TBD</v>
      </c>
    </row>
    <row r="15" spans="1:12">
      <c r="A15" s="59">
        <v>45554</v>
      </c>
      <c r="B15" t="s">
        <v>38</v>
      </c>
      <c r="C15" t="s">
        <v>4236</v>
      </c>
      <c r="D15" s="88" t="s">
        <v>4237</v>
      </c>
      <c r="E15" s="3" t="s">
        <v>4212</v>
      </c>
      <c r="G15" s="3" t="s">
        <v>4212</v>
      </c>
      <c r="H15" s="3" t="s">
        <v>4212</v>
      </c>
      <c r="I15" s="3" t="s">
        <v>4235</v>
      </c>
      <c r="J15" s="3" t="b">
        <f t="shared" si="1"/>
        <v>1</v>
      </c>
      <c r="K15" s="3" t="str" cm="1">
        <f t="array" aca="1" ref="K15" ca="1">IF(Table1[[#This Row],[Winner]]&lt;&gt;"TBD", INDEX(Rankings!H:H, MATCH(Table1[[#This Row],[Theme Date]], Rankings!A:A, 0) + MATCH(Table1[[#This Row],[Winner]], Rankings!$J$1:$N$1, 0) - 1, 1), Table1[[#This Row],[Winner]])</f>
        <v>Ping Pong Phase</v>
      </c>
      <c r="L15" s="3" t="str">
        <f ca="1">IF(AND(Table1[[#This Row],[Theme Date]]&lt;=TODAY(), Table1[[#This Row],[Passed]]), VLOOKUP(Table1[[#This Row],[Theme Date]], Rankings!A:C, 3, FALSE), "TBD")</f>
        <v>alappatjoe</v>
      </c>
    </row>
    <row r="16" spans="1:12" ht="30">
      <c r="A16" s="59">
        <v>45561</v>
      </c>
      <c r="B16" t="s">
        <v>39</v>
      </c>
      <c r="C16" t="s">
        <v>4238</v>
      </c>
      <c r="D16" s="88" t="s">
        <v>4239</v>
      </c>
      <c r="E16" s="3" t="s">
        <v>4212</v>
      </c>
      <c r="F16" s="3" t="s">
        <v>4212</v>
      </c>
      <c r="H16" s="3" t="s">
        <v>4212</v>
      </c>
      <c r="I16" s="3" t="s">
        <v>4212</v>
      </c>
      <c r="J16" s="3" t="b">
        <f t="shared" si="1"/>
        <v>1</v>
      </c>
      <c r="K16" s="3" t="str" cm="1">
        <f t="array" aca="1" ref="K16" ca="1">IF(Table1[[#This Row],[Winner]]&lt;&gt;"TBD", INDEX(Rankings!H:H, MATCH(Table1[[#This Row],[Theme Date]], Rankings!A:A, 0) + MATCH(Table1[[#This Row],[Winner]], Rankings!$J$1:$N$1, 0) - 1, 1), Table1[[#This Row],[Winner]])</f>
        <v>Nobody's Business</v>
      </c>
      <c r="L16" s="3" t="str">
        <f ca="1">IF(AND(Table1[[#This Row],[Theme Date]]&lt;=TODAY(), Table1[[#This Row],[Passed]]), VLOOKUP(Table1[[#This Row],[Theme Date]], Rankings!A:C, 3, FALSE), "TBD")</f>
        <v>alappatjoe</v>
      </c>
    </row>
    <row r="17" spans="1:12">
      <c r="A17" s="59">
        <v>45568</v>
      </c>
      <c r="B17" t="s">
        <v>40</v>
      </c>
      <c r="C17" t="s">
        <v>4240</v>
      </c>
      <c r="D17" s="88" t="s">
        <v>4241</v>
      </c>
      <c r="E17" s="3" t="s">
        <v>4212</v>
      </c>
      <c r="F17" s="3" t="s">
        <v>4212</v>
      </c>
      <c r="G17" s="3" t="s">
        <v>4212</v>
      </c>
      <c r="I17" s="3" t="s">
        <v>4212</v>
      </c>
      <c r="J17" s="3" t="b">
        <f t="shared" ref="J17:J18" si="2">COUNTIFS(E17:I17, "Opposed") &lt; 2</f>
        <v>1</v>
      </c>
      <c r="K17" s="3" t="str" cm="1">
        <f t="array" aca="1" ref="K17" ca="1">IF(Table1[[#This Row],[Winner]]&lt;&gt;"TBD", INDEX(Rankings!H:H, MATCH(Table1[[#This Row],[Theme Date]], Rankings!A:A, 0) + MATCH(Table1[[#This Row],[Winner]], Rankings!$J$1:$N$1, 0) - 1, 1), Table1[[#This Row],[Winner]])</f>
        <v>Kiss Me Thru The Phone</v>
      </c>
      <c r="L17" s="3" t="str">
        <f ca="1">IF(AND(Table1[[#This Row],[Theme Date]]&lt;=TODAY(), Table1[[#This Row],[Passed]]), VLOOKUP(Table1[[#This Row],[Theme Date]], Rankings!A:C, 3, FALSE), "TBD")</f>
        <v>currydestroyer27</v>
      </c>
    </row>
    <row r="18" spans="1:12" ht="45">
      <c r="A18" s="59">
        <v>45575</v>
      </c>
      <c r="B18" t="s">
        <v>41</v>
      </c>
      <c r="C18" t="s">
        <v>4242</v>
      </c>
      <c r="D18" s="88" t="s">
        <v>4243</v>
      </c>
      <c r="E18" s="3" t="s">
        <v>4212</v>
      </c>
      <c r="F18" s="3" t="s">
        <v>4212</v>
      </c>
      <c r="G18" s="3" t="s">
        <v>4212</v>
      </c>
      <c r="H18" s="3" t="s">
        <v>4212</v>
      </c>
      <c r="J18" s="3" t="b">
        <f t="shared" si="2"/>
        <v>1</v>
      </c>
      <c r="K18" s="3" t="str" cm="1">
        <f t="array" aca="1" ref="K18" ca="1">IF(Table1[[#This Row],[Winner]]&lt;&gt;"TBD", INDEX(Rankings!H:H, MATCH(Table1[[#This Row],[Theme Date]], Rankings!A:A, 0) + MATCH(Table1[[#This Row],[Winner]], Rankings!$J$1:$N$1, 0) - 1, 1), Table1[[#This Row],[Winner]])</f>
        <v>Noddin'</v>
      </c>
      <c r="L18" s="3" t="str">
        <f ca="1">IF(AND(Table1[[#This Row],[Theme Date]]&lt;=TODAY(), Table1[[#This Row],[Passed]]), VLOOKUP(Table1[[#This Row],[Theme Date]], Rankings!A:C, 3, FALSE), "TBD")</f>
        <v>samuelbattista</v>
      </c>
    </row>
    <row r="19" spans="1:12" ht="30">
      <c r="A19" s="59">
        <v>45582</v>
      </c>
      <c r="B19" t="s">
        <v>37</v>
      </c>
      <c r="C19" t="s">
        <v>4244</v>
      </c>
      <c r="D19" s="88" t="s">
        <v>4245</v>
      </c>
      <c r="F19" s="3" t="s">
        <v>4212</v>
      </c>
      <c r="G19" s="3" t="s">
        <v>4212</v>
      </c>
      <c r="H19" s="3" t="s">
        <v>4212</v>
      </c>
      <c r="I19" s="3" t="s">
        <v>4212</v>
      </c>
      <c r="J19" s="3" t="b">
        <f t="shared" ref="J19:J21" si="3">COUNTIFS(E19:I19, "Opposed") &lt; 2</f>
        <v>1</v>
      </c>
      <c r="K19" s="3" t="str" cm="1">
        <f t="array" aca="1" ref="K19" ca="1">IF(Table1[[#This Row],[Winner]]&lt;&gt;"TBD", INDEX(Rankings!H:H, MATCH(Table1[[#This Row],[Theme Date]], Rankings!A:A, 0) + MATCH(Table1[[#This Row],[Winner]], Rankings!$J$1:$N$1, 0) - 1, 1), Table1[[#This Row],[Winner]])</f>
        <v>Mon Amour - Remix</v>
      </c>
      <c r="L19" s="3" t="str">
        <f ca="1">IF(AND(Table1[[#This Row],[Theme Date]]&lt;=TODAY(), Table1[[#This Row],[Passed]]), VLOOKUP(Table1[[#This Row],[Theme Date]], Rankings!A:C, 3, FALSE), "TBD")</f>
        <v>danram</v>
      </c>
    </row>
    <row r="20" spans="1:12" ht="45">
      <c r="A20" s="59">
        <v>45589</v>
      </c>
      <c r="B20" t="s">
        <v>38</v>
      </c>
      <c r="C20" t="s">
        <v>4246</v>
      </c>
      <c r="D20" s="88" t="s">
        <v>4247</v>
      </c>
      <c r="E20" s="3" t="s">
        <v>4235</v>
      </c>
      <c r="G20" s="3" t="s">
        <v>4212</v>
      </c>
      <c r="H20" s="3" t="s">
        <v>4212</v>
      </c>
      <c r="I20" s="3" t="s">
        <v>4212</v>
      </c>
      <c r="J20" s="3" t="b">
        <f t="shared" si="3"/>
        <v>1</v>
      </c>
      <c r="K20" s="3" t="str" cm="1">
        <f t="array" aca="1" ref="K20" ca="1">IF(Table1[[#This Row],[Winner]]&lt;&gt;"TBD", INDEX(Rankings!H:H, MATCH(Table1[[#This Row],[Theme Date]], Rankings!A:A, 0) + MATCH(Table1[[#This Row],[Winner]], Rankings!$J$1:$N$1, 0) - 1, 1), Table1[[#This Row],[Winner]])</f>
        <v>P.Y.T.(Pretty Young Thing)</v>
      </c>
      <c r="L20" s="3" t="str">
        <f ca="1">IF(AND(Table1[[#This Row],[Theme Date]]&lt;=TODAY(), Table1[[#This Row],[Passed]]), VLOOKUP(Table1[[#This Row],[Theme Date]], Rankings!A:C, 3, FALSE), "TBD")</f>
        <v>danram</v>
      </c>
    </row>
    <row r="21" spans="1:12">
      <c r="A21" s="59">
        <v>45596</v>
      </c>
      <c r="B21" t="s">
        <v>37</v>
      </c>
      <c r="C21" t="s">
        <v>4248</v>
      </c>
      <c r="D21" s="88" t="s">
        <v>4249</v>
      </c>
      <c r="J21" s="3" t="b">
        <f t="shared" si="3"/>
        <v>1</v>
      </c>
      <c r="K21" s="3" t="str" cm="1">
        <f t="array" aca="1" ref="K21" ca="1">IF(Table1[[#This Row],[Winner]]&lt;&gt;"TBD", INDEX(Rankings!H:H, MATCH(Table1[[#This Row],[Theme Date]], Rankings!A:A, 0) + MATCH(Table1[[#This Row],[Winner]], Rankings!$J$1:$N$1, 0) - 1, 1), Table1[[#This Row],[Winner]])</f>
        <v>Spooky Scary Skeletons (Tombstone Remix)</v>
      </c>
      <c r="L21" s="3" t="str">
        <f ca="1">IF(AND(Table1[[#This Row],[Theme Date]]&lt;=TODAY(), Table1[[#This Row],[Passed]]), VLOOKUP(Table1[[#This Row],[Theme Date]], Rankings!A:C, 3, FALSE), "TBD")</f>
        <v>alappatjoe</v>
      </c>
    </row>
    <row r="22" spans="1:12">
      <c r="A22" s="59">
        <v>45603</v>
      </c>
      <c r="B22" t="s">
        <v>37</v>
      </c>
      <c r="C22" t="s">
        <v>4250</v>
      </c>
      <c r="J22" s="3" t="b">
        <f t="shared" ref="J22" si="4">COUNTIFS(E22:I22, "Opposed") &lt; 2</f>
        <v>1</v>
      </c>
      <c r="K22" s="3" t="str" cm="1">
        <f t="array" aca="1" ref="K22" ca="1">IF(Table1[[#This Row],[Winner]]&lt;&gt;"TBD", INDEX(Rankings!H:H, MATCH(Table1[[#This Row],[Theme Date]], Rankings!A:A, 0) + MATCH(Table1[[#This Row],[Winner]], Rankings!$J$1:$N$1, 0) - 1, 1), Table1[[#This Row],[Winner]])</f>
        <v>Free Bird</v>
      </c>
      <c r="L22" s="3" t="str">
        <f ca="1">IF(AND(Table1[[#This Row],[Theme Date]]&lt;=TODAY(), Table1[[#This Row],[Passed]]), VLOOKUP(Table1[[#This Row],[Theme Date]], Rankings!A:C, 3, FALSE), "TBD")</f>
        <v>danram</v>
      </c>
    </row>
    <row r="23" spans="1:12">
      <c r="A23" s="59">
        <v>45610</v>
      </c>
      <c r="B23" t="s">
        <v>39</v>
      </c>
      <c r="C23" t="s">
        <v>4251</v>
      </c>
      <c r="D23" s="88" t="s">
        <v>4252</v>
      </c>
      <c r="E23" s="3" t="s">
        <v>4212</v>
      </c>
      <c r="F23" s="3" t="s">
        <v>4212</v>
      </c>
      <c r="H23" s="3" t="s">
        <v>4212</v>
      </c>
      <c r="I23" s="3" t="s">
        <v>4212</v>
      </c>
      <c r="J23" s="3" t="b">
        <f t="shared" ref="J23:J32" si="5">COUNTIFS(E23:I23, "Opposed") &lt; 2</f>
        <v>1</v>
      </c>
      <c r="K23" s="3" t="str" cm="1">
        <f t="array" aca="1" ref="K23" ca="1">IF(Table1[[#This Row],[Winner]]&lt;&gt;"TBD", INDEX(Rankings!H:H, MATCH(Table1[[#This Row],[Theme Date]], Rankings!A:A, 0) + MATCH(Table1[[#This Row],[Winner]], Rankings!$J$1:$N$1, 0) - 1, 1), Table1[[#This Row],[Winner]])</f>
        <v>Zombie</v>
      </c>
      <c r="L23" s="3" t="str">
        <f ca="1">IF(AND(Table1[[#This Row],[Theme Date]]&lt;=TODAY(), Table1[[#This Row],[Passed]]), VLOOKUP(Table1[[#This Row],[Theme Date]], Rankings!A:C, 3, FALSE), "TBD")</f>
        <v>danram</v>
      </c>
    </row>
    <row r="24" spans="1:12" ht="75">
      <c r="A24" s="59">
        <v>45617</v>
      </c>
      <c r="B24" t="s">
        <v>40</v>
      </c>
      <c r="C24" t="s">
        <v>4253</v>
      </c>
      <c r="D24" s="88" t="s">
        <v>4254</v>
      </c>
      <c r="E24" s="3" t="s">
        <v>4212</v>
      </c>
      <c r="F24" s="3" t="s">
        <v>4212</v>
      </c>
      <c r="G24" s="3" t="s">
        <v>4212</v>
      </c>
      <c r="I24" s="3" t="s">
        <v>4212</v>
      </c>
      <c r="J24" s="3" t="b">
        <f t="shared" si="5"/>
        <v>1</v>
      </c>
      <c r="K24" s="3" t="str" cm="1">
        <f t="array" aca="1" ref="K24" ca="1">IF(Table1[[#This Row],[Winner]]&lt;&gt;"TBD", INDEX(Rankings!H:H, MATCH(Table1[[#This Row],[Theme Date]], Rankings!A:A, 0) + MATCH(Table1[[#This Row],[Winner]], Rankings!$J$1:$N$1, 0) - 1, 1), Table1[[#This Row],[Winner]])</f>
        <v>Working Man</v>
      </c>
      <c r="L24" s="3" t="str">
        <f ca="1">IF(AND(Table1[[#This Row],[Theme Date]]&lt;=TODAY(), Table1[[#This Row],[Passed]]), VLOOKUP(Table1[[#This Row],[Theme Date]], Rankings!A:C, 3, FALSE), "TBD")</f>
        <v>samuelbattista</v>
      </c>
    </row>
    <row r="25" spans="1:12">
      <c r="A25" s="59">
        <v>45623</v>
      </c>
      <c r="B25" t="s">
        <v>39</v>
      </c>
      <c r="C25" t="s">
        <v>4255</v>
      </c>
      <c r="D25" s="88" t="s">
        <v>4256</v>
      </c>
      <c r="E25" s="3" t="s">
        <v>4212</v>
      </c>
      <c r="I25" s="3" t="s">
        <v>4212</v>
      </c>
      <c r="J25" s="3" t="b">
        <f>COUNTIFS(E25:I25, "Opposed") &lt; 2</f>
        <v>1</v>
      </c>
      <c r="K25" s="3" t="str" cm="1">
        <f t="array" aca="1" ref="K25" ca="1">IF(Table1[[#This Row],[Winner]]&lt;&gt;"TBD", INDEX(Rankings!H:H, MATCH(Table1[[#This Row],[Theme Date]], Rankings!A:A, 0) + MATCH(Table1[[#This Row],[Winner]], Rankings!$J$1:$N$1, 0) - 1, 1), Table1[[#This Row],[Winner]])</f>
        <v>i KnOW itS LatE...♥︎(❀❛ ֊ ❛„)♡</v>
      </c>
      <c r="L25" s="3" t="str">
        <f ca="1">IF(AND(Table1[[#This Row],[Theme Date]]&lt;=TODAY(), Table1[[#This Row],[Passed]]), VLOOKUP(Table1[[#This Row],[Theme Date]], Rankings!A:C, 3, FALSE), "TBD")</f>
        <v>loganworsdell</v>
      </c>
    </row>
    <row r="26" spans="1:12">
      <c r="A26" s="59">
        <v>45624</v>
      </c>
      <c r="B26" t="s">
        <v>39</v>
      </c>
      <c r="C26" t="s">
        <v>4257</v>
      </c>
      <c r="D26" s="88" t="s">
        <v>4256</v>
      </c>
      <c r="E26" s="3" t="s">
        <v>4212</v>
      </c>
      <c r="I26" s="3" t="s">
        <v>4212</v>
      </c>
      <c r="J26" s="3" t="b">
        <f>COUNTIFS(E26:I26, "Opposed") &lt; 2</f>
        <v>1</v>
      </c>
      <c r="K26" s="3" t="str" cm="1">
        <f t="array" aca="1" ref="K26" ca="1">IF(Table1[[#This Row],[Winner]]&lt;&gt;"TBD", INDEX(Rankings!H:H, MATCH(Table1[[#This Row],[Theme Date]], Rankings!A:A, 0) + MATCH(Table1[[#This Row],[Winner]], Rankings!$J$1:$N$1, 0) - 1, 1), Table1[[#This Row],[Winner]])</f>
        <v>cOoL WATeR foR thE nIGHT</v>
      </c>
      <c r="L26" s="3" t="str">
        <f ca="1">IF(AND(Table1[[#This Row],[Theme Date]]&lt;=TODAY(), Table1[[#This Row],[Passed]]), VLOOKUP(Table1[[#This Row],[Theme Date]], Rankings!A:C, 3, FALSE), "TBD")</f>
        <v>loganworsdell</v>
      </c>
    </row>
    <row r="27" spans="1:12" ht="45">
      <c r="A27" s="59">
        <v>45631</v>
      </c>
      <c r="B27" t="s">
        <v>41</v>
      </c>
      <c r="C27" t="s">
        <v>4258</v>
      </c>
      <c r="D27" s="88" t="s">
        <v>4259</v>
      </c>
      <c r="E27" s="3" t="s">
        <v>4212</v>
      </c>
      <c r="F27" s="3" t="s">
        <v>4212</v>
      </c>
      <c r="G27" s="3" t="s">
        <v>4212</v>
      </c>
      <c r="H27" s="3" t="s">
        <v>4212</v>
      </c>
      <c r="J27" s="3" t="b">
        <f t="shared" si="5"/>
        <v>1</v>
      </c>
      <c r="K27" s="3" t="str" cm="1">
        <f t="array" aca="1" ref="K27" ca="1">IF(Table1[[#This Row],[Winner]]&lt;&gt;"TBD", INDEX(Rankings!H:H, MATCH(Table1[[#This Row],[Theme Date]], Rankings!A:A, 0) + MATCH(Table1[[#This Row],[Winner]], Rankings!$J$1:$N$1, 0) - 1, 1), Table1[[#This Row],[Winner]])</f>
        <v>WOKE UP</v>
      </c>
      <c r="L27" s="3" t="str">
        <f ca="1">IF(AND(Table1[[#This Row],[Theme Date]]&lt;=TODAY(), Table1[[#This Row],[Passed]]), VLOOKUP(Table1[[#This Row],[Theme Date]], Rankings!A:C, 3, FALSE), "TBD")</f>
        <v>currydestroyer27</v>
      </c>
    </row>
    <row r="28" spans="1:12" ht="30">
      <c r="A28" s="59">
        <v>45638</v>
      </c>
      <c r="B28" t="s">
        <v>37</v>
      </c>
      <c r="C28" t="s">
        <v>4260</v>
      </c>
      <c r="D28" s="88" t="s">
        <v>4261</v>
      </c>
      <c r="F28" s="3" t="s">
        <v>4212</v>
      </c>
      <c r="G28" s="3" t="s">
        <v>4212</v>
      </c>
      <c r="H28" s="3" t="s">
        <v>4212</v>
      </c>
      <c r="I28" s="3" t="s">
        <v>4212</v>
      </c>
      <c r="J28" s="3" t="b">
        <f t="shared" si="5"/>
        <v>1</v>
      </c>
      <c r="K28" s="3" t="str" cm="1">
        <f t="array" aca="1" ref="K28" ca="1">IF(Table1[[#This Row],[Winner]]&lt;&gt;"TBD", INDEX(Rankings!H:H, MATCH(Table1[[#This Row],[Theme Date]], Rankings!A:A, 0) + MATCH(Table1[[#This Row],[Winner]], Rankings!$J$1:$N$1, 0) - 1, 1), Table1[[#This Row],[Winner]])</f>
        <v>Plastic Love</v>
      </c>
      <c r="L28" s="3" t="str">
        <f ca="1">IF(AND(Table1[[#This Row],[Theme Date]]&lt;=TODAY(), Table1[[#This Row],[Passed]]), VLOOKUP(Table1[[#This Row],[Theme Date]], Rankings!A:C, 3, FALSE), "TBD")</f>
        <v>alappatjoe</v>
      </c>
    </row>
    <row r="29" spans="1:12">
      <c r="A29" s="59">
        <v>45645</v>
      </c>
      <c r="C29" t="s">
        <v>4262</v>
      </c>
      <c r="D29" s="88" t="s">
        <v>4263</v>
      </c>
      <c r="E29" s="3" t="s">
        <v>4212</v>
      </c>
      <c r="J29" s="3" t="b">
        <f>COUNTIFS(E29:I29, "Opposed") &lt; 2</f>
        <v>1</v>
      </c>
      <c r="K29" s="3" t="str" cm="1">
        <f t="array" aca="1" ref="K29" ca="1">IF(Table1[[#This Row],[Winner]]&lt;&gt;"TBD", INDEX(Rankings!H:H, MATCH(Table1[[#This Row],[Theme Date]], Rankings!A:A, 0) + MATCH(Table1[[#This Row],[Winner]], Rankings!$J$1:$N$1, 0) - 1, 1), Table1[[#This Row],[Winner]])</f>
        <v>Santa, Can't You Hear Me</v>
      </c>
      <c r="L29" s="3" t="str">
        <f ca="1">IF(AND(Table1[[#This Row],[Theme Date]]&lt;=TODAY(), Table1[[#This Row],[Passed]]), VLOOKUP(Table1[[#This Row],[Theme Date]], Rankings!A:C, 3, FALSE), "TBD")</f>
        <v>danram</v>
      </c>
    </row>
    <row r="30" spans="1:12" ht="45">
      <c r="A30" s="59">
        <v>45666</v>
      </c>
      <c r="B30" t="s">
        <v>38</v>
      </c>
      <c r="C30" t="s">
        <v>4264</v>
      </c>
      <c r="D30" s="88" t="s">
        <v>4265</v>
      </c>
      <c r="E30" s="3" t="s">
        <v>4212</v>
      </c>
      <c r="G30" s="3" t="s">
        <v>4212</v>
      </c>
      <c r="H30" s="3" t="s">
        <v>4235</v>
      </c>
      <c r="I30" s="3" t="s">
        <v>4212</v>
      </c>
      <c r="J30" s="3" t="b">
        <f t="shared" si="5"/>
        <v>1</v>
      </c>
      <c r="K30" s="3" t="str" cm="1">
        <f t="array" aca="1" ref="K30" ca="1">IF(Table1[[#This Row],[Winner]]&lt;&gt;"TBD", INDEX(Rankings!H:H, MATCH(Table1[[#This Row],[Theme Date]], Rankings!A:A, 0) + MATCH(Table1[[#This Row],[Winner]], Rankings!$J$1:$N$1, 0) - 1, 1), Table1[[#This Row],[Winner]])</f>
        <v>Soul Makossa</v>
      </c>
      <c r="L30" s="3" t="str">
        <f ca="1">IF(AND(Table1[[#This Row],[Theme Date]]&lt;=TODAY(), Table1[[#This Row],[Passed]]), VLOOKUP(Table1[[#This Row],[Theme Date]], Rankings!A:C, 3, FALSE), "TBD")</f>
        <v>samuelbattista</v>
      </c>
    </row>
    <row r="31" spans="1:12">
      <c r="A31" s="59">
        <v>45673</v>
      </c>
      <c r="B31" t="s">
        <v>39</v>
      </c>
      <c r="C31" t="s">
        <v>4266</v>
      </c>
      <c r="D31" s="88" t="s">
        <v>4267</v>
      </c>
      <c r="E31" s="3" t="s">
        <v>4212</v>
      </c>
      <c r="F31" s="3" t="s">
        <v>4212</v>
      </c>
      <c r="H31" s="3" t="s">
        <v>4212</v>
      </c>
      <c r="I31" s="3" t="s">
        <v>4212</v>
      </c>
      <c r="J31" s="3" t="b">
        <f t="shared" si="5"/>
        <v>1</v>
      </c>
      <c r="K31" s="3" t="str" cm="1">
        <f t="array" aca="1" ref="K31" ca="1">IF(Table1[[#This Row],[Winner]]&lt;&gt;"TBD", INDEX(Rankings!H:H, MATCH(Table1[[#This Row],[Theme Date]], Rankings!A:A, 0) + MATCH(Table1[[#This Row],[Winner]], Rankings!$J$1:$N$1, 0) - 1, 1), Table1[[#This Row],[Winner]])</f>
        <v>BAILE INoLVIDABLE</v>
      </c>
      <c r="L31" s="3" t="str">
        <f ca="1">IF(AND(Table1[[#This Row],[Theme Date]]&lt;=TODAY(), Table1[[#This Row],[Passed]]), VLOOKUP(Table1[[#This Row],[Theme Date]], Rankings!A:C, 3, FALSE), "TBD")</f>
        <v>danram</v>
      </c>
    </row>
    <row r="32" spans="1:12" ht="60">
      <c r="A32" s="59">
        <v>45680</v>
      </c>
      <c r="B32" t="s">
        <v>40</v>
      </c>
      <c r="C32" t="s">
        <v>4268</v>
      </c>
      <c r="D32" s="88" t="s">
        <v>4269</v>
      </c>
      <c r="E32" s="3" t="s">
        <v>4212</v>
      </c>
      <c r="F32" s="3" t="s">
        <v>4212</v>
      </c>
      <c r="G32" s="3" t="s">
        <v>4212</v>
      </c>
      <c r="I32" s="3" t="s">
        <v>4212</v>
      </c>
      <c r="J32" s="3" t="b">
        <f t="shared" si="5"/>
        <v>1</v>
      </c>
      <c r="K32" s="3" t="str" cm="1">
        <f t="array" aca="1" ref="K32" ca="1">IF(Table1[[#This Row],[Winner]]&lt;&gt;"TBD", INDEX(Rankings!H:H, MATCH(Table1[[#This Row],[Theme Date]], Rankings!A:A, 0) + MATCH(Table1[[#This Row],[Winner]], Rankings!$J$1:$N$1, 0) - 1, 1), Table1[[#This Row],[Winner]])</f>
        <v>All Night Long</v>
      </c>
      <c r="L32" s="3" t="str">
        <f ca="1">IF(AND(Table1[[#This Row],[Theme Date]]&lt;=TODAY(), Table1[[#This Row],[Passed]]), VLOOKUP(Table1[[#This Row],[Theme Date]], Rankings!A:C, 3, FALSE), "TBD")</f>
        <v>alappatjoe</v>
      </c>
    </row>
    <row r="33" spans="1:12" ht="30">
      <c r="A33" s="59">
        <v>45687</v>
      </c>
      <c r="B33" t="s">
        <v>41</v>
      </c>
      <c r="C33" t="s">
        <v>4270</v>
      </c>
      <c r="D33" s="88" t="s">
        <v>4271</v>
      </c>
      <c r="E33" s="3" t="s">
        <v>4212</v>
      </c>
      <c r="F33" s="3" t="s">
        <v>4212</v>
      </c>
      <c r="G33" s="3" t="s">
        <v>4212</v>
      </c>
      <c r="H33" s="3" t="s">
        <v>4235</v>
      </c>
      <c r="J33" s="3" t="b">
        <f>COUNTIFS(E33:I33, "Opposed") &lt; 2</f>
        <v>1</v>
      </c>
      <c r="K33" s="3" t="str" cm="1">
        <f t="array" aca="1" ref="K33" ca="1">IF(Table1[[#This Row],[Winner]]&lt;&gt;"TBD", INDEX(Rankings!H:H, MATCH(Table1[[#This Row],[Theme Date]], Rankings!A:A, 0) + MATCH(Table1[[#This Row],[Winner]], Rankings!$J$1:$N$1, 0) - 1, 1), Table1[[#This Row],[Winner]])</f>
        <v>Giddy Up</v>
      </c>
      <c r="L33" s="3" t="str">
        <f ca="1">IF(AND(Table1[[#This Row],[Theme Date]]&lt;=TODAY(), Table1[[#This Row],[Passed]]), VLOOKUP(Table1[[#This Row],[Theme Date]], Rankings!A:C, 3, FALSE), "TBD")</f>
        <v>samuelbattista</v>
      </c>
    </row>
    <row r="34" spans="1:12" ht="30">
      <c r="A34" s="59">
        <v>45694</v>
      </c>
      <c r="B34" t="s">
        <v>37</v>
      </c>
      <c r="C34" t="s">
        <v>4272</v>
      </c>
      <c r="D34" s="88" t="s">
        <v>4273</v>
      </c>
      <c r="F34" s="3" t="s">
        <v>4212</v>
      </c>
      <c r="G34" s="3" t="s">
        <v>4212</v>
      </c>
      <c r="H34" s="3" t="s">
        <v>4212</v>
      </c>
      <c r="I34" s="3" t="s">
        <v>4212</v>
      </c>
      <c r="J34" s="3" t="b">
        <f t="shared" ref="J34:J38" si="6">COUNTIFS(E34:I34, "Opposed") &lt; 2</f>
        <v>1</v>
      </c>
      <c r="K34" s="3" t="str" cm="1">
        <f t="array" aca="1" ref="K34" ca="1">IF(Table1[[#This Row],[Winner]]&lt;&gt;"TBD", INDEX(Rankings!H:H, MATCH(Table1[[#This Row],[Theme Date]], Rankings!A:A, 0) + MATCH(Table1[[#This Row],[Winner]], Rankings!$J$1:$N$1, 0) - 1, 1), Table1[[#This Row],[Winner]])</f>
        <v>スパイラル</v>
      </c>
      <c r="L34" s="3" t="str">
        <f ca="1">IF(AND(Table1[[#This Row],[Theme Date]]&lt;=TODAY(), Table1[[#This Row],[Passed]]), VLOOKUP(Table1[[#This Row],[Theme Date]], Rankings!A:C, 3, FALSE), "TBD")</f>
        <v>currydestroyer27</v>
      </c>
    </row>
    <row r="35" spans="1:12" ht="30">
      <c r="A35" s="59">
        <v>45701</v>
      </c>
      <c r="B35" t="s">
        <v>38</v>
      </c>
      <c r="C35" t="s">
        <v>4274</v>
      </c>
      <c r="D35" s="88" t="s">
        <v>4275</v>
      </c>
      <c r="E35" s="3" t="s">
        <v>4212</v>
      </c>
      <c r="G35" s="3" t="s">
        <v>4212</v>
      </c>
      <c r="H35" s="3" t="s">
        <v>4235</v>
      </c>
      <c r="I35" s="3" t="s">
        <v>4212</v>
      </c>
      <c r="J35" s="3" t="b">
        <f t="shared" si="6"/>
        <v>1</v>
      </c>
      <c r="K35" s="3" t="str" cm="1">
        <f t="array" aca="1" ref="K35" ca="1">IF(Table1[[#This Row],[Winner]]&lt;&gt;"TBD", INDEX(Rankings!H:H, MATCH(Table1[[#This Row],[Theme Date]], Rankings!A:A, 0) + MATCH(Table1[[#This Row],[Winner]], Rankings!$J$1:$N$1, 0) - 1, 1), Table1[[#This Row],[Winner]])</f>
        <v>shhhhhhh...</v>
      </c>
      <c r="L35" s="3" t="str">
        <f ca="1">IF(AND(Table1[[#This Row],[Theme Date]]&lt;=TODAY(), Table1[[#This Row],[Passed]]), VLOOKUP(Table1[[#This Row],[Theme Date]], Rankings!A:C, 3, FALSE), "TBD")</f>
        <v>loganworsdell</v>
      </c>
    </row>
    <row r="36" spans="1:12" ht="30">
      <c r="A36" s="59">
        <v>45708</v>
      </c>
      <c r="B36" t="s">
        <v>39</v>
      </c>
      <c r="C36" t="s">
        <v>4276</v>
      </c>
      <c r="D36" s="88" t="s">
        <v>4277</v>
      </c>
      <c r="E36" s="3" t="s">
        <v>4212</v>
      </c>
      <c r="F36" s="3" t="s">
        <v>4212</v>
      </c>
      <c r="H36" s="3" t="s">
        <v>4212</v>
      </c>
      <c r="I36" s="3" t="s">
        <v>4212</v>
      </c>
      <c r="J36" s="3" t="b">
        <f t="shared" si="6"/>
        <v>1</v>
      </c>
      <c r="K36" s="3" t="str" cm="1">
        <f t="array" aca="1" ref="K36" ca="1">IF(Table1[[#This Row],[Winner]]&lt;&gt;"TBD", INDEX(Rankings!H:H, MATCH(Table1[[#This Row],[Theme Date]], Rankings!A:A, 0) + MATCH(Table1[[#This Row],[Winner]], Rankings!$J$1:$N$1, 0) - 1, 1), Table1[[#This Row],[Winner]])</f>
        <v>Smells Like Teen Spirit</v>
      </c>
      <c r="L36" s="3" t="str">
        <f ca="1">IF(AND(Table1[[#This Row],[Theme Date]]&lt;=TODAY(), Table1[[#This Row],[Passed]]), VLOOKUP(Table1[[#This Row],[Theme Date]], Rankings!A:C, 3, FALSE), "TBD")</f>
        <v>currydestroyer27</v>
      </c>
    </row>
    <row r="37" spans="1:12" ht="45">
      <c r="A37" s="59">
        <v>45715</v>
      </c>
      <c r="B37" t="s">
        <v>40</v>
      </c>
      <c r="C37" t="s">
        <v>4278</v>
      </c>
      <c r="D37" s="88" t="s">
        <v>4279</v>
      </c>
      <c r="E37" s="3" t="s">
        <v>4212</v>
      </c>
      <c r="G37" s="3" t="s">
        <v>4212</v>
      </c>
      <c r="I37" s="3" t="s">
        <v>4212</v>
      </c>
      <c r="J37" s="3" t="b">
        <f t="shared" si="6"/>
        <v>1</v>
      </c>
      <c r="K37" s="3" t="str" cm="1">
        <f t="array" aca="1" ref="K37" ca="1">IF(Table1[[#This Row],[Winner]]&lt;&gt;"TBD", INDEX(Rankings!H:H, MATCH(Table1[[#This Row],[Theme Date]], Rankings!A:A, 0) + MATCH(Table1[[#This Row],[Winner]], Rankings!$J$1:$N$1, 0) - 1, 1), Table1[[#This Row],[Winner]])</f>
        <v>Beep</v>
      </c>
      <c r="L37" s="3" t="str">
        <f ca="1">IF(AND(Table1[[#This Row],[Theme Date]]&lt;=TODAY(), Table1[[#This Row],[Passed]]), VLOOKUP(Table1[[#This Row],[Theme Date]], Rankings!A:C, 3, FALSE), "TBD")</f>
        <v>loganworsdell</v>
      </c>
    </row>
    <row r="38" spans="1:12" ht="60">
      <c r="A38" s="59">
        <v>45722</v>
      </c>
      <c r="B38" t="s">
        <v>41</v>
      </c>
      <c r="C38" t="s">
        <v>4280</v>
      </c>
      <c r="D38" s="88" t="s">
        <v>4281</v>
      </c>
      <c r="E38" s="3" t="s">
        <v>4235</v>
      </c>
      <c r="F38" s="3" t="s">
        <v>4235</v>
      </c>
      <c r="G38" s="3" t="s">
        <v>4212</v>
      </c>
      <c r="J38" s="3" t="b">
        <f t="shared" si="6"/>
        <v>0</v>
      </c>
      <c r="K38" s="3" t="str" cm="1">
        <f t="array" aca="1" ref="K38" ca="1">IF(Table1[[#This Row],[Winner]]&lt;&gt;"TBD", INDEX(Rankings!H:H, MATCH(Table1[[#This Row],[Theme Date]], Rankings!A:A, 0) + MATCH(Table1[[#This Row],[Winner]], Rankings!$J$1:$N$1, 0) - 1, 1), Table1[[#This Row],[Winner]])</f>
        <v>TBD</v>
      </c>
      <c r="L38" s="3" t="str">
        <f ca="1">IF(AND(Table1[[#This Row],[Theme Date]]&lt;=TODAY(), Table1[[#This Row],[Passed]]), VLOOKUP(Table1[[#This Row],[Theme Date]], Rankings!A:C, 3, FALSE), "TBD")</f>
        <v>TBD</v>
      </c>
    </row>
    <row r="39" spans="1:12" ht="45">
      <c r="A39" s="59">
        <v>45722</v>
      </c>
      <c r="B39" t="s">
        <v>41</v>
      </c>
      <c r="C39" t="s">
        <v>4282</v>
      </c>
      <c r="D39" s="88" t="s">
        <v>4283</v>
      </c>
      <c r="E39" s="3" t="s">
        <v>4212</v>
      </c>
      <c r="F39" s="3" t="s">
        <v>4212</v>
      </c>
      <c r="G39" s="3" t="s">
        <v>4212</v>
      </c>
      <c r="J39" s="3" t="b">
        <f t="shared" ref="J39:J45" si="7">COUNTIFS(E39:I39, "Opposed") &lt; 2</f>
        <v>1</v>
      </c>
      <c r="K39" s="3" t="str" cm="1">
        <f t="array" aca="1" ref="K39" ca="1">IF(Table1[[#This Row],[Winner]]&lt;&gt;"TBD", INDEX(Rankings!H:H, MATCH(Table1[[#This Row],[Theme Date]], Rankings!A:A, 0) + MATCH(Table1[[#This Row],[Winner]], Rankings!$J$1:$N$1, 0) - 1, 1), Table1[[#This Row],[Winner]])</f>
        <v>RADA RADA</v>
      </c>
      <c r="L39" s="3" t="str">
        <f ca="1">IF(AND(Table1[[#This Row],[Theme Date]]&lt;=TODAY(), Table1[[#This Row],[Passed]]), VLOOKUP(Table1[[#This Row],[Theme Date]], Rankings!A:C, 3, FALSE), "TBD")</f>
        <v>samuelbattista</v>
      </c>
    </row>
    <row r="40" spans="1:12" ht="75">
      <c r="A40" s="59">
        <v>45729</v>
      </c>
      <c r="B40" t="s">
        <v>37</v>
      </c>
      <c r="C40" t="s">
        <v>4284</v>
      </c>
      <c r="D40" s="88" t="s">
        <v>4285</v>
      </c>
      <c r="F40" s="3" t="s">
        <v>4212</v>
      </c>
      <c r="G40" s="3" t="s">
        <v>4212</v>
      </c>
      <c r="I40" s="3" t="s">
        <v>4212</v>
      </c>
      <c r="J40" s="3" t="b">
        <f t="shared" si="7"/>
        <v>1</v>
      </c>
      <c r="K40" s="3" t="str" cm="1">
        <f t="array" aca="1" ref="K40" ca="1">IF(Table1[[#This Row],[Winner]]&lt;&gt;"TBD", INDEX(Rankings!H:H, MATCH(Table1[[#This Row],[Theme Date]], Rankings!A:A, 0) + MATCH(Table1[[#This Row],[Winner]], Rankings!$J$1:$N$1, 0) - 1, 1), Table1[[#This Row],[Winner]])</f>
        <v>Danza Kuduro</v>
      </c>
      <c r="L40" s="3" t="str">
        <f ca="1">IF(AND(Table1[[#This Row],[Theme Date]]&lt;=TODAY(), Table1[[#This Row],[Passed]]), VLOOKUP(Table1[[#This Row],[Theme Date]], Rankings!A:C, 3, FALSE), "TBD")</f>
        <v>danram</v>
      </c>
    </row>
    <row r="41" spans="1:12">
      <c r="A41" s="59">
        <v>45736</v>
      </c>
      <c r="B41" t="s">
        <v>38</v>
      </c>
      <c r="C41" t="s">
        <v>4286</v>
      </c>
      <c r="D41" s="88" t="s">
        <v>4287</v>
      </c>
      <c r="E41" s="3" t="s">
        <v>4235</v>
      </c>
      <c r="G41" s="3" t="s">
        <v>4235</v>
      </c>
      <c r="I41" s="3" t="s">
        <v>4235</v>
      </c>
      <c r="J41" s="3" t="b">
        <f t="shared" si="7"/>
        <v>0</v>
      </c>
      <c r="K41" s="3" t="str" cm="1">
        <f t="array" aca="1" ref="K41" ca="1">IF(Table1[[#This Row],[Winner]]&lt;&gt;"TBD", INDEX(Rankings!H:H, MATCH(Table1[[#This Row],[Theme Date]], Rankings!A:A, 0) + MATCH(Table1[[#This Row],[Winner]], Rankings!$J$1:$N$1, 0) - 1, 1), Table1[[#This Row],[Winner]])</f>
        <v>TBD</v>
      </c>
      <c r="L41" s="3" t="str">
        <f ca="1">IF(AND(Table1[[#This Row],[Theme Date]]&lt;=TODAY(), Table1[[#This Row],[Passed]]), VLOOKUP(Table1[[#This Row],[Theme Date]], Rankings!A:C, 3, FALSE), "TBD")</f>
        <v>TBD</v>
      </c>
    </row>
    <row r="42" spans="1:12" ht="30">
      <c r="A42" s="59">
        <v>45736</v>
      </c>
      <c r="B42" t="s">
        <v>38</v>
      </c>
      <c r="C42" t="s">
        <v>4288</v>
      </c>
      <c r="D42" s="88" t="s">
        <v>4289</v>
      </c>
      <c r="E42" s="3" t="s">
        <v>4212</v>
      </c>
      <c r="G42" s="3" t="s">
        <v>4212</v>
      </c>
      <c r="H42" s="3" t="s">
        <v>4212</v>
      </c>
      <c r="I42" s="3" t="s">
        <v>4212</v>
      </c>
      <c r="J42" s="3" t="b">
        <f t="shared" si="7"/>
        <v>1</v>
      </c>
      <c r="K42" s="3" t="str" cm="1">
        <f t="array" aca="1" ref="K42" ca="1">IF(Table1[[#This Row],[Winner]]&lt;&gt;"TBD", INDEX(Rankings!H:H, MATCH(Table1[[#This Row],[Theme Date]], Rankings!A:A, 0) + MATCH(Table1[[#This Row],[Winner]], Rankings!$J$1:$N$1, 0) - 1, 1), Table1[[#This Row],[Winner]])</f>
        <v>Airplanes</v>
      </c>
      <c r="L42" s="3" t="str">
        <f ca="1">IF(AND(Table1[[#This Row],[Theme Date]]&lt;=TODAY(), Table1[[#This Row],[Passed]]), VLOOKUP(Table1[[#This Row],[Theme Date]], Rankings!A:C, 3, FALSE), "TBD")</f>
        <v>currydestroyer27</v>
      </c>
    </row>
    <row r="43" spans="1:12" ht="90">
      <c r="A43" s="59">
        <v>45743</v>
      </c>
      <c r="B43" t="s">
        <v>39</v>
      </c>
      <c r="C43" t="s">
        <v>4290</v>
      </c>
      <c r="D43" s="88" t="s">
        <v>4291</v>
      </c>
      <c r="E43" s="3" t="s">
        <v>4212</v>
      </c>
      <c r="F43" s="3" t="s">
        <v>4212</v>
      </c>
      <c r="H43" s="3" t="s">
        <v>4212</v>
      </c>
      <c r="I43" s="3" t="s">
        <v>4212</v>
      </c>
      <c r="J43" s="3" t="b">
        <f t="shared" si="7"/>
        <v>1</v>
      </c>
      <c r="K43" s="3" t="str" cm="1">
        <f t="array" aca="1" ref="K43" ca="1">IF(Table1[[#This Row],[Winner]]&lt;&gt;"TBD", INDEX(Rankings!H:H, MATCH(Table1[[#This Row],[Theme Date]], Rankings!A:A, 0) + MATCH(Table1[[#This Row],[Winner]], Rankings!$J$1:$N$1, 0) - 1, 1), Table1[[#This Row],[Winner]])</f>
        <v>Not Letting Go</v>
      </c>
      <c r="L43" s="3" t="str">
        <f ca="1">IF(AND(Table1[[#This Row],[Theme Date]]&lt;=TODAY(), Table1[[#This Row],[Passed]]), VLOOKUP(Table1[[#This Row],[Theme Date]], Rankings!A:C, 3, FALSE), "TBD")</f>
        <v>alappatjoe</v>
      </c>
    </row>
    <row r="44" spans="1:12" ht="60">
      <c r="A44" s="59">
        <v>45750</v>
      </c>
      <c r="B44" t="s">
        <v>40</v>
      </c>
      <c r="C44" t="s">
        <v>4292</v>
      </c>
      <c r="D44" s="88" t="s">
        <v>4293</v>
      </c>
      <c r="E44" s="3" t="s">
        <v>4212</v>
      </c>
      <c r="F44" s="3" t="s">
        <v>4212</v>
      </c>
      <c r="G44" s="3" t="s">
        <v>4212</v>
      </c>
      <c r="I44" s="3" t="s">
        <v>4212</v>
      </c>
      <c r="J44" s="3" t="b">
        <f t="shared" si="7"/>
        <v>1</v>
      </c>
      <c r="K44" s="3" t="str" cm="1">
        <f t="array" aca="1" ref="K44" ca="1">IF(Table1[[#This Row],[Winner]]&lt;&gt;"TBD", INDEX(Rankings!H:H, MATCH(Table1[[#This Row],[Theme Date]], Rankings!A:A, 0) + MATCH(Table1[[#This Row],[Winner]], Rankings!$J$1:$N$1, 0) - 1, 1), Table1[[#This Row],[Winner]])</f>
        <v>Tom Sawyer</v>
      </c>
      <c r="L44" s="3" t="str">
        <f ca="1">IF(AND(Table1[[#This Row],[Theme Date]]&lt;=TODAY(), Table1[[#This Row],[Passed]]), VLOOKUP(Table1[[#This Row],[Theme Date]], Rankings!A:C, 3, FALSE), "TBD")</f>
        <v>danram</v>
      </c>
    </row>
    <row r="45" spans="1:12" ht="30">
      <c r="A45" s="59">
        <v>45757</v>
      </c>
      <c r="B45" t="s">
        <v>41</v>
      </c>
      <c r="C45" t="s">
        <v>3171</v>
      </c>
      <c r="D45" s="88" t="s">
        <v>4294</v>
      </c>
      <c r="E45" s="3" t="s">
        <v>4212</v>
      </c>
      <c r="F45" s="3" t="s">
        <v>4212</v>
      </c>
      <c r="G45" s="3" t="s">
        <v>4212</v>
      </c>
      <c r="J45" s="3" t="b">
        <f t="shared" si="7"/>
        <v>1</v>
      </c>
      <c r="K45" s="3" t="str" cm="1">
        <f t="array" aca="1" ref="K45" ca="1">IF(Table1[[#This Row],[Winner]]&lt;&gt;"TBD", INDEX(Rankings!H:H, MATCH(Table1[[#This Row],[Theme Date]], Rankings!A:A, 0) + MATCH(Table1[[#This Row],[Winner]], Rankings!$J$1:$N$1, 0) - 1, 1), Table1[[#This Row],[Winner]])</f>
        <v>Clocks</v>
      </c>
      <c r="L45" s="3" t="str">
        <f ca="1">IF(AND(Table1[[#This Row],[Theme Date]]&lt;=TODAY(), Table1[[#This Row],[Passed]]), VLOOKUP(Table1[[#This Row],[Theme Date]], Rankings!A:C, 3, FALSE), "TBD")</f>
        <v>loganworsdell</v>
      </c>
    </row>
    <row r="46" spans="1:12" ht="30">
      <c r="A46" s="59">
        <v>45764</v>
      </c>
      <c r="B46" t="s">
        <v>37</v>
      </c>
      <c r="C46" t="s">
        <v>4295</v>
      </c>
      <c r="D46" s="88" t="s">
        <v>4296</v>
      </c>
      <c r="F46" s="3" t="s">
        <v>4212</v>
      </c>
      <c r="G46" s="3" t="s">
        <v>4212</v>
      </c>
      <c r="I46" s="3" t="s">
        <v>4212</v>
      </c>
      <c r="J46" s="3" t="b">
        <f t="shared" ref="J46:J50" si="8">COUNTIFS(E46:I46, "Opposed") &lt; 2</f>
        <v>1</v>
      </c>
      <c r="K46" s="3" t="str" cm="1">
        <f t="array" aca="1" ref="K46" ca="1">IF(Table1[[#This Row],[Winner]]&lt;&gt;"TBD", INDEX(Rankings!H:H, MATCH(Table1[[#This Row],[Theme Date]], Rankings!A:A, 0) + MATCH(Table1[[#This Row],[Winner]], Rankings!$J$1:$N$1, 0) - 1, 1), Table1[[#This Row],[Winner]])</f>
        <v>Isis</v>
      </c>
      <c r="L46" s="3" t="str">
        <f ca="1">IF(AND(Table1[[#This Row],[Theme Date]]&lt;=TODAY(), Table1[[#This Row],[Passed]]), VLOOKUP(Table1[[#This Row],[Theme Date]], Rankings!A:C, 3, FALSE), "TBD")</f>
        <v>alappatjoe</v>
      </c>
    </row>
    <row r="47" spans="1:12">
      <c r="A47" s="59">
        <v>45771</v>
      </c>
      <c r="B47" t="s">
        <v>38</v>
      </c>
      <c r="C47" t="s">
        <v>4297</v>
      </c>
      <c r="D47" s="88" t="s">
        <v>4298</v>
      </c>
      <c r="E47" s="3" t="s">
        <v>4212</v>
      </c>
      <c r="I47" s="3" t="s">
        <v>4212</v>
      </c>
      <c r="J47" s="3" t="b">
        <f t="shared" si="8"/>
        <v>1</v>
      </c>
      <c r="K47" s="3" t="str" cm="1">
        <f t="array" aca="1" ref="K47" ca="1">IF(Table1[[#This Row],[Winner]]&lt;&gt;"TBD", INDEX(Rankings!H:H, MATCH(Table1[[#This Row],[Theme Date]], Rankings!A:A, 0) + MATCH(Table1[[#This Row],[Winner]], Rankings!$J$1:$N$1, 0) - 1, 1), Table1[[#This Row],[Winner]])</f>
        <v>Never</v>
      </c>
      <c r="L47" s="3" t="str">
        <f ca="1">IF(AND(Table1[[#This Row],[Theme Date]]&lt;=TODAY(), Table1[[#This Row],[Passed]]), VLOOKUP(Table1[[#This Row],[Theme Date]], Rankings!A:C, 3, FALSE), "TBD")</f>
        <v>samuelbattista</v>
      </c>
    </row>
    <row r="48" spans="1:12">
      <c r="A48" s="59">
        <v>45778</v>
      </c>
      <c r="B48" t="s">
        <v>39</v>
      </c>
      <c r="C48" t="s">
        <v>4299</v>
      </c>
      <c r="D48" s="88" t="s">
        <v>4300</v>
      </c>
      <c r="E48" s="3" t="s">
        <v>4212</v>
      </c>
      <c r="F48" s="3" t="s">
        <v>4212</v>
      </c>
      <c r="I48" s="3" t="s">
        <v>4212</v>
      </c>
      <c r="J48" s="3" t="b">
        <f t="shared" si="8"/>
        <v>1</v>
      </c>
      <c r="K48" s="3" t="str" cm="1">
        <f t="array" aca="1" ref="K48" ca="1">IF(Table1[[#This Row],[Winner]]&lt;&gt;"TBD", INDEX(Rankings!H:H, MATCH(Table1[[#This Row],[Theme Date]], Rankings!A:A, 0) + MATCH(Table1[[#This Row],[Winner]], Rankings!$J$1:$N$1, 0) - 1, 1), Table1[[#This Row],[Winner]])</f>
        <v>15 Minutes</v>
      </c>
      <c r="L48" s="3" t="str">
        <f ca="1">IF(AND(Table1[[#This Row],[Theme Date]]&lt;=TODAY(), Table1[[#This Row],[Passed]]), VLOOKUP(Table1[[#This Row],[Theme Date]], Rankings!A:C, 3, FALSE), "TBD")</f>
        <v>samuelbattista</v>
      </c>
    </row>
    <row r="49" spans="1:12" ht="30">
      <c r="A49" s="59">
        <v>45785</v>
      </c>
      <c r="B49" t="s">
        <v>40</v>
      </c>
      <c r="C49" t="s">
        <v>4301</v>
      </c>
      <c r="D49" s="88" t="s">
        <v>4302</v>
      </c>
      <c r="E49" s="3" t="s">
        <v>4212</v>
      </c>
      <c r="F49" s="3" t="s">
        <v>4212</v>
      </c>
      <c r="G49" s="3" t="s">
        <v>4212</v>
      </c>
      <c r="I49" s="3" t="s">
        <v>4212</v>
      </c>
      <c r="J49" s="3" t="b">
        <f t="shared" si="8"/>
        <v>1</v>
      </c>
      <c r="K49" s="3" t="str" cm="1">
        <f t="array" aca="1" ref="K49" ca="1">IF(Table1[[#This Row],[Winner]]&lt;&gt;"TBD", INDEX(Rankings!H:H, MATCH(Table1[[#This Row],[Theme Date]], Rankings!A:A, 0) + MATCH(Table1[[#This Row],[Winner]], Rankings!$J$1:$N$1, 0) - 1, 1), Table1[[#This Row],[Winner]])</f>
        <v>Right Round</v>
      </c>
      <c r="L49" s="3" t="str">
        <f ca="1">IF(AND(Table1[[#This Row],[Theme Date]]&lt;=TODAY(), Table1[[#This Row],[Passed]]), VLOOKUP(Table1[[#This Row],[Theme Date]], Rankings!A:C, 3, FALSE), "TBD")</f>
        <v>alappatjoe</v>
      </c>
    </row>
    <row r="50" spans="1:12">
      <c r="A50" s="59">
        <v>45792</v>
      </c>
      <c r="B50" t="s">
        <v>41</v>
      </c>
      <c r="C50" t="s">
        <v>4303</v>
      </c>
      <c r="D50" s="88" t="s">
        <v>4304</v>
      </c>
      <c r="E50" s="3" t="s">
        <v>4212</v>
      </c>
      <c r="F50" s="3" t="s">
        <v>4212</v>
      </c>
      <c r="G50" s="3" t="s">
        <v>4212</v>
      </c>
      <c r="H50" s="3" t="s">
        <v>4212</v>
      </c>
      <c r="J50" s="3" t="b">
        <f t="shared" si="8"/>
        <v>1</v>
      </c>
      <c r="K50" s="3" t="str" cm="1">
        <f t="array" aca="1" ref="K50" ca="1">IF(Table1[[#This Row],[Winner]]&lt;&gt;"TBD", INDEX(Rankings!H:H, MATCH(Table1[[#This Row],[Theme Date]], Rankings!A:A, 0) + MATCH(Table1[[#This Row],[Winner]], Rankings!$J$1:$N$1, 0) - 1, 1), Table1[[#This Row],[Winner]])</f>
        <v>CUFF IT</v>
      </c>
      <c r="L50" s="3" t="str">
        <f ca="1">IF(AND(Table1[[#This Row],[Theme Date]]&lt;=TODAY(), Table1[[#This Row],[Passed]]), VLOOKUP(Table1[[#This Row],[Theme Date]], Rankings!A:C, 3, FALSE), "TBD")</f>
        <v>alappatjoe</v>
      </c>
    </row>
    <row r="51" spans="1:12">
      <c r="A51" s="59">
        <v>45799</v>
      </c>
      <c r="B51" t="s">
        <v>37</v>
      </c>
      <c r="C51" t="s">
        <v>4305</v>
      </c>
      <c r="D51" s="88" t="s">
        <v>4306</v>
      </c>
      <c r="F51" s="3" t="s">
        <v>4212</v>
      </c>
      <c r="G51" s="3" t="s">
        <v>4212</v>
      </c>
      <c r="I51" s="3" t="s">
        <v>4212</v>
      </c>
      <c r="J51" s="3" t="b">
        <f t="shared" ref="J51:J60" si="9">COUNTIFS(E51:I51, "Opposed") &lt; 2</f>
        <v>1</v>
      </c>
      <c r="K51" s="3" t="str" cm="1">
        <f t="array" aca="1" ref="K51" ca="1">IF(Table1[[#This Row],[Winner]]&lt;&gt;"TBD", INDEX(Rankings!H:H, MATCH(Table1[[#This Row],[Theme Date]], Rankings!A:A, 0) + MATCH(Table1[[#This Row],[Winner]], Rankings!$J$1:$N$1, 0) - 1, 1), Table1[[#This Row],[Winner]])</f>
        <v>Open Arms (Feat. Travis Scott)</v>
      </c>
      <c r="L51" s="3" t="str">
        <f ca="1">IF(AND(Table1[[#This Row],[Theme Date]]&lt;=TODAY(), Table1[[#This Row],[Passed]]), VLOOKUP(Table1[[#This Row],[Theme Date]], Rankings!A:C, 3, FALSE), "TBD")</f>
        <v>danram</v>
      </c>
    </row>
    <row r="52" spans="1:12" ht="75">
      <c r="A52" s="59">
        <v>45806</v>
      </c>
      <c r="B52" t="s">
        <v>38</v>
      </c>
      <c r="C52" t="s">
        <v>4307</v>
      </c>
      <c r="D52" s="88" t="s">
        <v>4308</v>
      </c>
      <c r="E52" s="3" t="s">
        <v>4212</v>
      </c>
      <c r="G52" s="3" t="s">
        <v>4212</v>
      </c>
      <c r="H52" s="3" t="s">
        <v>4212</v>
      </c>
      <c r="J52" s="3" t="b">
        <f t="shared" si="9"/>
        <v>1</v>
      </c>
      <c r="K52" s="3" t="str" cm="1">
        <f t="array" aca="1" ref="K52" ca="1">IF(Table1[[#This Row],[Winner]]&lt;&gt;"TBD", INDEX(Rankings!H:H, MATCH(Table1[[#This Row],[Theme Date]], Rankings!A:A, 0) + MATCH(Table1[[#This Row],[Winner]], Rankings!$J$1:$N$1, 0) - 1, 1), Table1[[#This Row],[Winner]])</f>
        <v>SOUVENIR</v>
      </c>
      <c r="L52" s="3" t="str">
        <f ca="1">IF(AND(Table1[[#This Row],[Theme Date]]&lt;=TODAY(), Table1[[#This Row],[Passed]]), VLOOKUP(Table1[[#This Row],[Theme Date]], Rankings!A:C, 3, FALSE), "TBD")</f>
        <v>alappatjoe</v>
      </c>
    </row>
    <row r="53" spans="1:12" ht="30">
      <c r="A53" s="59">
        <v>45813</v>
      </c>
      <c r="B53" t="s">
        <v>39</v>
      </c>
      <c r="C53" t="s">
        <v>4309</v>
      </c>
      <c r="D53" s="88" t="s">
        <v>4310</v>
      </c>
      <c r="E53" s="3" t="s">
        <v>4212</v>
      </c>
      <c r="F53" s="3" t="s">
        <v>4212</v>
      </c>
      <c r="I53" s="3" t="s">
        <v>4212</v>
      </c>
      <c r="J53" s="3" t="b">
        <f t="shared" si="9"/>
        <v>1</v>
      </c>
      <c r="K53" s="3" t="str" cm="1">
        <f t="array" aca="1" ref="K53" ca="1">IF(Table1[[#This Row],[Winner]]&lt;&gt;"TBD", INDEX(Rankings!H:H, MATCH(Table1[[#This Row],[Theme Date]], Rankings!A:A, 0) + MATCH(Table1[[#This Row],[Winner]], Rankings!$J$1:$N$1, 0) - 1, 1), Table1[[#This Row],[Winner]])</f>
        <v>Rat A Tat</v>
      </c>
      <c r="L53" s="3" t="str">
        <f ca="1">IF(AND(Table1[[#This Row],[Theme Date]]&lt;=TODAY(), Table1[[#This Row],[Passed]]), VLOOKUP(Table1[[#This Row],[Theme Date]], Rankings!A:C, 3, FALSE), "TBD")</f>
        <v>loganworsdell</v>
      </c>
    </row>
    <row r="54" spans="1:12" ht="45">
      <c r="A54" s="59">
        <v>45820</v>
      </c>
      <c r="B54" t="s">
        <v>40</v>
      </c>
      <c r="C54" t="s">
        <v>4311</v>
      </c>
      <c r="D54" s="88" t="s">
        <v>4312</v>
      </c>
      <c r="E54" s="3" t="s">
        <v>4212</v>
      </c>
      <c r="F54" s="3" t="s">
        <v>4212</v>
      </c>
      <c r="J54" s="3" t="b">
        <f t="shared" si="9"/>
        <v>1</v>
      </c>
      <c r="K54" s="3" t="str" cm="1">
        <f t="array" aca="1" ref="K54" ca="1">IF(Table1[[#This Row],[Winner]]&lt;&gt;"TBD", INDEX(Rankings!H:H, MATCH(Table1[[#This Row],[Theme Date]], Rankings!A:A, 0) + MATCH(Table1[[#This Row],[Winner]], Rankings!$J$1:$N$1, 0) - 1, 1), Table1[[#This Row],[Winner]])</f>
        <v>Ain't It Fun</v>
      </c>
      <c r="L54" s="3" t="str">
        <f ca="1">IF(AND(Table1[[#This Row],[Theme Date]]&lt;=TODAY(), Table1[[#This Row],[Passed]]), VLOOKUP(Table1[[#This Row],[Theme Date]], Rankings!A:C, 3, FALSE), "TBD")</f>
        <v>currydestroyer27</v>
      </c>
    </row>
    <row r="55" spans="1:12" ht="30">
      <c r="A55" s="59">
        <v>45827</v>
      </c>
      <c r="B55" t="s">
        <v>41</v>
      </c>
      <c r="C55" t="s">
        <v>4313</v>
      </c>
      <c r="D55" s="88" t="s">
        <v>4314</v>
      </c>
      <c r="E55" s="3" t="s">
        <v>4212</v>
      </c>
      <c r="F55" s="3" t="s">
        <v>4212</v>
      </c>
      <c r="J55" s="3" t="b">
        <f t="shared" si="9"/>
        <v>1</v>
      </c>
      <c r="K55" s="3" t="str" cm="1">
        <f t="array" aca="1" ref="K55" ca="1">IF(Table1[[#This Row],[Winner]]&lt;&gt;"TBD", INDEX(Rankings!H:H, MATCH(Table1[[#This Row],[Theme Date]], Rankings!A:A, 0) + MATCH(Table1[[#This Row],[Winner]], Rankings!$J$1:$N$1, 0) - 1, 1), Table1[[#This Row],[Winner]])</f>
        <v>Down Bad</v>
      </c>
      <c r="L55" s="3" t="str">
        <f ca="1">IF(AND(Table1[[#This Row],[Theme Date]]&lt;=TODAY(), Table1[[#This Row],[Passed]]), VLOOKUP(Table1[[#This Row],[Theme Date]], Rankings!A:C, 3, FALSE), "TBD")</f>
        <v>currydestroyer27</v>
      </c>
    </row>
    <row r="56" spans="1:12" ht="60">
      <c r="A56" s="59">
        <v>45834</v>
      </c>
      <c r="B56" t="s">
        <v>37</v>
      </c>
      <c r="C56" t="s">
        <v>4315</v>
      </c>
      <c r="D56" s="88" t="s">
        <v>4316</v>
      </c>
      <c r="F56" s="3" t="s">
        <v>4235</v>
      </c>
      <c r="G56" s="3" t="s">
        <v>4212</v>
      </c>
      <c r="I56" s="3" t="s">
        <v>4212</v>
      </c>
      <c r="J56" s="3" t="b">
        <f t="shared" si="9"/>
        <v>1</v>
      </c>
      <c r="K56" s="3" t="str" cm="1">
        <f t="array" aca="1" ref="K56" ca="1">IF(Table1[[#This Row],[Winner]]&lt;&gt;"TBD", INDEX(Rankings!H:H, MATCH(Table1[[#This Row],[Theme Date]], Rankings!A:A, 0) + MATCH(Table1[[#This Row],[Winner]], Rankings!$J$1:$N$1, 0) - 1, 1), Table1[[#This Row],[Winner]])</f>
        <v>Numb Little Bug</v>
      </c>
      <c r="L56" s="3" t="str">
        <f ca="1">IF(AND(Table1[[#This Row],[Theme Date]]&lt;=TODAY(), Table1[[#This Row],[Passed]]), VLOOKUP(Table1[[#This Row],[Theme Date]], Rankings!A:C, 3, FALSE), "TBD")</f>
        <v>alappatjoe</v>
      </c>
    </row>
    <row r="57" spans="1:12" ht="45">
      <c r="A57" s="59">
        <v>45841</v>
      </c>
      <c r="B57" t="s">
        <v>38</v>
      </c>
      <c r="C57" t="s">
        <v>4317</v>
      </c>
      <c r="D57" s="88" t="s">
        <v>4318</v>
      </c>
      <c r="E57" s="3" t="s">
        <v>4212</v>
      </c>
      <c r="G57" s="3" t="s">
        <v>4212</v>
      </c>
      <c r="I57" s="3" t="s">
        <v>4212</v>
      </c>
      <c r="J57" s="3" t="b">
        <f t="shared" si="9"/>
        <v>1</v>
      </c>
      <c r="K57" s="3" t="str" cm="1">
        <f t="array" aca="1" ref="K57" ca="1">IF(Table1[[#This Row],[Winner]]&lt;&gt;"TBD", INDEX(Rankings!H:H, MATCH(Table1[[#This Row],[Theme Date]], Rankings!A:A, 0) + MATCH(Table1[[#This Row],[Winner]], Rankings!$J$1:$N$1, 0) - 1, 1), Table1[[#This Row],[Winner]])</f>
        <v>Morioucho Radio</v>
      </c>
      <c r="L57" s="3" t="str">
        <f ca="1">IF(AND(Table1[[#This Row],[Theme Date]]&lt;=TODAY(), Table1[[#This Row],[Passed]]), VLOOKUP(Table1[[#This Row],[Theme Date]], Rankings!A:C, 3, FALSE), "TBD")</f>
        <v>loganworsdell</v>
      </c>
    </row>
    <row r="58" spans="1:12" ht="45">
      <c r="A58" s="59">
        <v>45848</v>
      </c>
      <c r="B58" t="s">
        <v>39</v>
      </c>
      <c r="C58" t="s">
        <v>4319</v>
      </c>
      <c r="D58" s="88" t="s">
        <v>4320</v>
      </c>
      <c r="E58" s="3" t="s">
        <v>4212</v>
      </c>
      <c r="F58" s="3" t="s">
        <v>4212</v>
      </c>
      <c r="I58" s="3" t="s">
        <v>4212</v>
      </c>
      <c r="J58" s="3" t="b">
        <f t="shared" si="9"/>
        <v>1</v>
      </c>
      <c r="K58" s="3" t="str" cm="1">
        <f t="array" aca="1" ref="K58" ca="1">IF(Table1[[#This Row],[Winner]]&lt;&gt;"TBD", INDEX(Rankings!H:H, MATCH(Table1[[#This Row],[Theme Date]], Rankings!A:A, 0) + MATCH(Table1[[#This Row],[Winner]], Rankings!$J$1:$N$1, 0) - 1, 1), Table1[[#This Row],[Winner]])</f>
        <v>TOXIC</v>
      </c>
      <c r="L58" s="3" t="str">
        <f ca="1">IF(AND(Table1[[#This Row],[Theme Date]]&lt;=TODAY(), Table1[[#This Row],[Passed]]), VLOOKUP(Table1[[#This Row],[Theme Date]], Rankings!A:C, 3, FALSE), "TBD")</f>
        <v>danram</v>
      </c>
    </row>
    <row r="59" spans="1:12" ht="30">
      <c r="A59" s="59">
        <v>45855</v>
      </c>
      <c r="B59" t="s">
        <v>40</v>
      </c>
      <c r="C59" t="s">
        <v>4321</v>
      </c>
      <c r="D59" s="88" t="s">
        <v>4322</v>
      </c>
      <c r="E59" s="3" t="s">
        <v>4212</v>
      </c>
      <c r="F59" s="3" t="s">
        <v>4212</v>
      </c>
      <c r="G59" s="3" t="s">
        <v>4212</v>
      </c>
      <c r="I59" s="3" t="s">
        <v>4212</v>
      </c>
      <c r="J59" s="3" t="b">
        <f t="shared" si="9"/>
        <v>1</v>
      </c>
      <c r="K59" s="3" t="str" cm="1">
        <f t="array" aca="1" ref="K59" ca="1">IF(Table1[[#This Row],[Winner]]&lt;&gt;"TBD", INDEX(Rankings!H:H, MATCH(Table1[[#This Row],[Theme Date]], Rankings!A:A, 0) + MATCH(Table1[[#This Row],[Winner]], Rankings!$J$1:$N$1, 0) - 1, 1), Table1[[#This Row],[Winner]])</f>
        <v>Ralphie</v>
      </c>
      <c r="L59" s="3" t="str">
        <f ca="1">IF(AND(Table1[[#This Row],[Theme Date]]&lt;=TODAY(), Table1[[#This Row],[Passed]]), VLOOKUP(Table1[[#This Row],[Theme Date]], Rankings!A:C, 3, FALSE), "TBD")</f>
        <v>samuelbattista</v>
      </c>
    </row>
    <row r="60" spans="1:12" ht="30">
      <c r="A60" s="59">
        <v>45862</v>
      </c>
      <c r="B60" t="s">
        <v>41</v>
      </c>
      <c r="C60" t="s">
        <v>4323</v>
      </c>
      <c r="D60" s="255" t="s">
        <v>4324</v>
      </c>
      <c r="E60" s="3" t="s">
        <v>4212</v>
      </c>
      <c r="F60" s="3" t="s">
        <v>4212</v>
      </c>
      <c r="G60" s="3" t="s">
        <v>4212</v>
      </c>
      <c r="J60" s="3" t="b">
        <f t="shared" si="9"/>
        <v>1</v>
      </c>
      <c r="K60" s="3" t="str" cm="1">
        <f t="array" aca="1" ref="K60" ca="1">IF(Table1[[#This Row],[Winner]]&lt;&gt;"TBD", INDEX(Rankings!H:H, MATCH(Table1[[#This Row],[Theme Date]], Rankings!A:A, 0) + MATCH(Table1[[#This Row],[Winner]], Rankings!$J$1:$N$1, 0) - 1, 1), Table1[[#This Row],[Winner]])</f>
        <v>Headstrong</v>
      </c>
      <c r="L60" s="3" t="str">
        <f ca="1">IF(AND(Table1[[#This Row],[Theme Date]]&lt;=TODAY(), Table1[[#This Row],[Passed]]), VLOOKUP(Table1[[#This Row],[Theme Date]], Rankings!A:C, 3, FALSE), "TBD")</f>
        <v>loganworsdell</v>
      </c>
    </row>
    <row r="61" spans="1:12">
      <c r="A61" s="59">
        <v>45869</v>
      </c>
      <c r="B61" t="s">
        <v>37</v>
      </c>
      <c r="C61" t="s">
        <v>4325</v>
      </c>
      <c r="D61" s="88" t="s">
        <v>4326</v>
      </c>
      <c r="F61" s="3" t="s">
        <v>4212</v>
      </c>
      <c r="G61" s="3" t="s">
        <v>4212</v>
      </c>
      <c r="I61" s="3" t="s">
        <v>4212</v>
      </c>
      <c r="J61" s="3" t="b">
        <f t="shared" ref="J61:J97" si="10">COUNTIFS(E61:I61, "Opposed") &lt; 2</f>
        <v>1</v>
      </c>
      <c r="K61" s="3" t="str" cm="1">
        <f t="array" aca="1" ref="K61" ca="1">IF(Table1[[#This Row],[Winner]]&lt;&gt;"TBD", INDEX(Rankings!H:H, MATCH(Table1[[#This Row],[Theme Date]], Rankings!A:A, 0) + MATCH(Table1[[#This Row],[Winner]], Rankings!$J$1:$N$1, 0) - 1, 1), Table1[[#This Row],[Winner]])</f>
        <v>Note to Self</v>
      </c>
      <c r="L61" s="3" t="str">
        <f ca="1">IF(AND(Table1[[#This Row],[Theme Date]]&lt;=TODAY(), Table1[[#This Row],[Passed]]), VLOOKUP(Table1[[#This Row],[Theme Date]], Rankings!A:C, 3, FALSE), "TBD")</f>
        <v>samuelbattista</v>
      </c>
    </row>
    <row r="62" spans="1:12" ht="30">
      <c r="A62" s="59">
        <v>45876</v>
      </c>
      <c r="B62" t="s">
        <v>38</v>
      </c>
      <c r="C62" t="s">
        <v>4327</v>
      </c>
      <c r="D62" s="88" t="s">
        <v>4328</v>
      </c>
      <c r="E62" s="3" t="s">
        <v>4212</v>
      </c>
      <c r="G62" s="3" t="s">
        <v>4212</v>
      </c>
      <c r="I62" s="3" t="s">
        <v>4212</v>
      </c>
      <c r="J62" s="3" t="b">
        <f t="shared" si="10"/>
        <v>1</v>
      </c>
      <c r="K62" s="3" t="str" cm="1">
        <f t="array" aca="1" ref="K62" ca="1">IF(Table1[[#This Row],[Winner]]&lt;&gt;"TBD", INDEX(Rankings!H:H, MATCH(Table1[[#This Row],[Theme Date]], Rankings!A:A, 0) + MATCH(Table1[[#This Row],[Winner]], Rankings!$J$1:$N$1, 0) - 1, 1), Table1[[#This Row],[Winner]])</f>
        <v>Overkill</v>
      </c>
      <c r="L62" s="3" t="str">
        <f ca="1">IF(AND(Table1[[#This Row],[Theme Date]]&lt;=TODAY(), Table1[[#This Row],[Passed]]), VLOOKUP(Table1[[#This Row],[Theme Date]], Rankings!A:C, 3, FALSE), "TBD")</f>
        <v>loganworsdell</v>
      </c>
    </row>
    <row r="63" spans="1:12" ht="30">
      <c r="A63" s="59">
        <v>45883</v>
      </c>
      <c r="B63" t="s">
        <v>39</v>
      </c>
      <c r="C63" t="s">
        <v>4329</v>
      </c>
      <c r="D63" s="88" t="s">
        <v>4330</v>
      </c>
      <c r="E63" s="3" t="s">
        <v>4212</v>
      </c>
      <c r="F63" s="3" t="s">
        <v>4212</v>
      </c>
      <c r="J63" s="3" t="b">
        <f t="shared" si="10"/>
        <v>1</v>
      </c>
      <c r="K63" s="3" t="str" cm="1">
        <f t="array" aca="1" ref="K63" ca="1">IF(Table1[[#This Row],[Winner]]&lt;&gt;"TBD", INDEX(Rankings!H:H, MATCH(Table1[[#This Row],[Theme Date]], Rankings!A:A, 0) + MATCH(Table1[[#This Row],[Winner]], Rankings!$J$1:$N$1, 0) - 1, 1), Table1[[#This Row],[Winner]])</f>
        <v>Chammak Challo</v>
      </c>
      <c r="L63" s="3" t="str">
        <f ca="1">IF(AND(Table1[[#This Row],[Theme Date]]&lt;=TODAY(), Table1[[#This Row],[Passed]]), VLOOKUP(Table1[[#This Row],[Theme Date]], Rankings!A:C, 3, FALSE), "TBD")</f>
        <v>currydestroyer27</v>
      </c>
    </row>
    <row r="64" spans="1:12" ht="30">
      <c r="A64" s="59">
        <v>45890</v>
      </c>
      <c r="B64" t="s">
        <v>40</v>
      </c>
      <c r="C64" t="s">
        <v>4331</v>
      </c>
      <c r="D64" s="88" t="s">
        <v>4332</v>
      </c>
      <c r="E64" s="3" t="s">
        <v>4212</v>
      </c>
      <c r="F64" s="3" t="s">
        <v>4212</v>
      </c>
      <c r="G64" s="3" t="s">
        <v>4212</v>
      </c>
      <c r="J64" s="3" t="b">
        <f t="shared" si="10"/>
        <v>1</v>
      </c>
      <c r="K64" s="3" t="str" cm="1">
        <f t="array" aca="1" ref="K64" ca="1">IF(Table1[[#This Row],[Winner]]&lt;&gt;"TBD", INDEX(Rankings!H:H, MATCH(Table1[[#This Row],[Theme Date]], Rankings!A:A, 0) + MATCH(Table1[[#This Row],[Winner]], Rankings!$J$1:$N$1, 0) - 1, 1), Table1[[#This Row],[Winner]])</f>
        <v>Face to Face</v>
      </c>
      <c r="L64" s="3" t="str">
        <f ca="1">IF(AND(Table1[[#This Row],[Theme Date]]&lt;=TODAY(), Table1[[#This Row],[Passed]]), VLOOKUP(Table1[[#This Row],[Theme Date]], Rankings!A:C, 3, FALSE), "TBD")</f>
        <v>loganworsdell</v>
      </c>
    </row>
    <row r="65" spans="1:12">
      <c r="A65" s="59">
        <v>45897</v>
      </c>
      <c r="B65" t="s">
        <v>41</v>
      </c>
      <c r="C65" t="s">
        <v>4333</v>
      </c>
      <c r="D65" s="88" t="s">
        <v>4334</v>
      </c>
      <c r="E65" s="3" t="s">
        <v>4212</v>
      </c>
      <c r="F65" s="3" t="s">
        <v>4212</v>
      </c>
      <c r="G65" s="3" t="s">
        <v>4212</v>
      </c>
      <c r="J65" s="3" t="b">
        <f t="shared" si="10"/>
        <v>1</v>
      </c>
      <c r="K65" s="3" t="str" cm="1">
        <f t="array" aca="1" ref="K65" ca="1">IF(Table1[[#This Row],[Winner]]&lt;&gt;"TBD", INDEX(Rankings!H:H, MATCH(Table1[[#This Row],[Theme Date]], Rankings!A:A, 0) + MATCH(Table1[[#This Row],[Winner]], Rankings!$J$1:$N$1, 0) - 1, 1), Table1[[#This Row],[Winner]])</f>
        <v>KLOuFRENS</v>
      </c>
      <c r="L65" s="3" t="str">
        <f ca="1">IF(AND(Table1[[#This Row],[Theme Date]]&lt;=TODAY(), Table1[[#This Row],[Passed]]), VLOOKUP(Table1[[#This Row],[Theme Date]], Rankings!A:C, 3, FALSE), "TBD")</f>
        <v>danram</v>
      </c>
    </row>
    <row r="66" spans="1:12" ht="30">
      <c r="A66" s="59">
        <v>45904</v>
      </c>
      <c r="B66" t="s">
        <v>37</v>
      </c>
      <c r="C66" t="s">
        <v>4335</v>
      </c>
      <c r="D66" s="88" t="s">
        <v>4336</v>
      </c>
      <c r="F66" s="3" t="s">
        <v>4212</v>
      </c>
      <c r="G66" s="3" t="s">
        <v>4212</v>
      </c>
      <c r="J66" s="3" t="b">
        <f t="shared" si="10"/>
        <v>1</v>
      </c>
      <c r="K66" s="3" t="str" cm="1">
        <f t="array" aca="1" ref="K66" ca="1">IF(Table1[[#This Row],[Winner]]&lt;&gt;"TBD", INDEX(Rankings!H:H, MATCH(Table1[[#This Row],[Theme Date]], Rankings!A:A, 0) + MATCH(Table1[[#This Row],[Winner]], Rankings!$J$1:$N$1, 0) - 1, 1), Table1[[#This Row],[Winner]])</f>
        <v>Maps</v>
      </c>
      <c r="L66" s="3" t="str">
        <f ca="1">IF(AND(Table1[[#This Row],[Theme Date]]&lt;=TODAY(), Table1[[#This Row],[Passed]]), VLOOKUP(Table1[[#This Row],[Theme Date]], Rankings!A:C, 3, FALSE), "TBD")</f>
        <v>currydestroyer27</v>
      </c>
    </row>
    <row r="67" spans="1:12" ht="30">
      <c r="A67" s="59">
        <v>45911</v>
      </c>
      <c r="B67" t="s">
        <v>38</v>
      </c>
      <c r="C67" s="258" t="s">
        <v>4337</v>
      </c>
      <c r="D67" s="88" t="s">
        <v>4338</v>
      </c>
      <c r="E67" s="3" t="s">
        <v>4235</v>
      </c>
      <c r="G67" s="3" t="s">
        <v>4212</v>
      </c>
      <c r="I67" s="3" t="s">
        <v>4212</v>
      </c>
      <c r="J67" s="3" t="b">
        <f t="shared" si="10"/>
        <v>1</v>
      </c>
      <c r="K67" s="3" t="str" cm="1">
        <f t="array" aca="1" ref="K67" ca="1">IF(Table1[[#This Row],[Winner]]&lt;&gt;"TBD", INDEX(Rankings!H:H, MATCH(Table1[[#This Row],[Theme Date]], Rankings!A:A, 0) + MATCH(Table1[[#This Row],[Winner]], Rankings!$J$1:$N$1, 0) - 1, 1), Table1[[#This Row],[Winner]])</f>
        <v>How You Remind Me</v>
      </c>
      <c r="L67" s="3" t="str">
        <f ca="1">IF(AND(Table1[[#This Row],[Theme Date]]&lt;=TODAY(), Table1[[#This Row],[Passed]]), VLOOKUP(Table1[[#This Row],[Theme Date]], Rankings!A:C, 3, FALSE), "TBD")</f>
        <v>samuelbattista</v>
      </c>
    </row>
    <row r="68" spans="1:12">
      <c r="A68" s="59">
        <v>45918</v>
      </c>
      <c r="B68" t="s">
        <v>39</v>
      </c>
      <c r="C68" t="s">
        <v>4339</v>
      </c>
      <c r="D68" s="88" t="s">
        <v>4340</v>
      </c>
      <c r="E68" s="3" t="s">
        <v>4212</v>
      </c>
      <c r="F68" s="3" t="s">
        <v>4212</v>
      </c>
      <c r="I68" s="3" t="s">
        <v>4212</v>
      </c>
      <c r="J68" s="3" t="b">
        <f t="shared" si="10"/>
        <v>1</v>
      </c>
      <c r="K68" s="3" cm="1">
        <f t="array" aca="1" ref="K68" ca="1">IF(Table1[[#This Row],[Winner]]&lt;&gt;"TBD", INDEX(Rankings!H:H, MATCH(Table1[[#This Row],[Theme Date]], Rankings!A:A, 0) + MATCH(Table1[[#This Row],[Winner]], Rankings!$J$1:$N$1, 0) - 1, 1), Table1[[#This Row],[Winner]])</f>
        <v>1985</v>
      </c>
      <c r="L68" s="3" t="str">
        <f ca="1">IF(AND(Table1[[#This Row],[Theme Date]]&lt;=TODAY(), Table1[[#This Row],[Passed]]), VLOOKUP(Table1[[#This Row],[Theme Date]], Rankings!A:C, 3, FALSE), "TBD")</f>
        <v>danram</v>
      </c>
    </row>
    <row r="69" spans="1:12" ht="30">
      <c r="A69" s="59">
        <v>45925</v>
      </c>
      <c r="B69" t="s">
        <v>40</v>
      </c>
      <c r="C69" t="s">
        <v>4341</v>
      </c>
      <c r="D69" s="88" t="s">
        <v>4342</v>
      </c>
      <c r="E69" s="3" t="s">
        <v>4212</v>
      </c>
      <c r="F69" s="3" t="s">
        <v>4212</v>
      </c>
      <c r="J69" s="3" t="b">
        <f t="shared" si="10"/>
        <v>1</v>
      </c>
      <c r="K69" s="3" t="str" cm="1">
        <f t="array" aca="1" ref="K69" ca="1">IF(Table1[[#This Row],[Winner]]&lt;&gt;"TBD", INDEX(Rankings!H:H, MATCH(Table1[[#This Row],[Theme Date]], Rankings!A:A, 0) + MATCH(Table1[[#This Row],[Winner]], Rankings!$J$1:$N$1, 0) - 1, 1), Table1[[#This Row],[Winner]])</f>
        <v>i</v>
      </c>
      <c r="L69" s="3" t="str">
        <f ca="1">IF(AND(Table1[[#This Row],[Theme Date]]&lt;=TODAY(), Table1[[#This Row],[Passed]]), VLOOKUP(Table1[[#This Row],[Theme Date]], Rankings!A:C, 3, FALSE), "TBD")</f>
        <v>loganworsdell</v>
      </c>
    </row>
    <row r="70" spans="1:12" ht="30">
      <c r="A70" s="59">
        <v>45932</v>
      </c>
      <c r="B70" t="s">
        <v>41</v>
      </c>
      <c r="C70" t="s">
        <v>4343</v>
      </c>
      <c r="D70" s="88" t="s">
        <v>4344</v>
      </c>
      <c r="E70" s="3" t="s">
        <v>4212</v>
      </c>
      <c r="F70" s="3" t="s">
        <v>4212</v>
      </c>
      <c r="G70" s="3" t="s">
        <v>4212</v>
      </c>
      <c r="J70" s="3" t="b">
        <f t="shared" si="10"/>
        <v>1</v>
      </c>
      <c r="K70" s="3" t="str" cm="1">
        <f t="array" aca="1" ref="K70" ca="1">IF(Table1[[#This Row],[Winner]]&lt;&gt;"TBD", INDEX(Rankings!H:H, MATCH(Table1[[#This Row],[Theme Date]], Rankings!A:A, 0) + MATCH(Table1[[#This Row],[Winner]], Rankings!$J$1:$N$1, 0) - 1, 1), Table1[[#This Row],[Winner]])</f>
        <v>The Less I Know The Better</v>
      </c>
      <c r="L70" s="3" t="str">
        <f ca="1">IF(AND(Table1[[#This Row],[Theme Date]]&lt;=TODAY(), Table1[[#This Row],[Passed]]), VLOOKUP(Table1[[#This Row],[Theme Date]], Rankings!A:C, 3, FALSE), "TBD")</f>
        <v>danram</v>
      </c>
    </row>
    <row r="71" spans="1:12" ht="45">
      <c r="A71" s="59">
        <v>45939</v>
      </c>
      <c r="B71" t="s">
        <v>37</v>
      </c>
      <c r="C71" t="s">
        <v>4345</v>
      </c>
      <c r="D71" s="88" t="s">
        <v>4346</v>
      </c>
      <c r="F71" s="3" t="s">
        <v>4212</v>
      </c>
      <c r="G71" s="3" t="s">
        <v>4212</v>
      </c>
      <c r="I71" s="3" t="s">
        <v>4212</v>
      </c>
      <c r="J71" s="3" t="b">
        <f t="shared" si="10"/>
        <v>1</v>
      </c>
      <c r="K71" s="3" t="str" cm="1">
        <f t="array" aca="1" ref="K71" ca="1">IF(Table1[[#This Row],[Winner]]&lt;&gt;"TBD", INDEX(Rankings!H:H, MATCH(Table1[[#This Row],[Theme Date]], Rankings!A:A, 0) + MATCH(Table1[[#This Row],[Winner]], Rankings!$J$1:$N$1, 0) - 1, 1), Table1[[#This Row],[Winner]])</f>
        <v>Slowly</v>
      </c>
      <c r="L71" s="3" t="str">
        <f ca="1">IF(AND(Table1[[#This Row],[Theme Date]]&lt;=TODAY(), Table1[[#This Row],[Passed]]), VLOOKUP(Table1[[#This Row],[Theme Date]], Rankings!A:C, 3, FALSE), "TBD")</f>
        <v>loganworsdell</v>
      </c>
    </row>
    <row r="72" spans="1:12" ht="30">
      <c r="A72" s="59">
        <v>45946</v>
      </c>
      <c r="B72" t="s">
        <v>38</v>
      </c>
      <c r="C72" t="s">
        <v>4347</v>
      </c>
      <c r="D72" s="88" t="s">
        <v>4348</v>
      </c>
      <c r="E72" s="3" t="s">
        <v>4212</v>
      </c>
      <c r="I72" s="3" t="s">
        <v>4212</v>
      </c>
      <c r="J72" s="3" t="b">
        <f t="shared" si="10"/>
        <v>1</v>
      </c>
      <c r="K72" s="3" t="str" cm="1">
        <f t="array" aca="1" ref="K72" ca="1">IF(Table1[[#This Row],[Winner]]&lt;&gt;"TBD", INDEX(Rankings!H:H, MATCH(Table1[[#This Row],[Theme Date]], Rankings!A:A, 0) + MATCH(Table1[[#This Row],[Winner]], Rankings!$J$1:$N$1, 0) - 1, 1), Table1[[#This Row],[Winner]])</f>
        <v>Jacob's Ladder</v>
      </c>
      <c r="L72" s="3" t="str">
        <f ca="1">IF(AND(Table1[[#This Row],[Theme Date]]&lt;=TODAY(), Table1[[#This Row],[Passed]]), VLOOKUP(Table1[[#This Row],[Theme Date]], Rankings!A:C, 3, FALSE), "TBD")</f>
        <v>samuelbattista</v>
      </c>
    </row>
    <row r="73" spans="1:12">
      <c r="A73" s="59">
        <v>45953</v>
      </c>
      <c r="B73" t="s">
        <v>39</v>
      </c>
      <c r="C73" t="s">
        <v>4349</v>
      </c>
      <c r="D73" s="88" t="s">
        <v>4350</v>
      </c>
      <c r="E73" s="3" t="s">
        <v>4212</v>
      </c>
      <c r="I73" s="3" t="s">
        <v>4212</v>
      </c>
      <c r="J73" s="3" t="b">
        <f t="shared" si="10"/>
        <v>1</v>
      </c>
      <c r="K73" s="3" t="str" cm="1">
        <f t="array" aca="1" ref="K73" ca="1">IF(Table1[[#This Row],[Winner]]&lt;&gt;"TBD", INDEX(Rankings!H:H, MATCH(Table1[[#This Row],[Theme Date]], Rankings!A:A, 0) + MATCH(Table1[[#This Row],[Winner]], Rankings!$J$1:$N$1, 0) - 1, 1), Table1[[#This Row],[Winner]])</f>
        <v>Mockingbird</v>
      </c>
      <c r="L73" s="3" t="str">
        <f ca="1">IF(AND(Table1[[#This Row],[Theme Date]]&lt;=TODAY(), Table1[[#This Row],[Passed]]), VLOOKUP(Table1[[#This Row],[Theme Date]], Rankings!A:C, 3, FALSE), "TBD")</f>
        <v>alappatjoe</v>
      </c>
    </row>
    <row r="74" spans="1:12">
      <c r="A74" s="59">
        <v>45960</v>
      </c>
      <c r="B74" t="s">
        <v>40</v>
      </c>
      <c r="C74" t="s">
        <v>4248</v>
      </c>
      <c r="D74" s="88" t="s">
        <v>4351</v>
      </c>
      <c r="E74" s="3" t="s">
        <v>4212</v>
      </c>
      <c r="G74" s="3" t="s">
        <v>4212</v>
      </c>
      <c r="I74" s="3" t="s">
        <v>4212</v>
      </c>
      <c r="J74" s="3" t="b">
        <f t="shared" si="10"/>
        <v>1</v>
      </c>
      <c r="K74" s="3" t="str" cm="1">
        <f t="array" aca="1" ref="K74" ca="1">IF(Table1[[#This Row],[Winner]]&lt;&gt;"TBD", INDEX(Rankings!H:H, MATCH(Table1[[#This Row],[Theme Date]], Rankings!A:A, 0) + MATCH(Table1[[#This Row],[Winner]], Rankings!$J$1:$N$1, 0) - 1, 1), Table1[[#This Row],[Winner]])</f>
        <v>Somebody's Watching Me</v>
      </c>
      <c r="L74" s="3" t="str">
        <f ca="1">IF(AND(Table1[[#This Row],[Theme Date]]&lt;=TODAY(), Table1[[#This Row],[Passed]]), VLOOKUP(Table1[[#This Row],[Theme Date]], Rankings!A:C, 3, FALSE), "TBD")</f>
        <v>danram</v>
      </c>
    </row>
    <row r="75" spans="1:12" ht="105">
      <c r="A75" s="59">
        <v>45967</v>
      </c>
      <c r="B75" t="s">
        <v>41</v>
      </c>
      <c r="C75" t="s">
        <v>4352</v>
      </c>
      <c r="D75" s="88" t="s">
        <v>4353</v>
      </c>
      <c r="E75" s="3" t="s">
        <v>4212</v>
      </c>
      <c r="G75" s="3" t="s">
        <v>4212</v>
      </c>
      <c r="J75" s="3" t="b">
        <f t="shared" si="10"/>
        <v>1</v>
      </c>
      <c r="K75" s="3" t="str" cm="1">
        <f t="array" aca="1" ref="K75" ca="1">IF(Table1[[#This Row],[Winner]]&lt;&gt;"TBD", INDEX(Rankings!H:H, MATCH(Table1[[#This Row],[Theme Date]], Rankings!A:A, 0) + MATCH(Table1[[#This Row],[Winner]], Rankings!$J$1:$N$1, 0) - 1, 1), Table1[[#This Row],[Winner]])</f>
        <v>Money for Nothing</v>
      </c>
      <c r="L75" s="3" t="str">
        <f ca="1">IF(AND(Table1[[#This Row],[Theme Date]]&lt;=TODAY(), Table1[[#This Row],[Passed]]), VLOOKUP(Table1[[#This Row],[Theme Date]], Rankings!A:C, 3, FALSE), "TBD")</f>
        <v>samuelbattista</v>
      </c>
    </row>
    <row r="76" spans="1:12" ht="90">
      <c r="A76" s="59">
        <v>45974</v>
      </c>
      <c r="B76" t="s">
        <v>37</v>
      </c>
      <c r="C76" t="s">
        <v>4354</v>
      </c>
      <c r="D76" s="88" t="s">
        <v>4355</v>
      </c>
      <c r="F76" s="3" t="s">
        <v>4212</v>
      </c>
      <c r="G76" s="3" t="s">
        <v>4212</v>
      </c>
      <c r="I76" s="3" t="s">
        <v>4212</v>
      </c>
      <c r="J76" s="3" t="b">
        <f t="shared" si="10"/>
        <v>1</v>
      </c>
      <c r="K76" s="3" t="str" cm="1">
        <f t="array" aca="1" ref="K76" ca="1">IF(Table1[[#This Row],[Winner]]&lt;&gt;"TBD", INDEX(Rankings!H:H, MATCH(Table1[[#This Row],[Theme Date]], Rankings!A:A, 0) + MATCH(Table1[[#This Row],[Winner]], Rankings!$J$1:$N$1, 0) - 1, 1), Table1[[#This Row],[Winner]])</f>
        <v>+57</v>
      </c>
      <c r="L76" s="3" t="str">
        <f ca="1">IF(AND(Table1[[#This Row],[Theme Date]]&lt;=TODAY(), Table1[[#This Row],[Passed]]), VLOOKUP(Table1[[#This Row],[Theme Date]], Rankings!A:C, 3, FALSE), "TBD")</f>
        <v>alappatjoe</v>
      </c>
    </row>
    <row r="77" spans="1:12" ht="45">
      <c r="A77" s="59">
        <v>45981</v>
      </c>
      <c r="B77" t="s">
        <v>38</v>
      </c>
      <c r="C77" t="s">
        <v>4356</v>
      </c>
      <c r="D77" s="88" t="s">
        <v>4357</v>
      </c>
      <c r="E77" s="3" t="s">
        <v>4212</v>
      </c>
      <c r="G77" s="3" t="s">
        <v>4212</v>
      </c>
      <c r="I77" s="3" t="s">
        <v>4212</v>
      </c>
      <c r="J77" s="3" t="b">
        <f t="shared" si="10"/>
        <v>1</v>
      </c>
      <c r="K77" s="3" t="str" cm="1">
        <f t="array" aca="1" ref="K77" ca="1">IF(Table1[[#This Row],[Winner]]&lt;&gt;"TBD", INDEX(Rankings!H:H, MATCH(Table1[[#This Row],[Theme Date]], Rankings!A:A, 0) + MATCH(Table1[[#This Row],[Winner]], Rankings!$J$1:$N$1, 0) - 1, 1), Table1[[#This Row],[Winner]])</f>
        <v>Greatness</v>
      </c>
      <c r="L77" s="3" t="str">
        <f ca="1">IF(AND(Table1[[#This Row],[Theme Date]]&lt;=TODAY(), Table1[[#This Row],[Passed]]), VLOOKUP(Table1[[#This Row],[Theme Date]], Rankings!A:C, 3, FALSE), "TBD")</f>
        <v>danram</v>
      </c>
    </row>
    <row r="78" spans="1:12" ht="30">
      <c r="A78" s="59">
        <v>45988</v>
      </c>
      <c r="B78" t="s">
        <v>39</v>
      </c>
      <c r="C78" t="s">
        <v>4358</v>
      </c>
      <c r="D78" s="88" t="s">
        <v>4359</v>
      </c>
      <c r="E78" s="3" t="s">
        <v>4212</v>
      </c>
      <c r="F78" s="3" t="s">
        <v>4212</v>
      </c>
      <c r="I78" s="3" t="s">
        <v>4212</v>
      </c>
      <c r="J78" s="3" t="b">
        <f t="shared" si="10"/>
        <v>1</v>
      </c>
      <c r="K78" s="3" t="str" cm="1">
        <f t="array" aca="1" ref="K78" ca="1">IF(Table1[[#This Row],[Winner]]&lt;&gt;"TBD", INDEX(Rankings!H:H, MATCH(Table1[[#This Row],[Theme Date]], Rankings!A:A, 0) + MATCH(Table1[[#This Row],[Winner]], Rankings!$J$1:$N$1, 0) - 1, 1), Table1[[#This Row],[Winner]])</f>
        <v>Survivor</v>
      </c>
      <c r="L78" s="3" t="str">
        <f ca="1">IF(AND(Table1[[#This Row],[Theme Date]]&lt;=TODAY(), Table1[[#This Row],[Passed]]), VLOOKUP(Table1[[#This Row],[Theme Date]], Rankings!A:C, 3, FALSE), "TBD")</f>
        <v>danram</v>
      </c>
    </row>
    <row r="79" spans="1:12" ht="30">
      <c r="A79" s="59">
        <v>45995</v>
      </c>
      <c r="B79" t="s">
        <v>40</v>
      </c>
      <c r="C79" t="s">
        <v>4360</v>
      </c>
      <c r="D79" s="88" t="s">
        <v>4361</v>
      </c>
      <c r="E79" s="3" t="s">
        <v>4212</v>
      </c>
      <c r="F79" s="3" t="s">
        <v>4212</v>
      </c>
      <c r="G79" s="3" t="s">
        <v>4212</v>
      </c>
      <c r="I79" s="3" t="s">
        <v>4212</v>
      </c>
      <c r="J79" s="3" t="b">
        <f t="shared" si="10"/>
        <v>1</v>
      </c>
      <c r="K79" s="3" t="str" cm="1">
        <f t="array" aca="1" ref="K79" ca="1">IF(Table1[[#This Row],[Winner]]&lt;&gt;"TBD", INDEX(Rankings!H:H, MATCH(Table1[[#This Row],[Theme Date]], Rankings!A:A, 0) + MATCH(Table1[[#This Row],[Winner]], Rankings!$J$1:$N$1, 0) - 1, 1), Table1[[#This Row],[Winner]])</f>
        <v>100 Horses</v>
      </c>
      <c r="L79" s="3" t="str">
        <f ca="1">IF(AND(Table1[[#This Row],[Theme Date]]&lt;=TODAY(), Table1[[#This Row],[Passed]]), VLOOKUP(Table1[[#This Row],[Theme Date]], Rankings!A:C, 3, FALSE), "TBD")</f>
        <v>samuelbattista</v>
      </c>
    </row>
    <row r="80" spans="1:12" ht="30">
      <c r="A80" s="59">
        <v>46002</v>
      </c>
      <c r="B80" t="s">
        <v>41</v>
      </c>
      <c r="C80" t="s">
        <v>4362</v>
      </c>
      <c r="D80" s="88" t="s">
        <v>4363</v>
      </c>
      <c r="E80" s="3" t="s">
        <v>4212</v>
      </c>
      <c r="F80" s="3" t="s">
        <v>4212</v>
      </c>
      <c r="G80" s="3" t="s">
        <v>4212</v>
      </c>
      <c r="J80" s="3" t="b">
        <f t="shared" si="10"/>
        <v>1</v>
      </c>
      <c r="K80" s="3" t="str" cm="1">
        <f t="array" aca="1" ref="K80" ca="1">IF(Table1[[#This Row],[Winner]]&lt;&gt;"TBD", INDEX(Rankings!H:H, MATCH(Table1[[#This Row],[Theme Date]], Rankings!A:A, 0) + MATCH(Table1[[#This Row],[Winner]], Rankings!$J$1:$N$1, 0) - 1, 1), Table1[[#This Row],[Winner]])</f>
        <v>I Hope</v>
      </c>
      <c r="L80" s="3" t="str">
        <f ca="1">IF(AND(Table1[[#This Row],[Theme Date]]&lt;=TODAY(), Table1[[#This Row],[Passed]]), VLOOKUP(Table1[[#This Row],[Theme Date]], Rankings!A:C, 3, FALSE), "TBD")</f>
        <v>loganworsdell</v>
      </c>
    </row>
    <row r="81" spans="1:12">
      <c r="A81" s="59">
        <v>46009</v>
      </c>
      <c r="C81" t="s">
        <v>4262</v>
      </c>
      <c r="D81" s="88" t="s">
        <v>4364</v>
      </c>
      <c r="E81" s="3" t="s">
        <v>4212</v>
      </c>
      <c r="F81" s="3" t="s">
        <v>4212</v>
      </c>
      <c r="G81" s="3" t="s">
        <v>4212</v>
      </c>
      <c r="I81" s="3" t="s">
        <v>4212</v>
      </c>
      <c r="J81" s="3" t="b">
        <f>COUNTIFS(E81:I81, "Opposed") &lt; 2</f>
        <v>1</v>
      </c>
      <c r="K81" s="3" t="str" cm="1">
        <f t="array" aca="1" ref="K81" ca="1">IF(Table1[[#This Row],[Winner]]&lt;&gt;"TBD", INDEX(Rankings!H:H, MATCH(Table1[[#This Row],[Theme Date]], Rankings!A:A, 0) + MATCH(Table1[[#This Row],[Winner]], Rankings!$J$1:$N$1, 0) - 1, 1), Table1[[#This Row],[Winner]])</f>
        <v>Carol of the Bells</v>
      </c>
      <c r="L81" s="3" t="str">
        <f ca="1">IF(AND(Table1[[#This Row],[Theme Date]]&lt;=TODAY(), Table1[[#This Row],[Passed]]), VLOOKUP(Table1[[#This Row],[Theme Date]], Rankings!A:C, 3, FALSE), "TBD")</f>
        <v>currydestroyer27</v>
      </c>
    </row>
    <row r="82" spans="1:12" ht="30">
      <c r="A82" s="59">
        <v>46030</v>
      </c>
      <c r="B82" t="s">
        <v>37</v>
      </c>
      <c r="C82" t="s">
        <v>4365</v>
      </c>
      <c r="D82" s="88" t="s">
        <v>4366</v>
      </c>
      <c r="F82" s="3" t="s">
        <v>4212</v>
      </c>
      <c r="G82" s="3" t="s">
        <v>4212</v>
      </c>
      <c r="I82" s="3" t="s">
        <v>4212</v>
      </c>
      <c r="J82" s="3" t="b">
        <f t="shared" si="10"/>
        <v>1</v>
      </c>
      <c r="K82" s="3" t="str" cm="1">
        <f t="array" aca="1" ref="K82" ca="1">IF(Table1[[#This Row],[Winner]]&lt;&gt;"TBD", INDEX(Rankings!H:H, MATCH(Table1[[#This Row],[Theme Date]], Rankings!A:A, 0) + MATCH(Table1[[#This Row],[Winner]], Rankings!$J$1:$N$1, 0) - 1, 1), Table1[[#This Row],[Winner]])</f>
        <v>Hey Jude</v>
      </c>
      <c r="L82" s="3" t="str">
        <f ca="1">IF(AND(Table1[[#This Row],[Theme Date]]&lt;=TODAY(), Table1[[#This Row],[Passed]]), VLOOKUP(Table1[[#This Row],[Theme Date]], Rankings!A:C, 3, FALSE), "TBD")</f>
        <v>alappatjoe</v>
      </c>
    </row>
    <row r="83" spans="1:12">
      <c r="A83" s="59">
        <v>46037</v>
      </c>
      <c r="B83" t="s">
        <v>38</v>
      </c>
      <c r="C83" t="s">
        <v>4367</v>
      </c>
      <c r="D83" s="88" t="s">
        <v>4368</v>
      </c>
      <c r="E83" s="3" t="s">
        <v>4212</v>
      </c>
      <c r="G83" s="3" t="s">
        <v>4212</v>
      </c>
      <c r="I83" s="3" t="s">
        <v>4212</v>
      </c>
      <c r="J83" s="3" t="b">
        <f t="shared" si="10"/>
        <v>1</v>
      </c>
      <c r="K83" s="3" t="str" cm="1">
        <f t="array" aca="1" ref="K83" ca="1">IF(Table1[[#This Row],[Winner]]&lt;&gt;"TBD", INDEX(Rankings!H:H, MATCH(Table1[[#This Row],[Theme Date]], Rankings!A:A, 0) + MATCH(Table1[[#This Row],[Winner]], Rankings!$J$1:$N$1, 0) - 1, 1), Table1[[#This Row],[Winner]])</f>
        <v>Box In The Basement</v>
      </c>
      <c r="L83" s="3" t="str">
        <f ca="1">IF(AND(Table1[[#This Row],[Theme Date]]&lt;=TODAY(), Table1[[#This Row],[Passed]]), VLOOKUP(Table1[[#This Row],[Theme Date]], Rankings!A:C, 3, FALSE), "TBD")</f>
        <v>samuelbattista</v>
      </c>
    </row>
    <row r="84" spans="1:12" ht="45">
      <c r="A84" s="59">
        <v>46044</v>
      </c>
      <c r="B84" t="s">
        <v>39</v>
      </c>
      <c r="C84" t="s">
        <v>4369</v>
      </c>
      <c r="D84" s="88" t="s">
        <v>4370</v>
      </c>
      <c r="E84" s="3" t="s">
        <v>4212</v>
      </c>
      <c r="F84" s="3" t="s">
        <v>4212</v>
      </c>
      <c r="H84" s="3" t="s">
        <v>4212</v>
      </c>
      <c r="I84" s="3" t="s">
        <v>4212</v>
      </c>
      <c r="J84" s="3" t="b">
        <f t="shared" si="10"/>
        <v>1</v>
      </c>
      <c r="K84" s="3" t="str" cm="1">
        <f t="array" aca="1" ref="K84" ca="1">IF(Table1[[#This Row],[Winner]]&lt;&gt;"TBD", INDEX(Rankings!H:H, MATCH(Table1[[#This Row],[Theme Date]], Rankings!A:A, 0) + MATCH(Table1[[#This Row],[Winner]], Rankings!$J$1:$N$1, 0) - 1, 1), Table1[[#This Row],[Winner]])</f>
        <v>BABY SAID (Sam)</v>
      </c>
      <c r="L84" s="3" t="str">
        <f ca="1">IF(AND(Table1[[#This Row],[Theme Date]]&lt;=TODAY(), Table1[[#This Row],[Passed]]), VLOOKUP(Table1[[#This Row],[Theme Date]], Rankings!A:C, 3, FALSE), "TBD")</f>
        <v>currydestroyer27</v>
      </c>
    </row>
    <row r="85" spans="1:12" ht="30">
      <c r="A85" s="59">
        <v>46051</v>
      </c>
      <c r="B85" t="s">
        <v>40</v>
      </c>
      <c r="C85" t="s">
        <v>4371</v>
      </c>
      <c r="D85" s="88" t="s">
        <v>4372</v>
      </c>
      <c r="E85" s="3" t="s">
        <v>4212</v>
      </c>
      <c r="F85" s="3" t="s">
        <v>4212</v>
      </c>
      <c r="J85" s="3" t="b">
        <f t="shared" si="10"/>
        <v>1</v>
      </c>
      <c r="K85" s="3" t="str" cm="1">
        <f t="array" aca="1" ref="K85" ca="1">IF(Table1[[#This Row],[Winner]]&lt;&gt;"TBD", INDEX(Rankings!H:H, MATCH(Table1[[#This Row],[Theme Date]], Rankings!A:A, 0) + MATCH(Table1[[#This Row],[Winner]], Rankings!$J$1:$N$1, 0) - 1, 1), Table1[[#This Row],[Winner]])</f>
        <v>In Da Club</v>
      </c>
      <c r="L85" s="3" t="str">
        <f ca="1">IF(AND(Table1[[#This Row],[Theme Date]]&lt;=TODAY(), Table1[[#This Row],[Passed]]), VLOOKUP(Table1[[#This Row],[Theme Date]], Rankings!A:C, 3, FALSE), "TBD")</f>
        <v>currydestroyer27</v>
      </c>
    </row>
    <row r="86" spans="1:12" ht="45">
      <c r="A86" s="59">
        <v>46058</v>
      </c>
      <c r="B86" t="s">
        <v>41</v>
      </c>
      <c r="C86" t="s">
        <v>4373</v>
      </c>
      <c r="D86" s="88" t="s">
        <v>4374</v>
      </c>
      <c r="E86" s="3" t="s">
        <v>4212</v>
      </c>
      <c r="F86" s="3" t="s">
        <v>4212</v>
      </c>
      <c r="G86" s="3" t="s">
        <v>4212</v>
      </c>
      <c r="H86" s="3" t="s">
        <v>4212</v>
      </c>
      <c r="J86" s="3" t="b">
        <f t="shared" si="10"/>
        <v>1</v>
      </c>
      <c r="K86" s="3" t="str" cm="1">
        <f t="array" aca="1" ref="K86" ca="1">IF(Table1[[#This Row],[Winner]]&lt;&gt;"TBD", INDEX(Rankings!H:H, MATCH(Table1[[#This Row],[Theme Date]], Rankings!A:A, 0) + MATCH(Table1[[#This Row],[Winner]], Rankings!$J$1:$N$1, 0) - 1, 1), Table1[[#This Row],[Winner]])</f>
        <v>Be A Flower</v>
      </c>
      <c r="L86" s="3" t="str">
        <f ca="1">IF(AND(Table1[[#This Row],[Theme Date]]&lt;=TODAY(), Table1[[#This Row],[Passed]]), VLOOKUP(Table1[[#This Row],[Theme Date]], Rankings!A:C, 3, FALSE), "TBD")</f>
        <v>alappatjoe</v>
      </c>
    </row>
    <row r="87" spans="1:12" ht="45">
      <c r="A87" s="59">
        <v>46065</v>
      </c>
      <c r="B87" t="s">
        <v>37</v>
      </c>
      <c r="C87" t="s">
        <v>4375</v>
      </c>
      <c r="D87" s="88" t="s">
        <v>4376</v>
      </c>
      <c r="F87" s="3" t="s">
        <v>4212</v>
      </c>
      <c r="G87" s="3" t="s">
        <v>4212</v>
      </c>
      <c r="I87" s="3" t="s">
        <v>4212</v>
      </c>
      <c r="J87" s="3" t="b">
        <f t="shared" si="10"/>
        <v>1</v>
      </c>
      <c r="K87" s="3" t="str" cm="1">
        <f t="array" aca="1" ref="K87" ca="1">IF(Table1[[#This Row],[Winner]]&lt;&gt;"TBD", INDEX(Rankings!H:H, MATCH(Table1[[#This Row],[Theme Date]], Rankings!A:A, 0) + MATCH(Table1[[#This Row],[Winner]], Rankings!$J$1:$N$1, 0) - 1, 1), Table1[[#This Row],[Winner]])</f>
        <v>あの空の向こうがわへ</v>
      </c>
      <c r="L87" s="3" t="str">
        <f ca="1">IF(AND(Table1[[#This Row],[Theme Date]]&lt;=TODAY(), Table1[[#This Row],[Passed]]), VLOOKUP(Table1[[#This Row],[Theme Date]], Rankings!A:C, 3, FALSE), "TBD")</f>
        <v>samuelbattista</v>
      </c>
    </row>
    <row r="88" spans="1:12" ht="30">
      <c r="A88" s="59">
        <v>46072</v>
      </c>
      <c r="B88" t="s">
        <v>38</v>
      </c>
      <c r="C88" t="s">
        <v>4377</v>
      </c>
      <c r="D88" s="88" t="s">
        <v>4378</v>
      </c>
      <c r="E88" s="3" t="s">
        <v>4235</v>
      </c>
      <c r="G88" s="3" t="s">
        <v>4212</v>
      </c>
      <c r="H88" s="3" t="s">
        <v>4212</v>
      </c>
      <c r="I88" s="3" t="s">
        <v>4212</v>
      </c>
      <c r="J88" s="3" t="b">
        <f t="shared" si="10"/>
        <v>1</v>
      </c>
      <c r="K88" s="3" t="str" cm="1">
        <f t="array" aca="1" ref="K88" ca="1">IF(Table1[[#This Row],[Winner]]&lt;&gt;"TBD", INDEX(Rankings!H:H, MATCH(Table1[[#This Row],[Theme Date]], Rankings!A:A, 0) + MATCH(Table1[[#This Row],[Winner]], Rankings!$J$1:$N$1, 0) - 1, 1), Table1[[#This Row],[Winner]])</f>
        <v>GIMME CHEESEBURGER</v>
      </c>
      <c r="L88" s="3" t="str">
        <f ca="1">IF(AND(Table1[[#This Row],[Theme Date]]&lt;=TODAY(), Table1[[#This Row],[Passed]]), VLOOKUP(Table1[[#This Row],[Theme Date]], Rankings!A:C, 3, FALSE), "TBD")</f>
        <v>danram</v>
      </c>
    </row>
    <row r="89" spans="1:12" ht="45">
      <c r="A89" s="59">
        <v>46079</v>
      </c>
      <c r="B89" t="s">
        <v>39</v>
      </c>
      <c r="C89" t="s">
        <v>4379</v>
      </c>
      <c r="D89" s="88" t="s">
        <v>4380</v>
      </c>
      <c r="E89" s="3" t="s">
        <v>4212</v>
      </c>
      <c r="F89" s="3" t="s">
        <v>4212</v>
      </c>
      <c r="I89" s="3" t="s">
        <v>4212</v>
      </c>
      <c r="J89" s="3" t="b">
        <f t="shared" si="10"/>
        <v>1</v>
      </c>
      <c r="K89" s="3" t="str" cm="1">
        <f t="array" aca="1" ref="K89" ca="1">IF(Table1[[#This Row],[Winner]]&lt;&gt;"TBD", INDEX(Rankings!H:H, MATCH(Table1[[#This Row],[Theme Date]], Rankings!A:A, 0) + MATCH(Table1[[#This Row],[Winner]], Rankings!$J$1:$N$1, 0) - 1, 1), Table1[[#This Row],[Winner]])</f>
        <v>Tank!</v>
      </c>
      <c r="L89" s="3" t="str">
        <f ca="1">IF(AND(Table1[[#This Row],[Theme Date]]&lt;=TODAY(), Table1[[#This Row],[Passed]]), VLOOKUP(Table1[[#This Row],[Theme Date]], Rankings!A:C, 3, FALSE), "TBD")</f>
        <v>alappatjoe</v>
      </c>
    </row>
    <row r="90" spans="1:12" ht="30">
      <c r="A90" s="59">
        <v>46086</v>
      </c>
      <c r="B90" t="s">
        <v>40</v>
      </c>
      <c r="C90" t="s">
        <v>4381</v>
      </c>
      <c r="D90" s="88" t="s">
        <v>4382</v>
      </c>
      <c r="E90" s="3" t="s">
        <v>4212</v>
      </c>
      <c r="F90" s="3" t="s">
        <v>4212</v>
      </c>
      <c r="G90" s="3" t="s">
        <v>4212</v>
      </c>
      <c r="I90" s="3" t="s">
        <v>4212</v>
      </c>
      <c r="J90" s="3" t="b">
        <f t="shared" si="10"/>
        <v>1</v>
      </c>
      <c r="K90" s="3" t="str" cm="1">
        <f t="array" aca="1" ref="K90" ca="1">IF(Table1[[#This Row],[Winner]]&lt;&gt;"TBD", INDEX(Rankings!H:H, MATCH(Table1[[#This Row],[Theme Date]], Rankings!A:A, 0) + MATCH(Table1[[#This Row],[Winner]], Rankings!$J$1:$N$1, 0) - 1, 1), Table1[[#This Row],[Winner]])</f>
        <v>Smooth Criminal</v>
      </c>
      <c r="L90" s="3" t="str">
        <f ca="1">IF(AND(Table1[[#This Row],[Theme Date]]&lt;=TODAY(), Table1[[#This Row],[Passed]]), VLOOKUP(Table1[[#This Row],[Theme Date]], Rankings!A:C, 3, FALSE), "TBD")</f>
        <v>danram</v>
      </c>
    </row>
    <row r="91" spans="1:12" ht="30">
      <c r="A91" s="59">
        <v>46093</v>
      </c>
      <c r="B91" t="s">
        <v>41</v>
      </c>
      <c r="C91" t="s">
        <v>4383</v>
      </c>
      <c r="D91" s="88" t="s">
        <v>4384</v>
      </c>
      <c r="E91" s="3" t="s">
        <v>4212</v>
      </c>
      <c r="F91" s="3" t="s">
        <v>4212</v>
      </c>
      <c r="G91" s="3" t="s">
        <v>4212</v>
      </c>
      <c r="J91" s="3" t="b">
        <f t="shared" si="10"/>
        <v>1</v>
      </c>
      <c r="K91" s="3" t="str" cm="1">
        <f t="array" aca="1" ref="K91" ca="1">IF(Table1[[#This Row],[Winner]]&lt;&gt;"TBD", INDEX(Rankings!H:H, MATCH(Table1[[#This Row],[Theme Date]], Rankings!A:A, 0) + MATCH(Table1[[#This Row],[Winner]], Rankings!$J$1:$N$1, 0) - 1, 1), Table1[[#This Row],[Winner]])</f>
        <v>DNA</v>
      </c>
      <c r="L91" s="3" t="str">
        <f ca="1">IF(AND(Table1[[#This Row],[Theme Date]]&lt;=TODAY(), Table1[[#This Row],[Passed]]), VLOOKUP(Table1[[#This Row],[Theme Date]], Rankings!A:C, 3, FALSE), "TBD")</f>
        <v>samuelbattista</v>
      </c>
    </row>
    <row r="92" spans="1:12" ht="90">
      <c r="A92" s="59">
        <v>46100</v>
      </c>
      <c r="B92" t="s">
        <v>37</v>
      </c>
      <c r="C92" t="s">
        <v>4385</v>
      </c>
      <c r="D92" s="88" t="s">
        <v>4386</v>
      </c>
      <c r="F92" s="3" t="s">
        <v>4212</v>
      </c>
      <c r="G92" s="3" t="s">
        <v>4212</v>
      </c>
      <c r="I92" s="3" t="s">
        <v>4212</v>
      </c>
      <c r="J92" s="3" t="b">
        <f t="shared" si="10"/>
        <v>1</v>
      </c>
      <c r="K92" s="3" t="str" cm="1">
        <f t="array" aca="1" ref="K92" ca="1">IF(Table1[[#This Row],[Winner]]&lt;&gt;"TBD", INDEX(Rankings!H:H, MATCH(Table1[[#This Row],[Theme Date]], Rankings!A:A, 0) + MATCH(Table1[[#This Row],[Winner]], Rankings!$J$1:$N$1, 0) - 1, 1), Table1[[#This Row],[Winner]])</f>
        <v>il vento d'oro</v>
      </c>
      <c r="L92" s="3" t="str">
        <f ca="1">IF(AND(Table1[[#This Row],[Theme Date]]&lt;=TODAY(), Table1[[#This Row],[Passed]]), VLOOKUP(Table1[[#This Row],[Theme Date]], Rankings!A:C, 3, FALSE), "TBD")</f>
        <v>loganworsdell</v>
      </c>
    </row>
    <row r="93" spans="1:12" ht="30">
      <c r="A93" s="59">
        <v>46107</v>
      </c>
      <c r="B93" t="s">
        <v>38</v>
      </c>
      <c r="C93" t="s">
        <v>4387</v>
      </c>
      <c r="D93" s="88" t="s">
        <v>4388</v>
      </c>
      <c r="E93" s="3" t="s">
        <v>4212</v>
      </c>
      <c r="G93" s="3" t="s">
        <v>4212</v>
      </c>
      <c r="I93" s="3" t="s">
        <v>4212</v>
      </c>
      <c r="J93" s="3" t="b">
        <f t="shared" si="10"/>
        <v>1</v>
      </c>
      <c r="K93" s="3" t="str" cm="1">
        <f t="array" aca="1" ref="K93" ca="1">IF(Table1[[#This Row],[Winner]]&lt;&gt;"TBD", INDEX(Rankings!H:H, MATCH(Table1[[#This Row],[Theme Date]], Rankings!A:A, 0) + MATCH(Table1[[#This Row],[Winner]], Rankings!$J$1:$N$1, 0) - 1, 1), Table1[[#This Row],[Winner]])</f>
        <v>Suavemente</v>
      </c>
      <c r="L93" s="3" t="str">
        <f ca="1">IF(AND(Table1[[#This Row],[Theme Date]]&lt;=TODAY(), Table1[[#This Row],[Passed]]), VLOOKUP(Table1[[#This Row],[Theme Date]], Rankings!A:C, 3, FALSE), "TBD")</f>
        <v>currydestroyer27</v>
      </c>
    </row>
    <row r="94" spans="1:12" ht="30">
      <c r="A94" s="287">
        <v>46114</v>
      </c>
      <c r="B94" t="s">
        <v>39</v>
      </c>
      <c r="C94" t="s">
        <v>4389</v>
      </c>
      <c r="D94" s="88" t="s">
        <v>4390</v>
      </c>
      <c r="E94" s="3" t="s">
        <v>4212</v>
      </c>
      <c r="F94" s="3" t="s">
        <v>4212</v>
      </c>
      <c r="H94" s="3" t="s">
        <v>4212</v>
      </c>
      <c r="I94" s="3" t="s">
        <v>4212</v>
      </c>
      <c r="J94" s="3" t="b">
        <f t="shared" si="10"/>
        <v>1</v>
      </c>
      <c r="K94" s="3" t="str" cm="1">
        <f t="array" aca="1" ref="K94" ca="1">IF(Table1[[#This Row],[Winner]]&lt;&gt;"TBD", INDEX(Rankings!H:H, MATCH(Table1[[#This Row],[Theme Date]], Rankings!A:A, 0) + MATCH(Table1[[#This Row],[Winner]], Rankings!$J$1:$N$1, 0) - 1, 1), Table1[[#This Row],[Winner]])</f>
        <v>Starboy</v>
      </c>
      <c r="L94" s="3" t="str">
        <f ca="1">IF(AND(Table1[[#This Row],[Theme Date]]&lt;=TODAY(), Table1[[#This Row],[Passed]]), VLOOKUP(Table1[[#This Row],[Theme Date]], Rankings!A:C, 3, FALSE), "TBD")</f>
        <v>danram</v>
      </c>
    </row>
    <row r="95" spans="1:12" ht="30">
      <c r="A95" s="287">
        <v>46121</v>
      </c>
      <c r="B95" t="s">
        <v>40</v>
      </c>
      <c r="C95" t="s">
        <v>4391</v>
      </c>
      <c r="D95" s="88" t="s">
        <v>4392</v>
      </c>
      <c r="E95" s="3" t="s">
        <v>4235</v>
      </c>
      <c r="F95" s="3" t="s">
        <v>4235</v>
      </c>
      <c r="G95" s="3" t="s">
        <v>4212</v>
      </c>
      <c r="J95" s="3" t="b">
        <f t="shared" si="10"/>
        <v>0</v>
      </c>
      <c r="K95" s="3" t="str" cm="1">
        <f t="array" aca="1" ref="K95" ca="1">IF(Table1[[#This Row],[Winner]]&lt;&gt;"TBD", INDEX(Rankings!H:H, MATCH(Table1[[#This Row],[Theme Date]], Rankings!A:A, 0) + MATCH(Table1[[#This Row],[Winner]], Rankings!$J$1:$N$1, 0) - 1, 1), Table1[[#This Row],[Winner]])</f>
        <v>TBD</v>
      </c>
      <c r="L95" s="3" t="str">
        <f ca="1">IF(AND(Table1[[#This Row],[Theme Date]]&lt;=TODAY(), Table1[[#This Row],[Passed]]), VLOOKUP(Table1[[#This Row],[Theme Date]], Rankings!A:C, 3, FALSE), "TBD")</f>
        <v>TBD</v>
      </c>
    </row>
    <row r="96" spans="1:12">
      <c r="A96" s="59">
        <v>46121</v>
      </c>
      <c r="B96" t="s">
        <v>40</v>
      </c>
      <c r="C96" t="s">
        <v>4393</v>
      </c>
      <c r="D96" s="88" t="s">
        <v>4394</v>
      </c>
      <c r="J96" s="3" t="b">
        <f>COUNTIFS(E96:I96, "Opposed") &lt; 2</f>
        <v>1</v>
      </c>
      <c r="K96" s="3" t="str" cm="1">
        <f t="array" aca="1" ref="K96" ca="1">IF(Table1[[#This Row],[Winner]]&lt;&gt;"TBD", INDEX(Rankings!H:H, MATCH(Table1[[#This Row],[Theme Date]], Rankings!A:A, 0) + MATCH(Table1[[#This Row],[Winner]], Rankings!$J$1:$N$1, 0) - 1, 1), Table1[[#This Row],[Winner]])</f>
        <v>Playing God</v>
      </c>
      <c r="L96" s="3" t="str">
        <f ca="1">IF(AND(Table1[[#This Row],[Theme Date]]&lt;=TODAY(), Table1[[#This Row],[Passed]]), VLOOKUP(Table1[[#This Row],[Theme Date]], Rankings!A:C, 3, FALSE), "TBD")</f>
        <v>alappatjoe</v>
      </c>
    </row>
    <row r="97" spans="1:12" ht="30">
      <c r="A97" s="59">
        <v>46128</v>
      </c>
      <c r="B97" t="s">
        <v>41</v>
      </c>
      <c r="C97" t="s">
        <v>4395</v>
      </c>
      <c r="D97" s="88" t="s">
        <v>4396</v>
      </c>
      <c r="E97" s="3" t="s">
        <v>4212</v>
      </c>
      <c r="F97" s="3" t="s">
        <v>4212</v>
      </c>
      <c r="G97" s="3" t="s">
        <v>4212</v>
      </c>
      <c r="J97" s="3" t="b">
        <f t="shared" si="10"/>
        <v>1</v>
      </c>
      <c r="K97" s="3" t="str" cm="1">
        <f t="array" aca="1" ref="K97" ca="1">IF(Table1[[#This Row],[Winner]]&lt;&gt;"TBD", INDEX(Rankings!H:H, MATCH(Table1[[#This Row],[Theme Date]], Rankings!A:A, 0) + MATCH(Table1[[#This Row],[Winner]], Rankings!$J$1:$N$1, 0) - 1, 1), Table1[[#This Row],[Winner]])</f>
        <v>TRANKAITO</v>
      </c>
      <c r="L97" s="3" t="str">
        <f ca="1">IF(AND(Table1[[#This Row],[Theme Date]]&lt;=TODAY(), Table1[[#This Row],[Passed]]), VLOOKUP(Table1[[#This Row],[Theme Date]], Rankings!A:C, 3, FALSE), "TBD")</f>
        <v>danram</v>
      </c>
    </row>
    <row r="98" spans="1:12" ht="30">
      <c r="A98" s="59">
        <v>46135</v>
      </c>
      <c r="B98" t="s">
        <v>37</v>
      </c>
      <c r="C98" t="s">
        <v>4397</v>
      </c>
      <c r="D98" s="88" t="s">
        <v>4398</v>
      </c>
      <c r="F98" s="3" t="s">
        <v>4235</v>
      </c>
      <c r="G98" s="3" t="s">
        <v>4212</v>
      </c>
      <c r="I98" s="3" t="s">
        <v>4212</v>
      </c>
      <c r="J98" s="3" t="b">
        <f t="shared" ref="J98:J117" si="11">COUNTIFS(E98:I98, "Opposed") &lt; 2</f>
        <v>1</v>
      </c>
      <c r="K98" s="3" t="str" cm="1">
        <f t="array" aca="1" ref="K98" ca="1">IF(Table1[[#This Row],[Winner]]&lt;&gt;"TBD", INDEX(Rankings!H:H, MATCH(Table1[[#This Row],[Theme Date]], Rankings!A:A, 0) + MATCH(Table1[[#This Row],[Winner]], Rankings!$J$1:$N$1, 0) - 1, 1), Table1[[#This Row],[Winner]])</f>
        <v>Brighter</v>
      </c>
      <c r="L98" s="3" t="str">
        <f ca="1">IF(AND(Table1[[#This Row],[Theme Date]]&lt;=TODAY(), Table1[[#This Row],[Passed]]), VLOOKUP(Table1[[#This Row],[Theme Date]], Rankings!A:C, 3, FALSE), "TBD")</f>
        <v>samuelbattista</v>
      </c>
    </row>
    <row r="99" spans="1:12">
      <c r="A99" s="59">
        <v>46142</v>
      </c>
      <c r="B99" t="s">
        <v>38</v>
      </c>
      <c r="C99" t="s">
        <v>4399</v>
      </c>
      <c r="D99" s="88" t="s">
        <v>4400</v>
      </c>
      <c r="E99" s="3" t="s">
        <v>4212</v>
      </c>
      <c r="J99" s="3" t="b">
        <f t="shared" si="11"/>
        <v>1</v>
      </c>
      <c r="K99" s="3" t="str" cm="1">
        <f t="array" aca="1" ref="K99" ca="1">IF(Table1[[#This Row],[Winner]]&lt;&gt;"TBD", INDEX(Rankings!H:H, MATCH(Table1[[#This Row],[Theme Date]], Rankings!A:A, 0) + MATCH(Table1[[#This Row],[Winner]], Rankings!$J$1:$N$1, 0) - 1, 1), Table1[[#This Row],[Winner]])</f>
        <v>No Love</v>
      </c>
      <c r="L99" s="3" t="str">
        <f ca="1">IF(AND(Table1[[#This Row],[Theme Date]]&lt;=TODAY(), Table1[[#This Row],[Passed]]), VLOOKUP(Table1[[#This Row],[Theme Date]], Rankings!A:C, 3, FALSE), "TBD")</f>
        <v>loganworsdell</v>
      </c>
    </row>
    <row r="100" spans="1:12" ht="30">
      <c r="A100" s="59">
        <v>46149</v>
      </c>
      <c r="B100" t="s">
        <v>39</v>
      </c>
      <c r="C100" t="s">
        <v>4401</v>
      </c>
      <c r="D100" s="88" t="s">
        <v>4402</v>
      </c>
      <c r="E100" s="3" t="s">
        <v>4212</v>
      </c>
      <c r="F100" s="3" t="s">
        <v>4212</v>
      </c>
      <c r="I100" s="3" t="s">
        <v>4212</v>
      </c>
      <c r="J100" s="3" t="b">
        <f t="shared" si="11"/>
        <v>1</v>
      </c>
      <c r="K100" s="3" t="str" cm="1">
        <f t="array" aca="1" ref="K100" ca="1">IF(Table1[[#This Row],[Winner]]&lt;&gt;"TBD", INDEX(Rankings!H:H, MATCH(Table1[[#This Row],[Theme Date]], Rankings!A:A, 0) + MATCH(Table1[[#This Row],[Winner]], Rankings!$J$1:$N$1, 0) - 1, 1), Table1[[#This Row],[Winner]])</f>
        <v>over it</v>
      </c>
      <c r="L100" s="3" t="str">
        <f ca="1">IF(AND(Table1[[#This Row],[Theme Date]]&lt;=TODAY(), Table1[[#This Row],[Passed]]), VLOOKUP(Table1[[#This Row],[Theme Date]], Rankings!A:C, 3, FALSE), "TBD")</f>
        <v>loganworsdell</v>
      </c>
    </row>
    <row r="101" spans="1:12" ht="30">
      <c r="A101" s="59">
        <v>46156</v>
      </c>
      <c r="B101" t="s">
        <v>40</v>
      </c>
      <c r="C101" t="s">
        <v>4403</v>
      </c>
      <c r="D101" s="88" t="s">
        <v>4404</v>
      </c>
      <c r="G101" s="3" t="s">
        <v>4212</v>
      </c>
      <c r="I101" s="3" t="s">
        <v>4212</v>
      </c>
      <c r="J101" s="3" t="b">
        <f t="shared" si="11"/>
        <v>1</v>
      </c>
      <c r="K101" s="3" t="str" cm="1">
        <f t="array" aca="1" ref="K101" ca="1">IF(Table1[[#This Row],[Winner]]&lt;&gt;"TBD", INDEX(Rankings!H:H, MATCH(Table1[[#This Row],[Theme Date]], Rankings!A:A, 0) + MATCH(Table1[[#This Row],[Winner]], Rankings!$J$1:$N$1, 0) - 1, 1), Table1[[#This Row],[Winner]])</f>
        <v>Mayday</v>
      </c>
      <c r="L101" s="3" t="str">
        <f ca="1">IF(AND(Table1[[#This Row],[Theme Date]]&lt;=TODAY(), Table1[[#This Row],[Passed]]), VLOOKUP(Table1[[#This Row],[Theme Date]], Rankings!A:C, 3, FALSE), "TBD")</f>
        <v>currydestroyer27</v>
      </c>
    </row>
    <row r="102" spans="1:12" ht="60">
      <c r="A102" s="59">
        <v>46163</v>
      </c>
      <c r="B102" t="s">
        <v>41</v>
      </c>
      <c r="C102" t="s">
        <v>4405</v>
      </c>
      <c r="D102" s="88" t="s">
        <v>4406</v>
      </c>
      <c r="E102" s="3" t="s">
        <v>4212</v>
      </c>
      <c r="F102" s="3" t="s">
        <v>4212</v>
      </c>
      <c r="G102" s="3" t="s">
        <v>4212</v>
      </c>
      <c r="J102" s="3" t="b">
        <f t="shared" si="11"/>
        <v>1</v>
      </c>
      <c r="K102" s="3" t="str" cm="1">
        <f t="array" aca="1" ref="K102" ca="1">IF(Table1[[#This Row],[Winner]]&lt;&gt;"TBD", INDEX(Rankings!H:H, MATCH(Table1[[#This Row],[Theme Date]], Rankings!A:A, 0) + MATCH(Table1[[#This Row],[Winner]], Rankings!$J$1:$N$1, 0) - 1, 1), Table1[[#This Row],[Winner]])</f>
        <v>Kuch Kuch Hota Hai</v>
      </c>
      <c r="L102" s="3" t="str">
        <f ca="1">IF(AND(Table1[[#This Row],[Theme Date]]&lt;=TODAY(), Table1[[#This Row],[Passed]]), VLOOKUP(Table1[[#This Row],[Theme Date]], Rankings!A:C, 3, FALSE), "TBD")</f>
        <v>currydestroyer27</v>
      </c>
    </row>
    <row r="103" spans="1:12" ht="30">
      <c r="A103" s="59">
        <v>46170</v>
      </c>
      <c r="B103" t="s">
        <v>37</v>
      </c>
      <c r="C103" t="s">
        <v>4407</v>
      </c>
      <c r="D103" s="88" t="s">
        <v>4408</v>
      </c>
      <c r="G103" s="3" t="s">
        <v>4212</v>
      </c>
      <c r="I103" s="3" t="s">
        <v>4212</v>
      </c>
      <c r="J103" s="3" t="b">
        <f t="shared" si="11"/>
        <v>1</v>
      </c>
      <c r="K103" s="3" t="str" cm="1">
        <f t="array" aca="1" ref="K103" ca="1">IF(Table1[[#This Row],[Winner]]&lt;&gt;"TBD", INDEX(Rankings!H:H, MATCH(Table1[[#This Row],[Theme Date]], Rankings!A:A, 0) + MATCH(Table1[[#This Row],[Winner]], Rankings!$J$1:$N$1, 0) - 1, 1), Table1[[#This Row],[Winner]])</f>
        <v>Ride</v>
      </c>
      <c r="L103" s="3" t="str">
        <f ca="1">IF(AND(Table1[[#This Row],[Theme Date]]&lt;=TODAY(), Table1[[#This Row],[Passed]]), VLOOKUP(Table1[[#This Row],[Theme Date]], Rankings!A:C, 3, FALSE), "TBD")</f>
        <v>loganworsdell</v>
      </c>
    </row>
    <row r="104" spans="1:12" ht="45">
      <c r="A104" s="59">
        <v>46177</v>
      </c>
      <c r="B104" t="s">
        <v>38</v>
      </c>
      <c r="C104" t="s">
        <v>4409</v>
      </c>
      <c r="D104" s="88" t="s">
        <v>4410</v>
      </c>
      <c r="E104" s="3" t="s">
        <v>4212</v>
      </c>
      <c r="G104" s="3" t="s">
        <v>4212</v>
      </c>
      <c r="I104" s="3" t="s">
        <v>4212</v>
      </c>
      <c r="J104" s="3" t="b">
        <f t="shared" si="11"/>
        <v>1</v>
      </c>
      <c r="K104" s="3" t="str" cm="1">
        <f t="array" aca="1" ref="K104" ca="1">IF(Table1[[#This Row],[Winner]]&lt;&gt;"TBD", INDEX(Rankings!H:H, MATCH(Table1[[#This Row],[Theme Date]], Rankings!A:A, 0) + MATCH(Table1[[#This Row],[Winner]], Rankings!$J$1:$N$1, 0) - 1, 1), Table1[[#This Row],[Winner]])</f>
        <v>Forever</v>
      </c>
      <c r="L104" s="3" t="str">
        <f ca="1">IF(AND(Table1[[#This Row],[Theme Date]]&lt;=TODAY(), Table1[[#This Row],[Passed]]), VLOOKUP(Table1[[#This Row],[Theme Date]], Rankings!A:C, 3, FALSE), "TBD")</f>
        <v>loganworsdell</v>
      </c>
    </row>
    <row r="105" spans="1:12" ht="45">
      <c r="A105" s="59">
        <v>46184</v>
      </c>
      <c r="B105" t="s">
        <v>39</v>
      </c>
      <c r="C105" t="s">
        <v>4411</v>
      </c>
      <c r="D105" s="88" t="s">
        <v>4312</v>
      </c>
      <c r="E105" s="3" t="s">
        <v>4212</v>
      </c>
      <c r="I105" s="3" t="s">
        <v>4212</v>
      </c>
      <c r="J105" s="3" t="b">
        <f t="shared" si="11"/>
        <v>1</v>
      </c>
      <c r="K105" s="3" t="str" cm="1">
        <f t="array" aca="1" ref="K105" ca="1">IF(Table1[[#This Row],[Winner]]&lt;&gt;"TBD", INDEX(Rankings!H:H, MATCH(Table1[[#This Row],[Theme Date]], Rankings!A:A, 0) + MATCH(Table1[[#This Row],[Winner]], Rankings!$J$1:$N$1, 0) - 1, 1), Table1[[#This Row],[Winner]])</f>
        <v>crushcrushcrush</v>
      </c>
      <c r="L105" s="3" t="str">
        <f ca="1">IF(AND(Table1[[#This Row],[Theme Date]]&lt;=TODAY(), Table1[[#This Row],[Passed]]), VLOOKUP(Table1[[#This Row],[Theme Date]], Rankings!A:C, 3, FALSE), "TBD")</f>
        <v>currydestroyer27</v>
      </c>
    </row>
    <row r="106" spans="1:12">
      <c r="A106" s="59">
        <v>46191</v>
      </c>
      <c r="B106" t="s">
        <v>40</v>
      </c>
      <c r="C106" t="s">
        <v>4412</v>
      </c>
      <c r="D106" s="88" t="s">
        <v>4413</v>
      </c>
      <c r="E106" s="3" t="s">
        <v>4212</v>
      </c>
      <c r="G106" s="3" t="s">
        <v>4212</v>
      </c>
      <c r="J106" s="3" t="b">
        <f t="shared" si="11"/>
        <v>1</v>
      </c>
      <c r="K106" s="3" t="str" cm="1">
        <f t="array" aca="1" ref="K106" ca="1">IF(Table1[[#This Row],[Winner]]&lt;&gt;"TBD", INDEX(Rankings!H:H, MATCH(Table1[[#This Row],[Theme Date]], Rankings!A:A, 0) + MATCH(Table1[[#This Row],[Winner]], Rankings!$J$1:$N$1, 0) - 1, 1), Table1[[#This Row],[Winner]])</f>
        <v>Heart-Shaped Box</v>
      </c>
      <c r="L106" s="3" t="str">
        <f ca="1">IF(AND(Table1[[#This Row],[Theme Date]]&lt;=TODAY(), Table1[[#This Row],[Passed]]), VLOOKUP(Table1[[#This Row],[Theme Date]], Rankings!A:C, 3, FALSE), "TBD")</f>
        <v>samuelbattista</v>
      </c>
    </row>
    <row r="107" spans="1:12">
      <c r="A107" s="59">
        <v>46198</v>
      </c>
      <c r="B107" t="s">
        <v>41</v>
      </c>
      <c r="C107" t="s">
        <v>4414</v>
      </c>
      <c r="D107" s="88" t="s">
        <v>4415</v>
      </c>
      <c r="E107" s="3" t="s">
        <v>4212</v>
      </c>
      <c r="F107" s="3" t="s">
        <v>4212</v>
      </c>
      <c r="G107" s="3" t="s">
        <v>4212</v>
      </c>
      <c r="J107" s="3" t="b">
        <f t="shared" si="11"/>
        <v>1</v>
      </c>
      <c r="K107" s="3" t="str" cm="1">
        <f t="array" aca="1" ref="K107" ca="1">IF(Table1[[#This Row],[Winner]]&lt;&gt;"TBD", INDEX(Rankings!H:H, MATCH(Table1[[#This Row],[Theme Date]], Rankings!A:A, 0) + MATCH(Table1[[#This Row],[Winner]], Rankings!$J$1:$N$1, 0) - 1, 1), Table1[[#This Row],[Winner]])</f>
        <v>Wavin' Flag</v>
      </c>
      <c r="L107" s="3" t="str">
        <f ca="1">IF(AND(Table1[[#This Row],[Theme Date]]&lt;=TODAY(), Table1[[#This Row],[Passed]]), VLOOKUP(Table1[[#This Row],[Theme Date]], Rankings!A:C, 3, FALSE), "TBD")</f>
        <v>loganworsdell</v>
      </c>
    </row>
    <row r="108" spans="1:12" ht="45">
      <c r="A108" s="59">
        <v>46205</v>
      </c>
      <c r="B108" t="s">
        <v>37</v>
      </c>
      <c r="C108" t="s">
        <v>4416</v>
      </c>
      <c r="D108" s="88" t="s">
        <v>4417</v>
      </c>
      <c r="F108" s="3" t="s">
        <v>4212</v>
      </c>
      <c r="G108" s="3" t="s">
        <v>4212</v>
      </c>
      <c r="H108" s="3" t="s">
        <v>4212</v>
      </c>
      <c r="I108" s="3" t="s">
        <v>4212</v>
      </c>
      <c r="J108" s="3" t="b">
        <f t="shared" si="11"/>
        <v>1</v>
      </c>
      <c r="K108" s="3" t="str" cm="1">
        <f t="array" aca="1" ref="K108" ca="1">IF(Table1[[#This Row],[Winner]]&lt;&gt;"TBD", INDEX(Rankings!H:H, MATCH(Table1[[#This Row],[Theme Date]], Rankings!A:A, 0) + MATCH(Table1[[#This Row],[Winner]], Rankings!$J$1:$N$1, 0) - 1, 1), Table1[[#This Row],[Winner]])</f>
        <v>99 Luftballoons</v>
      </c>
      <c r="L108" s="3" t="str">
        <f ca="1">IF(AND(Table1[[#This Row],[Theme Date]]&lt;=TODAY(), Table1[[#This Row],[Passed]]), VLOOKUP(Table1[[#This Row],[Theme Date]], Rankings!A:C, 3, FALSE), "TBD")</f>
        <v>danram</v>
      </c>
    </row>
    <row r="109" spans="1:12" ht="30">
      <c r="A109" s="59">
        <v>46212</v>
      </c>
      <c r="B109" t="s">
        <v>38</v>
      </c>
      <c r="C109" t="s">
        <v>4418</v>
      </c>
      <c r="D109" s="88" t="s">
        <v>4419</v>
      </c>
      <c r="E109" s="3" t="s">
        <v>4212</v>
      </c>
      <c r="G109" s="3" t="s">
        <v>4212</v>
      </c>
      <c r="H109" s="3" t="s">
        <v>4212</v>
      </c>
      <c r="J109" s="3" t="b">
        <f t="shared" si="11"/>
        <v>1</v>
      </c>
      <c r="K109" s="3" t="str" cm="1">
        <f t="array" aca="1" ref="K109" ca="1">IF(Table1[[#This Row],[Winner]]&lt;&gt;"TBD", INDEX(Rankings!H:H, MATCH(Table1[[#This Row],[Theme Date]], Rankings!A:A, 0) + MATCH(Table1[[#This Row],[Winner]], Rankings!$J$1:$N$1, 0) - 1, 1), Table1[[#This Row],[Winner]])</f>
        <v>Haru</v>
      </c>
      <c r="L109" s="3" t="str">
        <f ca="1">IF(AND(Table1[[#This Row],[Theme Date]]&lt;=TODAY(), Table1[[#This Row],[Passed]]), VLOOKUP(Table1[[#This Row],[Theme Date]], Rankings!A:C, 3, FALSE), "TBD")</f>
        <v>currydestroyer27</v>
      </c>
    </row>
    <row r="110" spans="1:12" ht="30">
      <c r="A110" s="59">
        <v>46219</v>
      </c>
      <c r="B110" t="s">
        <v>39</v>
      </c>
      <c r="C110" t="s">
        <v>4420</v>
      </c>
      <c r="D110" s="88" t="s">
        <v>4421</v>
      </c>
      <c r="E110" s="3" t="s">
        <v>4212</v>
      </c>
      <c r="F110" s="3" t="s">
        <v>4212</v>
      </c>
      <c r="I110" s="3" t="s">
        <v>4212</v>
      </c>
      <c r="J110" s="3" t="b">
        <f t="shared" si="11"/>
        <v>1</v>
      </c>
      <c r="K110" s="3" t="str" cm="1">
        <f t="array" aca="1" ref="K110" ca="1">IF(Table1[[#This Row],[Winner]]&lt;&gt;"TBD", INDEX(Rankings!H:H, MATCH(Table1[[#This Row],[Theme Date]], Rankings!A:A, 0) + MATCH(Table1[[#This Row],[Winner]], Rankings!$J$1:$N$1, 0) - 1, 1), Table1[[#This Row],[Winner]])</f>
        <v>Just Dance</v>
      </c>
      <c r="L110" s="3" t="str">
        <f ca="1">IF(AND(Table1[[#This Row],[Theme Date]]&lt;=TODAY(), Table1[[#This Row],[Passed]]), VLOOKUP(Table1[[#This Row],[Theme Date]], Rankings!A:C, 3, FALSE), "TBD")</f>
        <v>currydestroyer27</v>
      </c>
    </row>
    <row r="111" spans="1:12" ht="45">
      <c r="A111" s="59">
        <v>46226</v>
      </c>
      <c r="B111" t="s">
        <v>40</v>
      </c>
      <c r="C111" t="s">
        <v>4422</v>
      </c>
      <c r="D111" s="88" t="s">
        <v>4423</v>
      </c>
      <c r="E111" s="3" t="s">
        <v>4212</v>
      </c>
      <c r="F111" s="3" t="s">
        <v>4212</v>
      </c>
      <c r="G111" s="3" t="s">
        <v>4212</v>
      </c>
      <c r="J111" s="3" t="b">
        <f t="shared" si="11"/>
        <v>1</v>
      </c>
      <c r="K111" s="3" t="str" cm="1">
        <f t="array" aca="1" ref="K111" ca="1">IF(Table1[[#This Row],[Winner]]&lt;&gt;"TBD", INDEX(Rankings!H:H, MATCH(Table1[[#This Row],[Theme Date]], Rankings!A:A, 0) + MATCH(Table1[[#This Row],[Winner]], Rankings!$J$1:$N$1, 0) - 1, 1), Table1[[#This Row],[Winner]])</f>
        <v>Believe</v>
      </c>
      <c r="L111" s="3" t="str">
        <f ca="1">IF(AND(Table1[[#This Row],[Theme Date]]&lt;=TODAY(), Table1[[#This Row],[Passed]]), VLOOKUP(Table1[[#This Row],[Theme Date]], Rankings!A:C, 3, FALSE), "TBD")</f>
        <v>loganworsdell</v>
      </c>
    </row>
    <row r="112" spans="1:12" ht="30">
      <c r="A112" s="59">
        <v>46233</v>
      </c>
      <c r="B112" t="s">
        <v>41</v>
      </c>
      <c r="C112" t="s">
        <v>4424</v>
      </c>
      <c r="D112" s="88" t="s">
        <v>4425</v>
      </c>
      <c r="E112" s="3" t="s">
        <v>4212</v>
      </c>
      <c r="G112" s="3" t="s">
        <v>4212</v>
      </c>
      <c r="J112" s="3" t="b">
        <f t="shared" si="11"/>
        <v>1</v>
      </c>
      <c r="K112" s="3" t="str" cm="1">
        <f t="array" aca="1" ref="K112" ca="1">IF(Table1[[#This Row],[Winner]]&lt;&gt;"TBD", INDEX(Rankings!H:H, MATCH(Table1[[#This Row],[Theme Date]], Rankings!A:A, 0) + MATCH(Table1[[#This Row],[Winner]], Rankings!$J$1:$N$1, 0) - 1, 1), Table1[[#This Row],[Winner]])</f>
        <v>I Melt with You</v>
      </c>
      <c r="L112" s="3" t="str">
        <f ca="1">IF(AND(Table1[[#This Row],[Theme Date]]&lt;=TODAY(), Table1[[#This Row],[Passed]]), VLOOKUP(Table1[[#This Row],[Theme Date]], Rankings!A:C, 3, FALSE), "TBD")</f>
        <v>danram</v>
      </c>
    </row>
    <row r="113" spans="1:12" ht="30">
      <c r="A113" s="59">
        <v>46240</v>
      </c>
      <c r="B113" t="s">
        <v>37</v>
      </c>
      <c r="C113" t="s">
        <v>4426</v>
      </c>
      <c r="D113" s="88" t="s">
        <v>4427</v>
      </c>
      <c r="G113" s="3" t="s">
        <v>4212</v>
      </c>
      <c r="J113" s="3" t="b">
        <f t="shared" si="11"/>
        <v>1</v>
      </c>
      <c r="K113" s="3" t="str" cm="1">
        <f t="array" aca="1" ref="K113" ca="1">IF(Table1[[#This Row],[Winner]]&lt;&gt;"TBD", INDEX(Rankings!H:H, MATCH(Table1[[#This Row],[Theme Date]], Rankings!A:A, 0) + MATCH(Table1[[#This Row],[Winner]], Rankings!$J$1:$N$1, 0) - 1, 1), Table1[[#This Row],[Winner]])</f>
        <v>Not Afraid</v>
      </c>
      <c r="L113" s="3" t="str">
        <f ca="1">IF(AND(Table1[[#This Row],[Theme Date]]&lt;=TODAY(), Table1[[#This Row],[Passed]]), VLOOKUP(Table1[[#This Row],[Theme Date]], Rankings!A:C, 3, FALSE), "TBD")</f>
        <v>danram</v>
      </c>
    </row>
    <row r="114" spans="1:12">
      <c r="A114" s="59">
        <v>46247</v>
      </c>
      <c r="B114" t="s">
        <v>38</v>
      </c>
      <c r="C114" t="s">
        <v>4428</v>
      </c>
      <c r="D114" s="88" t="s">
        <v>4429</v>
      </c>
      <c r="E114" s="3" t="s">
        <v>4235</v>
      </c>
      <c r="G114" s="3" t="s">
        <v>4212</v>
      </c>
      <c r="J114" s="3" t="b">
        <f t="shared" si="11"/>
        <v>1</v>
      </c>
      <c r="K114" s="3" t="str" cm="1">
        <f t="array" aca="1" ref="K114" ca="1">IF(Table1[[#This Row],[Winner]]&lt;&gt;"TBD", INDEX(Rankings!H:H, MATCH(Table1[[#This Row],[Theme Date]], Rankings!A:A, 0) + MATCH(Table1[[#This Row],[Winner]], Rankings!$J$1:$N$1, 0) - 1, 1), Table1[[#This Row],[Winner]])</f>
        <v>Sierra Leone</v>
      </c>
      <c r="L114" s="3" t="str">
        <f ca="1">IF(AND(Table1[[#This Row],[Theme Date]]&lt;=TODAY(), Table1[[#This Row],[Passed]]), VLOOKUP(Table1[[#This Row],[Theme Date]], Rankings!A:C, 3, FALSE), "TBD")</f>
        <v>alappatjoe</v>
      </c>
    </row>
    <row r="115" spans="1:12" ht="30">
      <c r="A115" s="59">
        <v>46254</v>
      </c>
      <c r="B115" t="s">
        <v>39</v>
      </c>
      <c r="C115" t="s">
        <v>4430</v>
      </c>
      <c r="D115" s="88" t="s">
        <v>4431</v>
      </c>
      <c r="E115" s="3" t="s">
        <v>4212</v>
      </c>
      <c r="J115" s="3" t="b">
        <f t="shared" si="11"/>
        <v>1</v>
      </c>
      <c r="K115" s="3" t="str" cm="1">
        <f t="array" aca="1" ref="K115" ca="1">IF(Table1[[#This Row],[Winner]]&lt;&gt;"TBD", INDEX(Rankings!H:H, MATCH(Table1[[#This Row],[Theme Date]], Rankings!A:A, 0) + MATCH(Table1[[#This Row],[Winner]], Rankings!$J$1:$N$1, 0) - 1, 1), Table1[[#This Row],[Winner]])</f>
        <v>Die Young</v>
      </c>
      <c r="L115" s="3" t="str">
        <f ca="1">IF(AND(Table1[[#This Row],[Theme Date]]&lt;=TODAY(), Table1[[#This Row],[Passed]]), VLOOKUP(Table1[[#This Row],[Theme Date]], Rankings!A:C, 3, FALSE), "TBD")</f>
        <v>alappatjoe</v>
      </c>
    </row>
    <row r="116" spans="1:12">
      <c r="A116" s="59">
        <v>46261</v>
      </c>
      <c r="B116" t="s">
        <v>40</v>
      </c>
      <c r="C116" t="s">
        <v>4504</v>
      </c>
      <c r="D116" s="88" t="s">
        <v>4505</v>
      </c>
      <c r="J116" s="3" t="b">
        <f t="shared" si="11"/>
        <v>1</v>
      </c>
      <c r="K116" s="3" t="str" cm="1">
        <f t="array" aca="1" ref="K116" ca="1">IF(Table1[[#This Row],[Winner]]&lt;&gt;"TBD", INDEX(Rankings!H:H, MATCH(Table1[[#This Row],[Theme Date]], Rankings!A:A, 0) + MATCH(Table1[[#This Row],[Winner]], Rankings!$J$1:$N$1, 0) - 1, 1), Table1[[#This Row],[Winner]])</f>
        <v>I Will Always Love You</v>
      </c>
      <c r="L116" s="3" t="str">
        <f ca="1">IF(AND(Table1[[#This Row],[Theme Date]]&lt;=TODAY(), Table1[[#This Row],[Passed]]), VLOOKUP(Table1[[#This Row],[Theme Date]], Rankings!A:C, 3, FALSE), "TBD")</f>
        <v>samuelbattista</v>
      </c>
    </row>
    <row r="117" spans="1:12">
      <c r="A117" s="59">
        <v>46268</v>
      </c>
      <c r="B117" t="s">
        <v>41</v>
      </c>
      <c r="J117" s="3" t="b">
        <f t="shared" si="11"/>
        <v>1</v>
      </c>
      <c r="K117" s="3" t="str" cm="1">
        <f t="array" aca="1" ref="K117" ca="1">IF(Table1[[#This Row],[Winner]]&lt;&gt;"TBD", INDEX(Rankings!H:H, MATCH(Table1[[#This Row],[Theme Date]], Rankings!A:A, 0) + MATCH(Table1[[#This Row],[Winner]], Rankings!$J$1:$N$1, 0) - 1, 1), Table1[[#This Row],[Winner]])</f>
        <v>TBD</v>
      </c>
      <c r="L117" s="3" t="str">
        <f ca="1">IF(AND(Table1[[#This Row],[Theme Date]]&lt;=TODAY(), Table1[[#This Row],[Passed]]), VLOOKUP(Table1[[#This Row],[Theme Date]], Rankings!A:C, 3, FALSE), "TBD")</f>
        <v>TBD</v>
      </c>
    </row>
    <row r="118" spans="1:12">
      <c r="A118" s="59">
        <v>46275</v>
      </c>
      <c r="B118" t="s">
        <v>37</v>
      </c>
      <c r="J118" s="3" t="b">
        <f t="shared" ref="J118:J127" si="12">COUNTIFS(E118:I118, "Opposed") &lt; 2</f>
        <v>1</v>
      </c>
      <c r="K118" s="3" t="str" cm="1">
        <f t="array" aca="1" ref="K118" ca="1">IF(Table1[[#This Row],[Winner]]&lt;&gt;"TBD", INDEX(Rankings!H:H, MATCH(Table1[[#This Row],[Theme Date]], Rankings!A:A, 0) + MATCH(Table1[[#This Row],[Winner]], Rankings!$J$1:$N$1, 0) - 1, 1), Table1[[#This Row],[Winner]])</f>
        <v>TBD</v>
      </c>
      <c r="L118" s="3" t="str">
        <f ca="1">IF(AND(Table1[[#This Row],[Theme Date]]&lt;=TODAY(), Table1[[#This Row],[Passed]]), VLOOKUP(Table1[[#This Row],[Theme Date]], Rankings!A:C, 3, FALSE), "TBD")</f>
        <v>TBD</v>
      </c>
    </row>
    <row r="119" spans="1:12" ht="45">
      <c r="A119" s="59">
        <v>46282</v>
      </c>
      <c r="B119" t="s">
        <v>38</v>
      </c>
      <c r="C119" t="s">
        <v>4432</v>
      </c>
      <c r="D119" s="88" t="s">
        <v>4433</v>
      </c>
      <c r="J119" s="3" t="b">
        <f t="shared" si="12"/>
        <v>1</v>
      </c>
      <c r="K119" s="3" t="str" cm="1">
        <f t="array" aca="1" ref="K119" ca="1">IF(Table1[[#This Row],[Winner]]&lt;&gt;"TBD", INDEX(Rankings!H:H, MATCH(Table1[[#This Row],[Theme Date]], Rankings!A:A, 0) + MATCH(Table1[[#This Row],[Winner]], Rankings!$J$1:$N$1, 0) - 1, 1), Table1[[#This Row],[Winner]])</f>
        <v>TBD</v>
      </c>
      <c r="L119" s="3" t="str">
        <f ca="1">IF(AND(Table1[[#This Row],[Theme Date]]&lt;=TODAY(), Table1[[#This Row],[Passed]]), VLOOKUP(Table1[[#This Row],[Theme Date]], Rankings!A:C, 3, FALSE), "TBD")</f>
        <v>TBD</v>
      </c>
    </row>
    <row r="120" spans="1:12">
      <c r="A120" s="59">
        <v>46289</v>
      </c>
      <c r="B120" t="s">
        <v>39</v>
      </c>
      <c r="J120" s="3" t="b">
        <f t="shared" si="12"/>
        <v>1</v>
      </c>
      <c r="K120" s="3" t="str" cm="1">
        <f t="array" aca="1" ref="K120" ca="1">IF(Table1[[#This Row],[Winner]]&lt;&gt;"TBD", INDEX(Rankings!H:H, MATCH(Table1[[#This Row],[Theme Date]], Rankings!A:A, 0) + MATCH(Table1[[#This Row],[Winner]], Rankings!$J$1:$N$1, 0) - 1, 1), Table1[[#This Row],[Winner]])</f>
        <v>TBD</v>
      </c>
      <c r="L120" s="3" t="str">
        <f ca="1">IF(AND(Table1[[#This Row],[Theme Date]]&lt;=TODAY(), Table1[[#This Row],[Passed]]), VLOOKUP(Table1[[#This Row],[Theme Date]], Rankings!A:C, 3, FALSE), "TBD")</f>
        <v>TBD</v>
      </c>
    </row>
    <row r="121" spans="1:12">
      <c r="A121" s="59">
        <v>46296</v>
      </c>
      <c r="B121" t="s">
        <v>40</v>
      </c>
      <c r="J121" s="3" t="b">
        <f t="shared" si="12"/>
        <v>1</v>
      </c>
      <c r="K121" s="3" t="str" cm="1">
        <f t="array" aca="1" ref="K121" ca="1">IF(Table1[[#This Row],[Winner]]&lt;&gt;"TBD", INDEX(Rankings!H:H, MATCH(Table1[[#This Row],[Theme Date]], Rankings!A:A, 0) + MATCH(Table1[[#This Row],[Winner]], Rankings!$J$1:$N$1, 0) - 1, 1), Table1[[#This Row],[Winner]])</f>
        <v>TBD</v>
      </c>
      <c r="L121" s="3" t="str">
        <f ca="1">IF(AND(Table1[[#This Row],[Theme Date]]&lt;=TODAY(), Table1[[#This Row],[Passed]]), VLOOKUP(Table1[[#This Row],[Theme Date]], Rankings!A:C, 3, FALSE), "TBD")</f>
        <v>TBD</v>
      </c>
    </row>
    <row r="122" spans="1:12">
      <c r="A122" s="59">
        <v>46303</v>
      </c>
      <c r="B122" t="s">
        <v>41</v>
      </c>
      <c r="J122" s="3" t="b">
        <f t="shared" si="12"/>
        <v>1</v>
      </c>
      <c r="K122" s="3" t="str" cm="1">
        <f t="array" aca="1" ref="K122" ca="1">IF(Table1[[#This Row],[Winner]]&lt;&gt;"TBD", INDEX(Rankings!H:H, MATCH(Table1[[#This Row],[Theme Date]], Rankings!A:A, 0) + MATCH(Table1[[#This Row],[Winner]], Rankings!$J$1:$N$1, 0) - 1, 1), Table1[[#This Row],[Winner]])</f>
        <v>TBD</v>
      </c>
      <c r="L122" s="3" t="str">
        <f ca="1">IF(AND(Table1[[#This Row],[Theme Date]]&lt;=TODAY(), Table1[[#This Row],[Passed]]), VLOOKUP(Table1[[#This Row],[Theme Date]], Rankings!A:C, 3, FALSE), "TBD")</f>
        <v>TBD</v>
      </c>
    </row>
    <row r="123" spans="1:12">
      <c r="A123" s="59">
        <v>46310</v>
      </c>
      <c r="B123" t="s">
        <v>37</v>
      </c>
      <c r="J123" s="3" t="b">
        <f t="shared" si="12"/>
        <v>1</v>
      </c>
      <c r="K123" s="3" t="str" cm="1">
        <f t="array" aca="1" ref="K123" ca="1">IF(Table1[[#This Row],[Winner]]&lt;&gt;"TBD", INDEX(Rankings!H:H, MATCH(Table1[[#This Row],[Theme Date]], Rankings!A:A, 0) + MATCH(Table1[[#This Row],[Winner]], Rankings!$J$1:$N$1, 0) - 1, 1), Table1[[#This Row],[Winner]])</f>
        <v>TBD</v>
      </c>
      <c r="L123" s="3" t="str">
        <f ca="1">IF(AND(Table1[[#This Row],[Theme Date]]&lt;=TODAY(), Table1[[#This Row],[Passed]]), VLOOKUP(Table1[[#This Row],[Theme Date]], Rankings!A:C, 3, FALSE), "TBD")</f>
        <v>TBD</v>
      </c>
    </row>
    <row r="124" spans="1:12">
      <c r="A124" s="59">
        <v>46317</v>
      </c>
      <c r="B124" t="s">
        <v>38</v>
      </c>
      <c r="J124" s="3" t="b">
        <f t="shared" si="12"/>
        <v>1</v>
      </c>
      <c r="K124" s="3" t="str" cm="1">
        <f t="array" aca="1" ref="K124" ca="1">IF(Table1[[#This Row],[Winner]]&lt;&gt;"TBD", INDEX(Rankings!H:H, MATCH(Table1[[#This Row],[Theme Date]], Rankings!A:A, 0) + MATCH(Table1[[#This Row],[Winner]], Rankings!$J$1:$N$1, 0) - 1, 1), Table1[[#This Row],[Winner]])</f>
        <v>TBD</v>
      </c>
      <c r="L124" s="3" t="str">
        <f ca="1">IF(AND(Table1[[#This Row],[Theme Date]]&lt;=TODAY(), Table1[[#This Row],[Passed]]), VLOOKUP(Table1[[#This Row],[Theme Date]], Rankings!A:C, 3, FALSE), "TBD")</f>
        <v>TBD</v>
      </c>
    </row>
    <row r="125" spans="1:12">
      <c r="A125" s="59">
        <v>46324</v>
      </c>
      <c r="B125" t="s">
        <v>39</v>
      </c>
      <c r="J125" s="3" t="b">
        <f t="shared" si="12"/>
        <v>1</v>
      </c>
      <c r="K125" s="3" t="str" cm="1">
        <f t="array" aca="1" ref="K125" ca="1">IF(Table1[[#This Row],[Winner]]&lt;&gt;"TBD", INDEX(Rankings!H:H, MATCH(Table1[[#This Row],[Theme Date]], Rankings!A:A, 0) + MATCH(Table1[[#This Row],[Winner]], Rankings!$J$1:$N$1, 0) - 1, 1), Table1[[#This Row],[Winner]])</f>
        <v>TBD</v>
      </c>
      <c r="L125" s="3" t="str">
        <f ca="1">IF(AND(Table1[[#This Row],[Theme Date]]&lt;=TODAY(), Table1[[#This Row],[Passed]]), VLOOKUP(Table1[[#This Row],[Theme Date]], Rankings!A:C, 3, FALSE), "TBD")</f>
        <v>TBD</v>
      </c>
    </row>
    <row r="126" spans="1:12">
      <c r="A126" s="59">
        <v>46331</v>
      </c>
      <c r="B126" t="s">
        <v>40</v>
      </c>
      <c r="J126" s="3" t="b">
        <f t="shared" si="12"/>
        <v>1</v>
      </c>
      <c r="K126" s="3" t="str" cm="1">
        <f t="array" aca="1" ref="K126" ca="1">IF(Table1[[#This Row],[Winner]]&lt;&gt;"TBD", INDEX(Rankings!H:H, MATCH(Table1[[#This Row],[Theme Date]], Rankings!A:A, 0) + MATCH(Table1[[#This Row],[Winner]], Rankings!$J$1:$N$1, 0) - 1, 1), Table1[[#This Row],[Winner]])</f>
        <v>TBD</v>
      </c>
      <c r="L126" s="3" t="str">
        <f ca="1">IF(AND(Table1[[#This Row],[Theme Date]]&lt;=TODAY(), Table1[[#This Row],[Passed]]), VLOOKUP(Table1[[#This Row],[Theme Date]], Rankings!A:C, 3, FALSE), "TBD")</f>
        <v>TBD</v>
      </c>
    </row>
    <row r="127" spans="1:12">
      <c r="A127" s="59">
        <v>46338</v>
      </c>
      <c r="B127" t="s">
        <v>41</v>
      </c>
      <c r="J127" s="3" t="b">
        <f t="shared" si="12"/>
        <v>1</v>
      </c>
      <c r="K127" s="3" t="str" cm="1">
        <f t="array" aca="1" ref="K127" ca="1">IF(Table1[[#This Row],[Winner]]&lt;&gt;"TBD", INDEX(Rankings!H:H, MATCH(Table1[[#This Row],[Theme Date]], Rankings!A:A, 0) + MATCH(Table1[[#This Row],[Winner]], Rankings!$J$1:$N$1, 0) - 1, 1), Table1[[#This Row],[Winner]])</f>
        <v>TBD</v>
      </c>
      <c r="L127" s="3" t="str">
        <f ca="1">IF(AND(Table1[[#This Row],[Theme Date]]&lt;=TODAY(), Table1[[#This Row],[Passed]]), VLOOKUP(Table1[[#This Row],[Theme Date]], Rankings!A:C, 3, FALSE), "TBD")</f>
        <v>TBD</v>
      </c>
    </row>
  </sheetData>
  <mergeCells count="3">
    <mergeCell ref="E1:I1"/>
    <mergeCell ref="A1:D1"/>
    <mergeCell ref="J1:L1"/>
  </mergeCells>
  <conditionalFormatting sqref="A81:A94 A98:A101 A103:A106 A108:A111 A113:A116 A118:A121 A123:A126">
    <cfRule type="expression" dxfId="213" priority="2575">
      <formula>$J82=FALSE</formula>
    </cfRule>
  </conditionalFormatting>
  <conditionalFormatting sqref="A1:L38 A39:B39 E39:L39 A40:L44 A45:B45 E45 G45:L46 A46:E46 A47:L47 A48:E49 G48:L49 A50:L59 A60:C60 E60:L60 A61:L63 A64:B64 E64:L64 A65:L68 A69:B69 E69:L69 A70:L80 B81 E81:L81 F81:F82 B82:L82 B83 E83:L83 E83:E86 B84:L127 A128:L1048576">
    <cfRule type="expression" dxfId="212" priority="1">
      <formula>$J1=FALSE</formula>
    </cfRule>
  </conditionalFormatting>
  <conditionalFormatting sqref="C39:D39 F39">
    <cfRule type="expression" dxfId="211" priority="2489">
      <formula>$J45=FALSE</formula>
    </cfRule>
  </conditionalFormatting>
  <conditionalFormatting sqref="C64:D64">
    <cfRule type="expression" dxfId="210" priority="2527">
      <formula>$J69=FALSE</formula>
    </cfRule>
  </conditionalFormatting>
  <conditionalFormatting sqref="C81:D81 A95:A96">
    <cfRule type="expression" dxfId="209" priority="2578">
      <formula>$J83=FALSE</formula>
    </cfRule>
  </conditionalFormatting>
  <conditionalFormatting sqref="E1:I38 E39 G39:I39 E40:I44 E45:E46 G45:I46 E47:I47 E48:E49 G48:I49 E50:I1048576">
    <cfRule type="expression" dxfId="208" priority="4">
      <formula>$B1=E$2</formula>
    </cfRule>
  </conditionalFormatting>
  <conditionalFormatting sqref="F39">
    <cfRule type="expression" dxfId="207" priority="2495">
      <formula>$B45=F$2</formula>
    </cfRule>
  </conditionalFormatting>
  <dataValidations count="2">
    <dataValidation type="list" allowBlank="1" showInputMessage="1" showErrorMessage="1" sqref="E1:E32 F2:I38 E33:I44 F47 F50:F1048576 G45:I1048576 E45:E1048576" xr:uid="{70393C1E-5084-4446-840A-C46DF37C26AF}">
      <formula1>"In Favor, Opposed"</formula1>
    </dataValidation>
    <dataValidation type="list" allowBlank="1" showInputMessage="1" showErrorMessage="1" sqref="B2:B1048576" xr:uid="{73041909-1089-478B-846F-A2AAA073F4ED}">
      <formula1>$E$2:$I$2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BDB7-12FC-4EAA-869D-FCBECC21F7B7}">
  <sheetPr codeName="Sheet7"/>
  <dimension ref="A1:G446"/>
  <sheetViews>
    <sheetView workbookViewId="0">
      <selection activeCell="G2" sqref="G2"/>
    </sheetView>
  </sheetViews>
  <sheetFormatPr defaultRowHeight="15"/>
  <cols>
    <col min="1" max="1" width="13.140625" bestFit="1" customWidth="1"/>
    <col min="2" max="2" width="12.5703125" customWidth="1"/>
    <col min="3" max="3" width="9.85546875" customWidth="1"/>
    <col min="4" max="4" width="15.7109375" customWidth="1"/>
    <col min="5" max="5" width="16.28515625" customWidth="1"/>
    <col min="6" max="6" width="18.140625" customWidth="1"/>
    <col min="7" max="7" width="9.28515625" bestFit="1" customWidth="1"/>
  </cols>
  <sheetData>
    <row r="1" spans="1:7">
      <c r="A1" s="103" t="s">
        <v>4434</v>
      </c>
      <c r="B1" s="170" t="s">
        <v>37</v>
      </c>
      <c r="C1" s="171" t="s">
        <v>38</v>
      </c>
      <c r="D1" s="172" t="s">
        <v>39</v>
      </c>
      <c r="E1" s="173" t="s">
        <v>40</v>
      </c>
      <c r="F1" s="174" t="s">
        <v>41</v>
      </c>
      <c r="G1" t="s">
        <v>4478</v>
      </c>
    </row>
    <row r="2" spans="1:7">
      <c r="A2" s="217">
        <v>45455</v>
      </c>
      <c r="B2">
        <f>COUNTIFS(Data[Date], "&lt;="&amp;$A2, Data[[Poster]:[Poster]],B$1, Data[Winner],TRUE())</f>
        <v>0</v>
      </c>
      <c r="C2">
        <f>COUNTIFS(Data[Date], "&lt;="&amp;$A2, Data[[Poster]:[Poster]],C$1, Data[Winner],TRUE())</f>
        <v>1</v>
      </c>
      <c r="D2">
        <f>COUNTIFS(Data[Date], "&lt;="&amp;$A2, Data[[Poster]:[Poster]],D$1, Data[Winner],TRUE())</f>
        <v>0</v>
      </c>
      <c r="E2">
        <f>COUNTIFS(Data[Date], "&lt;="&amp;$A2, Data[[Poster]:[Poster]],E$1, Data[Winner],TRUE())</f>
        <v>0</v>
      </c>
      <c r="F2">
        <f>COUNTIFS(Data[Date], "&lt;="&amp;$A2, Data[[Poster]:[Poster]],F$1, Data[Winner],TRUE())</f>
        <v>0</v>
      </c>
      <c r="G2" t="str" cm="1">
        <f t="array" ref="G2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3" spans="1:7">
      <c r="A3" s="217">
        <v>45456</v>
      </c>
      <c r="B3">
        <f>COUNTIFS(Data[Date], "&lt;="&amp;$A3, Data[[Poster]:[Poster]],B$1, Data[Winner],TRUE())</f>
        <v>1</v>
      </c>
      <c r="C3">
        <f>COUNTIFS(Data[Date], "&lt;="&amp;$A3, Data[[Poster]:[Poster]],C$1, Data[Winner],TRUE())</f>
        <v>1</v>
      </c>
      <c r="D3">
        <f>COUNTIFS(Data[Date], "&lt;="&amp;$A3, Data[[Poster]:[Poster]],D$1, Data[Winner],TRUE())</f>
        <v>0</v>
      </c>
      <c r="E3">
        <f>COUNTIFS(Data[Date], "&lt;="&amp;$A3, Data[[Poster]:[Poster]],E$1, Data[Winner],TRUE())</f>
        <v>0</v>
      </c>
      <c r="F3">
        <f>COUNTIFS(Data[Date], "&lt;="&amp;$A3, Data[[Poster]:[Poster]],F$1, Data[Winner],TRUE())</f>
        <v>0</v>
      </c>
      <c r="G3" t="str" cm="1">
        <f t="array" ref="G3">_xlfn.TEXTJOIN(", ", TRUE, _xlfn._xlws.FILTER(Cumulative_Wins[[#Headers],[alappatjoe]:[currydestroyer27]], Cumulative_Wins[[#This Row],[alappatjoe]:[currydestroyer27]]=MAX(Cumulative_Wins[[#This Row],[alappatjoe]:[currydestroyer27]])))</f>
        <v>alappatjoe, danram</v>
      </c>
    </row>
    <row r="4" spans="1:7">
      <c r="A4" s="217">
        <v>45460</v>
      </c>
      <c r="B4">
        <f>COUNTIFS(Data[Date], "&lt;="&amp;$A4, Data[[Poster]:[Poster]],B$1, Data[Winner],TRUE())</f>
        <v>1</v>
      </c>
      <c r="C4">
        <f>COUNTIFS(Data[Date], "&lt;="&amp;$A4, Data[[Poster]:[Poster]],C$1, Data[Winner],TRUE())</f>
        <v>2</v>
      </c>
      <c r="D4">
        <f>COUNTIFS(Data[Date], "&lt;="&amp;$A4, Data[[Poster]:[Poster]],D$1, Data[Winner],TRUE())</f>
        <v>0</v>
      </c>
      <c r="E4">
        <f>COUNTIFS(Data[Date], "&lt;="&amp;$A4, Data[[Poster]:[Poster]],E$1, Data[Winner],TRUE())</f>
        <v>0</v>
      </c>
      <c r="F4">
        <f>COUNTIFS(Data[Date], "&lt;="&amp;$A4, Data[[Poster]:[Poster]],F$1, Data[Winner],TRUE())</f>
        <v>0</v>
      </c>
      <c r="G4" t="str" cm="1">
        <f t="array" ref="G4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5" spans="1:7">
      <c r="A5" s="217">
        <v>45461</v>
      </c>
      <c r="B5">
        <f>COUNTIFS(Data[Date], "&lt;="&amp;$A5, Data[[Poster]:[Poster]],B$1, Data[Winner],TRUE())</f>
        <v>1</v>
      </c>
      <c r="C5">
        <f>COUNTIFS(Data[Date], "&lt;="&amp;$A5, Data[[Poster]:[Poster]],C$1, Data[Winner],TRUE())</f>
        <v>2</v>
      </c>
      <c r="D5">
        <f>COUNTIFS(Data[Date], "&lt;="&amp;$A5, Data[[Poster]:[Poster]],D$1, Data[Winner],TRUE())</f>
        <v>1</v>
      </c>
      <c r="E5">
        <f>COUNTIFS(Data[Date], "&lt;="&amp;$A5, Data[[Poster]:[Poster]],E$1, Data[Winner],TRUE())</f>
        <v>0</v>
      </c>
      <c r="F5">
        <f>COUNTIFS(Data[Date], "&lt;="&amp;$A5, Data[[Poster]:[Poster]],F$1, Data[Winner],TRUE())</f>
        <v>0</v>
      </c>
      <c r="G5" t="str" cm="1">
        <f t="array" ref="G5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6" spans="1:7">
      <c r="A6" s="217">
        <v>45462</v>
      </c>
      <c r="B6">
        <f>COUNTIFS(Data[Date], "&lt;="&amp;$A6, Data[[Poster]:[Poster]],B$1, Data[Winner],TRUE())</f>
        <v>1</v>
      </c>
      <c r="C6">
        <f>COUNTIFS(Data[Date], "&lt;="&amp;$A6, Data[[Poster]:[Poster]],C$1, Data[Winner],TRUE())</f>
        <v>2</v>
      </c>
      <c r="D6">
        <f>COUNTIFS(Data[Date], "&lt;="&amp;$A6, Data[[Poster]:[Poster]],D$1, Data[Winner],TRUE())</f>
        <v>1</v>
      </c>
      <c r="E6">
        <f>COUNTIFS(Data[Date], "&lt;="&amp;$A6, Data[[Poster]:[Poster]],E$1, Data[Winner],TRUE())</f>
        <v>0</v>
      </c>
      <c r="F6">
        <f>COUNTIFS(Data[Date], "&lt;="&amp;$A6, Data[[Poster]:[Poster]],F$1, Data[Winner],TRUE())</f>
        <v>1</v>
      </c>
      <c r="G6" t="str" cm="1">
        <f t="array" ref="G6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7" spans="1:7">
      <c r="A7" s="217">
        <v>45463</v>
      </c>
      <c r="B7">
        <f>COUNTIFS(Data[Date], "&lt;="&amp;$A7, Data[[Poster]:[Poster]],B$1, Data[Winner],TRUE())</f>
        <v>2</v>
      </c>
      <c r="C7">
        <f>COUNTIFS(Data[Date], "&lt;="&amp;$A7, Data[[Poster]:[Poster]],C$1, Data[Winner],TRUE())</f>
        <v>2</v>
      </c>
      <c r="D7">
        <f>COUNTIFS(Data[Date], "&lt;="&amp;$A7, Data[[Poster]:[Poster]],D$1, Data[Winner],TRUE())</f>
        <v>1</v>
      </c>
      <c r="E7">
        <f>COUNTIFS(Data[Date], "&lt;="&amp;$A7, Data[[Poster]:[Poster]],E$1, Data[Winner],TRUE())</f>
        <v>0</v>
      </c>
      <c r="F7">
        <f>COUNTIFS(Data[Date], "&lt;="&amp;$A7, Data[[Poster]:[Poster]],F$1, Data[Winner],TRUE())</f>
        <v>1</v>
      </c>
      <c r="G7" t="str" cm="1">
        <f t="array" ref="G7">_xlfn.TEXTJOIN(", ", TRUE, _xlfn._xlws.FILTER(Cumulative_Wins[[#Headers],[alappatjoe]:[currydestroyer27]], Cumulative_Wins[[#This Row],[alappatjoe]:[currydestroyer27]]=MAX(Cumulative_Wins[[#This Row],[alappatjoe]:[currydestroyer27]])))</f>
        <v>alappatjoe, danram</v>
      </c>
    </row>
    <row r="8" spans="1:7">
      <c r="A8" s="217">
        <v>45467</v>
      </c>
      <c r="B8">
        <f>COUNTIFS(Data[Date], "&lt;="&amp;$A8, Data[[Poster]:[Poster]],B$1, Data[Winner],TRUE())</f>
        <v>2</v>
      </c>
      <c r="C8">
        <f>COUNTIFS(Data[Date], "&lt;="&amp;$A8, Data[[Poster]:[Poster]],C$1, Data[Winner],TRUE())</f>
        <v>2</v>
      </c>
      <c r="D8">
        <f>COUNTIFS(Data[Date], "&lt;="&amp;$A8, Data[[Poster]:[Poster]],D$1, Data[Winner],TRUE())</f>
        <v>2</v>
      </c>
      <c r="E8">
        <f>COUNTIFS(Data[Date], "&lt;="&amp;$A8, Data[[Poster]:[Poster]],E$1, Data[Winner],TRUE())</f>
        <v>0</v>
      </c>
      <c r="F8">
        <f>COUNTIFS(Data[Date], "&lt;="&amp;$A8, Data[[Poster]:[Poster]],F$1, Data[Winner],TRUE())</f>
        <v>1</v>
      </c>
      <c r="G8" t="str" cm="1">
        <f t="array" ref="G8">_xlfn.TEXTJOIN(", ", TRUE, _xlfn._xlws.FILTER(Cumulative_Wins[[#Headers],[alappatjoe]:[currydestroyer27]], Cumulative_Wins[[#This Row],[alappatjoe]:[currydestroyer27]]=MAX(Cumulative_Wins[[#This Row],[alappatjoe]:[currydestroyer27]])))</f>
        <v>alappatjoe, danram, loganworsdell</v>
      </c>
    </row>
    <row r="9" spans="1:7">
      <c r="A9" s="217">
        <v>45468</v>
      </c>
      <c r="B9">
        <f>COUNTIFS(Data[Date], "&lt;="&amp;$A9, Data[[Poster]:[Poster]],B$1, Data[Winner],TRUE())</f>
        <v>2</v>
      </c>
      <c r="C9">
        <f>COUNTIFS(Data[Date], "&lt;="&amp;$A9, Data[[Poster]:[Poster]],C$1, Data[Winner],TRUE())</f>
        <v>2</v>
      </c>
      <c r="D9">
        <f>COUNTIFS(Data[Date], "&lt;="&amp;$A9, Data[[Poster]:[Poster]],D$1, Data[Winner],TRUE())</f>
        <v>2</v>
      </c>
      <c r="E9">
        <f>COUNTIFS(Data[Date], "&lt;="&amp;$A9, Data[[Poster]:[Poster]],E$1, Data[Winner],TRUE())</f>
        <v>0</v>
      </c>
      <c r="F9">
        <f>COUNTIFS(Data[Date], "&lt;="&amp;$A9, Data[[Poster]:[Poster]],F$1, Data[Winner],TRUE())</f>
        <v>2</v>
      </c>
      <c r="G9" t="str" cm="1">
        <f t="array" ref="G9">_xlfn.TEXTJOIN(", ", TRUE, _xlfn._xlws.FILTER(Cumulative_Wins[[#Headers],[alappatjoe]:[currydestroyer27]], Cumulative_Wins[[#This Row],[alappatjoe]:[currydestroyer27]]=MAX(Cumulative_Wins[[#This Row],[alappatjoe]:[currydestroyer27]])))</f>
        <v>alappatjoe, danram, loganworsdell, currydestroyer27</v>
      </c>
    </row>
    <row r="10" spans="1:7">
      <c r="A10" s="217">
        <v>45469</v>
      </c>
      <c r="B10">
        <f>COUNTIFS(Data[Date], "&lt;="&amp;$A10, Data[[Poster]:[Poster]],B$1, Data[Winner],TRUE())</f>
        <v>2</v>
      </c>
      <c r="C10">
        <f>COUNTIFS(Data[Date], "&lt;="&amp;$A10, Data[[Poster]:[Poster]],C$1, Data[Winner],TRUE())</f>
        <v>2</v>
      </c>
      <c r="D10">
        <f>COUNTIFS(Data[Date], "&lt;="&amp;$A10, Data[[Poster]:[Poster]],D$1, Data[Winner],TRUE())</f>
        <v>3</v>
      </c>
      <c r="E10">
        <f>COUNTIFS(Data[Date], "&lt;="&amp;$A10, Data[[Poster]:[Poster]],E$1, Data[Winner],TRUE())</f>
        <v>0</v>
      </c>
      <c r="F10">
        <f>COUNTIFS(Data[Date], "&lt;="&amp;$A10, Data[[Poster]:[Poster]],F$1, Data[Winner],TRUE())</f>
        <v>2</v>
      </c>
      <c r="G10" t="str" cm="1">
        <f t="array" ref="G10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11" spans="1:7">
      <c r="A11" s="217">
        <v>45470</v>
      </c>
      <c r="B11">
        <f>COUNTIFS(Data[Date], "&lt;="&amp;$A11, Data[[Poster]:[Poster]],B$1, Data[Winner],TRUE())</f>
        <v>2</v>
      </c>
      <c r="C11">
        <f>COUNTIFS(Data[Date], "&lt;="&amp;$A11, Data[[Poster]:[Poster]],C$1, Data[Winner],TRUE())</f>
        <v>2</v>
      </c>
      <c r="D11">
        <f>COUNTIFS(Data[Date], "&lt;="&amp;$A11, Data[[Poster]:[Poster]],D$1, Data[Winner],TRUE())</f>
        <v>3</v>
      </c>
      <c r="E11">
        <f>COUNTIFS(Data[Date], "&lt;="&amp;$A11, Data[[Poster]:[Poster]],E$1, Data[Winner],TRUE())</f>
        <v>1</v>
      </c>
      <c r="F11">
        <f>COUNTIFS(Data[Date], "&lt;="&amp;$A11, Data[[Poster]:[Poster]],F$1, Data[Winner],TRUE())</f>
        <v>2</v>
      </c>
      <c r="G11" t="str" cm="1">
        <f t="array" ref="G11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12" spans="1:7">
      <c r="A12" s="217">
        <v>45474</v>
      </c>
      <c r="B12">
        <f>COUNTIFS(Data[Date], "&lt;="&amp;$A12, Data[[Poster]:[Poster]],B$1, Data[Winner],TRUE())</f>
        <v>3</v>
      </c>
      <c r="C12">
        <f>COUNTIFS(Data[Date], "&lt;="&amp;$A12, Data[[Poster]:[Poster]],C$1, Data[Winner],TRUE())</f>
        <v>2</v>
      </c>
      <c r="D12">
        <f>COUNTIFS(Data[Date], "&lt;="&amp;$A12, Data[[Poster]:[Poster]],D$1, Data[Winner],TRUE())</f>
        <v>3</v>
      </c>
      <c r="E12">
        <f>COUNTIFS(Data[Date], "&lt;="&amp;$A12, Data[[Poster]:[Poster]],E$1, Data[Winner],TRUE())</f>
        <v>1</v>
      </c>
      <c r="F12">
        <f>COUNTIFS(Data[Date], "&lt;="&amp;$A12, Data[[Poster]:[Poster]],F$1, Data[Winner],TRUE())</f>
        <v>2</v>
      </c>
      <c r="G12" t="str" cm="1">
        <f t="array" ref="G12">_xlfn.TEXTJOIN(", ", TRUE, _xlfn._xlws.FILTER(Cumulative_Wins[[#Headers],[alappatjoe]:[currydestroyer27]], Cumulative_Wins[[#This Row],[alappatjoe]:[currydestroyer27]]=MAX(Cumulative_Wins[[#This Row],[alappatjoe]:[currydestroyer27]])))</f>
        <v>alappatjoe, loganworsdell</v>
      </c>
    </row>
    <row r="13" spans="1:7">
      <c r="A13" s="217">
        <v>45475</v>
      </c>
      <c r="B13">
        <f>COUNTIFS(Data[Date], "&lt;="&amp;$A13, Data[[Poster]:[Poster]],B$1, Data[Winner],TRUE())</f>
        <v>3</v>
      </c>
      <c r="C13">
        <f>COUNTIFS(Data[Date], "&lt;="&amp;$A13, Data[[Poster]:[Poster]],C$1, Data[Winner],TRUE())</f>
        <v>3</v>
      </c>
      <c r="D13">
        <f>COUNTIFS(Data[Date], "&lt;="&amp;$A13, Data[[Poster]:[Poster]],D$1, Data[Winner],TRUE())</f>
        <v>3</v>
      </c>
      <c r="E13">
        <f>COUNTIFS(Data[Date], "&lt;="&amp;$A13, Data[[Poster]:[Poster]],E$1, Data[Winner],TRUE())</f>
        <v>1</v>
      </c>
      <c r="F13">
        <f>COUNTIFS(Data[Date], "&lt;="&amp;$A13, Data[[Poster]:[Poster]],F$1, Data[Winner],TRUE())</f>
        <v>2</v>
      </c>
      <c r="G13" t="str" cm="1">
        <f t="array" ref="G13">_xlfn.TEXTJOIN(", ", TRUE, _xlfn._xlws.FILTER(Cumulative_Wins[[#Headers],[alappatjoe]:[currydestroyer27]], Cumulative_Wins[[#This Row],[alappatjoe]:[currydestroyer27]]=MAX(Cumulative_Wins[[#This Row],[alappatjoe]:[currydestroyer27]])))</f>
        <v>alappatjoe, danram, loganworsdell</v>
      </c>
    </row>
    <row r="14" spans="1:7">
      <c r="A14" s="217">
        <v>45476</v>
      </c>
      <c r="B14">
        <f>COUNTIFS(Data[Date], "&lt;="&amp;$A14, Data[[Poster]:[Poster]],B$1, Data[Winner],TRUE())</f>
        <v>4</v>
      </c>
      <c r="C14">
        <f>COUNTIFS(Data[Date], "&lt;="&amp;$A14, Data[[Poster]:[Poster]],C$1, Data[Winner],TRUE())</f>
        <v>3</v>
      </c>
      <c r="D14">
        <f>COUNTIFS(Data[Date], "&lt;="&amp;$A14, Data[[Poster]:[Poster]],D$1, Data[Winner],TRUE())</f>
        <v>3</v>
      </c>
      <c r="E14">
        <f>COUNTIFS(Data[Date], "&lt;="&amp;$A14, Data[[Poster]:[Poster]],E$1, Data[Winner],TRUE())</f>
        <v>1</v>
      </c>
      <c r="F14">
        <f>COUNTIFS(Data[Date], "&lt;="&amp;$A14, Data[[Poster]:[Poster]],F$1, Data[Winner],TRUE())</f>
        <v>2</v>
      </c>
      <c r="G14" t="str" cm="1">
        <f t="array" ref="G14">_xlfn.TEXTJOIN(", ", TRUE, _xlfn._xlws.FILTER(Cumulative_Wins[[#Headers],[alappatjoe]:[currydestroyer27]], Cumulative_Wins[[#This Row],[alappatjoe]:[currydestroyer27]]=MAX(Cumulative_Wins[[#This Row],[alappatjoe]:[currydestroyer27]])))</f>
        <v>alappatjoe</v>
      </c>
    </row>
    <row r="15" spans="1:7">
      <c r="A15" s="217">
        <v>45477</v>
      </c>
      <c r="B15">
        <f>COUNTIFS(Data[Date], "&lt;="&amp;$A15, Data[[Poster]:[Poster]],B$1, Data[Winner],TRUE())</f>
        <v>4</v>
      </c>
      <c r="C15">
        <f>COUNTIFS(Data[Date], "&lt;="&amp;$A15, Data[[Poster]:[Poster]],C$1, Data[Winner],TRUE())</f>
        <v>3</v>
      </c>
      <c r="D15">
        <f>COUNTIFS(Data[Date], "&lt;="&amp;$A15, Data[[Poster]:[Poster]],D$1, Data[Winner],TRUE())</f>
        <v>4</v>
      </c>
      <c r="E15">
        <f>COUNTIFS(Data[Date], "&lt;="&amp;$A15, Data[[Poster]:[Poster]],E$1, Data[Winner],TRUE())</f>
        <v>1</v>
      </c>
      <c r="F15">
        <f>COUNTIFS(Data[Date], "&lt;="&amp;$A15, Data[[Poster]:[Poster]],F$1, Data[Winner],TRUE())</f>
        <v>2</v>
      </c>
      <c r="G15" t="str" cm="1">
        <f t="array" ref="G15">_xlfn.TEXTJOIN(", ", TRUE, _xlfn._xlws.FILTER(Cumulative_Wins[[#Headers],[alappatjoe]:[currydestroyer27]], Cumulative_Wins[[#This Row],[alappatjoe]:[currydestroyer27]]=MAX(Cumulative_Wins[[#This Row],[alappatjoe]:[currydestroyer27]])))</f>
        <v>alappatjoe, loganworsdell</v>
      </c>
    </row>
    <row r="16" spans="1:7">
      <c r="A16" s="217">
        <v>45481</v>
      </c>
      <c r="B16">
        <f>COUNTIFS(Data[Date], "&lt;="&amp;$A16, Data[[Poster]:[Poster]],B$1, Data[Winner],TRUE())</f>
        <v>4</v>
      </c>
      <c r="C16">
        <f>COUNTIFS(Data[Date], "&lt;="&amp;$A16, Data[[Poster]:[Poster]],C$1, Data[Winner],TRUE())</f>
        <v>3</v>
      </c>
      <c r="D16">
        <f>COUNTIFS(Data[Date], "&lt;="&amp;$A16, Data[[Poster]:[Poster]],D$1, Data[Winner],TRUE())</f>
        <v>4</v>
      </c>
      <c r="E16">
        <f>COUNTIFS(Data[Date], "&lt;="&amp;$A16, Data[[Poster]:[Poster]],E$1, Data[Winner],TRUE())</f>
        <v>1</v>
      </c>
      <c r="F16">
        <f>COUNTIFS(Data[Date], "&lt;="&amp;$A16, Data[[Poster]:[Poster]],F$1, Data[Winner],TRUE())</f>
        <v>3</v>
      </c>
      <c r="G16" t="str" cm="1">
        <f t="array" ref="G16">_xlfn.TEXTJOIN(", ", TRUE, _xlfn._xlws.FILTER(Cumulative_Wins[[#Headers],[alappatjoe]:[currydestroyer27]], Cumulative_Wins[[#This Row],[alappatjoe]:[currydestroyer27]]=MAX(Cumulative_Wins[[#This Row],[alappatjoe]:[currydestroyer27]])))</f>
        <v>alappatjoe, loganworsdell</v>
      </c>
    </row>
    <row r="17" spans="1:7">
      <c r="A17" s="217">
        <v>45482</v>
      </c>
      <c r="B17">
        <f>COUNTIFS(Data[Date], "&lt;="&amp;$A17, Data[[Poster]:[Poster]],B$1, Data[Winner],TRUE())</f>
        <v>4</v>
      </c>
      <c r="C17">
        <f>COUNTIFS(Data[Date], "&lt;="&amp;$A17, Data[[Poster]:[Poster]],C$1, Data[Winner],TRUE())</f>
        <v>3</v>
      </c>
      <c r="D17">
        <f>COUNTIFS(Data[Date], "&lt;="&amp;$A17, Data[[Poster]:[Poster]],D$1, Data[Winner],TRUE())</f>
        <v>5</v>
      </c>
      <c r="E17">
        <f>COUNTIFS(Data[Date], "&lt;="&amp;$A17, Data[[Poster]:[Poster]],E$1, Data[Winner],TRUE())</f>
        <v>1</v>
      </c>
      <c r="F17">
        <f>COUNTIFS(Data[Date], "&lt;="&amp;$A17, Data[[Poster]:[Poster]],F$1, Data[Winner],TRUE())</f>
        <v>3</v>
      </c>
      <c r="G17" t="str" cm="1">
        <f t="array" ref="G17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18" spans="1:7">
      <c r="A18" s="217">
        <v>45483</v>
      </c>
      <c r="B18">
        <f>COUNTIFS(Data[Date], "&lt;="&amp;$A18, Data[[Poster]:[Poster]],B$1, Data[Winner],TRUE())</f>
        <v>4</v>
      </c>
      <c r="C18">
        <f>COUNTIFS(Data[Date], "&lt;="&amp;$A18, Data[[Poster]:[Poster]],C$1, Data[Winner],TRUE())</f>
        <v>3</v>
      </c>
      <c r="D18">
        <f>COUNTIFS(Data[Date], "&lt;="&amp;$A18, Data[[Poster]:[Poster]],D$1, Data[Winner],TRUE())</f>
        <v>5</v>
      </c>
      <c r="E18">
        <f>COUNTIFS(Data[Date], "&lt;="&amp;$A18, Data[[Poster]:[Poster]],E$1, Data[Winner],TRUE())</f>
        <v>1</v>
      </c>
      <c r="F18">
        <f>COUNTIFS(Data[Date], "&lt;="&amp;$A18, Data[[Poster]:[Poster]],F$1, Data[Winner],TRUE())</f>
        <v>4</v>
      </c>
      <c r="G18" t="str" cm="1">
        <f t="array" ref="G18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19" spans="1:7">
      <c r="A19" s="217">
        <v>45484</v>
      </c>
      <c r="B19">
        <f>COUNTIFS(Data[Date], "&lt;="&amp;$A19, Data[[Poster]:[Poster]],B$1, Data[Winner],TRUE())</f>
        <v>4</v>
      </c>
      <c r="C19">
        <f>COUNTIFS(Data[Date], "&lt;="&amp;$A19, Data[[Poster]:[Poster]],C$1, Data[Winner],TRUE())</f>
        <v>3</v>
      </c>
      <c r="D19">
        <f>COUNTIFS(Data[Date], "&lt;="&amp;$A19, Data[[Poster]:[Poster]],D$1, Data[Winner],TRUE())</f>
        <v>5</v>
      </c>
      <c r="E19">
        <f>COUNTIFS(Data[Date], "&lt;="&amp;$A19, Data[[Poster]:[Poster]],E$1, Data[Winner],TRUE())</f>
        <v>2</v>
      </c>
      <c r="F19">
        <f>COUNTIFS(Data[Date], "&lt;="&amp;$A19, Data[[Poster]:[Poster]],F$1, Data[Winner],TRUE())</f>
        <v>4</v>
      </c>
      <c r="G19" t="str" cm="1">
        <f t="array" ref="G19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20" spans="1:7">
      <c r="A20" s="217">
        <v>45488</v>
      </c>
      <c r="B20">
        <f>COUNTIFS(Data[Date], "&lt;="&amp;$A20, Data[[Poster]:[Poster]],B$1, Data[Winner],TRUE())</f>
        <v>4</v>
      </c>
      <c r="C20">
        <f>COUNTIFS(Data[Date], "&lt;="&amp;$A20, Data[[Poster]:[Poster]],C$1, Data[Winner],TRUE())</f>
        <v>3</v>
      </c>
      <c r="D20">
        <f>COUNTIFS(Data[Date], "&lt;="&amp;$A20, Data[[Poster]:[Poster]],D$1, Data[Winner],TRUE())</f>
        <v>5</v>
      </c>
      <c r="E20">
        <f>COUNTIFS(Data[Date], "&lt;="&amp;$A20, Data[[Poster]:[Poster]],E$1, Data[Winner],TRUE())</f>
        <v>2</v>
      </c>
      <c r="F20">
        <f>COUNTIFS(Data[Date], "&lt;="&amp;$A20, Data[[Poster]:[Poster]],F$1, Data[Winner],TRUE())</f>
        <v>5</v>
      </c>
      <c r="G20" t="str" cm="1">
        <f t="array" ref="G20">_xlfn.TEXTJOIN(", ", TRUE, _xlfn._xlws.FILTER(Cumulative_Wins[[#Headers],[alappatjoe]:[currydestroyer27]], Cumulative_Wins[[#This Row],[alappatjoe]:[currydestroyer27]]=MAX(Cumulative_Wins[[#This Row],[alappatjoe]:[currydestroyer27]])))</f>
        <v>loganworsdell, currydestroyer27</v>
      </c>
    </row>
    <row r="21" spans="1:7">
      <c r="A21" s="217">
        <v>45489</v>
      </c>
      <c r="B21">
        <f>COUNTIFS(Data[Date], "&lt;="&amp;$A21, Data[[Poster]:[Poster]],B$1, Data[Winner],TRUE())</f>
        <v>4</v>
      </c>
      <c r="C21">
        <f>COUNTIFS(Data[Date], "&lt;="&amp;$A21, Data[[Poster]:[Poster]],C$1, Data[Winner],TRUE())</f>
        <v>3</v>
      </c>
      <c r="D21">
        <f>COUNTIFS(Data[Date], "&lt;="&amp;$A21, Data[[Poster]:[Poster]],D$1, Data[Winner],TRUE())</f>
        <v>6</v>
      </c>
      <c r="E21">
        <f>COUNTIFS(Data[Date], "&lt;="&amp;$A21, Data[[Poster]:[Poster]],E$1, Data[Winner],TRUE())</f>
        <v>2</v>
      </c>
      <c r="F21">
        <f>COUNTIFS(Data[Date], "&lt;="&amp;$A21, Data[[Poster]:[Poster]],F$1, Data[Winner],TRUE())</f>
        <v>5</v>
      </c>
      <c r="G21" t="str" cm="1">
        <f t="array" ref="G21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22" spans="1:7">
      <c r="A22" s="217">
        <v>45490</v>
      </c>
      <c r="B22">
        <f>COUNTIFS(Data[Date], "&lt;="&amp;$A22, Data[[Poster]:[Poster]],B$1, Data[Winner],TRUE())</f>
        <v>4</v>
      </c>
      <c r="C22">
        <f>COUNTIFS(Data[Date], "&lt;="&amp;$A22, Data[[Poster]:[Poster]],C$1, Data[Winner],TRUE())</f>
        <v>4</v>
      </c>
      <c r="D22">
        <f>COUNTIFS(Data[Date], "&lt;="&amp;$A22, Data[[Poster]:[Poster]],D$1, Data[Winner],TRUE())</f>
        <v>6</v>
      </c>
      <c r="E22">
        <f>COUNTIFS(Data[Date], "&lt;="&amp;$A22, Data[[Poster]:[Poster]],E$1, Data[Winner],TRUE())</f>
        <v>2</v>
      </c>
      <c r="F22">
        <f>COUNTIFS(Data[Date], "&lt;="&amp;$A22, Data[[Poster]:[Poster]],F$1, Data[Winner],TRUE())</f>
        <v>5</v>
      </c>
      <c r="G22" t="str" cm="1">
        <f t="array" ref="G22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23" spans="1:7">
      <c r="A23" s="217">
        <v>45491</v>
      </c>
      <c r="B23">
        <f>COUNTIFS(Data[Date], "&lt;="&amp;$A23, Data[[Poster]:[Poster]],B$1, Data[Winner],TRUE())</f>
        <v>4</v>
      </c>
      <c r="C23">
        <f>COUNTIFS(Data[Date], "&lt;="&amp;$A23, Data[[Poster]:[Poster]],C$1, Data[Winner],TRUE())</f>
        <v>5</v>
      </c>
      <c r="D23">
        <f>COUNTIFS(Data[Date], "&lt;="&amp;$A23, Data[[Poster]:[Poster]],D$1, Data[Winner],TRUE())</f>
        <v>6</v>
      </c>
      <c r="E23">
        <f>COUNTIFS(Data[Date], "&lt;="&amp;$A23, Data[[Poster]:[Poster]],E$1, Data[Winner],TRUE())</f>
        <v>2</v>
      </c>
      <c r="F23">
        <f>COUNTIFS(Data[Date], "&lt;="&amp;$A23, Data[[Poster]:[Poster]],F$1, Data[Winner],TRUE())</f>
        <v>5</v>
      </c>
      <c r="G23" t="str" cm="1">
        <f t="array" ref="G23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24" spans="1:7">
      <c r="A24" s="217">
        <v>45495</v>
      </c>
      <c r="B24">
        <f>COUNTIFS(Data[Date], "&lt;="&amp;$A24, Data[[Poster]:[Poster]],B$1, Data[Winner],TRUE())</f>
        <v>4</v>
      </c>
      <c r="C24">
        <f>COUNTIFS(Data[Date], "&lt;="&amp;$A24, Data[[Poster]:[Poster]],C$1, Data[Winner],TRUE())</f>
        <v>5</v>
      </c>
      <c r="D24">
        <f>COUNTIFS(Data[Date], "&lt;="&amp;$A24, Data[[Poster]:[Poster]],D$1, Data[Winner],TRUE())</f>
        <v>7</v>
      </c>
      <c r="E24">
        <f>COUNTIFS(Data[Date], "&lt;="&amp;$A24, Data[[Poster]:[Poster]],E$1, Data[Winner],TRUE())</f>
        <v>2</v>
      </c>
      <c r="F24">
        <f>COUNTIFS(Data[Date], "&lt;="&amp;$A24, Data[[Poster]:[Poster]],F$1, Data[Winner],TRUE())</f>
        <v>5</v>
      </c>
      <c r="G24" t="str" cm="1">
        <f t="array" ref="G24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25" spans="1:7">
      <c r="A25" s="217">
        <v>45496</v>
      </c>
      <c r="B25">
        <f>COUNTIFS(Data[Date], "&lt;="&amp;$A25, Data[[Poster]:[Poster]],B$1, Data[Winner],TRUE())</f>
        <v>4</v>
      </c>
      <c r="C25">
        <f>COUNTIFS(Data[Date], "&lt;="&amp;$A25, Data[[Poster]:[Poster]],C$1, Data[Winner],TRUE())</f>
        <v>5</v>
      </c>
      <c r="D25">
        <f>COUNTIFS(Data[Date], "&lt;="&amp;$A25, Data[[Poster]:[Poster]],D$1, Data[Winner],TRUE())</f>
        <v>7</v>
      </c>
      <c r="E25">
        <f>COUNTIFS(Data[Date], "&lt;="&amp;$A25, Data[[Poster]:[Poster]],E$1, Data[Winner],TRUE())</f>
        <v>2</v>
      </c>
      <c r="F25">
        <f>COUNTIFS(Data[Date], "&lt;="&amp;$A25, Data[[Poster]:[Poster]],F$1, Data[Winner],TRUE())</f>
        <v>6</v>
      </c>
      <c r="G25" t="str" cm="1">
        <f t="array" ref="G25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26" spans="1:7">
      <c r="A26" s="217">
        <v>45497</v>
      </c>
      <c r="B26">
        <f>COUNTIFS(Data[Date], "&lt;="&amp;$A26, Data[[Poster]:[Poster]],B$1, Data[Winner],TRUE())</f>
        <v>4</v>
      </c>
      <c r="C26">
        <f>COUNTIFS(Data[Date], "&lt;="&amp;$A26, Data[[Poster]:[Poster]],C$1, Data[Winner],TRUE())</f>
        <v>5</v>
      </c>
      <c r="D26">
        <f>COUNTIFS(Data[Date], "&lt;="&amp;$A26, Data[[Poster]:[Poster]],D$1, Data[Winner],TRUE())</f>
        <v>7</v>
      </c>
      <c r="E26">
        <f>COUNTIFS(Data[Date], "&lt;="&amp;$A26, Data[[Poster]:[Poster]],E$1, Data[Winner],TRUE())</f>
        <v>3</v>
      </c>
      <c r="F26">
        <f>COUNTIFS(Data[Date], "&lt;="&amp;$A26, Data[[Poster]:[Poster]],F$1, Data[Winner],TRUE())</f>
        <v>6</v>
      </c>
      <c r="G26" t="str" cm="1">
        <f t="array" ref="G26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27" spans="1:7">
      <c r="A27" s="217">
        <v>45498</v>
      </c>
      <c r="B27">
        <f>COUNTIFS(Data[Date], "&lt;="&amp;$A27, Data[[Poster]:[Poster]],B$1, Data[Winner],TRUE())</f>
        <v>4</v>
      </c>
      <c r="C27">
        <f>COUNTIFS(Data[Date], "&lt;="&amp;$A27, Data[[Poster]:[Poster]],C$1, Data[Winner],TRUE())</f>
        <v>6</v>
      </c>
      <c r="D27">
        <f>COUNTIFS(Data[Date], "&lt;="&amp;$A27, Data[[Poster]:[Poster]],D$1, Data[Winner],TRUE())</f>
        <v>7</v>
      </c>
      <c r="E27">
        <f>COUNTIFS(Data[Date], "&lt;="&amp;$A27, Data[[Poster]:[Poster]],E$1, Data[Winner],TRUE())</f>
        <v>3</v>
      </c>
      <c r="F27">
        <f>COUNTIFS(Data[Date], "&lt;="&amp;$A27, Data[[Poster]:[Poster]],F$1, Data[Winner],TRUE())</f>
        <v>6</v>
      </c>
      <c r="G27" t="str" cm="1">
        <f t="array" ref="G27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28" spans="1:7">
      <c r="A28" s="217">
        <v>45502</v>
      </c>
      <c r="B28">
        <f>COUNTIFS(Data[Date], "&lt;="&amp;$A28, Data[[Poster]:[Poster]],B$1, Data[Winner],TRUE())</f>
        <v>4</v>
      </c>
      <c r="C28">
        <f>COUNTIFS(Data[Date], "&lt;="&amp;$A28, Data[[Poster]:[Poster]],C$1, Data[Winner],TRUE())</f>
        <v>6</v>
      </c>
      <c r="D28">
        <f>COUNTIFS(Data[Date], "&lt;="&amp;$A28, Data[[Poster]:[Poster]],D$1, Data[Winner],TRUE())</f>
        <v>8</v>
      </c>
      <c r="E28">
        <f>COUNTIFS(Data[Date], "&lt;="&amp;$A28, Data[[Poster]:[Poster]],E$1, Data[Winner],TRUE())</f>
        <v>3</v>
      </c>
      <c r="F28">
        <f>COUNTIFS(Data[Date], "&lt;="&amp;$A28, Data[[Poster]:[Poster]],F$1, Data[Winner],TRUE())</f>
        <v>6</v>
      </c>
      <c r="G28" t="str" cm="1">
        <f t="array" ref="G28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29" spans="1:7">
      <c r="A29" s="217">
        <v>45503</v>
      </c>
      <c r="B29">
        <f>COUNTIFS(Data[Date], "&lt;="&amp;$A29, Data[[Poster]:[Poster]],B$1, Data[Winner],TRUE())</f>
        <v>4</v>
      </c>
      <c r="C29">
        <f>COUNTIFS(Data[Date], "&lt;="&amp;$A29, Data[[Poster]:[Poster]],C$1, Data[Winner],TRUE())</f>
        <v>6</v>
      </c>
      <c r="D29">
        <f>COUNTIFS(Data[Date], "&lt;="&amp;$A29, Data[[Poster]:[Poster]],D$1, Data[Winner],TRUE())</f>
        <v>9</v>
      </c>
      <c r="E29">
        <f>COUNTIFS(Data[Date], "&lt;="&amp;$A29, Data[[Poster]:[Poster]],E$1, Data[Winner],TRUE())</f>
        <v>3</v>
      </c>
      <c r="F29">
        <f>COUNTIFS(Data[Date], "&lt;="&amp;$A29, Data[[Poster]:[Poster]],F$1, Data[Winner],TRUE())</f>
        <v>6</v>
      </c>
      <c r="G29" t="str" cm="1">
        <f t="array" ref="G29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30" spans="1:7">
      <c r="A30" s="217">
        <v>45504</v>
      </c>
      <c r="B30">
        <f>COUNTIFS(Data[Date], "&lt;="&amp;$A30, Data[[Poster]:[Poster]],B$1, Data[Winner],TRUE())</f>
        <v>5</v>
      </c>
      <c r="C30">
        <f>COUNTIFS(Data[Date], "&lt;="&amp;$A30, Data[[Poster]:[Poster]],C$1, Data[Winner],TRUE())</f>
        <v>6</v>
      </c>
      <c r="D30">
        <f>COUNTIFS(Data[Date], "&lt;="&amp;$A30, Data[[Poster]:[Poster]],D$1, Data[Winner],TRUE())</f>
        <v>9</v>
      </c>
      <c r="E30">
        <f>COUNTIFS(Data[Date], "&lt;="&amp;$A30, Data[[Poster]:[Poster]],E$1, Data[Winner],TRUE())</f>
        <v>3</v>
      </c>
      <c r="F30">
        <f>COUNTIFS(Data[Date], "&lt;="&amp;$A30, Data[[Poster]:[Poster]],F$1, Data[Winner],TRUE())</f>
        <v>6</v>
      </c>
      <c r="G30" t="str" cm="1">
        <f t="array" ref="G30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31" spans="1:7">
      <c r="A31" s="217">
        <v>45505</v>
      </c>
      <c r="B31">
        <f>COUNTIFS(Data[Date], "&lt;="&amp;$A31, Data[[Poster]:[Poster]],B$1, Data[Winner],TRUE())</f>
        <v>5</v>
      </c>
      <c r="C31">
        <f>COUNTIFS(Data[Date], "&lt;="&amp;$A31, Data[[Poster]:[Poster]],C$1, Data[Winner],TRUE())</f>
        <v>6</v>
      </c>
      <c r="D31">
        <f>COUNTIFS(Data[Date], "&lt;="&amp;$A31, Data[[Poster]:[Poster]],D$1, Data[Winner],TRUE())</f>
        <v>9</v>
      </c>
      <c r="E31">
        <f>COUNTIFS(Data[Date], "&lt;="&amp;$A31, Data[[Poster]:[Poster]],E$1, Data[Winner],TRUE())</f>
        <v>3</v>
      </c>
      <c r="F31">
        <f>COUNTIFS(Data[Date], "&lt;="&amp;$A31, Data[[Poster]:[Poster]],F$1, Data[Winner],TRUE())</f>
        <v>7</v>
      </c>
      <c r="G31" t="str" cm="1">
        <f t="array" ref="G31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32" spans="1:7">
      <c r="A32" s="217">
        <v>45509</v>
      </c>
      <c r="B32">
        <f>COUNTIFS(Data[Date], "&lt;="&amp;$A32, Data[[Poster]:[Poster]],B$1, Data[Winner],TRUE())</f>
        <v>5</v>
      </c>
      <c r="C32">
        <f>COUNTIFS(Data[Date], "&lt;="&amp;$A32, Data[[Poster]:[Poster]],C$1, Data[Winner],TRUE())</f>
        <v>6</v>
      </c>
      <c r="D32">
        <f>COUNTIFS(Data[Date], "&lt;="&amp;$A32, Data[[Poster]:[Poster]],D$1, Data[Winner],TRUE())</f>
        <v>10</v>
      </c>
      <c r="E32">
        <f>COUNTIFS(Data[Date], "&lt;="&amp;$A32, Data[[Poster]:[Poster]],E$1, Data[Winner],TRUE())</f>
        <v>3</v>
      </c>
      <c r="F32">
        <f>COUNTIFS(Data[Date], "&lt;="&amp;$A32, Data[[Poster]:[Poster]],F$1, Data[Winner],TRUE())</f>
        <v>7</v>
      </c>
      <c r="G32" t="str" cm="1">
        <f t="array" ref="G32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33" spans="1:7">
      <c r="A33" s="217">
        <v>45510</v>
      </c>
      <c r="B33">
        <f>COUNTIFS(Data[Date], "&lt;="&amp;$A33, Data[[Poster]:[Poster]],B$1, Data[Winner],TRUE())</f>
        <v>5</v>
      </c>
      <c r="C33">
        <f>COUNTIFS(Data[Date], "&lt;="&amp;$A33, Data[[Poster]:[Poster]],C$1, Data[Winner],TRUE())</f>
        <v>7</v>
      </c>
      <c r="D33">
        <f>COUNTIFS(Data[Date], "&lt;="&amp;$A33, Data[[Poster]:[Poster]],D$1, Data[Winner],TRUE())</f>
        <v>10</v>
      </c>
      <c r="E33">
        <f>COUNTIFS(Data[Date], "&lt;="&amp;$A33, Data[[Poster]:[Poster]],E$1, Data[Winner],TRUE())</f>
        <v>3</v>
      </c>
      <c r="F33">
        <f>COUNTIFS(Data[Date], "&lt;="&amp;$A33, Data[[Poster]:[Poster]],F$1, Data[Winner],TRUE())</f>
        <v>7</v>
      </c>
      <c r="G33" t="str" cm="1">
        <f t="array" ref="G33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34" spans="1:7">
      <c r="A34" s="217">
        <v>45511</v>
      </c>
      <c r="B34">
        <f>COUNTIFS(Data[Date], "&lt;="&amp;$A34, Data[[Poster]:[Poster]],B$1, Data[Winner],TRUE())</f>
        <v>5</v>
      </c>
      <c r="C34">
        <f>COUNTIFS(Data[Date], "&lt;="&amp;$A34, Data[[Poster]:[Poster]],C$1, Data[Winner],TRUE())</f>
        <v>7</v>
      </c>
      <c r="D34">
        <f>COUNTIFS(Data[Date], "&lt;="&amp;$A34, Data[[Poster]:[Poster]],D$1, Data[Winner],TRUE())</f>
        <v>11</v>
      </c>
      <c r="E34">
        <f>COUNTIFS(Data[Date], "&lt;="&amp;$A34, Data[[Poster]:[Poster]],E$1, Data[Winner],TRUE())</f>
        <v>3</v>
      </c>
      <c r="F34">
        <f>COUNTIFS(Data[Date], "&lt;="&amp;$A34, Data[[Poster]:[Poster]],F$1, Data[Winner],TRUE())</f>
        <v>7</v>
      </c>
      <c r="G34" t="str" cm="1">
        <f t="array" ref="G34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35" spans="1:7">
      <c r="A35" s="217">
        <v>45512</v>
      </c>
      <c r="B35">
        <f>COUNTIFS(Data[Date], "&lt;="&amp;$A35, Data[[Poster]:[Poster]],B$1, Data[Winner],TRUE())</f>
        <v>5</v>
      </c>
      <c r="C35">
        <f>COUNTIFS(Data[Date], "&lt;="&amp;$A35, Data[[Poster]:[Poster]],C$1, Data[Winner],TRUE())</f>
        <v>8</v>
      </c>
      <c r="D35">
        <f>COUNTIFS(Data[Date], "&lt;="&amp;$A35, Data[[Poster]:[Poster]],D$1, Data[Winner],TRUE())</f>
        <v>11</v>
      </c>
      <c r="E35">
        <f>COUNTIFS(Data[Date], "&lt;="&amp;$A35, Data[[Poster]:[Poster]],E$1, Data[Winner],TRUE())</f>
        <v>3</v>
      </c>
      <c r="F35">
        <f>COUNTIFS(Data[Date], "&lt;="&amp;$A35, Data[[Poster]:[Poster]],F$1, Data[Winner],TRUE())</f>
        <v>7</v>
      </c>
      <c r="G35" t="str" cm="1">
        <f t="array" ref="G35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36" spans="1:7">
      <c r="A36" s="217">
        <v>45516</v>
      </c>
      <c r="B36">
        <f>COUNTIFS(Data[Date], "&lt;="&amp;$A36, Data[[Poster]:[Poster]],B$1, Data[Winner],TRUE())</f>
        <v>5</v>
      </c>
      <c r="C36">
        <f>COUNTIFS(Data[Date], "&lt;="&amp;$A36, Data[[Poster]:[Poster]],C$1, Data[Winner],TRUE())</f>
        <v>9</v>
      </c>
      <c r="D36">
        <f>COUNTIFS(Data[Date], "&lt;="&amp;$A36, Data[[Poster]:[Poster]],D$1, Data[Winner],TRUE())</f>
        <v>11</v>
      </c>
      <c r="E36">
        <f>COUNTIFS(Data[Date], "&lt;="&amp;$A36, Data[[Poster]:[Poster]],E$1, Data[Winner],TRUE())</f>
        <v>3</v>
      </c>
      <c r="F36">
        <f>COUNTIFS(Data[Date], "&lt;="&amp;$A36, Data[[Poster]:[Poster]],F$1, Data[Winner],TRUE())</f>
        <v>7</v>
      </c>
      <c r="G36" t="str" cm="1">
        <f t="array" ref="G36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37" spans="1:7">
      <c r="A37" s="217">
        <v>45517</v>
      </c>
      <c r="B37">
        <f>COUNTIFS(Data[Date], "&lt;="&amp;$A37, Data[[Poster]:[Poster]],B$1, Data[Winner],TRUE())</f>
        <v>6</v>
      </c>
      <c r="C37">
        <f>COUNTIFS(Data[Date], "&lt;="&amp;$A37, Data[[Poster]:[Poster]],C$1, Data[Winner],TRUE())</f>
        <v>9</v>
      </c>
      <c r="D37">
        <f>COUNTIFS(Data[Date], "&lt;="&amp;$A37, Data[[Poster]:[Poster]],D$1, Data[Winner],TRUE())</f>
        <v>11</v>
      </c>
      <c r="E37">
        <f>COUNTIFS(Data[Date], "&lt;="&amp;$A37, Data[[Poster]:[Poster]],E$1, Data[Winner],TRUE())</f>
        <v>3</v>
      </c>
      <c r="F37">
        <f>COUNTIFS(Data[Date], "&lt;="&amp;$A37, Data[[Poster]:[Poster]],F$1, Data[Winner],TRUE())</f>
        <v>7</v>
      </c>
      <c r="G37" t="str" cm="1">
        <f t="array" ref="G37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38" spans="1:7">
      <c r="A38" s="217">
        <v>45518</v>
      </c>
      <c r="B38">
        <f>COUNTIFS(Data[Date], "&lt;="&amp;$A38, Data[[Poster]:[Poster]],B$1, Data[Winner],TRUE())</f>
        <v>7</v>
      </c>
      <c r="C38">
        <f>COUNTIFS(Data[Date], "&lt;="&amp;$A38, Data[[Poster]:[Poster]],C$1, Data[Winner],TRUE())</f>
        <v>9</v>
      </c>
      <c r="D38">
        <f>COUNTIFS(Data[Date], "&lt;="&amp;$A38, Data[[Poster]:[Poster]],D$1, Data[Winner],TRUE())</f>
        <v>11</v>
      </c>
      <c r="E38">
        <f>COUNTIFS(Data[Date], "&lt;="&amp;$A38, Data[[Poster]:[Poster]],E$1, Data[Winner],TRUE())</f>
        <v>3</v>
      </c>
      <c r="F38">
        <f>COUNTIFS(Data[Date], "&lt;="&amp;$A38, Data[[Poster]:[Poster]],F$1, Data[Winner],TRUE())</f>
        <v>7</v>
      </c>
      <c r="G38" t="str" cm="1">
        <f t="array" ref="G38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39" spans="1:7">
      <c r="A39" s="217">
        <v>45519</v>
      </c>
      <c r="B39">
        <f>COUNTIFS(Data[Date], "&lt;="&amp;$A39, Data[[Poster]:[Poster]],B$1, Data[Winner],TRUE())</f>
        <v>7</v>
      </c>
      <c r="C39">
        <f>COUNTIFS(Data[Date], "&lt;="&amp;$A39, Data[[Poster]:[Poster]],C$1, Data[Winner],TRUE())</f>
        <v>10</v>
      </c>
      <c r="D39">
        <f>COUNTIFS(Data[Date], "&lt;="&amp;$A39, Data[[Poster]:[Poster]],D$1, Data[Winner],TRUE())</f>
        <v>11</v>
      </c>
      <c r="E39">
        <f>COUNTIFS(Data[Date], "&lt;="&amp;$A39, Data[[Poster]:[Poster]],E$1, Data[Winner],TRUE())</f>
        <v>3</v>
      </c>
      <c r="F39">
        <f>COUNTIFS(Data[Date], "&lt;="&amp;$A39, Data[[Poster]:[Poster]],F$1, Data[Winner],TRUE())</f>
        <v>7</v>
      </c>
      <c r="G39" t="str" cm="1">
        <f t="array" ref="G39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40" spans="1:7">
      <c r="A40" s="217">
        <v>45523</v>
      </c>
      <c r="B40">
        <f>COUNTIFS(Data[Date], "&lt;="&amp;$A40, Data[[Poster]:[Poster]],B$1, Data[Winner],TRUE())</f>
        <v>7</v>
      </c>
      <c r="C40">
        <f>COUNTIFS(Data[Date], "&lt;="&amp;$A40, Data[[Poster]:[Poster]],C$1, Data[Winner],TRUE())</f>
        <v>10</v>
      </c>
      <c r="D40">
        <f>COUNTIFS(Data[Date], "&lt;="&amp;$A40, Data[[Poster]:[Poster]],D$1, Data[Winner],TRUE())</f>
        <v>11</v>
      </c>
      <c r="E40">
        <f>COUNTIFS(Data[Date], "&lt;="&amp;$A40, Data[[Poster]:[Poster]],E$1, Data[Winner],TRUE())</f>
        <v>3</v>
      </c>
      <c r="F40">
        <f>COUNTIFS(Data[Date], "&lt;="&amp;$A40, Data[[Poster]:[Poster]],F$1, Data[Winner],TRUE())</f>
        <v>8</v>
      </c>
      <c r="G40" t="str" cm="1">
        <f t="array" ref="G40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41" spans="1:7">
      <c r="A41" s="217">
        <v>45524</v>
      </c>
      <c r="B41">
        <f>COUNTIFS(Data[Date], "&lt;="&amp;$A41, Data[[Poster]:[Poster]],B$1, Data[Winner],TRUE())</f>
        <v>7</v>
      </c>
      <c r="C41">
        <f>COUNTIFS(Data[Date], "&lt;="&amp;$A41, Data[[Poster]:[Poster]],C$1, Data[Winner],TRUE())</f>
        <v>10</v>
      </c>
      <c r="D41">
        <f>COUNTIFS(Data[Date], "&lt;="&amp;$A41, Data[[Poster]:[Poster]],D$1, Data[Winner],TRUE())</f>
        <v>12</v>
      </c>
      <c r="E41">
        <f>COUNTIFS(Data[Date], "&lt;="&amp;$A41, Data[[Poster]:[Poster]],E$1, Data[Winner],TRUE())</f>
        <v>3</v>
      </c>
      <c r="F41">
        <f>COUNTIFS(Data[Date], "&lt;="&amp;$A41, Data[[Poster]:[Poster]],F$1, Data[Winner],TRUE())</f>
        <v>8</v>
      </c>
      <c r="G41" t="str" cm="1">
        <f t="array" ref="G41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42" spans="1:7">
      <c r="A42" s="217">
        <v>45525</v>
      </c>
      <c r="B42">
        <f>COUNTIFS(Data[Date], "&lt;="&amp;$A42, Data[[Poster]:[Poster]],B$1, Data[Winner],TRUE())</f>
        <v>7</v>
      </c>
      <c r="C42">
        <f>COUNTIFS(Data[Date], "&lt;="&amp;$A42, Data[[Poster]:[Poster]],C$1, Data[Winner],TRUE())</f>
        <v>11</v>
      </c>
      <c r="D42">
        <f>COUNTIFS(Data[Date], "&lt;="&amp;$A42, Data[[Poster]:[Poster]],D$1, Data[Winner],TRUE())</f>
        <v>12</v>
      </c>
      <c r="E42">
        <f>COUNTIFS(Data[Date], "&lt;="&amp;$A42, Data[[Poster]:[Poster]],E$1, Data[Winner],TRUE())</f>
        <v>3</v>
      </c>
      <c r="F42">
        <f>COUNTIFS(Data[Date], "&lt;="&amp;$A42, Data[[Poster]:[Poster]],F$1, Data[Winner],TRUE())</f>
        <v>8</v>
      </c>
      <c r="G42" t="str" cm="1">
        <f t="array" ref="G42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43" spans="1:7">
      <c r="A43" s="217">
        <v>45526</v>
      </c>
      <c r="B43">
        <f>COUNTIFS(Data[Date], "&lt;="&amp;$A43, Data[[Poster]:[Poster]],B$1, Data[Winner],TRUE())</f>
        <v>7</v>
      </c>
      <c r="C43">
        <f>COUNTIFS(Data[Date], "&lt;="&amp;$A43, Data[[Poster]:[Poster]],C$1, Data[Winner],TRUE())</f>
        <v>11</v>
      </c>
      <c r="D43">
        <f>COUNTIFS(Data[Date], "&lt;="&amp;$A43, Data[[Poster]:[Poster]],D$1, Data[Winner],TRUE())</f>
        <v>12</v>
      </c>
      <c r="E43">
        <f>COUNTIFS(Data[Date], "&lt;="&amp;$A43, Data[[Poster]:[Poster]],E$1, Data[Winner],TRUE())</f>
        <v>3</v>
      </c>
      <c r="F43">
        <f>COUNTIFS(Data[Date], "&lt;="&amp;$A43, Data[[Poster]:[Poster]],F$1, Data[Winner],TRUE())</f>
        <v>9</v>
      </c>
      <c r="G43" t="str" cm="1">
        <f t="array" ref="G43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44" spans="1:7">
      <c r="A44" s="217">
        <v>45530</v>
      </c>
      <c r="B44">
        <f>COUNTIFS(Data[Date], "&lt;="&amp;$A44, Data[[Poster]:[Poster]],B$1, Data[Winner],TRUE())</f>
        <v>7</v>
      </c>
      <c r="C44">
        <f>COUNTIFS(Data[Date], "&lt;="&amp;$A44, Data[[Poster]:[Poster]],C$1, Data[Winner],TRUE())</f>
        <v>11</v>
      </c>
      <c r="D44">
        <f>COUNTIFS(Data[Date], "&lt;="&amp;$A44, Data[[Poster]:[Poster]],D$1, Data[Winner],TRUE())</f>
        <v>12</v>
      </c>
      <c r="E44">
        <f>COUNTIFS(Data[Date], "&lt;="&amp;$A44, Data[[Poster]:[Poster]],E$1, Data[Winner],TRUE())</f>
        <v>3</v>
      </c>
      <c r="F44">
        <f>COUNTIFS(Data[Date], "&lt;="&amp;$A44, Data[[Poster]:[Poster]],F$1, Data[Winner],TRUE())</f>
        <v>10</v>
      </c>
      <c r="G44" t="str" cm="1">
        <f t="array" ref="G44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45" spans="1:7">
      <c r="A45" s="217">
        <v>45531</v>
      </c>
      <c r="B45">
        <f>COUNTIFS(Data[Date], "&lt;="&amp;$A45, Data[[Poster]:[Poster]],B$1, Data[Winner],TRUE())</f>
        <v>7</v>
      </c>
      <c r="C45">
        <f>COUNTIFS(Data[Date], "&lt;="&amp;$A45, Data[[Poster]:[Poster]],C$1, Data[Winner],TRUE())</f>
        <v>11</v>
      </c>
      <c r="D45">
        <f>COUNTIFS(Data[Date], "&lt;="&amp;$A45, Data[[Poster]:[Poster]],D$1, Data[Winner],TRUE())</f>
        <v>12</v>
      </c>
      <c r="E45">
        <f>COUNTIFS(Data[Date], "&lt;="&amp;$A45, Data[[Poster]:[Poster]],E$1, Data[Winner],TRUE())</f>
        <v>3</v>
      </c>
      <c r="F45">
        <f>COUNTIFS(Data[Date], "&lt;="&amp;$A45, Data[[Poster]:[Poster]],F$1, Data[Winner],TRUE())</f>
        <v>11</v>
      </c>
      <c r="G45" t="str" cm="1">
        <f t="array" ref="G45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46" spans="1:7">
      <c r="A46" s="217">
        <v>45532</v>
      </c>
      <c r="B46">
        <f>COUNTIFS(Data[Date], "&lt;="&amp;$A46, Data[[Poster]:[Poster]],B$1, Data[Winner],TRUE())</f>
        <v>7</v>
      </c>
      <c r="C46">
        <f>COUNTIFS(Data[Date], "&lt;="&amp;$A46, Data[[Poster]:[Poster]],C$1, Data[Winner],TRUE())</f>
        <v>11</v>
      </c>
      <c r="D46">
        <f>COUNTIFS(Data[Date], "&lt;="&amp;$A46, Data[[Poster]:[Poster]],D$1, Data[Winner],TRUE())</f>
        <v>12</v>
      </c>
      <c r="E46">
        <f>COUNTIFS(Data[Date], "&lt;="&amp;$A46, Data[[Poster]:[Poster]],E$1, Data[Winner],TRUE())</f>
        <v>4</v>
      </c>
      <c r="F46">
        <f>COUNTIFS(Data[Date], "&lt;="&amp;$A46, Data[[Poster]:[Poster]],F$1, Data[Winner],TRUE())</f>
        <v>11</v>
      </c>
      <c r="G46" t="str" cm="1">
        <f t="array" ref="G46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47" spans="1:7">
      <c r="A47" s="217">
        <v>45533</v>
      </c>
      <c r="B47">
        <f>COUNTIFS(Data[Date], "&lt;="&amp;$A47, Data[[Poster]:[Poster]],B$1, Data[Winner],TRUE())</f>
        <v>8</v>
      </c>
      <c r="C47">
        <f>COUNTIFS(Data[Date], "&lt;="&amp;$A47, Data[[Poster]:[Poster]],C$1, Data[Winner],TRUE())</f>
        <v>11</v>
      </c>
      <c r="D47">
        <f>COUNTIFS(Data[Date], "&lt;="&amp;$A47, Data[[Poster]:[Poster]],D$1, Data[Winner],TRUE())</f>
        <v>12</v>
      </c>
      <c r="E47">
        <f>COUNTIFS(Data[Date], "&lt;="&amp;$A47, Data[[Poster]:[Poster]],E$1, Data[Winner],TRUE())</f>
        <v>4</v>
      </c>
      <c r="F47">
        <f>COUNTIFS(Data[Date], "&lt;="&amp;$A47, Data[[Poster]:[Poster]],F$1, Data[Winner],TRUE())</f>
        <v>11</v>
      </c>
      <c r="G47" t="str" cm="1">
        <f t="array" ref="G47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48" spans="1:7">
      <c r="A48" s="217">
        <v>45537</v>
      </c>
      <c r="B48">
        <f>COUNTIFS(Data[Date], "&lt;="&amp;$A48, Data[[Poster]:[Poster]],B$1, Data[Winner],TRUE())</f>
        <v>8</v>
      </c>
      <c r="C48">
        <f>COUNTIFS(Data[Date], "&lt;="&amp;$A48, Data[[Poster]:[Poster]],C$1, Data[Winner],TRUE())</f>
        <v>11</v>
      </c>
      <c r="D48">
        <f>COUNTIFS(Data[Date], "&lt;="&amp;$A48, Data[[Poster]:[Poster]],D$1, Data[Winner],TRUE())</f>
        <v>13</v>
      </c>
      <c r="E48">
        <f>COUNTIFS(Data[Date], "&lt;="&amp;$A48, Data[[Poster]:[Poster]],E$1, Data[Winner],TRUE())</f>
        <v>4</v>
      </c>
      <c r="F48">
        <f>COUNTIFS(Data[Date], "&lt;="&amp;$A48, Data[[Poster]:[Poster]],F$1, Data[Winner],TRUE())</f>
        <v>11</v>
      </c>
      <c r="G48" t="str" cm="1">
        <f t="array" ref="G48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49" spans="1:7">
      <c r="A49" s="217">
        <v>45538</v>
      </c>
      <c r="B49">
        <f>COUNTIFS(Data[Date], "&lt;="&amp;$A49, Data[[Poster]:[Poster]],B$1, Data[Winner],TRUE())</f>
        <v>9</v>
      </c>
      <c r="C49">
        <f>COUNTIFS(Data[Date], "&lt;="&amp;$A49, Data[[Poster]:[Poster]],C$1, Data[Winner],TRUE())</f>
        <v>11</v>
      </c>
      <c r="D49">
        <f>COUNTIFS(Data[Date], "&lt;="&amp;$A49, Data[[Poster]:[Poster]],D$1, Data[Winner],TRUE())</f>
        <v>13</v>
      </c>
      <c r="E49">
        <f>COUNTIFS(Data[Date], "&lt;="&amp;$A49, Data[[Poster]:[Poster]],E$1, Data[Winner],TRUE())</f>
        <v>4</v>
      </c>
      <c r="F49">
        <f>COUNTIFS(Data[Date], "&lt;="&amp;$A49, Data[[Poster]:[Poster]],F$1, Data[Winner],TRUE())</f>
        <v>11</v>
      </c>
      <c r="G49" t="str" cm="1">
        <f t="array" ref="G49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50" spans="1:7">
      <c r="A50" s="217">
        <v>45539</v>
      </c>
      <c r="B50">
        <f>COUNTIFS(Data[Date], "&lt;="&amp;$A50, Data[[Poster]:[Poster]],B$1, Data[Winner],TRUE())</f>
        <v>9</v>
      </c>
      <c r="C50">
        <f>COUNTIFS(Data[Date], "&lt;="&amp;$A50, Data[[Poster]:[Poster]],C$1, Data[Winner],TRUE())</f>
        <v>11</v>
      </c>
      <c r="D50">
        <f>COUNTIFS(Data[Date], "&lt;="&amp;$A50, Data[[Poster]:[Poster]],D$1, Data[Winner],TRUE())</f>
        <v>13</v>
      </c>
      <c r="E50">
        <f>COUNTIFS(Data[Date], "&lt;="&amp;$A50, Data[[Poster]:[Poster]],E$1, Data[Winner],TRUE())</f>
        <v>5</v>
      </c>
      <c r="F50">
        <f>COUNTIFS(Data[Date], "&lt;="&amp;$A50, Data[[Poster]:[Poster]],F$1, Data[Winner],TRUE())</f>
        <v>11</v>
      </c>
      <c r="G50" t="str" cm="1">
        <f t="array" ref="G50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51" spans="1:7">
      <c r="A51" s="217">
        <v>45540</v>
      </c>
      <c r="B51">
        <f>COUNTIFS(Data[Date], "&lt;="&amp;$A51, Data[[Poster]:[Poster]],B$1, Data[Winner],TRUE())</f>
        <v>9</v>
      </c>
      <c r="C51">
        <f>COUNTIFS(Data[Date], "&lt;="&amp;$A51, Data[[Poster]:[Poster]],C$1, Data[Winner],TRUE())</f>
        <v>11</v>
      </c>
      <c r="D51">
        <f>COUNTIFS(Data[Date], "&lt;="&amp;$A51, Data[[Poster]:[Poster]],D$1, Data[Winner],TRUE())</f>
        <v>13</v>
      </c>
      <c r="E51">
        <f>COUNTIFS(Data[Date], "&lt;="&amp;$A51, Data[[Poster]:[Poster]],E$1, Data[Winner],TRUE())</f>
        <v>5</v>
      </c>
      <c r="F51">
        <f>COUNTIFS(Data[Date], "&lt;="&amp;$A51, Data[[Poster]:[Poster]],F$1, Data[Winner],TRUE())</f>
        <v>12</v>
      </c>
      <c r="G51" t="str" cm="1">
        <f t="array" ref="G51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52" spans="1:7">
      <c r="A52" s="217">
        <v>45544</v>
      </c>
      <c r="B52">
        <f>COUNTIFS(Data[Date], "&lt;="&amp;$A52, Data[[Poster]:[Poster]],B$1, Data[Winner],TRUE())</f>
        <v>9</v>
      </c>
      <c r="C52">
        <f>COUNTIFS(Data[Date], "&lt;="&amp;$A52, Data[[Poster]:[Poster]],C$1, Data[Winner],TRUE())</f>
        <v>11</v>
      </c>
      <c r="D52">
        <f>COUNTIFS(Data[Date], "&lt;="&amp;$A52, Data[[Poster]:[Poster]],D$1, Data[Winner],TRUE())</f>
        <v>13</v>
      </c>
      <c r="E52">
        <f>COUNTIFS(Data[Date], "&lt;="&amp;$A52, Data[[Poster]:[Poster]],E$1, Data[Winner],TRUE())</f>
        <v>6</v>
      </c>
      <c r="F52">
        <f>COUNTIFS(Data[Date], "&lt;="&amp;$A52, Data[[Poster]:[Poster]],F$1, Data[Winner],TRUE())</f>
        <v>12</v>
      </c>
      <c r="G52" t="str" cm="1">
        <f t="array" ref="G52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53" spans="1:7">
      <c r="A53" s="217">
        <v>45545</v>
      </c>
      <c r="B53">
        <f>COUNTIFS(Data[Date], "&lt;="&amp;$A53, Data[[Poster]:[Poster]],B$1, Data[Winner],TRUE())</f>
        <v>9</v>
      </c>
      <c r="C53">
        <f>COUNTIFS(Data[Date], "&lt;="&amp;$A53, Data[[Poster]:[Poster]],C$1, Data[Winner],TRUE())</f>
        <v>12</v>
      </c>
      <c r="D53">
        <f>COUNTIFS(Data[Date], "&lt;="&amp;$A53, Data[[Poster]:[Poster]],D$1, Data[Winner],TRUE())</f>
        <v>13</v>
      </c>
      <c r="E53">
        <f>COUNTIFS(Data[Date], "&lt;="&amp;$A53, Data[[Poster]:[Poster]],E$1, Data[Winner],TRUE())</f>
        <v>6</v>
      </c>
      <c r="F53">
        <f>COUNTIFS(Data[Date], "&lt;="&amp;$A53, Data[[Poster]:[Poster]],F$1, Data[Winner],TRUE())</f>
        <v>12</v>
      </c>
      <c r="G53" t="str" cm="1">
        <f t="array" ref="G53">_xlfn.TEXTJOIN(", ", TRUE, _xlfn._xlws.FILTER(Cumulative_Wins[[#Headers],[alappatjoe]:[currydestroyer27]], Cumulative_Wins[[#This Row],[alappatjoe]:[currydestroyer27]]=MAX(Cumulative_Wins[[#This Row],[alappatjoe]:[currydestroyer27]])))</f>
        <v>loganworsdell</v>
      </c>
    </row>
    <row r="54" spans="1:7">
      <c r="A54" s="217">
        <v>45546</v>
      </c>
      <c r="B54">
        <f>COUNTIFS(Data[Date], "&lt;="&amp;$A54, Data[[Poster]:[Poster]],B$1, Data[Winner],TRUE())</f>
        <v>9</v>
      </c>
      <c r="C54">
        <f>COUNTIFS(Data[Date], "&lt;="&amp;$A54, Data[[Poster]:[Poster]],C$1, Data[Winner],TRUE())</f>
        <v>13</v>
      </c>
      <c r="D54">
        <f>COUNTIFS(Data[Date], "&lt;="&amp;$A54, Data[[Poster]:[Poster]],D$1, Data[Winner],TRUE())</f>
        <v>13</v>
      </c>
      <c r="E54">
        <f>COUNTIFS(Data[Date], "&lt;="&amp;$A54, Data[[Poster]:[Poster]],E$1, Data[Winner],TRUE())</f>
        <v>6</v>
      </c>
      <c r="F54">
        <f>COUNTIFS(Data[Date], "&lt;="&amp;$A54, Data[[Poster]:[Poster]],F$1, Data[Winner],TRUE())</f>
        <v>12</v>
      </c>
      <c r="G54" t="str" cm="1">
        <f t="array" ref="G54">_xlfn.TEXTJOIN(", ", TRUE, _xlfn._xlws.FILTER(Cumulative_Wins[[#Headers],[alappatjoe]:[currydestroyer27]], Cumulative_Wins[[#This Row],[alappatjoe]:[currydestroyer27]]=MAX(Cumulative_Wins[[#This Row],[alappatjoe]:[currydestroyer27]])))</f>
        <v>danram, loganworsdell</v>
      </c>
    </row>
    <row r="55" spans="1:7">
      <c r="A55" s="217">
        <v>45547</v>
      </c>
      <c r="B55">
        <f>COUNTIFS(Data[Date], "&lt;="&amp;$A55, Data[[Poster]:[Poster]],B$1, Data[Winner],TRUE())</f>
        <v>9</v>
      </c>
      <c r="C55">
        <f>COUNTIFS(Data[Date], "&lt;="&amp;$A55, Data[[Poster]:[Poster]],C$1, Data[Winner],TRUE())</f>
        <v>13</v>
      </c>
      <c r="D55">
        <f>COUNTIFS(Data[Date], "&lt;="&amp;$A55, Data[[Poster]:[Poster]],D$1, Data[Winner],TRUE())</f>
        <v>13</v>
      </c>
      <c r="E55">
        <f>COUNTIFS(Data[Date], "&lt;="&amp;$A55, Data[[Poster]:[Poster]],E$1, Data[Winner],TRUE())</f>
        <v>7</v>
      </c>
      <c r="F55">
        <f>COUNTIFS(Data[Date], "&lt;="&amp;$A55, Data[[Poster]:[Poster]],F$1, Data[Winner],TRUE())</f>
        <v>12</v>
      </c>
      <c r="G55" t="str" cm="1">
        <f t="array" ref="G55">_xlfn.TEXTJOIN(", ", TRUE, _xlfn._xlws.FILTER(Cumulative_Wins[[#Headers],[alappatjoe]:[currydestroyer27]], Cumulative_Wins[[#This Row],[alappatjoe]:[currydestroyer27]]=MAX(Cumulative_Wins[[#This Row],[alappatjoe]:[currydestroyer27]])))</f>
        <v>danram, loganworsdell</v>
      </c>
    </row>
    <row r="56" spans="1:7">
      <c r="A56" s="217">
        <v>45551</v>
      </c>
      <c r="B56">
        <f>COUNTIFS(Data[Date], "&lt;="&amp;$A56, Data[[Poster]:[Poster]],B$1, Data[Winner],TRUE())</f>
        <v>9</v>
      </c>
      <c r="C56">
        <f>COUNTIFS(Data[Date], "&lt;="&amp;$A56, Data[[Poster]:[Poster]],C$1, Data[Winner],TRUE())</f>
        <v>13</v>
      </c>
      <c r="D56">
        <f>COUNTIFS(Data[Date], "&lt;="&amp;$A56, Data[[Poster]:[Poster]],D$1, Data[Winner],TRUE())</f>
        <v>13</v>
      </c>
      <c r="E56">
        <f>COUNTIFS(Data[Date], "&lt;="&amp;$A56, Data[[Poster]:[Poster]],E$1, Data[Winner],TRUE())</f>
        <v>7</v>
      </c>
      <c r="F56">
        <f>COUNTIFS(Data[Date], "&lt;="&amp;$A56, Data[[Poster]:[Poster]],F$1, Data[Winner],TRUE())</f>
        <v>13</v>
      </c>
      <c r="G56" t="str" cm="1">
        <f t="array" ref="G56">_xlfn.TEXTJOIN(", ", TRUE, _xlfn._xlws.FILTER(Cumulative_Wins[[#Headers],[alappatjoe]:[currydestroyer27]], Cumulative_Wins[[#This Row],[alappatjoe]:[currydestroyer27]]=MAX(Cumulative_Wins[[#This Row],[alappatjoe]:[currydestroyer27]])))</f>
        <v>danram, loganworsdell, currydestroyer27</v>
      </c>
    </row>
    <row r="57" spans="1:7">
      <c r="A57" s="217">
        <v>45552</v>
      </c>
      <c r="B57">
        <f>COUNTIFS(Data[Date], "&lt;="&amp;$A57, Data[[Poster]:[Poster]],B$1, Data[Winner],TRUE())</f>
        <v>9</v>
      </c>
      <c r="C57">
        <f>COUNTIFS(Data[Date], "&lt;="&amp;$A57, Data[[Poster]:[Poster]],C$1, Data[Winner],TRUE())</f>
        <v>13</v>
      </c>
      <c r="D57">
        <f>COUNTIFS(Data[Date], "&lt;="&amp;$A57, Data[[Poster]:[Poster]],D$1, Data[Winner],TRUE())</f>
        <v>13</v>
      </c>
      <c r="E57">
        <f>COUNTIFS(Data[Date], "&lt;="&amp;$A57, Data[[Poster]:[Poster]],E$1, Data[Winner],TRUE())</f>
        <v>8</v>
      </c>
      <c r="F57">
        <f>COUNTIFS(Data[Date], "&lt;="&amp;$A57, Data[[Poster]:[Poster]],F$1, Data[Winner],TRUE())</f>
        <v>13</v>
      </c>
      <c r="G57" t="str" cm="1">
        <f t="array" ref="G57">_xlfn.TEXTJOIN(", ", TRUE, _xlfn._xlws.FILTER(Cumulative_Wins[[#Headers],[alappatjoe]:[currydestroyer27]], Cumulative_Wins[[#This Row],[alappatjoe]:[currydestroyer27]]=MAX(Cumulative_Wins[[#This Row],[alappatjoe]:[currydestroyer27]])))</f>
        <v>danram, loganworsdell, currydestroyer27</v>
      </c>
    </row>
    <row r="58" spans="1:7">
      <c r="A58" s="217">
        <v>45553</v>
      </c>
      <c r="B58">
        <f>COUNTIFS(Data[Date], "&lt;="&amp;$A58, Data[[Poster]:[Poster]],B$1, Data[Winner],TRUE())</f>
        <v>9</v>
      </c>
      <c r="C58">
        <f>COUNTIFS(Data[Date], "&lt;="&amp;$A58, Data[[Poster]:[Poster]],C$1, Data[Winner],TRUE())</f>
        <v>13</v>
      </c>
      <c r="D58">
        <f>COUNTIFS(Data[Date], "&lt;="&amp;$A58, Data[[Poster]:[Poster]],D$1, Data[Winner],TRUE())</f>
        <v>13</v>
      </c>
      <c r="E58">
        <f>COUNTIFS(Data[Date], "&lt;="&amp;$A58, Data[[Poster]:[Poster]],E$1, Data[Winner],TRUE())</f>
        <v>8</v>
      </c>
      <c r="F58">
        <f>COUNTIFS(Data[Date], "&lt;="&amp;$A58, Data[[Poster]:[Poster]],F$1, Data[Winner],TRUE())</f>
        <v>14</v>
      </c>
      <c r="G58" t="str" cm="1">
        <f t="array" ref="G5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59" spans="1:7">
      <c r="A59" s="217">
        <v>45554</v>
      </c>
      <c r="B59">
        <f>COUNTIFS(Data[Date], "&lt;="&amp;$A59, Data[[Poster]:[Poster]],B$1, Data[Winner],TRUE())</f>
        <v>10</v>
      </c>
      <c r="C59">
        <f>COUNTIFS(Data[Date], "&lt;="&amp;$A59, Data[[Poster]:[Poster]],C$1, Data[Winner],TRUE())</f>
        <v>13</v>
      </c>
      <c r="D59">
        <f>COUNTIFS(Data[Date], "&lt;="&amp;$A59, Data[[Poster]:[Poster]],D$1, Data[Winner],TRUE())</f>
        <v>13</v>
      </c>
      <c r="E59">
        <f>COUNTIFS(Data[Date], "&lt;="&amp;$A59, Data[[Poster]:[Poster]],E$1, Data[Winner],TRUE())</f>
        <v>8</v>
      </c>
      <c r="F59">
        <f>COUNTIFS(Data[Date], "&lt;="&amp;$A59, Data[[Poster]:[Poster]],F$1, Data[Winner],TRUE())</f>
        <v>14</v>
      </c>
      <c r="G59" t="str" cm="1">
        <f t="array" ref="G5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60" spans="1:7">
      <c r="A60" s="217">
        <v>45558</v>
      </c>
      <c r="B60">
        <f>COUNTIFS(Data[Date], "&lt;="&amp;$A60, Data[[Poster]:[Poster]],B$1, Data[Winner],TRUE())</f>
        <v>10</v>
      </c>
      <c r="C60">
        <f>COUNTIFS(Data[Date], "&lt;="&amp;$A60, Data[[Poster]:[Poster]],C$1, Data[Winner],TRUE())</f>
        <v>13</v>
      </c>
      <c r="D60">
        <f>COUNTIFS(Data[Date], "&lt;="&amp;$A60, Data[[Poster]:[Poster]],D$1, Data[Winner],TRUE())</f>
        <v>13</v>
      </c>
      <c r="E60">
        <f>COUNTIFS(Data[Date], "&lt;="&amp;$A60, Data[[Poster]:[Poster]],E$1, Data[Winner],TRUE())</f>
        <v>9</v>
      </c>
      <c r="F60">
        <f>COUNTIFS(Data[Date], "&lt;="&amp;$A60, Data[[Poster]:[Poster]],F$1, Data[Winner],TRUE())</f>
        <v>14</v>
      </c>
      <c r="G60" t="str" cm="1">
        <f t="array" ref="G6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61" spans="1:7">
      <c r="A61" s="217">
        <v>45559</v>
      </c>
      <c r="B61">
        <f>COUNTIFS(Data[Date], "&lt;="&amp;$A61, Data[[Poster]:[Poster]],B$1, Data[Winner],TRUE())</f>
        <v>10</v>
      </c>
      <c r="C61">
        <f>COUNTIFS(Data[Date], "&lt;="&amp;$A61, Data[[Poster]:[Poster]],C$1, Data[Winner],TRUE())</f>
        <v>13</v>
      </c>
      <c r="D61">
        <f>COUNTIFS(Data[Date], "&lt;="&amp;$A61, Data[[Poster]:[Poster]],D$1, Data[Winner],TRUE())</f>
        <v>13</v>
      </c>
      <c r="E61">
        <f>COUNTIFS(Data[Date], "&lt;="&amp;$A61, Data[[Poster]:[Poster]],E$1, Data[Winner],TRUE())</f>
        <v>10</v>
      </c>
      <c r="F61">
        <f>COUNTIFS(Data[Date], "&lt;="&amp;$A61, Data[[Poster]:[Poster]],F$1, Data[Winner],TRUE())</f>
        <v>14</v>
      </c>
      <c r="G61" t="str" cm="1">
        <f t="array" ref="G6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62" spans="1:7">
      <c r="A62" s="217">
        <v>45560</v>
      </c>
      <c r="B62">
        <f>COUNTIFS(Data[Date], "&lt;="&amp;$A62, Data[[Poster]:[Poster]],B$1, Data[Winner],TRUE())</f>
        <v>10</v>
      </c>
      <c r="C62">
        <f>COUNTIFS(Data[Date], "&lt;="&amp;$A62, Data[[Poster]:[Poster]],C$1, Data[Winner],TRUE())</f>
        <v>14</v>
      </c>
      <c r="D62">
        <f>COUNTIFS(Data[Date], "&lt;="&amp;$A62, Data[[Poster]:[Poster]],D$1, Data[Winner],TRUE())</f>
        <v>13</v>
      </c>
      <c r="E62">
        <f>COUNTIFS(Data[Date], "&lt;="&amp;$A62, Data[[Poster]:[Poster]],E$1, Data[Winner],TRUE())</f>
        <v>10</v>
      </c>
      <c r="F62">
        <f>COUNTIFS(Data[Date], "&lt;="&amp;$A62, Data[[Poster]:[Poster]],F$1, Data[Winner],TRUE())</f>
        <v>14</v>
      </c>
      <c r="G62" t="str" cm="1">
        <f t="array" ref="G62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63" spans="1:7">
      <c r="A63" s="217">
        <v>45561</v>
      </c>
      <c r="B63">
        <f>COUNTIFS(Data[Date], "&lt;="&amp;$A63, Data[[Poster]:[Poster]],B$1, Data[Winner],TRUE())</f>
        <v>11</v>
      </c>
      <c r="C63">
        <f>COUNTIFS(Data[Date], "&lt;="&amp;$A63, Data[[Poster]:[Poster]],C$1, Data[Winner],TRUE())</f>
        <v>14</v>
      </c>
      <c r="D63">
        <f>COUNTIFS(Data[Date], "&lt;="&amp;$A63, Data[[Poster]:[Poster]],D$1, Data[Winner],TRUE())</f>
        <v>13</v>
      </c>
      <c r="E63">
        <f>COUNTIFS(Data[Date], "&lt;="&amp;$A63, Data[[Poster]:[Poster]],E$1, Data[Winner],TRUE())</f>
        <v>10</v>
      </c>
      <c r="F63">
        <f>COUNTIFS(Data[Date], "&lt;="&amp;$A63, Data[[Poster]:[Poster]],F$1, Data[Winner],TRUE())</f>
        <v>14</v>
      </c>
      <c r="G63" t="str" cm="1">
        <f t="array" ref="G63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64" spans="1:7">
      <c r="A64" s="217">
        <v>45565</v>
      </c>
      <c r="B64">
        <f>COUNTIFS(Data[Date], "&lt;="&amp;$A64, Data[[Poster]:[Poster]],B$1, Data[Winner],TRUE())</f>
        <v>11</v>
      </c>
      <c r="C64">
        <f>COUNTIFS(Data[Date], "&lt;="&amp;$A64, Data[[Poster]:[Poster]],C$1, Data[Winner],TRUE())</f>
        <v>14</v>
      </c>
      <c r="D64">
        <f>COUNTIFS(Data[Date], "&lt;="&amp;$A64, Data[[Poster]:[Poster]],D$1, Data[Winner],TRUE())</f>
        <v>14</v>
      </c>
      <c r="E64">
        <f>COUNTIFS(Data[Date], "&lt;="&amp;$A64, Data[[Poster]:[Poster]],E$1, Data[Winner],TRUE())</f>
        <v>10</v>
      </c>
      <c r="F64">
        <f>COUNTIFS(Data[Date], "&lt;="&amp;$A64, Data[[Poster]:[Poster]],F$1, Data[Winner],TRUE())</f>
        <v>14</v>
      </c>
      <c r="G64" t="str" cm="1">
        <f t="array" ref="G64">_xlfn.TEXTJOIN(", ", TRUE, _xlfn._xlws.FILTER(Cumulative_Wins[[#Headers],[alappatjoe]:[currydestroyer27]], Cumulative_Wins[[#This Row],[alappatjoe]:[currydestroyer27]]=MAX(Cumulative_Wins[[#This Row],[alappatjoe]:[currydestroyer27]])))</f>
        <v>danram, loganworsdell, currydestroyer27</v>
      </c>
    </row>
    <row r="65" spans="1:7">
      <c r="A65" s="217">
        <v>45566</v>
      </c>
      <c r="B65">
        <f>COUNTIFS(Data[Date], "&lt;="&amp;$A65, Data[[Poster]:[Poster]],B$1, Data[Winner],TRUE())</f>
        <v>11</v>
      </c>
      <c r="C65">
        <f>COUNTIFS(Data[Date], "&lt;="&amp;$A65, Data[[Poster]:[Poster]],C$1, Data[Winner],TRUE())</f>
        <v>14</v>
      </c>
      <c r="D65">
        <f>COUNTIFS(Data[Date], "&lt;="&amp;$A65, Data[[Poster]:[Poster]],D$1, Data[Winner],TRUE())</f>
        <v>14</v>
      </c>
      <c r="E65">
        <f>COUNTIFS(Data[Date], "&lt;="&amp;$A65, Data[[Poster]:[Poster]],E$1, Data[Winner],TRUE())</f>
        <v>11</v>
      </c>
      <c r="F65">
        <f>COUNTIFS(Data[Date], "&lt;="&amp;$A65, Data[[Poster]:[Poster]],F$1, Data[Winner],TRUE())</f>
        <v>14</v>
      </c>
      <c r="G65" t="str" cm="1">
        <f t="array" ref="G65">_xlfn.TEXTJOIN(", ", TRUE, _xlfn._xlws.FILTER(Cumulative_Wins[[#Headers],[alappatjoe]:[currydestroyer27]], Cumulative_Wins[[#This Row],[alappatjoe]:[currydestroyer27]]=MAX(Cumulative_Wins[[#This Row],[alappatjoe]:[currydestroyer27]])))</f>
        <v>danram, loganworsdell, currydestroyer27</v>
      </c>
    </row>
    <row r="66" spans="1:7">
      <c r="A66" s="217">
        <v>45567</v>
      </c>
      <c r="B66">
        <f>COUNTIFS(Data[Date], "&lt;="&amp;$A66, Data[[Poster]:[Poster]],B$1, Data[Winner],TRUE())</f>
        <v>11</v>
      </c>
      <c r="C66">
        <f>COUNTIFS(Data[Date], "&lt;="&amp;$A66, Data[[Poster]:[Poster]],C$1, Data[Winner],TRUE())</f>
        <v>14</v>
      </c>
      <c r="D66">
        <f>COUNTIFS(Data[Date], "&lt;="&amp;$A66, Data[[Poster]:[Poster]],D$1, Data[Winner],TRUE())</f>
        <v>14</v>
      </c>
      <c r="E66">
        <f>COUNTIFS(Data[Date], "&lt;="&amp;$A66, Data[[Poster]:[Poster]],E$1, Data[Winner],TRUE())</f>
        <v>12</v>
      </c>
      <c r="F66">
        <f>COUNTIFS(Data[Date], "&lt;="&amp;$A66, Data[[Poster]:[Poster]],F$1, Data[Winner],TRUE())</f>
        <v>14</v>
      </c>
      <c r="G66" t="str" cm="1">
        <f t="array" ref="G66">_xlfn.TEXTJOIN(", ", TRUE, _xlfn._xlws.FILTER(Cumulative_Wins[[#Headers],[alappatjoe]:[currydestroyer27]], Cumulative_Wins[[#This Row],[alappatjoe]:[currydestroyer27]]=MAX(Cumulative_Wins[[#This Row],[alappatjoe]:[currydestroyer27]])))</f>
        <v>danram, loganworsdell, currydestroyer27</v>
      </c>
    </row>
    <row r="67" spans="1:7">
      <c r="A67" s="217">
        <v>45568</v>
      </c>
      <c r="B67">
        <f>COUNTIFS(Data[Date], "&lt;="&amp;$A67, Data[[Poster]:[Poster]],B$1, Data[Winner],TRUE())</f>
        <v>11</v>
      </c>
      <c r="C67">
        <f>COUNTIFS(Data[Date], "&lt;="&amp;$A67, Data[[Poster]:[Poster]],C$1, Data[Winner],TRUE())</f>
        <v>14</v>
      </c>
      <c r="D67">
        <f>COUNTIFS(Data[Date], "&lt;="&amp;$A67, Data[[Poster]:[Poster]],D$1, Data[Winner],TRUE())</f>
        <v>14</v>
      </c>
      <c r="E67">
        <f>COUNTIFS(Data[Date], "&lt;="&amp;$A67, Data[[Poster]:[Poster]],E$1, Data[Winner],TRUE())</f>
        <v>12</v>
      </c>
      <c r="F67">
        <f>COUNTIFS(Data[Date], "&lt;="&amp;$A67, Data[[Poster]:[Poster]],F$1, Data[Winner],TRUE())</f>
        <v>15</v>
      </c>
      <c r="G67" t="str" cm="1">
        <f t="array" ref="G6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68" spans="1:7">
      <c r="A68" s="217">
        <v>45572</v>
      </c>
      <c r="B68">
        <f>COUNTIFS(Data[Date], "&lt;="&amp;$A68, Data[[Poster]:[Poster]],B$1, Data[Winner],TRUE())</f>
        <v>11</v>
      </c>
      <c r="C68">
        <f>COUNTIFS(Data[Date], "&lt;="&amp;$A68, Data[[Poster]:[Poster]],C$1, Data[Winner],TRUE())</f>
        <v>15</v>
      </c>
      <c r="D68">
        <f>COUNTIFS(Data[Date], "&lt;="&amp;$A68, Data[[Poster]:[Poster]],D$1, Data[Winner],TRUE())</f>
        <v>14</v>
      </c>
      <c r="E68">
        <f>COUNTIFS(Data[Date], "&lt;="&amp;$A68, Data[[Poster]:[Poster]],E$1, Data[Winner],TRUE())</f>
        <v>12</v>
      </c>
      <c r="F68">
        <f>COUNTIFS(Data[Date], "&lt;="&amp;$A68, Data[[Poster]:[Poster]],F$1, Data[Winner],TRUE())</f>
        <v>15</v>
      </c>
      <c r="G68" t="str" cm="1">
        <f t="array" ref="G68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69" spans="1:7">
      <c r="A69" s="217">
        <v>45573</v>
      </c>
      <c r="B69">
        <f>COUNTIFS(Data[Date], "&lt;="&amp;$A69, Data[[Poster]:[Poster]],B$1, Data[Winner],TRUE())</f>
        <v>11</v>
      </c>
      <c r="C69">
        <f>COUNTIFS(Data[Date], "&lt;="&amp;$A69, Data[[Poster]:[Poster]],C$1, Data[Winner],TRUE())</f>
        <v>15</v>
      </c>
      <c r="D69">
        <f>COUNTIFS(Data[Date], "&lt;="&amp;$A69, Data[[Poster]:[Poster]],D$1, Data[Winner],TRUE())</f>
        <v>14</v>
      </c>
      <c r="E69">
        <f>COUNTIFS(Data[Date], "&lt;="&amp;$A69, Data[[Poster]:[Poster]],E$1, Data[Winner],TRUE())</f>
        <v>12</v>
      </c>
      <c r="F69">
        <f>COUNTIFS(Data[Date], "&lt;="&amp;$A69, Data[[Poster]:[Poster]],F$1, Data[Winner],TRUE())</f>
        <v>16</v>
      </c>
      <c r="G69" t="str" cm="1">
        <f t="array" ref="G6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70" spans="1:7">
      <c r="A70" s="217">
        <v>45574</v>
      </c>
      <c r="B70">
        <f>COUNTIFS(Data[Date], "&lt;="&amp;$A70, Data[[Poster]:[Poster]],B$1, Data[Winner],TRUE())</f>
        <v>11</v>
      </c>
      <c r="C70">
        <f>COUNTIFS(Data[Date], "&lt;="&amp;$A70, Data[[Poster]:[Poster]],C$1, Data[Winner],TRUE())</f>
        <v>16</v>
      </c>
      <c r="D70">
        <f>COUNTIFS(Data[Date], "&lt;="&amp;$A70, Data[[Poster]:[Poster]],D$1, Data[Winner],TRUE())</f>
        <v>14</v>
      </c>
      <c r="E70">
        <f>COUNTIFS(Data[Date], "&lt;="&amp;$A70, Data[[Poster]:[Poster]],E$1, Data[Winner],TRUE())</f>
        <v>12</v>
      </c>
      <c r="F70">
        <f>COUNTIFS(Data[Date], "&lt;="&amp;$A70, Data[[Poster]:[Poster]],F$1, Data[Winner],TRUE())</f>
        <v>16</v>
      </c>
      <c r="G70" t="str" cm="1">
        <f t="array" ref="G70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71" spans="1:7">
      <c r="A71" s="217">
        <v>45575</v>
      </c>
      <c r="B71">
        <f>COUNTIFS(Data[Date], "&lt;="&amp;$A71, Data[[Poster]:[Poster]],B$1, Data[Winner],TRUE())</f>
        <v>11</v>
      </c>
      <c r="C71">
        <f>COUNTIFS(Data[Date], "&lt;="&amp;$A71, Data[[Poster]:[Poster]],C$1, Data[Winner],TRUE())</f>
        <v>16</v>
      </c>
      <c r="D71">
        <f>COUNTIFS(Data[Date], "&lt;="&amp;$A71, Data[[Poster]:[Poster]],D$1, Data[Winner],TRUE())</f>
        <v>14</v>
      </c>
      <c r="E71">
        <f>COUNTIFS(Data[Date], "&lt;="&amp;$A71, Data[[Poster]:[Poster]],E$1, Data[Winner],TRUE())</f>
        <v>13</v>
      </c>
      <c r="F71">
        <f>COUNTIFS(Data[Date], "&lt;="&amp;$A71, Data[[Poster]:[Poster]],F$1, Data[Winner],TRUE())</f>
        <v>16</v>
      </c>
      <c r="G71" t="str" cm="1">
        <f t="array" ref="G71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72" spans="1:7">
      <c r="A72" s="217">
        <v>45579</v>
      </c>
      <c r="B72">
        <f>COUNTIFS(Data[Date], "&lt;="&amp;$A72, Data[[Poster]:[Poster]],B$1, Data[Winner],TRUE())</f>
        <v>11</v>
      </c>
      <c r="C72">
        <f>COUNTIFS(Data[Date], "&lt;="&amp;$A72, Data[[Poster]:[Poster]],C$1, Data[Winner],TRUE())</f>
        <v>16</v>
      </c>
      <c r="D72">
        <f>COUNTIFS(Data[Date], "&lt;="&amp;$A72, Data[[Poster]:[Poster]],D$1, Data[Winner],TRUE())</f>
        <v>15</v>
      </c>
      <c r="E72">
        <f>COUNTIFS(Data[Date], "&lt;="&amp;$A72, Data[[Poster]:[Poster]],E$1, Data[Winner],TRUE())</f>
        <v>13</v>
      </c>
      <c r="F72">
        <f>COUNTIFS(Data[Date], "&lt;="&amp;$A72, Data[[Poster]:[Poster]],F$1, Data[Winner],TRUE())</f>
        <v>16</v>
      </c>
      <c r="G72" t="str" cm="1">
        <f t="array" ref="G72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73" spans="1:7">
      <c r="A73" s="217">
        <v>45580</v>
      </c>
      <c r="B73">
        <f>COUNTIFS(Data[Date], "&lt;="&amp;$A73, Data[[Poster]:[Poster]],B$1, Data[Winner],TRUE())</f>
        <v>11</v>
      </c>
      <c r="C73">
        <f>COUNTIFS(Data[Date], "&lt;="&amp;$A73, Data[[Poster]:[Poster]],C$1, Data[Winner],TRUE())</f>
        <v>17</v>
      </c>
      <c r="D73">
        <f>COUNTIFS(Data[Date], "&lt;="&amp;$A73, Data[[Poster]:[Poster]],D$1, Data[Winner],TRUE())</f>
        <v>15</v>
      </c>
      <c r="E73">
        <f>COUNTIFS(Data[Date], "&lt;="&amp;$A73, Data[[Poster]:[Poster]],E$1, Data[Winner],TRUE())</f>
        <v>13</v>
      </c>
      <c r="F73">
        <f>COUNTIFS(Data[Date], "&lt;="&amp;$A73, Data[[Poster]:[Poster]],F$1, Data[Winner],TRUE())</f>
        <v>16</v>
      </c>
      <c r="G73" t="str" cm="1">
        <f t="array" ref="G73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74" spans="1:7">
      <c r="A74" s="217">
        <v>45581</v>
      </c>
      <c r="B74">
        <f>COUNTIFS(Data[Date], "&lt;="&amp;$A74, Data[[Poster]:[Poster]],B$1, Data[Winner],TRUE())</f>
        <v>11</v>
      </c>
      <c r="C74">
        <f>COUNTIFS(Data[Date], "&lt;="&amp;$A74, Data[[Poster]:[Poster]],C$1, Data[Winner],TRUE())</f>
        <v>17</v>
      </c>
      <c r="D74">
        <f>COUNTIFS(Data[Date], "&lt;="&amp;$A74, Data[[Poster]:[Poster]],D$1, Data[Winner],TRUE())</f>
        <v>16</v>
      </c>
      <c r="E74">
        <f>COUNTIFS(Data[Date], "&lt;="&amp;$A74, Data[[Poster]:[Poster]],E$1, Data[Winner],TRUE())</f>
        <v>13</v>
      </c>
      <c r="F74">
        <f>COUNTIFS(Data[Date], "&lt;="&amp;$A74, Data[[Poster]:[Poster]],F$1, Data[Winner],TRUE())</f>
        <v>16</v>
      </c>
      <c r="G74" t="str" cm="1">
        <f t="array" ref="G74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75" spans="1:7">
      <c r="A75" s="217">
        <v>45582</v>
      </c>
      <c r="B75">
        <f>COUNTIFS(Data[Date], "&lt;="&amp;$A75, Data[[Poster]:[Poster]],B$1, Data[Winner],TRUE())</f>
        <v>11</v>
      </c>
      <c r="C75">
        <f>COUNTIFS(Data[Date], "&lt;="&amp;$A75, Data[[Poster]:[Poster]],C$1, Data[Winner],TRUE())</f>
        <v>18</v>
      </c>
      <c r="D75">
        <f>COUNTIFS(Data[Date], "&lt;="&amp;$A75, Data[[Poster]:[Poster]],D$1, Data[Winner],TRUE())</f>
        <v>16</v>
      </c>
      <c r="E75">
        <f>COUNTIFS(Data[Date], "&lt;="&amp;$A75, Data[[Poster]:[Poster]],E$1, Data[Winner],TRUE())</f>
        <v>13</v>
      </c>
      <c r="F75">
        <f>COUNTIFS(Data[Date], "&lt;="&amp;$A75, Data[[Poster]:[Poster]],F$1, Data[Winner],TRUE())</f>
        <v>16</v>
      </c>
      <c r="G75" t="str" cm="1">
        <f t="array" ref="G75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76" spans="1:7">
      <c r="A76" s="217">
        <v>45586</v>
      </c>
      <c r="B76">
        <f>COUNTIFS(Data[Date], "&lt;="&amp;$A76, Data[[Poster]:[Poster]],B$1, Data[Winner],TRUE())</f>
        <v>11</v>
      </c>
      <c r="C76">
        <f>COUNTIFS(Data[Date], "&lt;="&amp;$A76, Data[[Poster]:[Poster]],C$1, Data[Winner],TRUE())</f>
        <v>19</v>
      </c>
      <c r="D76">
        <f>COUNTIFS(Data[Date], "&lt;="&amp;$A76, Data[[Poster]:[Poster]],D$1, Data[Winner],TRUE())</f>
        <v>16</v>
      </c>
      <c r="E76">
        <f>COUNTIFS(Data[Date], "&lt;="&amp;$A76, Data[[Poster]:[Poster]],E$1, Data[Winner],TRUE())</f>
        <v>13</v>
      </c>
      <c r="F76">
        <f>COUNTIFS(Data[Date], "&lt;="&amp;$A76, Data[[Poster]:[Poster]],F$1, Data[Winner],TRUE())</f>
        <v>16</v>
      </c>
      <c r="G76" t="str" cm="1">
        <f t="array" ref="G76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77" spans="1:7">
      <c r="A77" s="217">
        <v>45587</v>
      </c>
      <c r="B77">
        <f>COUNTIFS(Data[Date], "&lt;="&amp;$A77, Data[[Poster]:[Poster]],B$1, Data[Winner],TRUE())</f>
        <v>11</v>
      </c>
      <c r="C77">
        <f>COUNTIFS(Data[Date], "&lt;="&amp;$A77, Data[[Poster]:[Poster]],C$1, Data[Winner],TRUE())</f>
        <v>19</v>
      </c>
      <c r="D77">
        <f>COUNTIFS(Data[Date], "&lt;="&amp;$A77, Data[[Poster]:[Poster]],D$1, Data[Winner],TRUE())</f>
        <v>17</v>
      </c>
      <c r="E77">
        <f>COUNTIFS(Data[Date], "&lt;="&amp;$A77, Data[[Poster]:[Poster]],E$1, Data[Winner],TRUE())</f>
        <v>13</v>
      </c>
      <c r="F77">
        <f>COUNTIFS(Data[Date], "&lt;="&amp;$A77, Data[[Poster]:[Poster]],F$1, Data[Winner],TRUE())</f>
        <v>16</v>
      </c>
      <c r="G77" t="str" cm="1">
        <f t="array" ref="G77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78" spans="1:7">
      <c r="A78" s="217">
        <v>45588</v>
      </c>
      <c r="B78">
        <f>COUNTIFS(Data[Date], "&lt;="&amp;$A78, Data[[Poster]:[Poster]],B$1, Data[Winner],TRUE())</f>
        <v>11</v>
      </c>
      <c r="C78">
        <f>COUNTIFS(Data[Date], "&lt;="&amp;$A78, Data[[Poster]:[Poster]],C$1, Data[Winner],TRUE())</f>
        <v>19</v>
      </c>
      <c r="D78">
        <f>COUNTIFS(Data[Date], "&lt;="&amp;$A78, Data[[Poster]:[Poster]],D$1, Data[Winner],TRUE())</f>
        <v>17</v>
      </c>
      <c r="E78">
        <f>COUNTIFS(Data[Date], "&lt;="&amp;$A78, Data[[Poster]:[Poster]],E$1, Data[Winner],TRUE())</f>
        <v>14</v>
      </c>
      <c r="F78">
        <f>COUNTIFS(Data[Date], "&lt;="&amp;$A78, Data[[Poster]:[Poster]],F$1, Data[Winner],TRUE())</f>
        <v>16</v>
      </c>
      <c r="G78" t="str" cm="1">
        <f t="array" ref="G78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79" spans="1:7">
      <c r="A79" s="217">
        <v>45589</v>
      </c>
      <c r="B79">
        <f>COUNTIFS(Data[Date], "&lt;="&amp;$A79, Data[[Poster]:[Poster]],B$1, Data[Winner],TRUE())</f>
        <v>11</v>
      </c>
      <c r="C79">
        <f>COUNTIFS(Data[Date], "&lt;="&amp;$A79, Data[[Poster]:[Poster]],C$1, Data[Winner],TRUE())</f>
        <v>20</v>
      </c>
      <c r="D79">
        <f>COUNTIFS(Data[Date], "&lt;="&amp;$A79, Data[[Poster]:[Poster]],D$1, Data[Winner],TRUE())</f>
        <v>17</v>
      </c>
      <c r="E79">
        <f>COUNTIFS(Data[Date], "&lt;="&amp;$A79, Data[[Poster]:[Poster]],E$1, Data[Winner],TRUE())</f>
        <v>14</v>
      </c>
      <c r="F79">
        <f>COUNTIFS(Data[Date], "&lt;="&amp;$A79, Data[[Poster]:[Poster]],F$1, Data[Winner],TRUE())</f>
        <v>16</v>
      </c>
      <c r="G79" t="str" cm="1">
        <f t="array" ref="G79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80" spans="1:7">
      <c r="A80" s="217">
        <v>45593</v>
      </c>
      <c r="B80">
        <f>COUNTIFS(Data[Date], "&lt;="&amp;$A80, Data[[Poster]:[Poster]],B$1, Data[Winner],TRUE())</f>
        <v>12</v>
      </c>
      <c r="C80">
        <f>COUNTIFS(Data[Date], "&lt;="&amp;$A80, Data[[Poster]:[Poster]],C$1, Data[Winner],TRUE())</f>
        <v>20</v>
      </c>
      <c r="D80">
        <f>COUNTIFS(Data[Date], "&lt;="&amp;$A80, Data[[Poster]:[Poster]],D$1, Data[Winner],TRUE())</f>
        <v>17</v>
      </c>
      <c r="E80">
        <f>COUNTIFS(Data[Date], "&lt;="&amp;$A80, Data[[Poster]:[Poster]],E$1, Data[Winner],TRUE())</f>
        <v>14</v>
      </c>
      <c r="F80">
        <f>COUNTIFS(Data[Date], "&lt;="&amp;$A80, Data[[Poster]:[Poster]],F$1, Data[Winner],TRUE())</f>
        <v>16</v>
      </c>
      <c r="G80" t="str" cm="1">
        <f t="array" ref="G80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81" spans="1:7">
      <c r="A81" s="217">
        <v>45594</v>
      </c>
      <c r="B81">
        <f>COUNTIFS(Data[Date], "&lt;="&amp;$A81, Data[[Poster]:[Poster]],B$1, Data[Winner],TRUE())</f>
        <v>12</v>
      </c>
      <c r="C81">
        <f>COUNTIFS(Data[Date], "&lt;="&amp;$A81, Data[[Poster]:[Poster]],C$1, Data[Winner],TRUE())</f>
        <v>20</v>
      </c>
      <c r="D81">
        <f>COUNTIFS(Data[Date], "&lt;="&amp;$A81, Data[[Poster]:[Poster]],D$1, Data[Winner],TRUE())</f>
        <v>17</v>
      </c>
      <c r="E81">
        <f>COUNTIFS(Data[Date], "&lt;="&amp;$A81, Data[[Poster]:[Poster]],E$1, Data[Winner],TRUE())</f>
        <v>14</v>
      </c>
      <c r="F81">
        <f>COUNTIFS(Data[Date], "&lt;="&amp;$A81, Data[[Poster]:[Poster]],F$1, Data[Winner],TRUE())</f>
        <v>17</v>
      </c>
      <c r="G81" t="str" cm="1">
        <f t="array" ref="G81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82" spans="1:7">
      <c r="A82" s="217">
        <v>45595</v>
      </c>
      <c r="B82">
        <f>COUNTIFS(Data[Date], "&lt;="&amp;$A82, Data[[Poster]:[Poster]],B$1, Data[Winner],TRUE())</f>
        <v>12</v>
      </c>
      <c r="C82">
        <f>COUNTIFS(Data[Date], "&lt;="&amp;$A82, Data[[Poster]:[Poster]],C$1, Data[Winner],TRUE())</f>
        <v>20</v>
      </c>
      <c r="D82">
        <f>COUNTIFS(Data[Date], "&lt;="&amp;$A82, Data[[Poster]:[Poster]],D$1, Data[Winner],TRUE())</f>
        <v>18</v>
      </c>
      <c r="E82">
        <f>COUNTIFS(Data[Date], "&lt;="&amp;$A82, Data[[Poster]:[Poster]],E$1, Data[Winner],TRUE())</f>
        <v>14</v>
      </c>
      <c r="F82">
        <f>COUNTIFS(Data[Date], "&lt;="&amp;$A82, Data[[Poster]:[Poster]],F$1, Data[Winner],TRUE())</f>
        <v>17</v>
      </c>
      <c r="G82" t="str" cm="1">
        <f t="array" ref="G82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83" spans="1:7">
      <c r="A83" s="217">
        <v>45596</v>
      </c>
      <c r="B83">
        <f>COUNTIFS(Data[Date], "&lt;="&amp;$A83, Data[[Poster]:[Poster]],B$1, Data[Winner],TRUE())</f>
        <v>13</v>
      </c>
      <c r="C83">
        <f>COUNTIFS(Data[Date], "&lt;="&amp;$A83, Data[[Poster]:[Poster]],C$1, Data[Winner],TRUE())</f>
        <v>20</v>
      </c>
      <c r="D83">
        <f>COUNTIFS(Data[Date], "&lt;="&amp;$A83, Data[[Poster]:[Poster]],D$1, Data[Winner],TRUE())</f>
        <v>18</v>
      </c>
      <c r="E83">
        <f>COUNTIFS(Data[Date], "&lt;="&amp;$A83, Data[[Poster]:[Poster]],E$1, Data[Winner],TRUE())</f>
        <v>14</v>
      </c>
      <c r="F83">
        <f>COUNTIFS(Data[Date], "&lt;="&amp;$A83, Data[[Poster]:[Poster]],F$1, Data[Winner],TRUE())</f>
        <v>17</v>
      </c>
      <c r="G83" t="str" cm="1">
        <f t="array" ref="G83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84" spans="1:7">
      <c r="A84" s="217">
        <v>45600</v>
      </c>
      <c r="B84">
        <f>COUNTIFS(Data[Date], "&lt;="&amp;$A84, Data[[Poster]:[Poster]],B$1, Data[Winner],TRUE())</f>
        <v>13</v>
      </c>
      <c r="C84">
        <f>COUNTIFS(Data[Date], "&lt;="&amp;$A84, Data[[Poster]:[Poster]],C$1, Data[Winner],TRUE())</f>
        <v>20</v>
      </c>
      <c r="D84">
        <f>COUNTIFS(Data[Date], "&lt;="&amp;$A84, Data[[Poster]:[Poster]],D$1, Data[Winner],TRUE())</f>
        <v>18</v>
      </c>
      <c r="E84">
        <f>COUNTIFS(Data[Date], "&lt;="&amp;$A84, Data[[Poster]:[Poster]],E$1, Data[Winner],TRUE())</f>
        <v>15</v>
      </c>
      <c r="F84">
        <f>COUNTIFS(Data[Date], "&lt;="&amp;$A84, Data[[Poster]:[Poster]],F$1, Data[Winner],TRUE())</f>
        <v>17</v>
      </c>
      <c r="G84" t="str" cm="1">
        <f t="array" ref="G84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85" spans="1:7">
      <c r="A85" s="217">
        <v>45601</v>
      </c>
      <c r="B85">
        <f>COUNTIFS(Data[Date], "&lt;="&amp;$A85, Data[[Poster]:[Poster]],B$1, Data[Winner],TRUE())</f>
        <v>13</v>
      </c>
      <c r="C85">
        <f>COUNTIFS(Data[Date], "&lt;="&amp;$A85, Data[[Poster]:[Poster]],C$1, Data[Winner],TRUE())</f>
        <v>20</v>
      </c>
      <c r="D85">
        <f>COUNTIFS(Data[Date], "&lt;="&amp;$A85, Data[[Poster]:[Poster]],D$1, Data[Winner],TRUE())</f>
        <v>18</v>
      </c>
      <c r="E85">
        <f>COUNTIFS(Data[Date], "&lt;="&amp;$A85, Data[[Poster]:[Poster]],E$1, Data[Winner],TRUE())</f>
        <v>16</v>
      </c>
      <c r="F85">
        <f>COUNTIFS(Data[Date], "&lt;="&amp;$A85, Data[[Poster]:[Poster]],F$1, Data[Winner],TRUE())</f>
        <v>17</v>
      </c>
      <c r="G85" t="str" cm="1">
        <f t="array" ref="G85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86" spans="1:7">
      <c r="A86" s="217">
        <v>45602</v>
      </c>
      <c r="B86">
        <f>COUNTIFS(Data[Date], "&lt;="&amp;$A86, Data[[Poster]:[Poster]],B$1, Data[Winner],TRUE())</f>
        <v>13</v>
      </c>
      <c r="C86">
        <f>COUNTIFS(Data[Date], "&lt;="&amp;$A86, Data[[Poster]:[Poster]],C$1, Data[Winner],TRUE())</f>
        <v>21</v>
      </c>
      <c r="D86">
        <f>COUNTIFS(Data[Date], "&lt;="&amp;$A86, Data[[Poster]:[Poster]],D$1, Data[Winner],TRUE())</f>
        <v>18</v>
      </c>
      <c r="E86">
        <f>COUNTIFS(Data[Date], "&lt;="&amp;$A86, Data[[Poster]:[Poster]],E$1, Data[Winner],TRUE())</f>
        <v>16</v>
      </c>
      <c r="F86">
        <f>COUNTIFS(Data[Date], "&lt;="&amp;$A86, Data[[Poster]:[Poster]],F$1, Data[Winner],TRUE())</f>
        <v>17</v>
      </c>
      <c r="G86" t="str" cm="1">
        <f t="array" ref="G86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87" spans="1:7">
      <c r="A87" s="217">
        <v>45603</v>
      </c>
      <c r="B87">
        <f>COUNTIFS(Data[Date], "&lt;="&amp;$A87, Data[[Poster]:[Poster]],B$1, Data[Winner],TRUE())</f>
        <v>13</v>
      </c>
      <c r="C87">
        <f>COUNTIFS(Data[Date], "&lt;="&amp;$A87, Data[[Poster]:[Poster]],C$1, Data[Winner],TRUE())</f>
        <v>22</v>
      </c>
      <c r="D87">
        <f>COUNTIFS(Data[Date], "&lt;="&amp;$A87, Data[[Poster]:[Poster]],D$1, Data[Winner],TRUE())</f>
        <v>18</v>
      </c>
      <c r="E87">
        <f>COUNTIFS(Data[Date], "&lt;="&amp;$A87, Data[[Poster]:[Poster]],E$1, Data[Winner],TRUE())</f>
        <v>16</v>
      </c>
      <c r="F87">
        <f>COUNTIFS(Data[Date], "&lt;="&amp;$A87, Data[[Poster]:[Poster]],F$1, Data[Winner],TRUE())</f>
        <v>17</v>
      </c>
      <c r="G87" t="str" cm="1">
        <f t="array" ref="G87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88" spans="1:7">
      <c r="A88" s="217">
        <v>45607</v>
      </c>
      <c r="B88">
        <f>COUNTIFS(Data[Date], "&lt;="&amp;$A88, Data[[Poster]:[Poster]],B$1, Data[Winner],TRUE())</f>
        <v>14</v>
      </c>
      <c r="C88">
        <f>COUNTIFS(Data[Date], "&lt;="&amp;$A88, Data[[Poster]:[Poster]],C$1, Data[Winner],TRUE())</f>
        <v>22</v>
      </c>
      <c r="D88">
        <f>COUNTIFS(Data[Date], "&lt;="&amp;$A88, Data[[Poster]:[Poster]],D$1, Data[Winner],TRUE())</f>
        <v>18</v>
      </c>
      <c r="E88">
        <f>COUNTIFS(Data[Date], "&lt;="&amp;$A88, Data[[Poster]:[Poster]],E$1, Data[Winner],TRUE())</f>
        <v>16</v>
      </c>
      <c r="F88">
        <f>COUNTIFS(Data[Date], "&lt;="&amp;$A88, Data[[Poster]:[Poster]],F$1, Data[Winner],TRUE())</f>
        <v>17</v>
      </c>
      <c r="G88" t="str" cm="1">
        <f t="array" ref="G88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89" spans="1:7">
      <c r="A89" s="217">
        <v>45608</v>
      </c>
      <c r="B89">
        <f>COUNTIFS(Data[Date], "&lt;="&amp;$A89, Data[[Poster]:[Poster]],B$1, Data[Winner],TRUE())</f>
        <v>15</v>
      </c>
      <c r="C89">
        <f>COUNTIFS(Data[Date], "&lt;="&amp;$A89, Data[[Poster]:[Poster]],C$1, Data[Winner],TRUE())</f>
        <v>22</v>
      </c>
      <c r="D89">
        <f>COUNTIFS(Data[Date], "&lt;="&amp;$A89, Data[[Poster]:[Poster]],D$1, Data[Winner],TRUE())</f>
        <v>18</v>
      </c>
      <c r="E89">
        <f>COUNTIFS(Data[Date], "&lt;="&amp;$A89, Data[[Poster]:[Poster]],E$1, Data[Winner],TRUE())</f>
        <v>16</v>
      </c>
      <c r="F89">
        <f>COUNTIFS(Data[Date], "&lt;="&amp;$A89, Data[[Poster]:[Poster]],F$1, Data[Winner],TRUE())</f>
        <v>17</v>
      </c>
      <c r="G89" t="str" cm="1">
        <f t="array" ref="G89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90" spans="1:7">
      <c r="A90" s="217">
        <v>45609</v>
      </c>
      <c r="B90">
        <f>COUNTIFS(Data[Date], "&lt;="&amp;$A90, Data[[Poster]:[Poster]],B$1, Data[Winner],TRUE())</f>
        <v>15</v>
      </c>
      <c r="C90">
        <f>COUNTIFS(Data[Date], "&lt;="&amp;$A90, Data[[Poster]:[Poster]],C$1, Data[Winner],TRUE())</f>
        <v>22</v>
      </c>
      <c r="D90">
        <f>COUNTIFS(Data[Date], "&lt;="&amp;$A90, Data[[Poster]:[Poster]],D$1, Data[Winner],TRUE())</f>
        <v>18</v>
      </c>
      <c r="E90">
        <f>COUNTIFS(Data[Date], "&lt;="&amp;$A90, Data[[Poster]:[Poster]],E$1, Data[Winner],TRUE())</f>
        <v>17</v>
      </c>
      <c r="F90">
        <f>COUNTIFS(Data[Date], "&lt;="&amp;$A90, Data[[Poster]:[Poster]],F$1, Data[Winner],TRUE())</f>
        <v>17</v>
      </c>
      <c r="G90" t="str" cm="1">
        <f t="array" ref="G90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91" spans="1:7">
      <c r="A91" s="217">
        <v>45610</v>
      </c>
      <c r="B91">
        <f>COUNTIFS(Data[Date], "&lt;="&amp;$A91, Data[[Poster]:[Poster]],B$1, Data[Winner],TRUE())</f>
        <v>15</v>
      </c>
      <c r="C91">
        <f>COUNTIFS(Data[Date], "&lt;="&amp;$A91, Data[[Poster]:[Poster]],C$1, Data[Winner],TRUE())</f>
        <v>23</v>
      </c>
      <c r="D91">
        <f>COUNTIFS(Data[Date], "&lt;="&amp;$A91, Data[[Poster]:[Poster]],D$1, Data[Winner],TRUE())</f>
        <v>18</v>
      </c>
      <c r="E91">
        <f>COUNTIFS(Data[Date], "&lt;="&amp;$A91, Data[[Poster]:[Poster]],E$1, Data[Winner],TRUE())</f>
        <v>17</v>
      </c>
      <c r="F91">
        <f>COUNTIFS(Data[Date], "&lt;="&amp;$A91, Data[[Poster]:[Poster]],F$1, Data[Winner],TRUE())</f>
        <v>17</v>
      </c>
      <c r="G91" t="str" cm="1">
        <f t="array" ref="G91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92" spans="1:7">
      <c r="A92" s="217">
        <v>45614</v>
      </c>
      <c r="B92">
        <f>COUNTIFS(Data[Date], "&lt;="&amp;$A92, Data[[Poster]:[Poster]],B$1, Data[Winner],TRUE())</f>
        <v>15</v>
      </c>
      <c r="C92">
        <f>COUNTIFS(Data[Date], "&lt;="&amp;$A92, Data[[Poster]:[Poster]],C$1, Data[Winner],TRUE())</f>
        <v>23</v>
      </c>
      <c r="D92">
        <f>COUNTIFS(Data[Date], "&lt;="&amp;$A92, Data[[Poster]:[Poster]],D$1, Data[Winner],TRUE())</f>
        <v>19</v>
      </c>
      <c r="E92">
        <f>COUNTIFS(Data[Date], "&lt;="&amp;$A92, Data[[Poster]:[Poster]],E$1, Data[Winner],TRUE())</f>
        <v>17</v>
      </c>
      <c r="F92">
        <f>COUNTIFS(Data[Date], "&lt;="&amp;$A92, Data[[Poster]:[Poster]],F$1, Data[Winner],TRUE())</f>
        <v>17</v>
      </c>
      <c r="G92" t="str" cm="1">
        <f t="array" ref="G92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93" spans="1:7">
      <c r="A93" s="217">
        <v>45615</v>
      </c>
      <c r="B93">
        <f>COUNTIFS(Data[Date], "&lt;="&amp;$A93, Data[[Poster]:[Poster]],B$1, Data[Winner],TRUE())</f>
        <v>16</v>
      </c>
      <c r="C93">
        <f>COUNTIFS(Data[Date], "&lt;="&amp;$A93, Data[[Poster]:[Poster]],C$1, Data[Winner],TRUE())</f>
        <v>23</v>
      </c>
      <c r="D93">
        <f>COUNTIFS(Data[Date], "&lt;="&amp;$A93, Data[[Poster]:[Poster]],D$1, Data[Winner],TRUE())</f>
        <v>19</v>
      </c>
      <c r="E93">
        <f>COUNTIFS(Data[Date], "&lt;="&amp;$A93, Data[[Poster]:[Poster]],E$1, Data[Winner],TRUE())</f>
        <v>17</v>
      </c>
      <c r="F93">
        <f>COUNTIFS(Data[Date], "&lt;="&amp;$A93, Data[[Poster]:[Poster]],F$1, Data[Winner],TRUE())</f>
        <v>17</v>
      </c>
      <c r="G93" t="str" cm="1">
        <f t="array" ref="G93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94" spans="1:7">
      <c r="A94" s="217">
        <v>45616</v>
      </c>
      <c r="B94">
        <f>COUNTIFS(Data[Date], "&lt;="&amp;$A94, Data[[Poster]:[Poster]],B$1, Data[Winner],TRUE())</f>
        <v>16</v>
      </c>
      <c r="C94">
        <f>COUNTIFS(Data[Date], "&lt;="&amp;$A94, Data[[Poster]:[Poster]],C$1, Data[Winner],TRUE())</f>
        <v>23</v>
      </c>
      <c r="D94">
        <f>COUNTIFS(Data[Date], "&lt;="&amp;$A94, Data[[Poster]:[Poster]],D$1, Data[Winner],TRUE())</f>
        <v>19</v>
      </c>
      <c r="E94">
        <f>COUNTIFS(Data[Date], "&lt;="&amp;$A94, Data[[Poster]:[Poster]],E$1, Data[Winner],TRUE())</f>
        <v>17</v>
      </c>
      <c r="F94">
        <f>COUNTIFS(Data[Date], "&lt;="&amp;$A94, Data[[Poster]:[Poster]],F$1, Data[Winner],TRUE())</f>
        <v>18</v>
      </c>
      <c r="G94" t="str" cm="1">
        <f t="array" ref="G94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95" spans="1:7">
      <c r="A95" s="217">
        <v>45617</v>
      </c>
      <c r="B95">
        <f>COUNTIFS(Data[Date], "&lt;="&amp;$A95, Data[[Poster]:[Poster]],B$1, Data[Winner],TRUE())</f>
        <v>16</v>
      </c>
      <c r="C95">
        <f>COUNTIFS(Data[Date], "&lt;="&amp;$A95, Data[[Poster]:[Poster]],C$1, Data[Winner],TRUE())</f>
        <v>23</v>
      </c>
      <c r="D95">
        <f>COUNTIFS(Data[Date], "&lt;="&amp;$A95, Data[[Poster]:[Poster]],D$1, Data[Winner],TRUE())</f>
        <v>19</v>
      </c>
      <c r="E95">
        <f>COUNTIFS(Data[Date], "&lt;="&amp;$A95, Data[[Poster]:[Poster]],E$1, Data[Winner],TRUE())</f>
        <v>18</v>
      </c>
      <c r="F95">
        <f>COUNTIFS(Data[Date], "&lt;="&amp;$A95, Data[[Poster]:[Poster]],F$1, Data[Winner],TRUE())</f>
        <v>18</v>
      </c>
      <c r="G95" t="str" cm="1">
        <f t="array" ref="G95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96" spans="1:7">
      <c r="A96" s="217">
        <v>45621</v>
      </c>
      <c r="B96">
        <f>COUNTIFS(Data[Date], "&lt;="&amp;$A96, Data[[Poster]:[Poster]],B$1, Data[Winner],TRUE())</f>
        <v>16</v>
      </c>
      <c r="C96">
        <f>COUNTIFS(Data[Date], "&lt;="&amp;$A96, Data[[Poster]:[Poster]],C$1, Data[Winner],TRUE())</f>
        <v>23</v>
      </c>
      <c r="D96">
        <f>COUNTIFS(Data[Date], "&lt;="&amp;$A96, Data[[Poster]:[Poster]],D$1, Data[Winner],TRUE())</f>
        <v>19</v>
      </c>
      <c r="E96">
        <f>COUNTIFS(Data[Date], "&lt;="&amp;$A96, Data[[Poster]:[Poster]],E$1, Data[Winner],TRUE())</f>
        <v>19</v>
      </c>
      <c r="F96">
        <f>COUNTIFS(Data[Date], "&lt;="&amp;$A96, Data[[Poster]:[Poster]],F$1, Data[Winner],TRUE())</f>
        <v>18</v>
      </c>
      <c r="G96" t="str" cm="1">
        <f t="array" ref="G96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97" spans="1:7">
      <c r="A97" s="217">
        <v>45622</v>
      </c>
      <c r="B97">
        <f>COUNTIFS(Data[Date], "&lt;="&amp;$A97, Data[[Poster]:[Poster]],B$1, Data[Winner],TRUE())</f>
        <v>16</v>
      </c>
      <c r="C97">
        <f>COUNTIFS(Data[Date], "&lt;="&amp;$A97, Data[[Poster]:[Poster]],C$1, Data[Winner],TRUE())</f>
        <v>23</v>
      </c>
      <c r="D97">
        <f>COUNTIFS(Data[Date], "&lt;="&amp;$A97, Data[[Poster]:[Poster]],D$1, Data[Winner],TRUE())</f>
        <v>19</v>
      </c>
      <c r="E97">
        <f>COUNTIFS(Data[Date], "&lt;="&amp;$A97, Data[[Poster]:[Poster]],E$1, Data[Winner],TRUE())</f>
        <v>20</v>
      </c>
      <c r="F97">
        <f>COUNTIFS(Data[Date], "&lt;="&amp;$A97, Data[[Poster]:[Poster]],F$1, Data[Winner],TRUE())</f>
        <v>18</v>
      </c>
      <c r="G97" t="str" cm="1">
        <f t="array" ref="G97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98" spans="1:7">
      <c r="A98" s="217">
        <v>45623</v>
      </c>
      <c r="B98">
        <f>COUNTIFS(Data[Date], "&lt;="&amp;$A98, Data[[Poster]:[Poster]],B$1, Data[Winner],TRUE())</f>
        <v>16</v>
      </c>
      <c r="C98">
        <f>COUNTIFS(Data[Date], "&lt;="&amp;$A98, Data[[Poster]:[Poster]],C$1, Data[Winner],TRUE())</f>
        <v>23</v>
      </c>
      <c r="D98">
        <f>COUNTIFS(Data[Date], "&lt;="&amp;$A98, Data[[Poster]:[Poster]],D$1, Data[Winner],TRUE())</f>
        <v>20</v>
      </c>
      <c r="E98">
        <f>COUNTIFS(Data[Date], "&lt;="&amp;$A98, Data[[Poster]:[Poster]],E$1, Data[Winner],TRUE())</f>
        <v>20</v>
      </c>
      <c r="F98">
        <f>COUNTIFS(Data[Date], "&lt;="&amp;$A98, Data[[Poster]:[Poster]],F$1, Data[Winner],TRUE())</f>
        <v>18</v>
      </c>
      <c r="G98" t="str" cm="1">
        <f t="array" ref="G98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99" spans="1:7">
      <c r="A99" s="217">
        <v>45624</v>
      </c>
      <c r="B99">
        <f>COUNTIFS(Data[Date], "&lt;="&amp;$A99, Data[[Poster]:[Poster]],B$1, Data[Winner],TRUE())</f>
        <v>16</v>
      </c>
      <c r="C99">
        <f>COUNTIFS(Data[Date], "&lt;="&amp;$A99, Data[[Poster]:[Poster]],C$1, Data[Winner],TRUE())</f>
        <v>23</v>
      </c>
      <c r="D99">
        <f>COUNTIFS(Data[Date], "&lt;="&amp;$A99, Data[[Poster]:[Poster]],D$1, Data[Winner],TRUE())</f>
        <v>21</v>
      </c>
      <c r="E99">
        <f>COUNTIFS(Data[Date], "&lt;="&amp;$A99, Data[[Poster]:[Poster]],E$1, Data[Winner],TRUE())</f>
        <v>20</v>
      </c>
      <c r="F99">
        <f>COUNTIFS(Data[Date], "&lt;="&amp;$A99, Data[[Poster]:[Poster]],F$1, Data[Winner],TRUE())</f>
        <v>18</v>
      </c>
      <c r="G99" t="str" cm="1">
        <f t="array" ref="G99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00" spans="1:7">
      <c r="A100" s="217">
        <v>45628</v>
      </c>
      <c r="B100">
        <f>COUNTIFS(Data[Date], "&lt;="&amp;$A100, Data[[Poster]:[Poster]],B$1, Data[Winner],TRUE())</f>
        <v>17</v>
      </c>
      <c r="C100">
        <f>COUNTIFS(Data[Date], "&lt;="&amp;$A100, Data[[Poster]:[Poster]],C$1, Data[Winner],TRUE())</f>
        <v>23</v>
      </c>
      <c r="D100">
        <f>COUNTIFS(Data[Date], "&lt;="&amp;$A100, Data[[Poster]:[Poster]],D$1, Data[Winner],TRUE())</f>
        <v>21</v>
      </c>
      <c r="E100">
        <f>COUNTIFS(Data[Date], "&lt;="&amp;$A100, Data[[Poster]:[Poster]],E$1, Data[Winner],TRUE())</f>
        <v>20</v>
      </c>
      <c r="F100">
        <f>COUNTIFS(Data[Date], "&lt;="&amp;$A100, Data[[Poster]:[Poster]],F$1, Data[Winner],TRUE())</f>
        <v>18</v>
      </c>
      <c r="G100" t="str" cm="1">
        <f t="array" ref="G100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01" spans="1:7">
      <c r="A101" s="217">
        <v>45629</v>
      </c>
      <c r="B101">
        <f>COUNTIFS(Data[Date], "&lt;="&amp;$A101, Data[[Poster]:[Poster]],B$1, Data[Winner],TRUE())</f>
        <v>17</v>
      </c>
      <c r="C101">
        <f>COUNTIFS(Data[Date], "&lt;="&amp;$A101, Data[[Poster]:[Poster]],C$1, Data[Winner],TRUE())</f>
        <v>23</v>
      </c>
      <c r="D101">
        <f>COUNTIFS(Data[Date], "&lt;="&amp;$A101, Data[[Poster]:[Poster]],D$1, Data[Winner],TRUE())</f>
        <v>21</v>
      </c>
      <c r="E101">
        <f>COUNTIFS(Data[Date], "&lt;="&amp;$A101, Data[[Poster]:[Poster]],E$1, Data[Winner],TRUE())</f>
        <v>21</v>
      </c>
      <c r="F101">
        <f>COUNTIFS(Data[Date], "&lt;="&amp;$A101, Data[[Poster]:[Poster]],F$1, Data[Winner],TRUE())</f>
        <v>18</v>
      </c>
      <c r="G101" t="str" cm="1">
        <f t="array" ref="G101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02" spans="1:7">
      <c r="A102" s="217">
        <v>45630</v>
      </c>
      <c r="B102">
        <f>COUNTIFS(Data[Date], "&lt;="&amp;$A102, Data[[Poster]:[Poster]],B$1, Data[Winner],TRUE())</f>
        <v>17</v>
      </c>
      <c r="C102">
        <f>COUNTIFS(Data[Date], "&lt;="&amp;$A102, Data[[Poster]:[Poster]],C$1, Data[Winner],TRUE())</f>
        <v>23</v>
      </c>
      <c r="D102">
        <f>COUNTIFS(Data[Date], "&lt;="&amp;$A102, Data[[Poster]:[Poster]],D$1, Data[Winner],TRUE())</f>
        <v>21</v>
      </c>
      <c r="E102">
        <f>COUNTIFS(Data[Date], "&lt;="&amp;$A102, Data[[Poster]:[Poster]],E$1, Data[Winner],TRUE())</f>
        <v>21</v>
      </c>
      <c r="F102">
        <f>COUNTIFS(Data[Date], "&lt;="&amp;$A102, Data[[Poster]:[Poster]],F$1, Data[Winner],TRUE())</f>
        <v>19</v>
      </c>
      <c r="G102" t="str" cm="1">
        <f t="array" ref="G102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03" spans="1:7">
      <c r="A103" s="217">
        <v>45631</v>
      </c>
      <c r="B103">
        <f>COUNTIFS(Data[Date], "&lt;="&amp;$A103, Data[[Poster]:[Poster]],B$1, Data[Winner],TRUE())</f>
        <v>17</v>
      </c>
      <c r="C103">
        <f>COUNTIFS(Data[Date], "&lt;="&amp;$A103, Data[[Poster]:[Poster]],C$1, Data[Winner],TRUE())</f>
        <v>23</v>
      </c>
      <c r="D103">
        <f>COUNTIFS(Data[Date], "&lt;="&amp;$A103, Data[[Poster]:[Poster]],D$1, Data[Winner],TRUE())</f>
        <v>21</v>
      </c>
      <c r="E103">
        <f>COUNTIFS(Data[Date], "&lt;="&amp;$A103, Data[[Poster]:[Poster]],E$1, Data[Winner],TRUE())</f>
        <v>21</v>
      </c>
      <c r="F103">
        <f>COUNTIFS(Data[Date], "&lt;="&amp;$A103, Data[[Poster]:[Poster]],F$1, Data[Winner],TRUE())</f>
        <v>20</v>
      </c>
      <c r="G103" t="str" cm="1">
        <f t="array" ref="G103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04" spans="1:7">
      <c r="A104" s="217">
        <v>45635</v>
      </c>
      <c r="B104">
        <f>COUNTIFS(Data[Date], "&lt;="&amp;$A104, Data[[Poster]:[Poster]],B$1, Data[Winner],TRUE())</f>
        <v>18</v>
      </c>
      <c r="C104">
        <f>COUNTIFS(Data[Date], "&lt;="&amp;$A104, Data[[Poster]:[Poster]],C$1, Data[Winner],TRUE())</f>
        <v>23</v>
      </c>
      <c r="D104">
        <f>COUNTIFS(Data[Date], "&lt;="&amp;$A104, Data[[Poster]:[Poster]],D$1, Data[Winner],TRUE())</f>
        <v>21</v>
      </c>
      <c r="E104">
        <f>COUNTIFS(Data[Date], "&lt;="&amp;$A104, Data[[Poster]:[Poster]],E$1, Data[Winner],TRUE())</f>
        <v>21</v>
      </c>
      <c r="F104">
        <f>COUNTIFS(Data[Date], "&lt;="&amp;$A104, Data[[Poster]:[Poster]],F$1, Data[Winner],TRUE())</f>
        <v>20</v>
      </c>
      <c r="G104" t="str" cm="1">
        <f t="array" ref="G104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05" spans="1:7">
      <c r="A105" s="217">
        <v>45636</v>
      </c>
      <c r="B105">
        <f>COUNTIFS(Data[Date], "&lt;="&amp;$A105, Data[[Poster]:[Poster]],B$1, Data[Winner],TRUE())</f>
        <v>19</v>
      </c>
      <c r="C105">
        <f>COUNTIFS(Data[Date], "&lt;="&amp;$A105, Data[[Poster]:[Poster]],C$1, Data[Winner],TRUE())</f>
        <v>23</v>
      </c>
      <c r="D105">
        <f>COUNTIFS(Data[Date], "&lt;="&amp;$A105, Data[[Poster]:[Poster]],D$1, Data[Winner],TRUE())</f>
        <v>21</v>
      </c>
      <c r="E105">
        <f>COUNTIFS(Data[Date], "&lt;="&amp;$A105, Data[[Poster]:[Poster]],E$1, Data[Winner],TRUE())</f>
        <v>21</v>
      </c>
      <c r="F105">
        <f>COUNTIFS(Data[Date], "&lt;="&amp;$A105, Data[[Poster]:[Poster]],F$1, Data[Winner],TRUE())</f>
        <v>20</v>
      </c>
      <c r="G105" t="str" cm="1">
        <f t="array" ref="G105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06" spans="1:7">
      <c r="A106" s="217">
        <v>45637</v>
      </c>
      <c r="B106">
        <f>COUNTIFS(Data[Date], "&lt;="&amp;$A106, Data[[Poster]:[Poster]],B$1, Data[Winner],TRUE())</f>
        <v>19</v>
      </c>
      <c r="C106">
        <f>COUNTIFS(Data[Date], "&lt;="&amp;$A106, Data[[Poster]:[Poster]],C$1, Data[Winner],TRUE())</f>
        <v>24</v>
      </c>
      <c r="D106">
        <f>COUNTIFS(Data[Date], "&lt;="&amp;$A106, Data[[Poster]:[Poster]],D$1, Data[Winner],TRUE())</f>
        <v>21</v>
      </c>
      <c r="E106">
        <f>COUNTIFS(Data[Date], "&lt;="&amp;$A106, Data[[Poster]:[Poster]],E$1, Data[Winner],TRUE())</f>
        <v>21</v>
      </c>
      <c r="F106">
        <f>COUNTIFS(Data[Date], "&lt;="&amp;$A106, Data[[Poster]:[Poster]],F$1, Data[Winner],TRUE())</f>
        <v>20</v>
      </c>
      <c r="G106" t="str" cm="1">
        <f t="array" ref="G106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07" spans="1:7">
      <c r="A107" s="217">
        <v>45638</v>
      </c>
      <c r="B107">
        <f>COUNTIFS(Data[Date], "&lt;="&amp;$A107, Data[[Poster]:[Poster]],B$1, Data[Winner],TRUE())</f>
        <v>20</v>
      </c>
      <c r="C107">
        <f>COUNTIFS(Data[Date], "&lt;="&amp;$A107, Data[[Poster]:[Poster]],C$1, Data[Winner],TRUE())</f>
        <v>24</v>
      </c>
      <c r="D107">
        <f>COUNTIFS(Data[Date], "&lt;="&amp;$A107, Data[[Poster]:[Poster]],D$1, Data[Winner],TRUE())</f>
        <v>21</v>
      </c>
      <c r="E107">
        <f>COUNTIFS(Data[Date], "&lt;="&amp;$A107, Data[[Poster]:[Poster]],E$1, Data[Winner],TRUE())</f>
        <v>21</v>
      </c>
      <c r="F107">
        <f>COUNTIFS(Data[Date], "&lt;="&amp;$A107, Data[[Poster]:[Poster]],F$1, Data[Winner],TRUE())</f>
        <v>20</v>
      </c>
      <c r="G107" t="str" cm="1">
        <f t="array" ref="G107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08" spans="1:7">
      <c r="A108" s="217">
        <v>45642</v>
      </c>
      <c r="B108">
        <f>COUNTIFS(Data[Date], "&lt;="&amp;$A108, Data[[Poster]:[Poster]],B$1, Data[Winner],TRUE())</f>
        <v>20</v>
      </c>
      <c r="C108">
        <f>COUNTIFS(Data[Date], "&lt;="&amp;$A108, Data[[Poster]:[Poster]],C$1, Data[Winner],TRUE())</f>
        <v>25</v>
      </c>
      <c r="D108">
        <f>COUNTIFS(Data[Date], "&lt;="&amp;$A108, Data[[Poster]:[Poster]],D$1, Data[Winner],TRUE())</f>
        <v>21</v>
      </c>
      <c r="E108">
        <f>COUNTIFS(Data[Date], "&lt;="&amp;$A108, Data[[Poster]:[Poster]],E$1, Data[Winner],TRUE())</f>
        <v>21</v>
      </c>
      <c r="F108">
        <f>COUNTIFS(Data[Date], "&lt;="&amp;$A108, Data[[Poster]:[Poster]],F$1, Data[Winner],TRUE())</f>
        <v>20</v>
      </c>
      <c r="G108" t="str" cm="1">
        <f t="array" ref="G108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09" spans="1:7">
      <c r="A109" s="217">
        <v>45643</v>
      </c>
      <c r="B109">
        <f>COUNTIFS(Data[Date], "&lt;="&amp;$A109, Data[[Poster]:[Poster]],B$1, Data[Winner],TRUE())</f>
        <v>21</v>
      </c>
      <c r="C109">
        <f>COUNTIFS(Data[Date], "&lt;="&amp;$A109, Data[[Poster]:[Poster]],C$1, Data[Winner],TRUE())</f>
        <v>25</v>
      </c>
      <c r="D109">
        <f>COUNTIFS(Data[Date], "&lt;="&amp;$A109, Data[[Poster]:[Poster]],D$1, Data[Winner],TRUE())</f>
        <v>21</v>
      </c>
      <c r="E109">
        <f>COUNTIFS(Data[Date], "&lt;="&amp;$A109, Data[[Poster]:[Poster]],E$1, Data[Winner],TRUE())</f>
        <v>21</v>
      </c>
      <c r="F109">
        <f>COUNTIFS(Data[Date], "&lt;="&amp;$A109, Data[[Poster]:[Poster]],F$1, Data[Winner],TRUE())</f>
        <v>20</v>
      </c>
      <c r="G109" t="str" cm="1">
        <f t="array" ref="G109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10" spans="1:7">
      <c r="A110" s="217">
        <v>45644</v>
      </c>
      <c r="B110">
        <f>COUNTIFS(Data[Date], "&lt;="&amp;$A110, Data[[Poster]:[Poster]],B$1, Data[Winner],TRUE())</f>
        <v>21</v>
      </c>
      <c r="C110">
        <f>COUNTIFS(Data[Date], "&lt;="&amp;$A110, Data[[Poster]:[Poster]],C$1, Data[Winner],TRUE())</f>
        <v>25</v>
      </c>
      <c r="D110">
        <f>COUNTIFS(Data[Date], "&lt;="&amp;$A110, Data[[Poster]:[Poster]],D$1, Data[Winner],TRUE())</f>
        <v>22</v>
      </c>
      <c r="E110">
        <f>COUNTIFS(Data[Date], "&lt;="&amp;$A110, Data[[Poster]:[Poster]],E$1, Data[Winner],TRUE())</f>
        <v>21</v>
      </c>
      <c r="F110">
        <f>COUNTIFS(Data[Date], "&lt;="&amp;$A110, Data[[Poster]:[Poster]],F$1, Data[Winner],TRUE())</f>
        <v>20</v>
      </c>
      <c r="G110" t="str" cm="1">
        <f t="array" ref="G110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11" spans="1:7">
      <c r="A111" s="217">
        <v>45645</v>
      </c>
      <c r="B111">
        <f>COUNTIFS(Data[Date], "&lt;="&amp;$A111, Data[[Poster]:[Poster]],B$1, Data[Winner],TRUE())</f>
        <v>21</v>
      </c>
      <c r="C111">
        <f>COUNTIFS(Data[Date], "&lt;="&amp;$A111, Data[[Poster]:[Poster]],C$1, Data[Winner],TRUE())</f>
        <v>26</v>
      </c>
      <c r="D111">
        <f>COUNTIFS(Data[Date], "&lt;="&amp;$A111, Data[[Poster]:[Poster]],D$1, Data[Winner],TRUE())</f>
        <v>22</v>
      </c>
      <c r="E111">
        <f>COUNTIFS(Data[Date], "&lt;="&amp;$A111, Data[[Poster]:[Poster]],E$1, Data[Winner],TRUE())</f>
        <v>21</v>
      </c>
      <c r="F111">
        <f>COUNTIFS(Data[Date], "&lt;="&amp;$A111, Data[[Poster]:[Poster]],F$1, Data[Winner],TRUE())</f>
        <v>20</v>
      </c>
      <c r="G111" t="str" cm="1">
        <f t="array" ref="G111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12" spans="1:7">
      <c r="A112" s="217">
        <v>45663</v>
      </c>
      <c r="B112">
        <f>COUNTIFS(Data[Date], "&lt;="&amp;$A112, Data[[Poster]:[Poster]],B$1, Data[Winner],TRUE())</f>
        <v>21</v>
      </c>
      <c r="C112">
        <f>COUNTIFS(Data[Date], "&lt;="&amp;$A112, Data[[Poster]:[Poster]],C$1, Data[Winner],TRUE())</f>
        <v>27</v>
      </c>
      <c r="D112">
        <f>COUNTIFS(Data[Date], "&lt;="&amp;$A112, Data[[Poster]:[Poster]],D$1, Data[Winner],TRUE())</f>
        <v>22</v>
      </c>
      <c r="E112">
        <f>COUNTIFS(Data[Date], "&lt;="&amp;$A112, Data[[Poster]:[Poster]],E$1, Data[Winner],TRUE())</f>
        <v>21</v>
      </c>
      <c r="F112">
        <f>COUNTIFS(Data[Date], "&lt;="&amp;$A112, Data[[Poster]:[Poster]],F$1, Data[Winner],TRUE())</f>
        <v>20</v>
      </c>
      <c r="G112" t="str" cm="1">
        <f t="array" ref="G112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13" spans="1:7">
      <c r="A113" s="217">
        <v>45664</v>
      </c>
      <c r="B113">
        <f>COUNTIFS(Data[Date], "&lt;="&amp;$A113, Data[[Poster]:[Poster]],B$1, Data[Winner],TRUE())</f>
        <v>21</v>
      </c>
      <c r="C113">
        <f>COUNTIFS(Data[Date], "&lt;="&amp;$A113, Data[[Poster]:[Poster]],C$1, Data[Winner],TRUE())</f>
        <v>28</v>
      </c>
      <c r="D113">
        <f>COUNTIFS(Data[Date], "&lt;="&amp;$A113, Data[[Poster]:[Poster]],D$1, Data[Winner],TRUE())</f>
        <v>22</v>
      </c>
      <c r="E113">
        <f>COUNTIFS(Data[Date], "&lt;="&amp;$A113, Data[[Poster]:[Poster]],E$1, Data[Winner],TRUE())</f>
        <v>21</v>
      </c>
      <c r="F113">
        <f>COUNTIFS(Data[Date], "&lt;="&amp;$A113, Data[[Poster]:[Poster]],F$1, Data[Winner],TRUE())</f>
        <v>20</v>
      </c>
      <c r="G113" t="str" cm="1">
        <f t="array" ref="G113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14" spans="1:7">
      <c r="A114" s="217">
        <v>45665</v>
      </c>
      <c r="B114">
        <f>COUNTIFS(Data[Date], "&lt;="&amp;$A114, Data[[Poster]:[Poster]],B$1, Data[Winner],TRUE())</f>
        <v>21</v>
      </c>
      <c r="C114">
        <f>COUNTIFS(Data[Date], "&lt;="&amp;$A114, Data[[Poster]:[Poster]],C$1, Data[Winner],TRUE())</f>
        <v>29</v>
      </c>
      <c r="D114">
        <f>COUNTIFS(Data[Date], "&lt;="&amp;$A114, Data[[Poster]:[Poster]],D$1, Data[Winner],TRUE())</f>
        <v>22</v>
      </c>
      <c r="E114">
        <f>COUNTIFS(Data[Date], "&lt;="&amp;$A114, Data[[Poster]:[Poster]],E$1, Data[Winner],TRUE())</f>
        <v>21</v>
      </c>
      <c r="F114">
        <f>COUNTIFS(Data[Date], "&lt;="&amp;$A114, Data[[Poster]:[Poster]],F$1, Data[Winner],TRUE())</f>
        <v>20</v>
      </c>
      <c r="G114" t="str" cm="1">
        <f t="array" ref="G114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15" spans="1:7">
      <c r="A115" s="217">
        <v>45666</v>
      </c>
      <c r="B115">
        <f>COUNTIFS(Data[Date], "&lt;="&amp;$A115, Data[[Poster]:[Poster]],B$1, Data[Winner],TRUE())</f>
        <v>21</v>
      </c>
      <c r="C115">
        <f>COUNTIFS(Data[Date], "&lt;="&amp;$A115, Data[[Poster]:[Poster]],C$1, Data[Winner],TRUE())</f>
        <v>29</v>
      </c>
      <c r="D115">
        <f>COUNTIFS(Data[Date], "&lt;="&amp;$A115, Data[[Poster]:[Poster]],D$1, Data[Winner],TRUE())</f>
        <v>22</v>
      </c>
      <c r="E115">
        <f>COUNTIFS(Data[Date], "&lt;="&amp;$A115, Data[[Poster]:[Poster]],E$1, Data[Winner],TRUE())</f>
        <v>22</v>
      </c>
      <c r="F115">
        <f>COUNTIFS(Data[Date], "&lt;="&amp;$A115, Data[[Poster]:[Poster]],F$1, Data[Winner],TRUE())</f>
        <v>20</v>
      </c>
      <c r="G115" t="str" cm="1">
        <f t="array" ref="G115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16" spans="1:7">
      <c r="A116" s="217">
        <v>45670</v>
      </c>
      <c r="B116">
        <f>COUNTIFS(Data[Date], "&lt;="&amp;$A116, Data[[Poster]:[Poster]],B$1, Data[Winner],TRUE())</f>
        <v>22</v>
      </c>
      <c r="C116">
        <f>COUNTIFS(Data[Date], "&lt;="&amp;$A116, Data[[Poster]:[Poster]],C$1, Data[Winner],TRUE())</f>
        <v>29</v>
      </c>
      <c r="D116">
        <f>COUNTIFS(Data[Date], "&lt;="&amp;$A116, Data[[Poster]:[Poster]],D$1, Data[Winner],TRUE())</f>
        <v>22</v>
      </c>
      <c r="E116">
        <f>COUNTIFS(Data[Date], "&lt;="&amp;$A116, Data[[Poster]:[Poster]],E$1, Data[Winner],TRUE())</f>
        <v>22</v>
      </c>
      <c r="F116">
        <f>COUNTIFS(Data[Date], "&lt;="&amp;$A116, Data[[Poster]:[Poster]],F$1, Data[Winner],TRUE())</f>
        <v>20</v>
      </c>
      <c r="G116" t="str" cm="1">
        <f t="array" ref="G116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17" spans="1:7">
      <c r="A117" s="217">
        <v>45671</v>
      </c>
      <c r="B117">
        <f>COUNTIFS(Data[Date], "&lt;="&amp;$A117, Data[[Poster]:[Poster]],B$1, Data[Winner],TRUE())</f>
        <v>22</v>
      </c>
      <c r="C117">
        <f>COUNTIFS(Data[Date], "&lt;="&amp;$A117, Data[[Poster]:[Poster]],C$1, Data[Winner],TRUE())</f>
        <v>30</v>
      </c>
      <c r="D117">
        <f>COUNTIFS(Data[Date], "&lt;="&amp;$A117, Data[[Poster]:[Poster]],D$1, Data[Winner],TRUE())</f>
        <v>22</v>
      </c>
      <c r="E117">
        <f>COUNTIFS(Data[Date], "&lt;="&amp;$A117, Data[[Poster]:[Poster]],E$1, Data[Winner],TRUE())</f>
        <v>22</v>
      </c>
      <c r="F117">
        <f>COUNTIFS(Data[Date], "&lt;="&amp;$A117, Data[[Poster]:[Poster]],F$1, Data[Winner],TRUE())</f>
        <v>20</v>
      </c>
      <c r="G117" t="str" cm="1">
        <f t="array" ref="G117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18" spans="1:7">
      <c r="A118" s="217">
        <v>45672</v>
      </c>
      <c r="B118">
        <f>COUNTIFS(Data[Date], "&lt;="&amp;$A118, Data[[Poster]:[Poster]],B$1, Data[Winner],TRUE())</f>
        <v>22</v>
      </c>
      <c r="C118">
        <f>COUNTIFS(Data[Date], "&lt;="&amp;$A118, Data[[Poster]:[Poster]],C$1, Data[Winner],TRUE())</f>
        <v>30</v>
      </c>
      <c r="D118">
        <f>COUNTIFS(Data[Date], "&lt;="&amp;$A118, Data[[Poster]:[Poster]],D$1, Data[Winner],TRUE())</f>
        <v>22</v>
      </c>
      <c r="E118">
        <f>COUNTIFS(Data[Date], "&lt;="&amp;$A118, Data[[Poster]:[Poster]],E$1, Data[Winner],TRUE())</f>
        <v>22</v>
      </c>
      <c r="F118">
        <f>COUNTIFS(Data[Date], "&lt;="&amp;$A118, Data[[Poster]:[Poster]],F$1, Data[Winner],TRUE())</f>
        <v>21</v>
      </c>
      <c r="G118" t="str" cm="1">
        <f t="array" ref="G118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19" spans="1:7">
      <c r="A119" s="217">
        <v>45673</v>
      </c>
      <c r="B119">
        <f>COUNTIFS(Data[Date], "&lt;="&amp;$A119, Data[[Poster]:[Poster]],B$1, Data[Winner],TRUE())</f>
        <v>22</v>
      </c>
      <c r="C119">
        <f>COUNTIFS(Data[Date], "&lt;="&amp;$A119, Data[[Poster]:[Poster]],C$1, Data[Winner],TRUE())</f>
        <v>31</v>
      </c>
      <c r="D119">
        <f>COUNTIFS(Data[Date], "&lt;="&amp;$A119, Data[[Poster]:[Poster]],D$1, Data[Winner],TRUE())</f>
        <v>22</v>
      </c>
      <c r="E119">
        <f>COUNTIFS(Data[Date], "&lt;="&amp;$A119, Data[[Poster]:[Poster]],E$1, Data[Winner],TRUE())</f>
        <v>22</v>
      </c>
      <c r="F119">
        <f>COUNTIFS(Data[Date], "&lt;="&amp;$A119, Data[[Poster]:[Poster]],F$1, Data[Winner],TRUE())</f>
        <v>21</v>
      </c>
      <c r="G119" t="str" cm="1">
        <f t="array" ref="G119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20" spans="1:7">
      <c r="A120" s="217">
        <v>45677</v>
      </c>
      <c r="B120">
        <f>COUNTIFS(Data[Date], "&lt;="&amp;$A120, Data[[Poster]:[Poster]],B$1, Data[Winner],TRUE())</f>
        <v>22</v>
      </c>
      <c r="C120">
        <f>COUNTIFS(Data[Date], "&lt;="&amp;$A120, Data[[Poster]:[Poster]],C$1, Data[Winner],TRUE())</f>
        <v>31</v>
      </c>
      <c r="D120">
        <f>COUNTIFS(Data[Date], "&lt;="&amp;$A120, Data[[Poster]:[Poster]],D$1, Data[Winner],TRUE())</f>
        <v>22</v>
      </c>
      <c r="E120">
        <f>COUNTIFS(Data[Date], "&lt;="&amp;$A120, Data[[Poster]:[Poster]],E$1, Data[Winner],TRUE())</f>
        <v>23</v>
      </c>
      <c r="F120">
        <f>COUNTIFS(Data[Date], "&lt;="&amp;$A120, Data[[Poster]:[Poster]],F$1, Data[Winner],TRUE())</f>
        <v>21</v>
      </c>
      <c r="G120" t="str" cm="1">
        <f t="array" ref="G120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21" spans="1:7">
      <c r="A121" s="217">
        <v>45678</v>
      </c>
      <c r="B121">
        <f>COUNTIFS(Data[Date], "&lt;="&amp;$A121, Data[[Poster]:[Poster]],B$1, Data[Winner],TRUE())</f>
        <v>22</v>
      </c>
      <c r="C121">
        <f>COUNTIFS(Data[Date], "&lt;="&amp;$A121, Data[[Poster]:[Poster]],C$1, Data[Winner],TRUE())</f>
        <v>31</v>
      </c>
      <c r="D121">
        <f>COUNTIFS(Data[Date], "&lt;="&amp;$A121, Data[[Poster]:[Poster]],D$1, Data[Winner],TRUE())</f>
        <v>23</v>
      </c>
      <c r="E121">
        <f>COUNTIFS(Data[Date], "&lt;="&amp;$A121, Data[[Poster]:[Poster]],E$1, Data[Winner],TRUE())</f>
        <v>23</v>
      </c>
      <c r="F121">
        <f>COUNTIFS(Data[Date], "&lt;="&amp;$A121, Data[[Poster]:[Poster]],F$1, Data[Winner],TRUE())</f>
        <v>21</v>
      </c>
      <c r="G121" t="str" cm="1">
        <f t="array" ref="G121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22" spans="1:7">
      <c r="A122" s="217">
        <v>45679</v>
      </c>
      <c r="B122">
        <f>COUNTIFS(Data[Date], "&lt;="&amp;$A122, Data[[Poster]:[Poster]],B$1, Data[Winner],TRUE())</f>
        <v>22</v>
      </c>
      <c r="C122">
        <f>COUNTIFS(Data[Date], "&lt;="&amp;$A122, Data[[Poster]:[Poster]],C$1, Data[Winner],TRUE())</f>
        <v>31</v>
      </c>
      <c r="D122">
        <f>COUNTIFS(Data[Date], "&lt;="&amp;$A122, Data[[Poster]:[Poster]],D$1, Data[Winner],TRUE())</f>
        <v>24</v>
      </c>
      <c r="E122">
        <f>COUNTIFS(Data[Date], "&lt;="&amp;$A122, Data[[Poster]:[Poster]],E$1, Data[Winner],TRUE())</f>
        <v>23</v>
      </c>
      <c r="F122">
        <f>COUNTIFS(Data[Date], "&lt;="&amp;$A122, Data[[Poster]:[Poster]],F$1, Data[Winner],TRUE())</f>
        <v>21</v>
      </c>
      <c r="G122" t="str" cm="1">
        <f t="array" ref="G122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23" spans="1:7">
      <c r="A123" s="217">
        <v>45680</v>
      </c>
      <c r="B123">
        <f>COUNTIFS(Data[Date], "&lt;="&amp;$A123, Data[[Poster]:[Poster]],B$1, Data[Winner],TRUE())</f>
        <v>23</v>
      </c>
      <c r="C123">
        <f>COUNTIFS(Data[Date], "&lt;="&amp;$A123, Data[[Poster]:[Poster]],C$1, Data[Winner],TRUE())</f>
        <v>31</v>
      </c>
      <c r="D123">
        <f>COUNTIFS(Data[Date], "&lt;="&amp;$A123, Data[[Poster]:[Poster]],D$1, Data[Winner],TRUE())</f>
        <v>24</v>
      </c>
      <c r="E123">
        <f>COUNTIFS(Data[Date], "&lt;="&amp;$A123, Data[[Poster]:[Poster]],E$1, Data[Winner],TRUE())</f>
        <v>23</v>
      </c>
      <c r="F123">
        <f>COUNTIFS(Data[Date], "&lt;="&amp;$A123, Data[[Poster]:[Poster]],F$1, Data[Winner],TRUE())</f>
        <v>21</v>
      </c>
      <c r="G123" t="str" cm="1">
        <f t="array" ref="G123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24" spans="1:7">
      <c r="A124" s="217">
        <v>45684</v>
      </c>
      <c r="B124">
        <f>COUNTIFS(Data[Date], "&lt;="&amp;$A124, Data[[Poster]:[Poster]],B$1, Data[Winner],TRUE())</f>
        <v>23</v>
      </c>
      <c r="C124">
        <f>COUNTIFS(Data[Date], "&lt;="&amp;$A124, Data[[Poster]:[Poster]],C$1, Data[Winner],TRUE())</f>
        <v>31</v>
      </c>
      <c r="D124">
        <f>COUNTIFS(Data[Date], "&lt;="&amp;$A124, Data[[Poster]:[Poster]],D$1, Data[Winner],TRUE())</f>
        <v>24</v>
      </c>
      <c r="E124">
        <f>COUNTIFS(Data[Date], "&lt;="&amp;$A124, Data[[Poster]:[Poster]],E$1, Data[Winner],TRUE())</f>
        <v>23</v>
      </c>
      <c r="F124">
        <f>COUNTIFS(Data[Date], "&lt;="&amp;$A124, Data[[Poster]:[Poster]],F$1, Data[Winner],TRUE())</f>
        <v>22</v>
      </c>
      <c r="G124" t="str" cm="1">
        <f t="array" ref="G124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25" spans="1:7">
      <c r="A125" s="217">
        <v>45685</v>
      </c>
      <c r="B125">
        <f>COUNTIFS(Data[Date], "&lt;="&amp;$A125, Data[[Poster]:[Poster]],B$1, Data[Winner],TRUE())</f>
        <v>23</v>
      </c>
      <c r="C125">
        <f>COUNTIFS(Data[Date], "&lt;="&amp;$A125, Data[[Poster]:[Poster]],C$1, Data[Winner],TRUE())</f>
        <v>32</v>
      </c>
      <c r="D125">
        <f>COUNTIFS(Data[Date], "&lt;="&amp;$A125, Data[[Poster]:[Poster]],D$1, Data[Winner],TRUE())</f>
        <v>24</v>
      </c>
      <c r="E125">
        <f>COUNTIFS(Data[Date], "&lt;="&amp;$A125, Data[[Poster]:[Poster]],E$1, Data[Winner],TRUE())</f>
        <v>23</v>
      </c>
      <c r="F125">
        <f>COUNTIFS(Data[Date], "&lt;="&amp;$A125, Data[[Poster]:[Poster]],F$1, Data[Winner],TRUE())</f>
        <v>22</v>
      </c>
      <c r="G125" t="str" cm="1">
        <f t="array" ref="G125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26" spans="1:7">
      <c r="A126" s="217">
        <v>45686</v>
      </c>
      <c r="B126">
        <f>COUNTIFS(Data[Date], "&lt;="&amp;$A126, Data[[Poster]:[Poster]],B$1, Data[Winner],TRUE())</f>
        <v>23</v>
      </c>
      <c r="C126">
        <f>COUNTIFS(Data[Date], "&lt;="&amp;$A126, Data[[Poster]:[Poster]],C$1, Data[Winner],TRUE())</f>
        <v>32</v>
      </c>
      <c r="D126">
        <f>COUNTIFS(Data[Date], "&lt;="&amp;$A126, Data[[Poster]:[Poster]],D$1, Data[Winner],TRUE())</f>
        <v>24</v>
      </c>
      <c r="E126">
        <f>COUNTIFS(Data[Date], "&lt;="&amp;$A126, Data[[Poster]:[Poster]],E$1, Data[Winner],TRUE())</f>
        <v>23</v>
      </c>
      <c r="F126">
        <f>COUNTIFS(Data[Date], "&lt;="&amp;$A126, Data[[Poster]:[Poster]],F$1, Data[Winner],TRUE())</f>
        <v>23</v>
      </c>
      <c r="G126" t="str" cm="1">
        <f t="array" ref="G126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27" spans="1:7">
      <c r="A127" s="217">
        <v>45687</v>
      </c>
      <c r="B127">
        <f>COUNTIFS(Data[Date], "&lt;="&amp;$A127, Data[[Poster]:[Poster]],B$1, Data[Winner],TRUE())</f>
        <v>23</v>
      </c>
      <c r="C127">
        <f>COUNTIFS(Data[Date], "&lt;="&amp;$A127, Data[[Poster]:[Poster]],C$1, Data[Winner],TRUE())</f>
        <v>32</v>
      </c>
      <c r="D127">
        <f>COUNTIFS(Data[Date], "&lt;="&amp;$A127, Data[[Poster]:[Poster]],D$1, Data[Winner],TRUE())</f>
        <v>24</v>
      </c>
      <c r="E127">
        <f>COUNTIFS(Data[Date], "&lt;="&amp;$A127, Data[[Poster]:[Poster]],E$1, Data[Winner],TRUE())</f>
        <v>24</v>
      </c>
      <c r="F127">
        <f>COUNTIFS(Data[Date], "&lt;="&amp;$A127, Data[[Poster]:[Poster]],F$1, Data[Winner],TRUE())</f>
        <v>23</v>
      </c>
      <c r="G127" t="str" cm="1">
        <f t="array" ref="G127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28" spans="1:7">
      <c r="A128" s="217">
        <v>45691</v>
      </c>
      <c r="B128">
        <f>COUNTIFS(Data[Date], "&lt;="&amp;$A128, Data[[Poster]:[Poster]],B$1, Data[Winner],TRUE())</f>
        <v>23</v>
      </c>
      <c r="C128">
        <f>COUNTIFS(Data[Date], "&lt;="&amp;$A128, Data[[Poster]:[Poster]],C$1, Data[Winner],TRUE())</f>
        <v>32</v>
      </c>
      <c r="D128">
        <f>COUNTIFS(Data[Date], "&lt;="&amp;$A128, Data[[Poster]:[Poster]],D$1, Data[Winner],TRUE())</f>
        <v>25</v>
      </c>
      <c r="E128">
        <f>COUNTIFS(Data[Date], "&lt;="&amp;$A128, Data[[Poster]:[Poster]],E$1, Data[Winner],TRUE())</f>
        <v>24</v>
      </c>
      <c r="F128">
        <f>COUNTIFS(Data[Date], "&lt;="&amp;$A128, Data[[Poster]:[Poster]],F$1, Data[Winner],TRUE())</f>
        <v>23</v>
      </c>
      <c r="G128" t="str" cm="1">
        <f t="array" ref="G128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29" spans="1:7">
      <c r="A129" s="217">
        <v>45692</v>
      </c>
      <c r="B129">
        <f>COUNTIFS(Data[Date], "&lt;="&amp;$A129, Data[[Poster]:[Poster]],B$1, Data[Winner],TRUE())</f>
        <v>23</v>
      </c>
      <c r="C129">
        <f>COUNTIFS(Data[Date], "&lt;="&amp;$A129, Data[[Poster]:[Poster]],C$1, Data[Winner],TRUE())</f>
        <v>32</v>
      </c>
      <c r="D129">
        <f>COUNTIFS(Data[Date], "&lt;="&amp;$A129, Data[[Poster]:[Poster]],D$1, Data[Winner],TRUE())</f>
        <v>26</v>
      </c>
      <c r="E129">
        <f>COUNTIFS(Data[Date], "&lt;="&amp;$A129, Data[[Poster]:[Poster]],E$1, Data[Winner],TRUE())</f>
        <v>24</v>
      </c>
      <c r="F129">
        <f>COUNTIFS(Data[Date], "&lt;="&amp;$A129, Data[[Poster]:[Poster]],F$1, Data[Winner],TRUE())</f>
        <v>23</v>
      </c>
      <c r="G129" t="str" cm="1">
        <f t="array" ref="G129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30" spans="1:7">
      <c r="A130" s="217">
        <v>45693</v>
      </c>
      <c r="B130">
        <f>COUNTIFS(Data[Date], "&lt;="&amp;$A130, Data[[Poster]:[Poster]],B$1, Data[Winner],TRUE())</f>
        <v>24</v>
      </c>
      <c r="C130">
        <f>COUNTIFS(Data[Date], "&lt;="&amp;$A130, Data[[Poster]:[Poster]],C$1, Data[Winner],TRUE())</f>
        <v>32</v>
      </c>
      <c r="D130">
        <f>COUNTIFS(Data[Date], "&lt;="&amp;$A130, Data[[Poster]:[Poster]],D$1, Data[Winner],TRUE())</f>
        <v>26</v>
      </c>
      <c r="E130">
        <f>COUNTIFS(Data[Date], "&lt;="&amp;$A130, Data[[Poster]:[Poster]],E$1, Data[Winner],TRUE())</f>
        <v>24</v>
      </c>
      <c r="F130">
        <f>COUNTIFS(Data[Date], "&lt;="&amp;$A130, Data[[Poster]:[Poster]],F$1, Data[Winner],TRUE())</f>
        <v>23</v>
      </c>
      <c r="G130" t="str" cm="1">
        <f t="array" ref="G130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31" spans="1:7">
      <c r="A131" s="217">
        <v>45694</v>
      </c>
      <c r="B131">
        <f>COUNTIFS(Data[Date], "&lt;="&amp;$A131, Data[[Poster]:[Poster]],B$1, Data[Winner],TRUE())</f>
        <v>24</v>
      </c>
      <c r="C131">
        <f>COUNTIFS(Data[Date], "&lt;="&amp;$A131, Data[[Poster]:[Poster]],C$1, Data[Winner],TRUE())</f>
        <v>32</v>
      </c>
      <c r="D131">
        <f>COUNTIFS(Data[Date], "&lt;="&amp;$A131, Data[[Poster]:[Poster]],D$1, Data[Winner],TRUE())</f>
        <v>26</v>
      </c>
      <c r="E131">
        <f>COUNTIFS(Data[Date], "&lt;="&amp;$A131, Data[[Poster]:[Poster]],E$1, Data[Winner],TRUE())</f>
        <v>24</v>
      </c>
      <c r="F131">
        <f>COUNTIFS(Data[Date], "&lt;="&amp;$A131, Data[[Poster]:[Poster]],F$1, Data[Winner],TRUE())</f>
        <v>24</v>
      </c>
      <c r="G131" t="str" cm="1">
        <f t="array" ref="G131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32" spans="1:7">
      <c r="A132" s="217">
        <v>45698</v>
      </c>
      <c r="B132">
        <f>COUNTIFS(Data[Date], "&lt;="&amp;$A132, Data[[Poster]:[Poster]],B$1, Data[Winner],TRUE())</f>
        <v>24</v>
      </c>
      <c r="C132">
        <f>COUNTIFS(Data[Date], "&lt;="&amp;$A132, Data[[Poster]:[Poster]],C$1, Data[Winner],TRUE())</f>
        <v>32</v>
      </c>
      <c r="D132">
        <f>COUNTIFS(Data[Date], "&lt;="&amp;$A132, Data[[Poster]:[Poster]],D$1, Data[Winner],TRUE())</f>
        <v>26</v>
      </c>
      <c r="E132">
        <f>COUNTIFS(Data[Date], "&lt;="&amp;$A132, Data[[Poster]:[Poster]],E$1, Data[Winner],TRUE())</f>
        <v>25</v>
      </c>
      <c r="F132">
        <f>COUNTIFS(Data[Date], "&lt;="&amp;$A132, Data[[Poster]:[Poster]],F$1, Data[Winner],TRUE())</f>
        <v>24</v>
      </c>
      <c r="G132" t="str" cm="1">
        <f t="array" ref="G132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33" spans="1:7">
      <c r="A133" s="217">
        <v>45699</v>
      </c>
      <c r="B133">
        <f>COUNTIFS(Data[Date], "&lt;="&amp;$A133, Data[[Poster]:[Poster]],B$1, Data[Winner],TRUE())</f>
        <v>24</v>
      </c>
      <c r="C133">
        <f>COUNTIFS(Data[Date], "&lt;="&amp;$A133, Data[[Poster]:[Poster]],C$1, Data[Winner],TRUE())</f>
        <v>32</v>
      </c>
      <c r="D133">
        <f>COUNTIFS(Data[Date], "&lt;="&amp;$A133, Data[[Poster]:[Poster]],D$1, Data[Winner],TRUE())</f>
        <v>26</v>
      </c>
      <c r="E133">
        <f>COUNTIFS(Data[Date], "&lt;="&amp;$A133, Data[[Poster]:[Poster]],E$1, Data[Winner],TRUE())</f>
        <v>26</v>
      </c>
      <c r="F133">
        <f>COUNTIFS(Data[Date], "&lt;="&amp;$A133, Data[[Poster]:[Poster]],F$1, Data[Winner],TRUE())</f>
        <v>24</v>
      </c>
      <c r="G133" t="str" cm="1">
        <f t="array" ref="G133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34" spans="1:7">
      <c r="A134" s="217">
        <v>45700</v>
      </c>
      <c r="B134">
        <f>COUNTIFS(Data[Date], "&lt;="&amp;$A134, Data[[Poster]:[Poster]],B$1, Data[Winner],TRUE())</f>
        <v>25</v>
      </c>
      <c r="C134">
        <f>COUNTIFS(Data[Date], "&lt;="&amp;$A134, Data[[Poster]:[Poster]],C$1, Data[Winner],TRUE())</f>
        <v>32</v>
      </c>
      <c r="D134">
        <f>COUNTIFS(Data[Date], "&lt;="&amp;$A134, Data[[Poster]:[Poster]],D$1, Data[Winner],TRUE())</f>
        <v>26</v>
      </c>
      <c r="E134">
        <f>COUNTIFS(Data[Date], "&lt;="&amp;$A134, Data[[Poster]:[Poster]],E$1, Data[Winner],TRUE())</f>
        <v>26</v>
      </c>
      <c r="F134">
        <f>COUNTIFS(Data[Date], "&lt;="&amp;$A134, Data[[Poster]:[Poster]],F$1, Data[Winner],TRUE())</f>
        <v>24</v>
      </c>
      <c r="G134" t="str" cm="1">
        <f t="array" ref="G134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35" spans="1:7">
      <c r="A135" s="217">
        <v>45701</v>
      </c>
      <c r="B135">
        <f>COUNTIFS(Data[Date], "&lt;="&amp;$A135, Data[[Poster]:[Poster]],B$1, Data[Winner],TRUE())</f>
        <v>25</v>
      </c>
      <c r="C135">
        <f>COUNTIFS(Data[Date], "&lt;="&amp;$A135, Data[[Poster]:[Poster]],C$1, Data[Winner],TRUE())</f>
        <v>32</v>
      </c>
      <c r="D135">
        <f>COUNTIFS(Data[Date], "&lt;="&amp;$A135, Data[[Poster]:[Poster]],D$1, Data[Winner],TRUE())</f>
        <v>27</v>
      </c>
      <c r="E135">
        <f>COUNTIFS(Data[Date], "&lt;="&amp;$A135, Data[[Poster]:[Poster]],E$1, Data[Winner],TRUE())</f>
        <v>26</v>
      </c>
      <c r="F135">
        <f>COUNTIFS(Data[Date], "&lt;="&amp;$A135, Data[[Poster]:[Poster]],F$1, Data[Winner],TRUE())</f>
        <v>24</v>
      </c>
      <c r="G135" t="str" cm="1">
        <f t="array" ref="G135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36" spans="1:7">
      <c r="A136" s="217">
        <v>45705</v>
      </c>
      <c r="B136">
        <f>COUNTIFS(Data[Date], "&lt;="&amp;$A136, Data[[Poster]:[Poster]],B$1, Data[Winner],TRUE())</f>
        <v>25</v>
      </c>
      <c r="C136">
        <f>COUNTIFS(Data[Date], "&lt;="&amp;$A136, Data[[Poster]:[Poster]],C$1, Data[Winner],TRUE())</f>
        <v>33</v>
      </c>
      <c r="D136">
        <f>COUNTIFS(Data[Date], "&lt;="&amp;$A136, Data[[Poster]:[Poster]],D$1, Data[Winner],TRUE())</f>
        <v>27</v>
      </c>
      <c r="E136">
        <f>COUNTIFS(Data[Date], "&lt;="&amp;$A136, Data[[Poster]:[Poster]],E$1, Data[Winner],TRUE())</f>
        <v>26</v>
      </c>
      <c r="F136">
        <f>COUNTIFS(Data[Date], "&lt;="&amp;$A136, Data[[Poster]:[Poster]],F$1, Data[Winner],TRUE())</f>
        <v>24</v>
      </c>
      <c r="G136" t="str" cm="1">
        <f t="array" ref="G136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37" spans="1:7">
      <c r="A137" s="217">
        <v>45706</v>
      </c>
      <c r="B137">
        <f>COUNTIFS(Data[Date], "&lt;="&amp;$A137, Data[[Poster]:[Poster]],B$1, Data[Winner],TRUE())</f>
        <v>25</v>
      </c>
      <c r="C137">
        <f>COUNTIFS(Data[Date], "&lt;="&amp;$A137, Data[[Poster]:[Poster]],C$1, Data[Winner],TRUE())</f>
        <v>33</v>
      </c>
      <c r="D137">
        <f>COUNTIFS(Data[Date], "&lt;="&amp;$A137, Data[[Poster]:[Poster]],D$1, Data[Winner],TRUE())</f>
        <v>27</v>
      </c>
      <c r="E137">
        <f>COUNTIFS(Data[Date], "&lt;="&amp;$A137, Data[[Poster]:[Poster]],E$1, Data[Winner],TRUE())</f>
        <v>26</v>
      </c>
      <c r="F137">
        <f>COUNTIFS(Data[Date], "&lt;="&amp;$A137, Data[[Poster]:[Poster]],F$1, Data[Winner],TRUE())</f>
        <v>25</v>
      </c>
      <c r="G137" t="str" cm="1">
        <f t="array" ref="G137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38" spans="1:7">
      <c r="A138" s="217">
        <v>45707</v>
      </c>
      <c r="B138">
        <f>COUNTIFS(Data[Date], "&lt;="&amp;$A138, Data[[Poster]:[Poster]],B$1, Data[Winner],TRUE())</f>
        <v>26</v>
      </c>
      <c r="C138">
        <f>COUNTIFS(Data[Date], "&lt;="&amp;$A138, Data[[Poster]:[Poster]],C$1, Data[Winner],TRUE())</f>
        <v>33</v>
      </c>
      <c r="D138">
        <f>COUNTIFS(Data[Date], "&lt;="&amp;$A138, Data[[Poster]:[Poster]],D$1, Data[Winner],TRUE())</f>
        <v>27</v>
      </c>
      <c r="E138">
        <f>COUNTIFS(Data[Date], "&lt;="&amp;$A138, Data[[Poster]:[Poster]],E$1, Data[Winner],TRUE())</f>
        <v>26</v>
      </c>
      <c r="F138">
        <f>COUNTIFS(Data[Date], "&lt;="&amp;$A138, Data[[Poster]:[Poster]],F$1, Data[Winner],TRUE())</f>
        <v>25</v>
      </c>
      <c r="G138" t="str" cm="1">
        <f t="array" ref="G138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39" spans="1:7">
      <c r="A139" s="217">
        <v>45708</v>
      </c>
      <c r="B139">
        <f>COUNTIFS(Data[Date], "&lt;="&amp;$A139, Data[[Poster]:[Poster]],B$1, Data[Winner],TRUE())</f>
        <v>26</v>
      </c>
      <c r="C139">
        <f>COUNTIFS(Data[Date], "&lt;="&amp;$A139, Data[[Poster]:[Poster]],C$1, Data[Winner],TRUE())</f>
        <v>33</v>
      </c>
      <c r="D139">
        <f>COUNTIFS(Data[Date], "&lt;="&amp;$A139, Data[[Poster]:[Poster]],D$1, Data[Winner],TRUE())</f>
        <v>27</v>
      </c>
      <c r="E139">
        <f>COUNTIFS(Data[Date], "&lt;="&amp;$A139, Data[[Poster]:[Poster]],E$1, Data[Winner],TRUE())</f>
        <v>26</v>
      </c>
      <c r="F139">
        <f>COUNTIFS(Data[Date], "&lt;="&amp;$A139, Data[[Poster]:[Poster]],F$1, Data[Winner],TRUE())</f>
        <v>26</v>
      </c>
      <c r="G139" t="str" cm="1">
        <f t="array" ref="G139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40" spans="1:7">
      <c r="A140" s="217">
        <v>45712</v>
      </c>
      <c r="B140">
        <f>COUNTIFS(Data[Date], "&lt;="&amp;$A140, Data[[Poster]:[Poster]],B$1, Data[Winner],TRUE())</f>
        <v>26</v>
      </c>
      <c r="C140">
        <f>COUNTIFS(Data[Date], "&lt;="&amp;$A140, Data[[Poster]:[Poster]],C$1, Data[Winner],TRUE())</f>
        <v>33</v>
      </c>
      <c r="D140">
        <f>COUNTIFS(Data[Date], "&lt;="&amp;$A140, Data[[Poster]:[Poster]],D$1, Data[Winner],TRUE())</f>
        <v>27</v>
      </c>
      <c r="E140">
        <f>COUNTIFS(Data[Date], "&lt;="&amp;$A140, Data[[Poster]:[Poster]],E$1, Data[Winner],TRUE())</f>
        <v>27</v>
      </c>
      <c r="F140">
        <f>COUNTIFS(Data[Date], "&lt;="&amp;$A140, Data[[Poster]:[Poster]],F$1, Data[Winner],TRUE())</f>
        <v>26</v>
      </c>
      <c r="G140" t="str" cm="1">
        <f t="array" ref="G140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41" spans="1:7">
      <c r="A141" s="217">
        <v>45713</v>
      </c>
      <c r="B141">
        <f>COUNTIFS(Data[Date], "&lt;="&amp;$A141, Data[[Poster]:[Poster]],B$1, Data[Winner],TRUE())</f>
        <v>26</v>
      </c>
      <c r="C141">
        <f>COUNTIFS(Data[Date], "&lt;="&amp;$A141, Data[[Poster]:[Poster]],C$1, Data[Winner],TRUE())</f>
        <v>33</v>
      </c>
      <c r="D141">
        <f>COUNTIFS(Data[Date], "&lt;="&amp;$A141, Data[[Poster]:[Poster]],D$1, Data[Winner],TRUE())</f>
        <v>27</v>
      </c>
      <c r="E141">
        <f>COUNTIFS(Data[Date], "&lt;="&amp;$A141, Data[[Poster]:[Poster]],E$1, Data[Winner],TRUE())</f>
        <v>27</v>
      </c>
      <c r="F141">
        <f>COUNTIFS(Data[Date], "&lt;="&amp;$A141, Data[[Poster]:[Poster]],F$1, Data[Winner],TRUE())</f>
        <v>27</v>
      </c>
      <c r="G141" t="str" cm="1">
        <f t="array" ref="G141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42" spans="1:7">
      <c r="A142" s="217">
        <v>45714</v>
      </c>
      <c r="B142">
        <f>COUNTIFS(Data[Date], "&lt;="&amp;$A142, Data[[Poster]:[Poster]],B$1, Data[Winner],TRUE())</f>
        <v>27</v>
      </c>
      <c r="C142">
        <f>COUNTIFS(Data[Date], "&lt;="&amp;$A142, Data[[Poster]:[Poster]],C$1, Data[Winner],TRUE())</f>
        <v>33</v>
      </c>
      <c r="D142">
        <f>COUNTIFS(Data[Date], "&lt;="&amp;$A142, Data[[Poster]:[Poster]],D$1, Data[Winner],TRUE())</f>
        <v>27</v>
      </c>
      <c r="E142">
        <f>COUNTIFS(Data[Date], "&lt;="&amp;$A142, Data[[Poster]:[Poster]],E$1, Data[Winner],TRUE())</f>
        <v>27</v>
      </c>
      <c r="F142">
        <f>COUNTIFS(Data[Date], "&lt;="&amp;$A142, Data[[Poster]:[Poster]],F$1, Data[Winner],TRUE())</f>
        <v>27</v>
      </c>
      <c r="G142" t="str" cm="1">
        <f t="array" ref="G142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43" spans="1:7">
      <c r="A143" s="217">
        <v>45715</v>
      </c>
      <c r="B143">
        <f>COUNTIFS(Data[Date], "&lt;="&amp;$A143, Data[[Poster]:[Poster]],B$1, Data[Winner],TRUE())</f>
        <v>27</v>
      </c>
      <c r="C143">
        <f>COUNTIFS(Data[Date], "&lt;="&amp;$A143, Data[[Poster]:[Poster]],C$1, Data[Winner],TRUE())</f>
        <v>33</v>
      </c>
      <c r="D143">
        <f>COUNTIFS(Data[Date], "&lt;="&amp;$A143, Data[[Poster]:[Poster]],D$1, Data[Winner],TRUE())</f>
        <v>28</v>
      </c>
      <c r="E143">
        <f>COUNTIFS(Data[Date], "&lt;="&amp;$A143, Data[[Poster]:[Poster]],E$1, Data[Winner],TRUE())</f>
        <v>27</v>
      </c>
      <c r="F143">
        <f>COUNTIFS(Data[Date], "&lt;="&amp;$A143, Data[[Poster]:[Poster]],F$1, Data[Winner],TRUE())</f>
        <v>27</v>
      </c>
      <c r="G143" t="str" cm="1">
        <f t="array" ref="G143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44" spans="1:7">
      <c r="A144" s="217">
        <v>45719</v>
      </c>
      <c r="B144">
        <f>COUNTIFS(Data[Date], "&lt;="&amp;$A144, Data[[Poster]:[Poster]],B$1, Data[Winner],TRUE())</f>
        <v>27</v>
      </c>
      <c r="C144">
        <f>COUNTIFS(Data[Date], "&lt;="&amp;$A144, Data[[Poster]:[Poster]],C$1, Data[Winner],TRUE())</f>
        <v>33</v>
      </c>
      <c r="D144">
        <f>COUNTIFS(Data[Date], "&lt;="&amp;$A144, Data[[Poster]:[Poster]],D$1, Data[Winner],TRUE())</f>
        <v>28</v>
      </c>
      <c r="E144">
        <f>COUNTIFS(Data[Date], "&lt;="&amp;$A144, Data[[Poster]:[Poster]],E$1, Data[Winner],TRUE())</f>
        <v>27</v>
      </c>
      <c r="F144">
        <f>COUNTIFS(Data[Date], "&lt;="&amp;$A144, Data[[Poster]:[Poster]],F$1, Data[Winner],TRUE())</f>
        <v>28</v>
      </c>
      <c r="G144" t="str" cm="1">
        <f t="array" ref="G144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45" spans="1:7">
      <c r="A145" s="217">
        <v>45720</v>
      </c>
      <c r="B145">
        <f>COUNTIFS(Data[Date], "&lt;="&amp;$A145, Data[[Poster]:[Poster]],B$1, Data[Winner],TRUE())</f>
        <v>27</v>
      </c>
      <c r="C145">
        <f>COUNTIFS(Data[Date], "&lt;="&amp;$A145, Data[[Poster]:[Poster]],C$1, Data[Winner],TRUE())</f>
        <v>33</v>
      </c>
      <c r="D145">
        <f>COUNTIFS(Data[Date], "&lt;="&amp;$A145, Data[[Poster]:[Poster]],D$1, Data[Winner],TRUE())</f>
        <v>28</v>
      </c>
      <c r="E145">
        <f>COUNTIFS(Data[Date], "&lt;="&amp;$A145, Data[[Poster]:[Poster]],E$1, Data[Winner],TRUE())</f>
        <v>27</v>
      </c>
      <c r="F145">
        <f>COUNTIFS(Data[Date], "&lt;="&amp;$A145, Data[[Poster]:[Poster]],F$1, Data[Winner],TRUE())</f>
        <v>29</v>
      </c>
      <c r="G145" t="str" cm="1">
        <f t="array" ref="G145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46" spans="1:7">
      <c r="A146" s="217">
        <v>45721</v>
      </c>
      <c r="B146">
        <f>COUNTIFS(Data[Date], "&lt;="&amp;$A146, Data[[Poster]:[Poster]],B$1, Data[Winner],TRUE())</f>
        <v>27</v>
      </c>
      <c r="C146">
        <f>COUNTIFS(Data[Date], "&lt;="&amp;$A146, Data[[Poster]:[Poster]],C$1, Data[Winner],TRUE())</f>
        <v>34</v>
      </c>
      <c r="D146">
        <f>COUNTIFS(Data[Date], "&lt;="&amp;$A146, Data[[Poster]:[Poster]],D$1, Data[Winner],TRUE())</f>
        <v>28</v>
      </c>
      <c r="E146">
        <f>COUNTIFS(Data[Date], "&lt;="&amp;$A146, Data[[Poster]:[Poster]],E$1, Data[Winner],TRUE())</f>
        <v>27</v>
      </c>
      <c r="F146">
        <f>COUNTIFS(Data[Date], "&lt;="&amp;$A146, Data[[Poster]:[Poster]],F$1, Data[Winner],TRUE())</f>
        <v>29</v>
      </c>
      <c r="G146" t="str" cm="1">
        <f t="array" ref="G146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47" spans="1:7">
      <c r="A147" s="217">
        <v>45722</v>
      </c>
      <c r="B147">
        <f>COUNTIFS(Data[Date], "&lt;="&amp;$A147, Data[[Poster]:[Poster]],B$1, Data[Winner],TRUE())</f>
        <v>27</v>
      </c>
      <c r="C147">
        <f>COUNTIFS(Data[Date], "&lt;="&amp;$A147, Data[[Poster]:[Poster]],C$1, Data[Winner],TRUE())</f>
        <v>34</v>
      </c>
      <c r="D147">
        <f>COUNTIFS(Data[Date], "&lt;="&amp;$A147, Data[[Poster]:[Poster]],D$1, Data[Winner],TRUE())</f>
        <v>28</v>
      </c>
      <c r="E147">
        <f>COUNTIFS(Data[Date], "&lt;="&amp;$A147, Data[[Poster]:[Poster]],E$1, Data[Winner],TRUE())</f>
        <v>28</v>
      </c>
      <c r="F147">
        <f>COUNTIFS(Data[Date], "&lt;="&amp;$A147, Data[[Poster]:[Poster]],F$1, Data[Winner],TRUE())</f>
        <v>29</v>
      </c>
      <c r="G147" t="str" cm="1">
        <f t="array" ref="G147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48" spans="1:7">
      <c r="A148" s="217">
        <v>45726</v>
      </c>
      <c r="B148">
        <f>COUNTIFS(Data[Date], "&lt;="&amp;$A148, Data[[Poster]:[Poster]],B$1, Data[Winner],TRUE())</f>
        <v>28</v>
      </c>
      <c r="C148">
        <f>COUNTIFS(Data[Date], "&lt;="&amp;$A148, Data[[Poster]:[Poster]],C$1, Data[Winner],TRUE())</f>
        <v>34</v>
      </c>
      <c r="D148">
        <f>COUNTIFS(Data[Date], "&lt;="&amp;$A148, Data[[Poster]:[Poster]],D$1, Data[Winner],TRUE())</f>
        <v>28</v>
      </c>
      <c r="E148">
        <f>COUNTIFS(Data[Date], "&lt;="&amp;$A148, Data[[Poster]:[Poster]],E$1, Data[Winner],TRUE())</f>
        <v>28</v>
      </c>
      <c r="F148">
        <f>COUNTIFS(Data[Date], "&lt;="&amp;$A148, Data[[Poster]:[Poster]],F$1, Data[Winner],TRUE())</f>
        <v>29</v>
      </c>
      <c r="G148" t="str" cm="1">
        <f t="array" ref="G148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49" spans="1:7">
      <c r="A149" s="217">
        <v>45727</v>
      </c>
      <c r="B149">
        <f>COUNTIFS(Data[Date], "&lt;="&amp;$A149, Data[[Poster]:[Poster]],B$1, Data[Winner],TRUE())</f>
        <v>28</v>
      </c>
      <c r="C149">
        <f>COUNTIFS(Data[Date], "&lt;="&amp;$A149, Data[[Poster]:[Poster]],C$1, Data[Winner],TRUE())</f>
        <v>34</v>
      </c>
      <c r="D149">
        <f>COUNTIFS(Data[Date], "&lt;="&amp;$A149, Data[[Poster]:[Poster]],D$1, Data[Winner],TRUE())</f>
        <v>28</v>
      </c>
      <c r="E149">
        <f>COUNTIFS(Data[Date], "&lt;="&amp;$A149, Data[[Poster]:[Poster]],E$1, Data[Winner],TRUE())</f>
        <v>28</v>
      </c>
      <c r="F149">
        <f>COUNTIFS(Data[Date], "&lt;="&amp;$A149, Data[[Poster]:[Poster]],F$1, Data[Winner],TRUE())</f>
        <v>30</v>
      </c>
      <c r="G149" t="str" cm="1">
        <f t="array" ref="G149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50" spans="1:7">
      <c r="A150" s="217">
        <v>45728</v>
      </c>
      <c r="B150">
        <f>COUNTIFS(Data[Date], "&lt;="&amp;$A150, Data[[Poster]:[Poster]],B$1, Data[Winner],TRUE())</f>
        <v>29</v>
      </c>
      <c r="C150">
        <f>COUNTIFS(Data[Date], "&lt;="&amp;$A150, Data[[Poster]:[Poster]],C$1, Data[Winner],TRUE())</f>
        <v>34</v>
      </c>
      <c r="D150">
        <f>COUNTIFS(Data[Date], "&lt;="&amp;$A150, Data[[Poster]:[Poster]],D$1, Data[Winner],TRUE())</f>
        <v>28</v>
      </c>
      <c r="E150">
        <f>COUNTIFS(Data[Date], "&lt;="&amp;$A150, Data[[Poster]:[Poster]],E$1, Data[Winner],TRUE())</f>
        <v>28</v>
      </c>
      <c r="F150">
        <f>COUNTIFS(Data[Date], "&lt;="&amp;$A150, Data[[Poster]:[Poster]],F$1, Data[Winner],TRUE())</f>
        <v>30</v>
      </c>
      <c r="G150" t="str" cm="1">
        <f t="array" ref="G150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51" spans="1:7">
      <c r="A151" s="217">
        <v>45729</v>
      </c>
      <c r="B151">
        <f>COUNTIFS(Data[Date], "&lt;="&amp;$A151, Data[[Poster]:[Poster]],B$1, Data[Winner],TRUE())</f>
        <v>29</v>
      </c>
      <c r="C151">
        <f>COUNTIFS(Data[Date], "&lt;="&amp;$A151, Data[[Poster]:[Poster]],C$1, Data[Winner],TRUE())</f>
        <v>35</v>
      </c>
      <c r="D151">
        <f>COUNTIFS(Data[Date], "&lt;="&amp;$A151, Data[[Poster]:[Poster]],D$1, Data[Winner],TRUE())</f>
        <v>28</v>
      </c>
      <c r="E151">
        <f>COUNTIFS(Data[Date], "&lt;="&amp;$A151, Data[[Poster]:[Poster]],E$1, Data[Winner],TRUE())</f>
        <v>28</v>
      </c>
      <c r="F151">
        <f>COUNTIFS(Data[Date], "&lt;="&amp;$A151, Data[[Poster]:[Poster]],F$1, Data[Winner],TRUE())</f>
        <v>30</v>
      </c>
      <c r="G151" t="str" cm="1">
        <f t="array" ref="G151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52" spans="1:7">
      <c r="A152" s="217">
        <v>45733</v>
      </c>
      <c r="B152">
        <f>COUNTIFS(Data[Date], "&lt;="&amp;$A152, Data[[Poster]:[Poster]],B$1, Data[Winner],TRUE())</f>
        <v>29</v>
      </c>
      <c r="C152">
        <f>COUNTIFS(Data[Date], "&lt;="&amp;$A152, Data[[Poster]:[Poster]],C$1, Data[Winner],TRUE())</f>
        <v>36</v>
      </c>
      <c r="D152">
        <f>COUNTIFS(Data[Date], "&lt;="&amp;$A152, Data[[Poster]:[Poster]],D$1, Data[Winner],TRUE())</f>
        <v>28</v>
      </c>
      <c r="E152">
        <f>COUNTIFS(Data[Date], "&lt;="&amp;$A152, Data[[Poster]:[Poster]],E$1, Data[Winner],TRUE())</f>
        <v>28</v>
      </c>
      <c r="F152">
        <f>COUNTIFS(Data[Date], "&lt;="&amp;$A152, Data[[Poster]:[Poster]],F$1, Data[Winner],TRUE())</f>
        <v>30</v>
      </c>
      <c r="G152" t="str" cm="1">
        <f t="array" ref="G152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53" spans="1:7">
      <c r="A153" s="217">
        <v>45734</v>
      </c>
      <c r="B153">
        <f>COUNTIFS(Data[Date], "&lt;="&amp;$A153, Data[[Poster]:[Poster]],B$1, Data[Winner],TRUE())</f>
        <v>29</v>
      </c>
      <c r="C153">
        <f>COUNTIFS(Data[Date], "&lt;="&amp;$A153, Data[[Poster]:[Poster]],C$1, Data[Winner],TRUE())</f>
        <v>36</v>
      </c>
      <c r="D153">
        <f>COUNTIFS(Data[Date], "&lt;="&amp;$A153, Data[[Poster]:[Poster]],D$1, Data[Winner],TRUE())</f>
        <v>28</v>
      </c>
      <c r="E153">
        <f>COUNTIFS(Data[Date], "&lt;="&amp;$A153, Data[[Poster]:[Poster]],E$1, Data[Winner],TRUE())</f>
        <v>28</v>
      </c>
      <c r="F153">
        <f>COUNTIFS(Data[Date], "&lt;="&amp;$A153, Data[[Poster]:[Poster]],F$1, Data[Winner],TRUE())</f>
        <v>31</v>
      </c>
      <c r="G153" t="str" cm="1">
        <f t="array" ref="G153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54" spans="1:7">
      <c r="A154" s="217">
        <v>45735</v>
      </c>
      <c r="B154">
        <f>COUNTIFS(Data[Date], "&lt;="&amp;$A154, Data[[Poster]:[Poster]],B$1, Data[Winner],TRUE())</f>
        <v>29</v>
      </c>
      <c r="C154">
        <f>COUNTIFS(Data[Date], "&lt;="&amp;$A154, Data[[Poster]:[Poster]],C$1, Data[Winner],TRUE())</f>
        <v>36</v>
      </c>
      <c r="D154">
        <f>COUNTIFS(Data[Date], "&lt;="&amp;$A154, Data[[Poster]:[Poster]],D$1, Data[Winner],TRUE())</f>
        <v>28</v>
      </c>
      <c r="E154">
        <f>COUNTIFS(Data[Date], "&lt;="&amp;$A154, Data[[Poster]:[Poster]],E$1, Data[Winner],TRUE())</f>
        <v>28</v>
      </c>
      <c r="F154">
        <f>COUNTIFS(Data[Date], "&lt;="&amp;$A154, Data[[Poster]:[Poster]],F$1, Data[Winner],TRUE())</f>
        <v>32</v>
      </c>
      <c r="G154" t="str" cm="1">
        <f t="array" ref="G154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55" spans="1:7">
      <c r="A155" s="217">
        <v>45736</v>
      </c>
      <c r="B155">
        <f>COUNTIFS(Data[Date], "&lt;="&amp;$A155, Data[[Poster]:[Poster]],B$1, Data[Winner],TRUE())</f>
        <v>29</v>
      </c>
      <c r="C155">
        <f>COUNTIFS(Data[Date], "&lt;="&amp;$A155, Data[[Poster]:[Poster]],C$1, Data[Winner],TRUE())</f>
        <v>36</v>
      </c>
      <c r="D155">
        <f>COUNTIFS(Data[Date], "&lt;="&amp;$A155, Data[[Poster]:[Poster]],D$1, Data[Winner],TRUE())</f>
        <v>28</v>
      </c>
      <c r="E155">
        <f>COUNTIFS(Data[Date], "&lt;="&amp;$A155, Data[[Poster]:[Poster]],E$1, Data[Winner],TRUE())</f>
        <v>28</v>
      </c>
      <c r="F155">
        <f>COUNTIFS(Data[Date], "&lt;="&amp;$A155, Data[[Poster]:[Poster]],F$1, Data[Winner],TRUE())</f>
        <v>33</v>
      </c>
      <c r="G155" t="str" cm="1">
        <f t="array" ref="G155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56" spans="1:7">
      <c r="A156" s="217">
        <v>45740</v>
      </c>
      <c r="B156">
        <f>COUNTIFS(Data[Date], "&lt;="&amp;$A156, Data[[Poster]:[Poster]],B$1, Data[Winner],TRUE())</f>
        <v>30</v>
      </c>
      <c r="C156">
        <f>COUNTIFS(Data[Date], "&lt;="&amp;$A156, Data[[Poster]:[Poster]],C$1, Data[Winner],TRUE())</f>
        <v>36</v>
      </c>
      <c r="D156">
        <f>COUNTIFS(Data[Date], "&lt;="&amp;$A156, Data[[Poster]:[Poster]],D$1, Data[Winner],TRUE())</f>
        <v>28</v>
      </c>
      <c r="E156">
        <f>COUNTIFS(Data[Date], "&lt;="&amp;$A156, Data[[Poster]:[Poster]],E$1, Data[Winner],TRUE())</f>
        <v>28</v>
      </c>
      <c r="F156">
        <f>COUNTIFS(Data[Date], "&lt;="&amp;$A156, Data[[Poster]:[Poster]],F$1, Data[Winner],TRUE())</f>
        <v>33</v>
      </c>
      <c r="G156" t="str" cm="1">
        <f t="array" ref="G156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57" spans="1:7">
      <c r="A157" s="217">
        <v>45741</v>
      </c>
      <c r="B157">
        <f>COUNTIFS(Data[Date], "&lt;="&amp;$A157, Data[[Poster]:[Poster]],B$1, Data[Winner],TRUE())</f>
        <v>30</v>
      </c>
      <c r="C157">
        <f>COUNTIFS(Data[Date], "&lt;="&amp;$A157, Data[[Poster]:[Poster]],C$1, Data[Winner],TRUE())</f>
        <v>36</v>
      </c>
      <c r="D157">
        <f>COUNTIFS(Data[Date], "&lt;="&amp;$A157, Data[[Poster]:[Poster]],D$1, Data[Winner],TRUE())</f>
        <v>29</v>
      </c>
      <c r="E157">
        <f>COUNTIFS(Data[Date], "&lt;="&amp;$A157, Data[[Poster]:[Poster]],E$1, Data[Winner],TRUE())</f>
        <v>28</v>
      </c>
      <c r="F157">
        <f>COUNTIFS(Data[Date], "&lt;="&amp;$A157, Data[[Poster]:[Poster]],F$1, Data[Winner],TRUE())</f>
        <v>33</v>
      </c>
      <c r="G157" t="str" cm="1">
        <f t="array" ref="G157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58" spans="1:7">
      <c r="A158" s="217">
        <v>45742</v>
      </c>
      <c r="B158">
        <f>COUNTIFS(Data[Date], "&lt;="&amp;$A158, Data[[Poster]:[Poster]],B$1, Data[Winner],TRUE())</f>
        <v>30</v>
      </c>
      <c r="C158">
        <f>COUNTIFS(Data[Date], "&lt;="&amp;$A158, Data[[Poster]:[Poster]],C$1, Data[Winner],TRUE())</f>
        <v>36</v>
      </c>
      <c r="D158">
        <f>COUNTIFS(Data[Date], "&lt;="&amp;$A158, Data[[Poster]:[Poster]],D$1, Data[Winner],TRUE())</f>
        <v>29</v>
      </c>
      <c r="E158">
        <f>COUNTIFS(Data[Date], "&lt;="&amp;$A158, Data[[Poster]:[Poster]],E$1, Data[Winner],TRUE())</f>
        <v>29</v>
      </c>
      <c r="F158">
        <f>COUNTIFS(Data[Date], "&lt;="&amp;$A158, Data[[Poster]:[Poster]],F$1, Data[Winner],TRUE())</f>
        <v>33</v>
      </c>
      <c r="G158" t="str" cm="1">
        <f t="array" ref="G158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59" spans="1:7">
      <c r="A159" s="217">
        <v>45743</v>
      </c>
      <c r="B159">
        <f>COUNTIFS(Data[Date], "&lt;="&amp;$A159, Data[[Poster]:[Poster]],B$1, Data[Winner],TRUE())</f>
        <v>31</v>
      </c>
      <c r="C159">
        <f>COUNTIFS(Data[Date], "&lt;="&amp;$A159, Data[[Poster]:[Poster]],C$1, Data[Winner],TRUE())</f>
        <v>36</v>
      </c>
      <c r="D159">
        <f>COUNTIFS(Data[Date], "&lt;="&amp;$A159, Data[[Poster]:[Poster]],D$1, Data[Winner],TRUE())</f>
        <v>29</v>
      </c>
      <c r="E159">
        <f>COUNTIFS(Data[Date], "&lt;="&amp;$A159, Data[[Poster]:[Poster]],E$1, Data[Winner],TRUE())</f>
        <v>29</v>
      </c>
      <c r="F159">
        <f>COUNTIFS(Data[Date], "&lt;="&amp;$A159, Data[[Poster]:[Poster]],F$1, Data[Winner],TRUE())</f>
        <v>33</v>
      </c>
      <c r="G159" t="str" cm="1">
        <f t="array" ref="G159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60" spans="1:7">
      <c r="A160" s="217">
        <v>45747</v>
      </c>
      <c r="B160">
        <f>COUNTIFS(Data[Date], "&lt;="&amp;$A160, Data[[Poster]:[Poster]],B$1, Data[Winner],TRUE())</f>
        <v>32</v>
      </c>
      <c r="C160">
        <f>COUNTIFS(Data[Date], "&lt;="&amp;$A160, Data[[Poster]:[Poster]],C$1, Data[Winner],TRUE())</f>
        <v>36</v>
      </c>
      <c r="D160">
        <f>COUNTIFS(Data[Date], "&lt;="&amp;$A160, Data[[Poster]:[Poster]],D$1, Data[Winner],TRUE())</f>
        <v>29</v>
      </c>
      <c r="E160">
        <f>COUNTIFS(Data[Date], "&lt;="&amp;$A160, Data[[Poster]:[Poster]],E$1, Data[Winner],TRUE())</f>
        <v>29</v>
      </c>
      <c r="F160">
        <f>COUNTIFS(Data[Date], "&lt;="&amp;$A160, Data[[Poster]:[Poster]],F$1, Data[Winner],TRUE())</f>
        <v>33</v>
      </c>
      <c r="G160" t="str" cm="1">
        <f t="array" ref="G160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61" spans="1:7">
      <c r="A161" s="217">
        <v>45748</v>
      </c>
      <c r="B161">
        <f>COUNTIFS(Data[Date], "&lt;="&amp;$A161, Data[[Poster]:[Poster]],B$1, Data[Winner],TRUE())</f>
        <v>33</v>
      </c>
      <c r="C161">
        <f>COUNTIFS(Data[Date], "&lt;="&amp;$A161, Data[[Poster]:[Poster]],C$1, Data[Winner],TRUE())</f>
        <v>36</v>
      </c>
      <c r="D161">
        <f>COUNTIFS(Data[Date], "&lt;="&amp;$A161, Data[[Poster]:[Poster]],D$1, Data[Winner],TRUE())</f>
        <v>29</v>
      </c>
      <c r="E161">
        <f>COUNTIFS(Data[Date], "&lt;="&amp;$A161, Data[[Poster]:[Poster]],E$1, Data[Winner],TRUE())</f>
        <v>29</v>
      </c>
      <c r="F161">
        <f>COUNTIFS(Data[Date], "&lt;="&amp;$A161, Data[[Poster]:[Poster]],F$1, Data[Winner],TRUE())</f>
        <v>33</v>
      </c>
      <c r="G161" t="str" cm="1">
        <f t="array" ref="G161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62" spans="1:7">
      <c r="A162" s="217">
        <v>45749</v>
      </c>
      <c r="B162">
        <f>COUNTIFS(Data[Date], "&lt;="&amp;$A162, Data[[Poster]:[Poster]],B$1, Data[Winner],TRUE())</f>
        <v>33</v>
      </c>
      <c r="C162">
        <f>COUNTIFS(Data[Date], "&lt;="&amp;$A162, Data[[Poster]:[Poster]],C$1, Data[Winner],TRUE())</f>
        <v>36</v>
      </c>
      <c r="D162">
        <f>COUNTIFS(Data[Date], "&lt;="&amp;$A162, Data[[Poster]:[Poster]],D$1, Data[Winner],TRUE())</f>
        <v>29</v>
      </c>
      <c r="E162">
        <f>COUNTIFS(Data[Date], "&lt;="&amp;$A162, Data[[Poster]:[Poster]],E$1, Data[Winner],TRUE())</f>
        <v>29</v>
      </c>
      <c r="F162">
        <f>COUNTIFS(Data[Date], "&lt;="&amp;$A162, Data[[Poster]:[Poster]],F$1, Data[Winner],TRUE())</f>
        <v>34</v>
      </c>
      <c r="G162" t="str" cm="1">
        <f t="array" ref="G162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63" spans="1:7">
      <c r="A163" s="217">
        <v>45750</v>
      </c>
      <c r="B163">
        <f>COUNTIFS(Data[Date], "&lt;="&amp;$A163, Data[[Poster]:[Poster]],B$1, Data[Winner],TRUE())</f>
        <v>33</v>
      </c>
      <c r="C163">
        <f>COUNTIFS(Data[Date], "&lt;="&amp;$A163, Data[[Poster]:[Poster]],C$1, Data[Winner],TRUE())</f>
        <v>37</v>
      </c>
      <c r="D163">
        <f>COUNTIFS(Data[Date], "&lt;="&amp;$A163, Data[[Poster]:[Poster]],D$1, Data[Winner],TRUE())</f>
        <v>29</v>
      </c>
      <c r="E163">
        <f>COUNTIFS(Data[Date], "&lt;="&amp;$A163, Data[[Poster]:[Poster]],E$1, Data[Winner],TRUE())</f>
        <v>29</v>
      </c>
      <c r="F163">
        <f>COUNTIFS(Data[Date], "&lt;="&amp;$A163, Data[[Poster]:[Poster]],F$1, Data[Winner],TRUE())</f>
        <v>34</v>
      </c>
      <c r="G163" t="str" cm="1">
        <f t="array" ref="G163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64" spans="1:7">
      <c r="A164" s="217">
        <v>45754</v>
      </c>
      <c r="B164">
        <f>COUNTIFS(Data[Date], "&lt;="&amp;$A164, Data[[Poster]:[Poster]],B$1, Data[Winner],TRUE())</f>
        <v>33</v>
      </c>
      <c r="C164">
        <f>COUNTIFS(Data[Date], "&lt;="&amp;$A164, Data[[Poster]:[Poster]],C$1, Data[Winner],TRUE())</f>
        <v>37</v>
      </c>
      <c r="D164">
        <f>COUNTIFS(Data[Date], "&lt;="&amp;$A164, Data[[Poster]:[Poster]],D$1, Data[Winner],TRUE())</f>
        <v>29</v>
      </c>
      <c r="E164">
        <f>COUNTIFS(Data[Date], "&lt;="&amp;$A164, Data[[Poster]:[Poster]],E$1, Data[Winner],TRUE())</f>
        <v>30</v>
      </c>
      <c r="F164">
        <f>COUNTIFS(Data[Date], "&lt;="&amp;$A164, Data[[Poster]:[Poster]],F$1, Data[Winner],TRUE())</f>
        <v>34</v>
      </c>
      <c r="G164" t="str" cm="1">
        <f t="array" ref="G164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65" spans="1:7">
      <c r="A165" s="217">
        <v>45755</v>
      </c>
      <c r="B165">
        <f>COUNTIFS(Data[Date], "&lt;="&amp;$A165, Data[[Poster]:[Poster]],B$1, Data[Winner],TRUE())</f>
        <v>34</v>
      </c>
      <c r="C165">
        <f>COUNTIFS(Data[Date], "&lt;="&amp;$A165, Data[[Poster]:[Poster]],C$1, Data[Winner],TRUE())</f>
        <v>37</v>
      </c>
      <c r="D165">
        <f>COUNTIFS(Data[Date], "&lt;="&amp;$A165, Data[[Poster]:[Poster]],D$1, Data[Winner],TRUE())</f>
        <v>29</v>
      </c>
      <c r="E165">
        <f>COUNTIFS(Data[Date], "&lt;="&amp;$A165, Data[[Poster]:[Poster]],E$1, Data[Winner],TRUE())</f>
        <v>30</v>
      </c>
      <c r="F165">
        <f>COUNTIFS(Data[Date], "&lt;="&amp;$A165, Data[[Poster]:[Poster]],F$1, Data[Winner],TRUE())</f>
        <v>34</v>
      </c>
      <c r="G165" t="str" cm="1">
        <f t="array" ref="G165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66" spans="1:7">
      <c r="A166" s="217">
        <v>45756</v>
      </c>
      <c r="B166">
        <f>COUNTIFS(Data[Date], "&lt;="&amp;$A166, Data[[Poster]:[Poster]],B$1, Data[Winner],TRUE())</f>
        <v>34</v>
      </c>
      <c r="C166">
        <f>COUNTIFS(Data[Date], "&lt;="&amp;$A166, Data[[Poster]:[Poster]],C$1, Data[Winner],TRUE())</f>
        <v>38</v>
      </c>
      <c r="D166">
        <f>COUNTIFS(Data[Date], "&lt;="&amp;$A166, Data[[Poster]:[Poster]],D$1, Data[Winner],TRUE())</f>
        <v>29</v>
      </c>
      <c r="E166">
        <f>COUNTIFS(Data[Date], "&lt;="&amp;$A166, Data[[Poster]:[Poster]],E$1, Data[Winner],TRUE())</f>
        <v>30</v>
      </c>
      <c r="F166">
        <f>COUNTIFS(Data[Date], "&lt;="&amp;$A166, Data[[Poster]:[Poster]],F$1, Data[Winner],TRUE())</f>
        <v>34</v>
      </c>
      <c r="G166" t="str" cm="1">
        <f t="array" ref="G166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67" spans="1:7">
      <c r="A167" s="217">
        <v>45757</v>
      </c>
      <c r="B167">
        <f>COUNTIFS(Data[Date], "&lt;="&amp;$A167, Data[[Poster]:[Poster]],B$1, Data[Winner],TRUE())</f>
        <v>34</v>
      </c>
      <c r="C167">
        <f>COUNTIFS(Data[Date], "&lt;="&amp;$A167, Data[[Poster]:[Poster]],C$1, Data[Winner],TRUE())</f>
        <v>38</v>
      </c>
      <c r="D167">
        <f>COUNTIFS(Data[Date], "&lt;="&amp;$A167, Data[[Poster]:[Poster]],D$1, Data[Winner],TRUE())</f>
        <v>30</v>
      </c>
      <c r="E167">
        <f>COUNTIFS(Data[Date], "&lt;="&amp;$A167, Data[[Poster]:[Poster]],E$1, Data[Winner],TRUE())</f>
        <v>30</v>
      </c>
      <c r="F167">
        <f>COUNTIFS(Data[Date], "&lt;="&amp;$A167, Data[[Poster]:[Poster]],F$1, Data[Winner],TRUE())</f>
        <v>34</v>
      </c>
      <c r="G167" t="str" cm="1">
        <f t="array" ref="G167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68" spans="1:7">
      <c r="A168" s="217">
        <v>45761</v>
      </c>
      <c r="B168">
        <f>COUNTIFS(Data[Date], "&lt;="&amp;$A168, Data[[Poster]:[Poster]],B$1, Data[Winner],TRUE())</f>
        <v>34</v>
      </c>
      <c r="C168">
        <f>COUNTIFS(Data[Date], "&lt;="&amp;$A168, Data[[Poster]:[Poster]],C$1, Data[Winner],TRUE())</f>
        <v>39</v>
      </c>
      <c r="D168">
        <f>COUNTIFS(Data[Date], "&lt;="&amp;$A168, Data[[Poster]:[Poster]],D$1, Data[Winner],TRUE())</f>
        <v>30</v>
      </c>
      <c r="E168">
        <f>COUNTIFS(Data[Date], "&lt;="&amp;$A168, Data[[Poster]:[Poster]],E$1, Data[Winner],TRUE())</f>
        <v>30</v>
      </c>
      <c r="F168">
        <f>COUNTIFS(Data[Date], "&lt;="&amp;$A168, Data[[Poster]:[Poster]],F$1, Data[Winner],TRUE())</f>
        <v>34</v>
      </c>
      <c r="G168" t="str" cm="1">
        <f t="array" ref="G168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69" spans="1:7">
      <c r="A169" s="217">
        <v>45762</v>
      </c>
      <c r="B169">
        <f>COUNTIFS(Data[Date], "&lt;="&amp;$A169, Data[[Poster]:[Poster]],B$1, Data[Winner],TRUE())</f>
        <v>34</v>
      </c>
      <c r="C169">
        <f>COUNTIFS(Data[Date], "&lt;="&amp;$A169, Data[[Poster]:[Poster]],C$1, Data[Winner],TRUE())</f>
        <v>40</v>
      </c>
      <c r="D169">
        <f>COUNTIFS(Data[Date], "&lt;="&amp;$A169, Data[[Poster]:[Poster]],D$1, Data[Winner],TRUE())</f>
        <v>30</v>
      </c>
      <c r="E169">
        <f>COUNTIFS(Data[Date], "&lt;="&amp;$A169, Data[[Poster]:[Poster]],E$1, Data[Winner],TRUE())</f>
        <v>30</v>
      </c>
      <c r="F169">
        <f>COUNTIFS(Data[Date], "&lt;="&amp;$A169, Data[[Poster]:[Poster]],F$1, Data[Winner],TRUE())</f>
        <v>34</v>
      </c>
      <c r="G169" t="str" cm="1">
        <f t="array" ref="G169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70" spans="1:7">
      <c r="A170" s="217">
        <v>45763</v>
      </c>
      <c r="B170">
        <f>COUNTIFS(Data[Date], "&lt;="&amp;$A170, Data[[Poster]:[Poster]],B$1, Data[Winner],TRUE())</f>
        <v>34</v>
      </c>
      <c r="C170">
        <f>COUNTIFS(Data[Date], "&lt;="&amp;$A170, Data[[Poster]:[Poster]],C$1, Data[Winner],TRUE())</f>
        <v>40</v>
      </c>
      <c r="D170">
        <f>COUNTIFS(Data[Date], "&lt;="&amp;$A170, Data[[Poster]:[Poster]],D$1, Data[Winner],TRUE())</f>
        <v>30</v>
      </c>
      <c r="E170">
        <f>COUNTIFS(Data[Date], "&lt;="&amp;$A170, Data[[Poster]:[Poster]],E$1, Data[Winner],TRUE())</f>
        <v>30</v>
      </c>
      <c r="F170">
        <f>COUNTIFS(Data[Date], "&lt;="&amp;$A170, Data[[Poster]:[Poster]],F$1, Data[Winner],TRUE())</f>
        <v>35</v>
      </c>
      <c r="G170" t="str" cm="1">
        <f t="array" ref="G170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71" spans="1:7">
      <c r="A171" s="217">
        <v>45764</v>
      </c>
      <c r="B171">
        <f>COUNTIFS(Data[Date], "&lt;="&amp;$A171, Data[[Poster]:[Poster]],B$1, Data[Winner],TRUE())</f>
        <v>35</v>
      </c>
      <c r="C171">
        <f>COUNTIFS(Data[Date], "&lt;="&amp;$A171, Data[[Poster]:[Poster]],C$1, Data[Winner],TRUE())</f>
        <v>40</v>
      </c>
      <c r="D171">
        <f>COUNTIFS(Data[Date], "&lt;="&amp;$A171, Data[[Poster]:[Poster]],D$1, Data[Winner],TRUE())</f>
        <v>30</v>
      </c>
      <c r="E171">
        <f>COUNTIFS(Data[Date], "&lt;="&amp;$A171, Data[[Poster]:[Poster]],E$1, Data[Winner],TRUE())</f>
        <v>30</v>
      </c>
      <c r="F171">
        <f>COUNTIFS(Data[Date], "&lt;="&amp;$A171, Data[[Poster]:[Poster]],F$1, Data[Winner],TRUE())</f>
        <v>35</v>
      </c>
      <c r="G171" t="str" cm="1">
        <f t="array" ref="G171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72" spans="1:7">
      <c r="A172" s="217">
        <v>45768</v>
      </c>
      <c r="B172">
        <f>COUNTIFS(Data[Date], "&lt;="&amp;$A172, Data[[Poster]:[Poster]],B$1, Data[Winner],TRUE())</f>
        <v>35</v>
      </c>
      <c r="C172">
        <f>COUNTIFS(Data[Date], "&lt;="&amp;$A172, Data[[Poster]:[Poster]],C$1, Data[Winner],TRUE())</f>
        <v>40</v>
      </c>
      <c r="D172">
        <f>COUNTIFS(Data[Date], "&lt;="&amp;$A172, Data[[Poster]:[Poster]],D$1, Data[Winner],TRUE())</f>
        <v>30</v>
      </c>
      <c r="E172">
        <f>COUNTIFS(Data[Date], "&lt;="&amp;$A172, Data[[Poster]:[Poster]],E$1, Data[Winner],TRUE())</f>
        <v>31</v>
      </c>
      <c r="F172">
        <f>COUNTIFS(Data[Date], "&lt;="&amp;$A172, Data[[Poster]:[Poster]],F$1, Data[Winner],TRUE())</f>
        <v>35</v>
      </c>
      <c r="G172" t="str" cm="1">
        <f t="array" ref="G172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73" spans="1:7">
      <c r="A173" s="217">
        <v>45769</v>
      </c>
      <c r="B173">
        <f>COUNTIFS(Data[Date], "&lt;="&amp;$A173, Data[[Poster]:[Poster]],B$1, Data[Winner],TRUE())</f>
        <v>35</v>
      </c>
      <c r="C173">
        <f>COUNTIFS(Data[Date], "&lt;="&amp;$A173, Data[[Poster]:[Poster]],C$1, Data[Winner],TRUE())</f>
        <v>40</v>
      </c>
      <c r="D173">
        <f>COUNTIFS(Data[Date], "&lt;="&amp;$A173, Data[[Poster]:[Poster]],D$1, Data[Winner],TRUE())</f>
        <v>31</v>
      </c>
      <c r="E173">
        <f>COUNTIFS(Data[Date], "&lt;="&amp;$A173, Data[[Poster]:[Poster]],E$1, Data[Winner],TRUE())</f>
        <v>31</v>
      </c>
      <c r="F173">
        <f>COUNTIFS(Data[Date], "&lt;="&amp;$A173, Data[[Poster]:[Poster]],F$1, Data[Winner],TRUE())</f>
        <v>35</v>
      </c>
      <c r="G173" t="str" cm="1">
        <f t="array" ref="G173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74" spans="1:7">
      <c r="A174" s="217">
        <v>45770</v>
      </c>
      <c r="B174">
        <f>COUNTIFS(Data[Date], "&lt;="&amp;$A174, Data[[Poster]:[Poster]],B$1, Data[Winner],TRUE())</f>
        <v>35</v>
      </c>
      <c r="C174">
        <f>COUNTIFS(Data[Date], "&lt;="&amp;$A174, Data[[Poster]:[Poster]],C$1, Data[Winner],TRUE())</f>
        <v>40</v>
      </c>
      <c r="D174">
        <f>COUNTIFS(Data[Date], "&lt;="&amp;$A174, Data[[Poster]:[Poster]],D$1, Data[Winner],TRUE())</f>
        <v>31</v>
      </c>
      <c r="E174">
        <f>COUNTIFS(Data[Date], "&lt;="&amp;$A174, Data[[Poster]:[Poster]],E$1, Data[Winner],TRUE())</f>
        <v>31</v>
      </c>
      <c r="F174">
        <f>COUNTIFS(Data[Date], "&lt;="&amp;$A174, Data[[Poster]:[Poster]],F$1, Data[Winner],TRUE())</f>
        <v>36</v>
      </c>
      <c r="G174" t="str" cm="1">
        <f t="array" ref="G174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75" spans="1:7">
      <c r="A175" s="217">
        <v>45771</v>
      </c>
      <c r="B175">
        <f>COUNTIFS(Data[Date], "&lt;="&amp;$A175, Data[[Poster]:[Poster]],B$1, Data[Winner],TRUE())</f>
        <v>35</v>
      </c>
      <c r="C175">
        <f>COUNTIFS(Data[Date], "&lt;="&amp;$A175, Data[[Poster]:[Poster]],C$1, Data[Winner],TRUE())</f>
        <v>40</v>
      </c>
      <c r="D175">
        <f>COUNTIFS(Data[Date], "&lt;="&amp;$A175, Data[[Poster]:[Poster]],D$1, Data[Winner],TRUE())</f>
        <v>31</v>
      </c>
      <c r="E175">
        <f>COUNTIFS(Data[Date], "&lt;="&amp;$A175, Data[[Poster]:[Poster]],E$1, Data[Winner],TRUE())</f>
        <v>32</v>
      </c>
      <c r="F175">
        <f>COUNTIFS(Data[Date], "&lt;="&amp;$A175, Data[[Poster]:[Poster]],F$1, Data[Winner],TRUE())</f>
        <v>36</v>
      </c>
      <c r="G175" t="str" cm="1">
        <f t="array" ref="G175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76" spans="1:7">
      <c r="A176" s="217">
        <v>45775</v>
      </c>
      <c r="B176">
        <f>COUNTIFS(Data[Date], "&lt;="&amp;$A176, Data[[Poster]:[Poster]],B$1, Data[Winner],TRUE())</f>
        <v>35</v>
      </c>
      <c r="C176">
        <f>COUNTIFS(Data[Date], "&lt;="&amp;$A176, Data[[Poster]:[Poster]],C$1, Data[Winner],TRUE())</f>
        <v>40</v>
      </c>
      <c r="D176">
        <f>COUNTIFS(Data[Date], "&lt;="&amp;$A176, Data[[Poster]:[Poster]],D$1, Data[Winner],TRUE())</f>
        <v>31</v>
      </c>
      <c r="E176">
        <f>COUNTIFS(Data[Date], "&lt;="&amp;$A176, Data[[Poster]:[Poster]],E$1, Data[Winner],TRUE())</f>
        <v>32</v>
      </c>
      <c r="F176">
        <f>COUNTIFS(Data[Date], "&lt;="&amp;$A176, Data[[Poster]:[Poster]],F$1, Data[Winner],TRUE())</f>
        <v>37</v>
      </c>
      <c r="G176" t="str" cm="1">
        <f t="array" ref="G176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77" spans="1:7">
      <c r="A177" s="217">
        <v>45776</v>
      </c>
      <c r="B177">
        <f>COUNTIFS(Data[Date], "&lt;="&amp;$A177, Data[[Poster]:[Poster]],B$1, Data[Winner],TRUE())</f>
        <v>35</v>
      </c>
      <c r="C177">
        <f>COUNTIFS(Data[Date], "&lt;="&amp;$A177, Data[[Poster]:[Poster]],C$1, Data[Winner],TRUE())</f>
        <v>40</v>
      </c>
      <c r="D177">
        <f>COUNTIFS(Data[Date], "&lt;="&amp;$A177, Data[[Poster]:[Poster]],D$1, Data[Winner],TRUE())</f>
        <v>32</v>
      </c>
      <c r="E177">
        <f>COUNTIFS(Data[Date], "&lt;="&amp;$A177, Data[[Poster]:[Poster]],E$1, Data[Winner],TRUE())</f>
        <v>32</v>
      </c>
      <c r="F177">
        <f>COUNTIFS(Data[Date], "&lt;="&amp;$A177, Data[[Poster]:[Poster]],F$1, Data[Winner],TRUE())</f>
        <v>37</v>
      </c>
      <c r="G177" t="str" cm="1">
        <f t="array" ref="G177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78" spans="1:7">
      <c r="A178" s="217">
        <v>45777</v>
      </c>
      <c r="B178">
        <f>COUNTIFS(Data[Date], "&lt;="&amp;$A178, Data[[Poster]:[Poster]],B$1, Data[Winner],TRUE())</f>
        <v>35</v>
      </c>
      <c r="C178">
        <f>COUNTIFS(Data[Date], "&lt;="&amp;$A178, Data[[Poster]:[Poster]],C$1, Data[Winner],TRUE())</f>
        <v>40</v>
      </c>
      <c r="D178">
        <f>COUNTIFS(Data[Date], "&lt;="&amp;$A178, Data[[Poster]:[Poster]],D$1, Data[Winner],TRUE())</f>
        <v>32</v>
      </c>
      <c r="E178">
        <f>COUNTIFS(Data[Date], "&lt;="&amp;$A178, Data[[Poster]:[Poster]],E$1, Data[Winner],TRUE())</f>
        <v>32</v>
      </c>
      <c r="F178">
        <f>COUNTIFS(Data[Date], "&lt;="&amp;$A178, Data[[Poster]:[Poster]],F$1, Data[Winner],TRUE())</f>
        <v>38</v>
      </c>
      <c r="G178" t="str" cm="1">
        <f t="array" ref="G178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79" spans="1:7">
      <c r="A179" s="217">
        <v>45778</v>
      </c>
      <c r="B179">
        <f>COUNTIFS(Data[Date], "&lt;="&amp;$A179, Data[[Poster]:[Poster]],B$1, Data[Winner],TRUE())</f>
        <v>35</v>
      </c>
      <c r="C179">
        <f>COUNTIFS(Data[Date], "&lt;="&amp;$A179, Data[[Poster]:[Poster]],C$1, Data[Winner],TRUE())</f>
        <v>40</v>
      </c>
      <c r="D179">
        <f>COUNTIFS(Data[Date], "&lt;="&amp;$A179, Data[[Poster]:[Poster]],D$1, Data[Winner],TRUE())</f>
        <v>32</v>
      </c>
      <c r="E179">
        <f>COUNTIFS(Data[Date], "&lt;="&amp;$A179, Data[[Poster]:[Poster]],E$1, Data[Winner],TRUE())</f>
        <v>33</v>
      </c>
      <c r="F179">
        <f>COUNTIFS(Data[Date], "&lt;="&amp;$A179, Data[[Poster]:[Poster]],F$1, Data[Winner],TRUE())</f>
        <v>38</v>
      </c>
      <c r="G179" t="str" cm="1">
        <f t="array" ref="G179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80" spans="1:7">
      <c r="A180" s="217">
        <v>45782</v>
      </c>
      <c r="B180">
        <f>COUNTIFS(Data[Date], "&lt;="&amp;$A180, Data[[Poster]:[Poster]],B$1, Data[Winner],TRUE())</f>
        <v>36</v>
      </c>
      <c r="C180">
        <f>COUNTIFS(Data[Date], "&lt;="&amp;$A180, Data[[Poster]:[Poster]],C$1, Data[Winner],TRUE())</f>
        <v>40</v>
      </c>
      <c r="D180">
        <f>COUNTIFS(Data[Date], "&lt;="&amp;$A180, Data[[Poster]:[Poster]],D$1, Data[Winner],TRUE())</f>
        <v>32</v>
      </c>
      <c r="E180">
        <f>COUNTIFS(Data[Date], "&lt;="&amp;$A180, Data[[Poster]:[Poster]],E$1, Data[Winner],TRUE())</f>
        <v>33</v>
      </c>
      <c r="F180">
        <f>COUNTIFS(Data[Date], "&lt;="&amp;$A180, Data[[Poster]:[Poster]],F$1, Data[Winner],TRUE())</f>
        <v>38</v>
      </c>
      <c r="G180" t="str" cm="1">
        <f t="array" ref="G180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81" spans="1:7">
      <c r="A181" s="217">
        <v>45783</v>
      </c>
      <c r="B181">
        <f>COUNTIFS(Data[Date], "&lt;="&amp;$A181, Data[[Poster]:[Poster]],B$1, Data[Winner],TRUE())</f>
        <v>36</v>
      </c>
      <c r="C181">
        <f>COUNTIFS(Data[Date], "&lt;="&amp;$A181, Data[[Poster]:[Poster]],C$1, Data[Winner],TRUE())</f>
        <v>40</v>
      </c>
      <c r="D181">
        <f>COUNTIFS(Data[Date], "&lt;="&amp;$A181, Data[[Poster]:[Poster]],D$1, Data[Winner],TRUE())</f>
        <v>33</v>
      </c>
      <c r="E181">
        <f>COUNTIFS(Data[Date], "&lt;="&amp;$A181, Data[[Poster]:[Poster]],E$1, Data[Winner],TRUE())</f>
        <v>33</v>
      </c>
      <c r="F181">
        <f>COUNTIFS(Data[Date], "&lt;="&amp;$A181, Data[[Poster]:[Poster]],F$1, Data[Winner],TRUE())</f>
        <v>38</v>
      </c>
      <c r="G181" t="str" cm="1">
        <f t="array" ref="G181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82" spans="1:7">
      <c r="A182" s="217">
        <v>45784</v>
      </c>
      <c r="B182">
        <f>COUNTIFS(Data[Date], "&lt;="&amp;$A182, Data[[Poster]:[Poster]],B$1, Data[Winner],TRUE())</f>
        <v>36</v>
      </c>
      <c r="C182">
        <f>COUNTIFS(Data[Date], "&lt;="&amp;$A182, Data[[Poster]:[Poster]],C$1, Data[Winner],TRUE())</f>
        <v>41</v>
      </c>
      <c r="D182">
        <f>COUNTIFS(Data[Date], "&lt;="&amp;$A182, Data[[Poster]:[Poster]],D$1, Data[Winner],TRUE())</f>
        <v>33</v>
      </c>
      <c r="E182">
        <f>COUNTIFS(Data[Date], "&lt;="&amp;$A182, Data[[Poster]:[Poster]],E$1, Data[Winner],TRUE())</f>
        <v>33</v>
      </c>
      <c r="F182">
        <f>COUNTIFS(Data[Date], "&lt;="&amp;$A182, Data[[Poster]:[Poster]],F$1, Data[Winner],TRUE())</f>
        <v>38</v>
      </c>
      <c r="G182" t="str" cm="1">
        <f t="array" ref="G182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83" spans="1:7">
      <c r="A183" s="217">
        <v>45785</v>
      </c>
      <c r="B183">
        <f>COUNTIFS(Data[Date], "&lt;="&amp;$A183, Data[[Poster]:[Poster]],B$1, Data[Winner],TRUE())</f>
        <v>37</v>
      </c>
      <c r="C183">
        <f>COUNTIFS(Data[Date], "&lt;="&amp;$A183, Data[[Poster]:[Poster]],C$1, Data[Winner],TRUE())</f>
        <v>41</v>
      </c>
      <c r="D183">
        <f>COUNTIFS(Data[Date], "&lt;="&amp;$A183, Data[[Poster]:[Poster]],D$1, Data[Winner],TRUE())</f>
        <v>33</v>
      </c>
      <c r="E183">
        <f>COUNTIFS(Data[Date], "&lt;="&amp;$A183, Data[[Poster]:[Poster]],E$1, Data[Winner],TRUE())</f>
        <v>33</v>
      </c>
      <c r="F183">
        <f>COUNTIFS(Data[Date], "&lt;="&amp;$A183, Data[[Poster]:[Poster]],F$1, Data[Winner],TRUE())</f>
        <v>38</v>
      </c>
      <c r="G183" t="str" cm="1">
        <f t="array" ref="G183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84" spans="1:7">
      <c r="A184" s="217">
        <v>45789</v>
      </c>
      <c r="B184">
        <f>COUNTIFS(Data[Date], "&lt;="&amp;$A184, Data[[Poster]:[Poster]],B$1, Data[Winner],TRUE())</f>
        <v>37</v>
      </c>
      <c r="C184">
        <f>COUNTIFS(Data[Date], "&lt;="&amp;$A184, Data[[Poster]:[Poster]],C$1, Data[Winner],TRUE())</f>
        <v>41</v>
      </c>
      <c r="D184">
        <f>COUNTIFS(Data[Date], "&lt;="&amp;$A184, Data[[Poster]:[Poster]],D$1, Data[Winner],TRUE())</f>
        <v>33</v>
      </c>
      <c r="E184">
        <f>COUNTIFS(Data[Date], "&lt;="&amp;$A184, Data[[Poster]:[Poster]],E$1, Data[Winner],TRUE())</f>
        <v>34</v>
      </c>
      <c r="F184">
        <f>COUNTIFS(Data[Date], "&lt;="&amp;$A184, Data[[Poster]:[Poster]],F$1, Data[Winner],TRUE())</f>
        <v>38</v>
      </c>
      <c r="G184" t="str" cm="1">
        <f t="array" ref="G184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85" spans="1:7">
      <c r="A185" s="217">
        <v>45790</v>
      </c>
      <c r="B185">
        <f>COUNTIFS(Data[Date], "&lt;="&amp;$A185, Data[[Poster]:[Poster]],B$1, Data[Winner],TRUE())</f>
        <v>37</v>
      </c>
      <c r="C185">
        <f>COUNTIFS(Data[Date], "&lt;="&amp;$A185, Data[[Poster]:[Poster]],C$1, Data[Winner],TRUE())</f>
        <v>41</v>
      </c>
      <c r="D185">
        <f>COUNTIFS(Data[Date], "&lt;="&amp;$A185, Data[[Poster]:[Poster]],D$1, Data[Winner],TRUE())</f>
        <v>34</v>
      </c>
      <c r="E185">
        <f>COUNTIFS(Data[Date], "&lt;="&amp;$A185, Data[[Poster]:[Poster]],E$1, Data[Winner],TRUE())</f>
        <v>34</v>
      </c>
      <c r="F185">
        <f>COUNTIFS(Data[Date], "&lt;="&amp;$A185, Data[[Poster]:[Poster]],F$1, Data[Winner],TRUE())</f>
        <v>38</v>
      </c>
      <c r="G185" t="str" cm="1">
        <f t="array" ref="G185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86" spans="1:7">
      <c r="A186" s="217">
        <v>45791</v>
      </c>
      <c r="B186">
        <f>COUNTIFS(Data[Date], "&lt;="&amp;$A186, Data[[Poster]:[Poster]],B$1, Data[Winner],TRUE())</f>
        <v>37</v>
      </c>
      <c r="C186">
        <f>COUNTIFS(Data[Date], "&lt;="&amp;$A186, Data[[Poster]:[Poster]],C$1, Data[Winner],TRUE())</f>
        <v>41</v>
      </c>
      <c r="D186">
        <f>COUNTIFS(Data[Date], "&lt;="&amp;$A186, Data[[Poster]:[Poster]],D$1, Data[Winner],TRUE())</f>
        <v>35</v>
      </c>
      <c r="E186">
        <f>COUNTIFS(Data[Date], "&lt;="&amp;$A186, Data[[Poster]:[Poster]],E$1, Data[Winner],TRUE())</f>
        <v>34</v>
      </c>
      <c r="F186">
        <f>COUNTIFS(Data[Date], "&lt;="&amp;$A186, Data[[Poster]:[Poster]],F$1, Data[Winner],TRUE())</f>
        <v>38</v>
      </c>
      <c r="G186" t="str" cm="1">
        <f t="array" ref="G186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87" spans="1:7">
      <c r="A187" s="217">
        <v>45792</v>
      </c>
      <c r="B187">
        <f>COUNTIFS(Data[Date], "&lt;="&amp;$A187, Data[[Poster]:[Poster]],B$1, Data[Winner],TRUE())</f>
        <v>38</v>
      </c>
      <c r="C187">
        <f>COUNTIFS(Data[Date], "&lt;="&amp;$A187, Data[[Poster]:[Poster]],C$1, Data[Winner],TRUE())</f>
        <v>41</v>
      </c>
      <c r="D187">
        <f>COUNTIFS(Data[Date], "&lt;="&amp;$A187, Data[[Poster]:[Poster]],D$1, Data[Winner],TRUE())</f>
        <v>35</v>
      </c>
      <c r="E187">
        <f>COUNTIFS(Data[Date], "&lt;="&amp;$A187, Data[[Poster]:[Poster]],E$1, Data[Winner],TRUE())</f>
        <v>34</v>
      </c>
      <c r="F187">
        <f>COUNTIFS(Data[Date], "&lt;="&amp;$A187, Data[[Poster]:[Poster]],F$1, Data[Winner],TRUE())</f>
        <v>38</v>
      </c>
      <c r="G187" t="str" cm="1">
        <f t="array" ref="G187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88" spans="1:7">
      <c r="A188" s="217">
        <v>45796</v>
      </c>
      <c r="B188">
        <f>COUNTIFS(Data[Date], "&lt;="&amp;$A188, Data[[Poster]:[Poster]],B$1, Data[Winner],TRUE())</f>
        <v>38</v>
      </c>
      <c r="C188">
        <f>COUNTIFS(Data[Date], "&lt;="&amp;$A188, Data[[Poster]:[Poster]],C$1, Data[Winner],TRUE())</f>
        <v>41</v>
      </c>
      <c r="D188">
        <f>COUNTIFS(Data[Date], "&lt;="&amp;$A188, Data[[Poster]:[Poster]],D$1, Data[Winner],TRUE())</f>
        <v>35</v>
      </c>
      <c r="E188">
        <f>COUNTIFS(Data[Date], "&lt;="&amp;$A188, Data[[Poster]:[Poster]],E$1, Data[Winner],TRUE())</f>
        <v>34</v>
      </c>
      <c r="F188">
        <f>COUNTIFS(Data[Date], "&lt;="&amp;$A188, Data[[Poster]:[Poster]],F$1, Data[Winner],TRUE())</f>
        <v>39</v>
      </c>
      <c r="G188" t="str" cm="1">
        <f t="array" ref="G188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89" spans="1:7">
      <c r="A189" s="217">
        <v>45797</v>
      </c>
      <c r="B189">
        <f>COUNTIFS(Data[Date], "&lt;="&amp;$A189, Data[[Poster]:[Poster]],B$1, Data[Winner],TRUE())</f>
        <v>39</v>
      </c>
      <c r="C189">
        <f>COUNTIFS(Data[Date], "&lt;="&amp;$A189, Data[[Poster]:[Poster]],C$1, Data[Winner],TRUE())</f>
        <v>41</v>
      </c>
      <c r="D189">
        <f>COUNTIFS(Data[Date], "&lt;="&amp;$A189, Data[[Poster]:[Poster]],D$1, Data[Winner],TRUE())</f>
        <v>35</v>
      </c>
      <c r="E189">
        <f>COUNTIFS(Data[Date], "&lt;="&amp;$A189, Data[[Poster]:[Poster]],E$1, Data[Winner],TRUE())</f>
        <v>34</v>
      </c>
      <c r="F189">
        <f>COUNTIFS(Data[Date], "&lt;="&amp;$A189, Data[[Poster]:[Poster]],F$1, Data[Winner],TRUE())</f>
        <v>39</v>
      </c>
      <c r="G189" t="str" cm="1">
        <f t="array" ref="G189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90" spans="1:7">
      <c r="A190" s="217">
        <v>45798</v>
      </c>
      <c r="B190">
        <f>COUNTIFS(Data[Date], "&lt;="&amp;$A190, Data[[Poster]:[Poster]],B$1, Data[Winner],TRUE())</f>
        <v>39</v>
      </c>
      <c r="C190">
        <f>COUNTIFS(Data[Date], "&lt;="&amp;$A190, Data[[Poster]:[Poster]],C$1, Data[Winner],TRUE())</f>
        <v>41</v>
      </c>
      <c r="D190">
        <f>COUNTIFS(Data[Date], "&lt;="&amp;$A190, Data[[Poster]:[Poster]],D$1, Data[Winner],TRUE())</f>
        <v>35</v>
      </c>
      <c r="E190">
        <f>COUNTIFS(Data[Date], "&lt;="&amp;$A190, Data[[Poster]:[Poster]],E$1, Data[Winner],TRUE())</f>
        <v>34</v>
      </c>
      <c r="F190">
        <f>COUNTIFS(Data[Date], "&lt;="&amp;$A190, Data[[Poster]:[Poster]],F$1, Data[Winner],TRUE())</f>
        <v>40</v>
      </c>
      <c r="G190" t="str" cm="1">
        <f t="array" ref="G190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91" spans="1:7">
      <c r="A191" s="217">
        <v>45799</v>
      </c>
      <c r="B191">
        <f>COUNTIFS(Data[Date], "&lt;="&amp;$A191, Data[[Poster]:[Poster]],B$1, Data[Winner],TRUE())</f>
        <v>39</v>
      </c>
      <c r="C191">
        <f>COUNTIFS(Data[Date], "&lt;="&amp;$A191, Data[[Poster]:[Poster]],C$1, Data[Winner],TRUE())</f>
        <v>42</v>
      </c>
      <c r="D191">
        <f>COUNTIFS(Data[Date], "&lt;="&amp;$A191, Data[[Poster]:[Poster]],D$1, Data[Winner],TRUE())</f>
        <v>35</v>
      </c>
      <c r="E191">
        <f>COUNTIFS(Data[Date], "&lt;="&amp;$A191, Data[[Poster]:[Poster]],E$1, Data[Winner],TRUE())</f>
        <v>34</v>
      </c>
      <c r="F191">
        <f>COUNTIFS(Data[Date], "&lt;="&amp;$A191, Data[[Poster]:[Poster]],F$1, Data[Winner],TRUE())</f>
        <v>40</v>
      </c>
      <c r="G191" t="str" cm="1">
        <f t="array" ref="G191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92" spans="1:7">
      <c r="A192" s="217">
        <v>45803</v>
      </c>
      <c r="B192">
        <f>COUNTIFS(Data[Date], "&lt;="&amp;$A192, Data[[Poster]:[Poster]],B$1, Data[Winner],TRUE())</f>
        <v>39</v>
      </c>
      <c r="C192">
        <f>COUNTIFS(Data[Date], "&lt;="&amp;$A192, Data[[Poster]:[Poster]],C$1, Data[Winner],TRUE())</f>
        <v>42</v>
      </c>
      <c r="D192">
        <f>COUNTIFS(Data[Date], "&lt;="&amp;$A192, Data[[Poster]:[Poster]],D$1, Data[Winner],TRUE())</f>
        <v>36</v>
      </c>
      <c r="E192">
        <f>COUNTIFS(Data[Date], "&lt;="&amp;$A192, Data[[Poster]:[Poster]],E$1, Data[Winner],TRUE())</f>
        <v>34</v>
      </c>
      <c r="F192">
        <f>COUNTIFS(Data[Date], "&lt;="&amp;$A192, Data[[Poster]:[Poster]],F$1, Data[Winner],TRUE())</f>
        <v>40</v>
      </c>
      <c r="G192" t="str" cm="1">
        <f t="array" ref="G192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93" spans="1:7">
      <c r="A193" s="217">
        <v>45804</v>
      </c>
      <c r="B193">
        <f>COUNTIFS(Data[Date], "&lt;="&amp;$A193, Data[[Poster]:[Poster]],B$1, Data[Winner],TRUE())</f>
        <v>39</v>
      </c>
      <c r="C193">
        <f>COUNTIFS(Data[Date], "&lt;="&amp;$A193, Data[[Poster]:[Poster]],C$1, Data[Winner],TRUE())</f>
        <v>42</v>
      </c>
      <c r="D193">
        <f>COUNTIFS(Data[Date], "&lt;="&amp;$A193, Data[[Poster]:[Poster]],D$1, Data[Winner],TRUE())</f>
        <v>37</v>
      </c>
      <c r="E193">
        <f>COUNTIFS(Data[Date], "&lt;="&amp;$A193, Data[[Poster]:[Poster]],E$1, Data[Winner],TRUE())</f>
        <v>34</v>
      </c>
      <c r="F193">
        <f>COUNTIFS(Data[Date], "&lt;="&amp;$A193, Data[[Poster]:[Poster]],F$1, Data[Winner],TRUE())</f>
        <v>40</v>
      </c>
      <c r="G193" t="str" cm="1">
        <f t="array" ref="G193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94" spans="1:7">
      <c r="A194" s="217">
        <v>45805</v>
      </c>
      <c r="B194">
        <f>COUNTIFS(Data[Date], "&lt;="&amp;$A194, Data[[Poster]:[Poster]],B$1, Data[Winner],TRUE())</f>
        <v>39</v>
      </c>
      <c r="C194">
        <f>COUNTIFS(Data[Date], "&lt;="&amp;$A194, Data[[Poster]:[Poster]],C$1, Data[Winner],TRUE())</f>
        <v>42</v>
      </c>
      <c r="D194">
        <f>COUNTIFS(Data[Date], "&lt;="&amp;$A194, Data[[Poster]:[Poster]],D$1, Data[Winner],TRUE())</f>
        <v>37</v>
      </c>
      <c r="E194">
        <f>COUNTIFS(Data[Date], "&lt;="&amp;$A194, Data[[Poster]:[Poster]],E$1, Data[Winner],TRUE())</f>
        <v>35</v>
      </c>
      <c r="F194">
        <f>COUNTIFS(Data[Date], "&lt;="&amp;$A194, Data[[Poster]:[Poster]],F$1, Data[Winner],TRUE())</f>
        <v>40</v>
      </c>
      <c r="G194" t="str" cm="1">
        <f t="array" ref="G194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95" spans="1:7">
      <c r="A195" s="217">
        <v>45806</v>
      </c>
      <c r="B195">
        <f>COUNTIFS(Data[Date], "&lt;="&amp;$A195, Data[[Poster]:[Poster]],B$1, Data[Winner],TRUE())</f>
        <v>40</v>
      </c>
      <c r="C195">
        <f>COUNTIFS(Data[Date], "&lt;="&amp;$A195, Data[[Poster]:[Poster]],C$1, Data[Winner],TRUE())</f>
        <v>42</v>
      </c>
      <c r="D195">
        <f>COUNTIFS(Data[Date], "&lt;="&amp;$A195, Data[[Poster]:[Poster]],D$1, Data[Winner],TRUE())</f>
        <v>37</v>
      </c>
      <c r="E195">
        <f>COUNTIFS(Data[Date], "&lt;="&amp;$A195, Data[[Poster]:[Poster]],E$1, Data[Winner],TRUE())</f>
        <v>35</v>
      </c>
      <c r="F195">
        <f>COUNTIFS(Data[Date], "&lt;="&amp;$A195, Data[[Poster]:[Poster]],F$1, Data[Winner],TRUE())</f>
        <v>40</v>
      </c>
      <c r="G195" t="str" cm="1">
        <f t="array" ref="G195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96" spans="1:7">
      <c r="A196" s="217">
        <v>45810</v>
      </c>
      <c r="B196">
        <f>COUNTIFS(Data[Date], "&lt;="&amp;$A196, Data[[Poster]:[Poster]],B$1, Data[Winner],TRUE())</f>
        <v>40</v>
      </c>
      <c r="C196">
        <f>COUNTIFS(Data[Date], "&lt;="&amp;$A196, Data[[Poster]:[Poster]],C$1, Data[Winner],TRUE())</f>
        <v>42</v>
      </c>
      <c r="D196">
        <f>COUNTIFS(Data[Date], "&lt;="&amp;$A196, Data[[Poster]:[Poster]],D$1, Data[Winner],TRUE())</f>
        <v>37</v>
      </c>
      <c r="E196">
        <f>COUNTIFS(Data[Date], "&lt;="&amp;$A196, Data[[Poster]:[Poster]],E$1, Data[Winner],TRUE())</f>
        <v>36</v>
      </c>
      <c r="F196">
        <f>COUNTIFS(Data[Date], "&lt;="&amp;$A196, Data[[Poster]:[Poster]],F$1, Data[Winner],TRUE())</f>
        <v>40</v>
      </c>
      <c r="G196" t="str" cm="1">
        <f t="array" ref="G196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97" spans="1:7">
      <c r="A197" s="217">
        <v>45811</v>
      </c>
      <c r="B197">
        <f>COUNTIFS(Data[Date], "&lt;="&amp;$A197, Data[[Poster]:[Poster]],B$1, Data[Winner],TRUE())</f>
        <v>40</v>
      </c>
      <c r="C197">
        <f>COUNTIFS(Data[Date], "&lt;="&amp;$A197, Data[[Poster]:[Poster]],C$1, Data[Winner],TRUE())</f>
        <v>42</v>
      </c>
      <c r="D197">
        <f>COUNTIFS(Data[Date], "&lt;="&amp;$A197, Data[[Poster]:[Poster]],D$1, Data[Winner],TRUE())</f>
        <v>37</v>
      </c>
      <c r="E197">
        <f>COUNTIFS(Data[Date], "&lt;="&amp;$A197, Data[[Poster]:[Poster]],E$1, Data[Winner],TRUE())</f>
        <v>36</v>
      </c>
      <c r="F197">
        <f>COUNTIFS(Data[Date], "&lt;="&amp;$A197, Data[[Poster]:[Poster]],F$1, Data[Winner],TRUE())</f>
        <v>41</v>
      </c>
      <c r="G197" t="str" cm="1">
        <f t="array" ref="G197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98" spans="1:7">
      <c r="A198" s="217">
        <v>45812</v>
      </c>
      <c r="B198">
        <f>COUNTIFS(Data[Date], "&lt;="&amp;$A198, Data[[Poster]:[Poster]],B$1, Data[Winner],TRUE())</f>
        <v>40</v>
      </c>
      <c r="C198">
        <f>COUNTIFS(Data[Date], "&lt;="&amp;$A198, Data[[Poster]:[Poster]],C$1, Data[Winner],TRUE())</f>
        <v>42</v>
      </c>
      <c r="D198">
        <f>COUNTIFS(Data[Date], "&lt;="&amp;$A198, Data[[Poster]:[Poster]],D$1, Data[Winner],TRUE())</f>
        <v>37</v>
      </c>
      <c r="E198">
        <f>COUNTIFS(Data[Date], "&lt;="&amp;$A198, Data[[Poster]:[Poster]],E$1, Data[Winner],TRUE())</f>
        <v>37</v>
      </c>
      <c r="F198">
        <f>COUNTIFS(Data[Date], "&lt;="&amp;$A198, Data[[Poster]:[Poster]],F$1, Data[Winner],TRUE())</f>
        <v>41</v>
      </c>
      <c r="G198" t="str" cm="1">
        <f t="array" ref="G198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199" spans="1:7">
      <c r="A199" s="217">
        <v>45813</v>
      </c>
      <c r="B199">
        <f>COUNTIFS(Data[Date], "&lt;="&amp;$A199, Data[[Poster]:[Poster]],B$1, Data[Winner],TRUE())</f>
        <v>40</v>
      </c>
      <c r="C199">
        <f>COUNTIFS(Data[Date], "&lt;="&amp;$A199, Data[[Poster]:[Poster]],C$1, Data[Winner],TRUE())</f>
        <v>42</v>
      </c>
      <c r="D199">
        <f>COUNTIFS(Data[Date], "&lt;="&amp;$A199, Data[[Poster]:[Poster]],D$1, Data[Winner],TRUE())</f>
        <v>38</v>
      </c>
      <c r="E199">
        <f>COUNTIFS(Data[Date], "&lt;="&amp;$A199, Data[[Poster]:[Poster]],E$1, Data[Winner],TRUE())</f>
        <v>37</v>
      </c>
      <c r="F199">
        <f>COUNTIFS(Data[Date], "&lt;="&amp;$A199, Data[[Poster]:[Poster]],F$1, Data[Winner],TRUE())</f>
        <v>41</v>
      </c>
      <c r="G199" t="str" cm="1">
        <f t="array" ref="G199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200" spans="1:7">
      <c r="A200" s="217">
        <v>45817</v>
      </c>
      <c r="B200">
        <f>COUNTIFS(Data[Date], "&lt;="&amp;$A200, Data[[Poster]:[Poster]],B$1, Data[Winner],TRUE())</f>
        <v>40</v>
      </c>
      <c r="C200">
        <f>COUNTIFS(Data[Date], "&lt;="&amp;$A200, Data[[Poster]:[Poster]],C$1, Data[Winner],TRUE())</f>
        <v>43</v>
      </c>
      <c r="D200">
        <f>COUNTIFS(Data[Date], "&lt;="&amp;$A200, Data[[Poster]:[Poster]],D$1, Data[Winner],TRUE())</f>
        <v>38</v>
      </c>
      <c r="E200">
        <f>COUNTIFS(Data[Date], "&lt;="&amp;$A200, Data[[Poster]:[Poster]],E$1, Data[Winner],TRUE())</f>
        <v>37</v>
      </c>
      <c r="F200">
        <f>COUNTIFS(Data[Date], "&lt;="&amp;$A200, Data[[Poster]:[Poster]],F$1, Data[Winner],TRUE())</f>
        <v>41</v>
      </c>
      <c r="G200" t="str" cm="1">
        <f t="array" ref="G200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201" spans="1:7">
      <c r="A201" s="217">
        <v>45818</v>
      </c>
      <c r="B201">
        <f>COUNTIFS(Data[Date], "&lt;="&amp;$A201, Data[[Poster]:[Poster]],B$1, Data[Winner],TRUE())</f>
        <v>41</v>
      </c>
      <c r="C201">
        <f>COUNTIFS(Data[Date], "&lt;="&amp;$A201, Data[[Poster]:[Poster]],C$1, Data[Winner],TRUE())</f>
        <v>43</v>
      </c>
      <c r="D201">
        <f>COUNTIFS(Data[Date], "&lt;="&amp;$A201, Data[[Poster]:[Poster]],D$1, Data[Winner],TRUE())</f>
        <v>38</v>
      </c>
      <c r="E201">
        <f>COUNTIFS(Data[Date], "&lt;="&amp;$A201, Data[[Poster]:[Poster]],E$1, Data[Winner],TRUE())</f>
        <v>37</v>
      </c>
      <c r="F201">
        <f>COUNTIFS(Data[Date], "&lt;="&amp;$A201, Data[[Poster]:[Poster]],F$1, Data[Winner],TRUE())</f>
        <v>41</v>
      </c>
      <c r="G201" t="str" cm="1">
        <f t="array" ref="G201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202" spans="1:7">
      <c r="A202" s="217">
        <v>45819</v>
      </c>
      <c r="B202">
        <f>COUNTIFS(Data[Date], "&lt;="&amp;$A202, Data[[Poster]:[Poster]],B$1, Data[Winner],TRUE())</f>
        <v>41</v>
      </c>
      <c r="C202">
        <f>COUNTIFS(Data[Date], "&lt;="&amp;$A202, Data[[Poster]:[Poster]],C$1, Data[Winner],TRUE())</f>
        <v>43</v>
      </c>
      <c r="D202">
        <f>COUNTIFS(Data[Date], "&lt;="&amp;$A202, Data[[Poster]:[Poster]],D$1, Data[Winner],TRUE())</f>
        <v>38</v>
      </c>
      <c r="E202">
        <f>COUNTIFS(Data[Date], "&lt;="&amp;$A202, Data[[Poster]:[Poster]],E$1, Data[Winner],TRUE())</f>
        <v>38</v>
      </c>
      <c r="F202">
        <f>COUNTIFS(Data[Date], "&lt;="&amp;$A202, Data[[Poster]:[Poster]],F$1, Data[Winner],TRUE())</f>
        <v>41</v>
      </c>
      <c r="G202" t="str" cm="1">
        <f t="array" ref="G202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203" spans="1:7">
      <c r="A203" s="217">
        <v>45820</v>
      </c>
      <c r="B203">
        <f>COUNTIFS(Data[Date], "&lt;="&amp;$A203, Data[[Poster]:[Poster]],B$1, Data[Winner],TRUE())</f>
        <v>41</v>
      </c>
      <c r="C203">
        <f>COUNTIFS(Data[Date], "&lt;="&amp;$A203, Data[[Poster]:[Poster]],C$1, Data[Winner],TRUE())</f>
        <v>43</v>
      </c>
      <c r="D203">
        <f>COUNTIFS(Data[Date], "&lt;="&amp;$A203, Data[[Poster]:[Poster]],D$1, Data[Winner],TRUE())</f>
        <v>38</v>
      </c>
      <c r="E203">
        <f>COUNTIFS(Data[Date], "&lt;="&amp;$A203, Data[[Poster]:[Poster]],E$1, Data[Winner],TRUE())</f>
        <v>38</v>
      </c>
      <c r="F203">
        <f>COUNTIFS(Data[Date], "&lt;="&amp;$A203, Data[[Poster]:[Poster]],F$1, Data[Winner],TRUE())</f>
        <v>42</v>
      </c>
      <c r="G203" t="str" cm="1">
        <f t="array" ref="G203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204" spans="1:7">
      <c r="A204" s="217">
        <v>45824</v>
      </c>
      <c r="B204">
        <f>COUNTIFS(Data[Date], "&lt;="&amp;$A204, Data[[Poster]:[Poster]],B$1, Data[Winner],TRUE())</f>
        <v>42</v>
      </c>
      <c r="C204">
        <f>COUNTIFS(Data[Date], "&lt;="&amp;$A204, Data[[Poster]:[Poster]],C$1, Data[Winner],TRUE())</f>
        <v>43</v>
      </c>
      <c r="D204">
        <f>COUNTIFS(Data[Date], "&lt;="&amp;$A204, Data[[Poster]:[Poster]],D$1, Data[Winner],TRUE())</f>
        <v>38</v>
      </c>
      <c r="E204">
        <f>COUNTIFS(Data[Date], "&lt;="&amp;$A204, Data[[Poster]:[Poster]],E$1, Data[Winner],TRUE())</f>
        <v>38</v>
      </c>
      <c r="F204">
        <f>COUNTIFS(Data[Date], "&lt;="&amp;$A204, Data[[Poster]:[Poster]],F$1, Data[Winner],TRUE())</f>
        <v>42</v>
      </c>
      <c r="G204" t="str" cm="1">
        <f t="array" ref="G204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205" spans="1:7">
      <c r="A205" s="217">
        <v>45825</v>
      </c>
      <c r="B205">
        <f>COUNTIFS(Data[Date], "&lt;="&amp;$A205, Data[[Poster]:[Poster]],B$1, Data[Winner],TRUE())</f>
        <v>43</v>
      </c>
      <c r="C205">
        <f>COUNTIFS(Data[Date], "&lt;="&amp;$A205, Data[[Poster]:[Poster]],C$1, Data[Winner],TRUE())</f>
        <v>43</v>
      </c>
      <c r="D205">
        <f>COUNTIFS(Data[Date], "&lt;="&amp;$A205, Data[[Poster]:[Poster]],D$1, Data[Winner],TRUE())</f>
        <v>38</v>
      </c>
      <c r="E205">
        <f>COUNTIFS(Data[Date], "&lt;="&amp;$A205, Data[[Poster]:[Poster]],E$1, Data[Winner],TRUE())</f>
        <v>38</v>
      </c>
      <c r="F205">
        <f>COUNTIFS(Data[Date], "&lt;="&amp;$A205, Data[[Poster]:[Poster]],F$1, Data[Winner],TRUE())</f>
        <v>42</v>
      </c>
      <c r="G205" t="str" cm="1">
        <f t="array" ref="G205">_xlfn.TEXTJOIN(", ", TRUE, _xlfn._xlws.FILTER(Cumulative_Wins[[#Headers],[alappatjoe]:[currydestroyer27]], Cumulative_Wins[[#This Row],[alappatjoe]:[currydestroyer27]]=MAX(Cumulative_Wins[[#This Row],[alappatjoe]:[currydestroyer27]])))</f>
        <v>alappatjoe, danram</v>
      </c>
    </row>
    <row r="206" spans="1:7">
      <c r="A206" s="217">
        <v>45826</v>
      </c>
      <c r="B206">
        <f>COUNTIFS(Data[Date], "&lt;="&amp;$A206, Data[[Poster]:[Poster]],B$1, Data[Winner],TRUE())</f>
        <v>43</v>
      </c>
      <c r="C206">
        <f>COUNTIFS(Data[Date], "&lt;="&amp;$A206, Data[[Poster]:[Poster]],C$1, Data[Winner],TRUE())</f>
        <v>43</v>
      </c>
      <c r="D206">
        <f>COUNTIFS(Data[Date], "&lt;="&amp;$A206, Data[[Poster]:[Poster]],D$1, Data[Winner],TRUE())</f>
        <v>38</v>
      </c>
      <c r="E206">
        <f>COUNTIFS(Data[Date], "&lt;="&amp;$A206, Data[[Poster]:[Poster]],E$1, Data[Winner],TRUE())</f>
        <v>38</v>
      </c>
      <c r="F206">
        <f>COUNTIFS(Data[Date], "&lt;="&amp;$A206, Data[[Poster]:[Poster]],F$1, Data[Winner],TRUE())</f>
        <v>43</v>
      </c>
      <c r="G206" t="str" cm="1">
        <f t="array" ref="G206">_xlfn.TEXTJOIN(", ", TRUE, _xlfn._xlws.FILTER(Cumulative_Wins[[#Headers],[alappatjoe]:[currydestroyer27]], Cumulative_Wins[[#This Row],[alappatjoe]:[currydestroyer27]]=MAX(Cumulative_Wins[[#This Row],[alappatjoe]:[currydestroyer27]])))</f>
        <v>alappatjoe, danram, currydestroyer27</v>
      </c>
    </row>
    <row r="207" spans="1:7">
      <c r="A207" s="217">
        <v>45827</v>
      </c>
      <c r="B207">
        <f>COUNTIFS(Data[Date], "&lt;="&amp;$A207, Data[[Poster]:[Poster]],B$1, Data[Winner],TRUE())</f>
        <v>43</v>
      </c>
      <c r="C207">
        <f>COUNTIFS(Data[Date], "&lt;="&amp;$A207, Data[[Poster]:[Poster]],C$1, Data[Winner],TRUE())</f>
        <v>43</v>
      </c>
      <c r="D207">
        <f>COUNTIFS(Data[Date], "&lt;="&amp;$A207, Data[[Poster]:[Poster]],D$1, Data[Winner],TRUE())</f>
        <v>38</v>
      </c>
      <c r="E207">
        <f>COUNTIFS(Data[Date], "&lt;="&amp;$A207, Data[[Poster]:[Poster]],E$1, Data[Winner],TRUE())</f>
        <v>38</v>
      </c>
      <c r="F207">
        <f>COUNTIFS(Data[Date], "&lt;="&amp;$A207, Data[[Poster]:[Poster]],F$1, Data[Winner],TRUE())</f>
        <v>44</v>
      </c>
      <c r="G207" t="str" cm="1">
        <f t="array" ref="G20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08" spans="1:7">
      <c r="A208" s="217">
        <v>45831</v>
      </c>
      <c r="B208">
        <f>COUNTIFS(Data[Date], "&lt;="&amp;$A208, Data[[Poster]:[Poster]],B$1, Data[Winner],TRUE())</f>
        <v>43</v>
      </c>
      <c r="C208">
        <f>COUNTIFS(Data[Date], "&lt;="&amp;$A208, Data[[Poster]:[Poster]],C$1, Data[Winner],TRUE())</f>
        <v>44</v>
      </c>
      <c r="D208">
        <f>COUNTIFS(Data[Date], "&lt;="&amp;$A208, Data[[Poster]:[Poster]],D$1, Data[Winner],TRUE())</f>
        <v>38</v>
      </c>
      <c r="E208">
        <f>COUNTIFS(Data[Date], "&lt;="&amp;$A208, Data[[Poster]:[Poster]],E$1, Data[Winner],TRUE())</f>
        <v>38</v>
      </c>
      <c r="F208">
        <f>COUNTIFS(Data[Date], "&lt;="&amp;$A208, Data[[Poster]:[Poster]],F$1, Data[Winner],TRUE())</f>
        <v>44</v>
      </c>
      <c r="G208" t="str" cm="1">
        <f t="array" ref="G208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209" spans="1:7">
      <c r="A209" s="217">
        <v>45832</v>
      </c>
      <c r="B209">
        <f>COUNTIFS(Data[Date], "&lt;="&amp;$A209, Data[[Poster]:[Poster]],B$1, Data[Winner],TRUE())</f>
        <v>43</v>
      </c>
      <c r="C209">
        <f>COUNTIFS(Data[Date], "&lt;="&amp;$A209, Data[[Poster]:[Poster]],C$1, Data[Winner],TRUE())</f>
        <v>44</v>
      </c>
      <c r="D209">
        <f>COUNTIFS(Data[Date], "&lt;="&amp;$A209, Data[[Poster]:[Poster]],D$1, Data[Winner],TRUE())</f>
        <v>38</v>
      </c>
      <c r="E209">
        <f>COUNTIFS(Data[Date], "&lt;="&amp;$A209, Data[[Poster]:[Poster]],E$1, Data[Winner],TRUE())</f>
        <v>38</v>
      </c>
      <c r="F209">
        <f>COUNTIFS(Data[Date], "&lt;="&amp;$A209, Data[[Poster]:[Poster]],F$1, Data[Winner],TRUE())</f>
        <v>45</v>
      </c>
      <c r="G209" t="str" cm="1">
        <f t="array" ref="G20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10" spans="1:7">
      <c r="A210" s="217">
        <v>45833</v>
      </c>
      <c r="B210">
        <f>COUNTIFS(Data[Date], "&lt;="&amp;$A210, Data[[Poster]:[Poster]],B$1, Data[Winner],TRUE())</f>
        <v>43</v>
      </c>
      <c r="C210">
        <f>COUNTIFS(Data[Date], "&lt;="&amp;$A210, Data[[Poster]:[Poster]],C$1, Data[Winner],TRUE())</f>
        <v>44</v>
      </c>
      <c r="D210">
        <f>COUNTIFS(Data[Date], "&lt;="&amp;$A210, Data[[Poster]:[Poster]],D$1, Data[Winner],TRUE())</f>
        <v>38</v>
      </c>
      <c r="E210">
        <f>COUNTIFS(Data[Date], "&lt;="&amp;$A210, Data[[Poster]:[Poster]],E$1, Data[Winner],TRUE())</f>
        <v>39</v>
      </c>
      <c r="F210">
        <f>COUNTIFS(Data[Date], "&lt;="&amp;$A210, Data[[Poster]:[Poster]],F$1, Data[Winner],TRUE())</f>
        <v>45</v>
      </c>
      <c r="G210" t="str" cm="1">
        <f t="array" ref="G21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11" spans="1:7">
      <c r="A211" s="217">
        <v>45834</v>
      </c>
      <c r="B211">
        <f>COUNTIFS(Data[Date], "&lt;="&amp;$A211, Data[[Poster]:[Poster]],B$1, Data[Winner],TRUE())</f>
        <v>44</v>
      </c>
      <c r="C211">
        <f>COUNTIFS(Data[Date], "&lt;="&amp;$A211, Data[[Poster]:[Poster]],C$1, Data[Winner],TRUE())</f>
        <v>44</v>
      </c>
      <c r="D211">
        <f>COUNTIFS(Data[Date], "&lt;="&amp;$A211, Data[[Poster]:[Poster]],D$1, Data[Winner],TRUE())</f>
        <v>38</v>
      </c>
      <c r="E211">
        <f>COUNTIFS(Data[Date], "&lt;="&amp;$A211, Data[[Poster]:[Poster]],E$1, Data[Winner],TRUE())</f>
        <v>39</v>
      </c>
      <c r="F211">
        <f>COUNTIFS(Data[Date], "&lt;="&amp;$A211, Data[[Poster]:[Poster]],F$1, Data[Winner],TRUE())</f>
        <v>45</v>
      </c>
      <c r="G211" t="str" cm="1">
        <f t="array" ref="G21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12" spans="1:7">
      <c r="A212" s="217">
        <v>45838</v>
      </c>
      <c r="B212">
        <f>COUNTIFS(Data[Date], "&lt;="&amp;$A212, Data[Poster],B$1, Data[Winner],TRUE())</f>
        <v>44</v>
      </c>
      <c r="C212">
        <f>COUNTIFS(Data[Date], "&lt;="&amp;$A212, Data[Poster],C$1, Data[Winner],TRUE())</f>
        <v>45</v>
      </c>
      <c r="D212">
        <f>COUNTIFS(Data[Date], "&lt;="&amp;$A212, Data[Poster],D$1, Data[Winner],TRUE())</f>
        <v>38</v>
      </c>
      <c r="E212">
        <f>COUNTIFS(Data[Date], "&lt;="&amp;$A212, Data[Poster],E$1, Data[Winner],TRUE())</f>
        <v>39</v>
      </c>
      <c r="F212">
        <f>COUNTIFS(Data[Date], "&lt;="&amp;$A212, Data[Poster],F$1, Data[Winner],TRUE())</f>
        <v>45</v>
      </c>
      <c r="G212" t="str" cm="1">
        <f t="array" ref="G212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213" spans="1:7">
      <c r="A213" s="217">
        <v>45839</v>
      </c>
      <c r="B213">
        <f>COUNTIFS(Data[Date], "&lt;="&amp;$A213, Data[Poster],B$1, Data[Winner],TRUE())</f>
        <v>44</v>
      </c>
      <c r="C213">
        <f>COUNTIFS(Data[Date], "&lt;="&amp;$A213, Data[Poster],C$1, Data[Winner],TRUE())</f>
        <v>45</v>
      </c>
      <c r="D213">
        <f>COUNTIFS(Data[Date], "&lt;="&amp;$A213, Data[Poster],D$1, Data[Winner],TRUE())</f>
        <v>38</v>
      </c>
      <c r="E213">
        <f>COUNTIFS(Data[Date], "&lt;="&amp;$A213, Data[Poster],E$1, Data[Winner],TRUE())</f>
        <v>39</v>
      </c>
      <c r="F213">
        <f>COUNTIFS(Data[Date], "&lt;="&amp;$A213, Data[Poster],F$1, Data[Winner],TRUE())</f>
        <v>46</v>
      </c>
      <c r="G213" t="str" cm="1">
        <f t="array" ref="G21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14" spans="1:7">
      <c r="A214" s="217">
        <v>45840</v>
      </c>
      <c r="B214">
        <f>COUNTIFS(Data[Date], "&lt;="&amp;$A214, Data[Poster],B$1, Data[Winner],TRUE())</f>
        <v>44</v>
      </c>
      <c r="C214">
        <f>COUNTIFS(Data[Date], "&lt;="&amp;$A214, Data[Poster],C$1, Data[Winner],TRUE())</f>
        <v>45</v>
      </c>
      <c r="D214">
        <f>COUNTIFS(Data[Date], "&lt;="&amp;$A214, Data[Poster],D$1, Data[Winner],TRUE())</f>
        <v>38</v>
      </c>
      <c r="E214">
        <f>COUNTIFS(Data[Date], "&lt;="&amp;$A214, Data[Poster],E$1, Data[Winner],TRUE())</f>
        <v>39</v>
      </c>
      <c r="F214">
        <f>COUNTIFS(Data[Date], "&lt;="&amp;$A214, Data[Poster],F$1, Data[Winner],TRUE())</f>
        <v>47</v>
      </c>
      <c r="G214" t="str" cm="1">
        <f t="array" ref="G21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15" spans="1:7">
      <c r="A215" s="217">
        <v>45841</v>
      </c>
      <c r="B215">
        <f>COUNTIFS(Data[Date], "&lt;="&amp;$A215, Data[Poster],B$1, Data[Winner],TRUE())</f>
        <v>44</v>
      </c>
      <c r="C215">
        <f>COUNTIFS(Data[Date], "&lt;="&amp;$A215, Data[Poster],C$1, Data[Winner],TRUE())</f>
        <v>45</v>
      </c>
      <c r="D215">
        <f>COUNTIFS(Data[Date], "&lt;="&amp;$A215, Data[Poster],D$1, Data[Winner],TRUE())</f>
        <v>39</v>
      </c>
      <c r="E215">
        <f>COUNTIFS(Data[Date], "&lt;="&amp;$A215, Data[Poster],E$1, Data[Winner],TRUE())</f>
        <v>39</v>
      </c>
      <c r="F215">
        <f>COUNTIFS(Data[Date], "&lt;="&amp;$A215, Data[Poster],F$1, Data[Winner],TRUE())</f>
        <v>47</v>
      </c>
      <c r="G215" t="str" cm="1">
        <f t="array" ref="G21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16" spans="1:7">
      <c r="A216" s="217">
        <v>45845</v>
      </c>
      <c r="B216">
        <f>COUNTIFS(Data[Date], "&lt;="&amp;$A216, Data[Poster],B$1, Data[Winner],TRUE())</f>
        <v>44</v>
      </c>
      <c r="C216">
        <f>COUNTIFS(Data[Date], "&lt;="&amp;$A216, Data[Poster],C$1, Data[Winner],TRUE())</f>
        <v>45</v>
      </c>
      <c r="D216">
        <f>COUNTIFS(Data[Date], "&lt;="&amp;$A216, Data[Poster],D$1, Data[Winner],TRUE())</f>
        <v>39</v>
      </c>
      <c r="E216">
        <f>COUNTIFS(Data[Date], "&lt;="&amp;$A216, Data[Poster],E$1, Data[Winner],TRUE())</f>
        <v>40</v>
      </c>
      <c r="F216">
        <f>COUNTIFS(Data[Date], "&lt;="&amp;$A216, Data[Poster],F$1, Data[Winner],TRUE())</f>
        <v>47</v>
      </c>
      <c r="G216" t="str" cm="1">
        <f t="array" ref="G21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17" spans="1:7">
      <c r="A217" s="217">
        <v>45846</v>
      </c>
      <c r="B217">
        <f>COUNTIFS(Data[Date], "&lt;="&amp;$A217, Data[Poster],B$1, Data[Winner],TRUE())</f>
        <v>45</v>
      </c>
      <c r="C217">
        <f>COUNTIFS(Data[Date], "&lt;="&amp;$A217, Data[Poster],C$1, Data[Winner],TRUE())</f>
        <v>45</v>
      </c>
      <c r="D217">
        <f>COUNTIFS(Data[Date], "&lt;="&amp;$A217, Data[Poster],D$1, Data[Winner],TRUE())</f>
        <v>39</v>
      </c>
      <c r="E217">
        <f>COUNTIFS(Data[Date], "&lt;="&amp;$A217, Data[Poster],E$1, Data[Winner],TRUE())</f>
        <v>40</v>
      </c>
      <c r="F217">
        <f>COUNTIFS(Data[Date], "&lt;="&amp;$A217, Data[Poster],F$1, Data[Winner],TRUE())</f>
        <v>47</v>
      </c>
      <c r="G217" t="str" cm="1">
        <f t="array" ref="G21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18" spans="1:7">
      <c r="A218" s="217">
        <v>45847</v>
      </c>
      <c r="B218">
        <f>COUNTIFS(Data[Date], "&lt;="&amp;$A218, Data[Poster],B$1, Data[Winner],TRUE())</f>
        <v>45</v>
      </c>
      <c r="C218">
        <f>COUNTIFS(Data[Date], "&lt;="&amp;$A218, Data[Poster],C$1, Data[Winner],TRUE())</f>
        <v>46</v>
      </c>
      <c r="D218">
        <f>COUNTIFS(Data[Date], "&lt;="&amp;$A218, Data[Poster],D$1, Data[Winner],TRUE())</f>
        <v>39</v>
      </c>
      <c r="E218">
        <f>COUNTIFS(Data[Date], "&lt;="&amp;$A218, Data[Poster],E$1, Data[Winner],TRUE())</f>
        <v>40</v>
      </c>
      <c r="F218">
        <f>COUNTIFS(Data[Date], "&lt;="&amp;$A218, Data[Poster],F$1, Data[Winner],TRUE())</f>
        <v>47</v>
      </c>
      <c r="G218" t="str" cm="1">
        <f t="array" ref="G21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19" spans="1:7">
      <c r="A219" s="217">
        <v>45848</v>
      </c>
      <c r="B219">
        <f>COUNTIFS(Data[Date], "&lt;="&amp;$A219, Data[Poster],B$1, Data[Winner],TRUE())</f>
        <v>45</v>
      </c>
      <c r="C219">
        <f>COUNTIFS(Data[Date], "&lt;="&amp;$A219, Data[Poster],C$1, Data[Winner],TRUE())</f>
        <v>47</v>
      </c>
      <c r="D219">
        <f>COUNTIFS(Data[Date], "&lt;="&amp;$A219, Data[Poster],D$1, Data[Winner],TRUE())</f>
        <v>39</v>
      </c>
      <c r="E219">
        <f>COUNTIFS(Data[Date], "&lt;="&amp;$A219, Data[Poster],E$1, Data[Winner],TRUE())</f>
        <v>40</v>
      </c>
      <c r="F219">
        <f>COUNTIFS(Data[Date], "&lt;="&amp;$A219, Data[Poster],F$1, Data[Winner],TRUE())</f>
        <v>47</v>
      </c>
      <c r="G219" t="str" cm="1">
        <f t="array" ref="G219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220" spans="1:7">
      <c r="A220" s="217">
        <v>45852</v>
      </c>
      <c r="B220">
        <f>COUNTIFS(Data[Date], "&lt;="&amp;$A220, Data[Poster],B$1, Data[Winner],TRUE())</f>
        <v>45</v>
      </c>
      <c r="C220">
        <f>COUNTIFS(Data[Date], "&lt;="&amp;$A220, Data[Poster],C$1, Data[Winner],TRUE())</f>
        <v>47</v>
      </c>
      <c r="D220">
        <f>COUNTIFS(Data[Date], "&lt;="&amp;$A220, Data[Poster],D$1, Data[Winner],TRUE())</f>
        <v>40</v>
      </c>
      <c r="E220">
        <f>COUNTIFS(Data[Date], "&lt;="&amp;$A220, Data[Poster],E$1, Data[Winner],TRUE())</f>
        <v>40</v>
      </c>
      <c r="F220">
        <f>COUNTIFS(Data[Date], "&lt;="&amp;$A220, Data[Poster],F$1, Data[Winner],TRUE())</f>
        <v>47</v>
      </c>
      <c r="G220" t="str" cm="1">
        <f t="array" ref="G220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221" spans="1:7">
      <c r="A221" s="217">
        <v>45853</v>
      </c>
      <c r="B221">
        <f>COUNTIFS(Data[Date], "&lt;="&amp;$A221, Data[Poster],B$1, Data[Winner],TRUE())</f>
        <v>45</v>
      </c>
      <c r="C221">
        <f>COUNTIFS(Data[Date], "&lt;="&amp;$A221, Data[Poster],C$1, Data[Winner],TRUE())</f>
        <v>47</v>
      </c>
      <c r="D221">
        <f>COUNTIFS(Data[Date], "&lt;="&amp;$A221, Data[Poster],D$1, Data[Winner],TRUE())</f>
        <v>41</v>
      </c>
      <c r="E221">
        <f>COUNTIFS(Data[Date], "&lt;="&amp;$A221, Data[Poster],E$1, Data[Winner],TRUE())</f>
        <v>40</v>
      </c>
      <c r="F221">
        <f>COUNTIFS(Data[Date], "&lt;="&amp;$A221, Data[Poster],F$1, Data[Winner],TRUE())</f>
        <v>47</v>
      </c>
      <c r="G221" t="str" cm="1">
        <f t="array" ref="G221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222" spans="1:7">
      <c r="A222" s="217">
        <v>45854</v>
      </c>
      <c r="B222">
        <f>COUNTIFS(Data[Date], "&lt;="&amp;$A222, Data[Poster],B$1, Data[Winner],TRUE())</f>
        <v>45</v>
      </c>
      <c r="C222">
        <f>COUNTIFS(Data[Date], "&lt;="&amp;$A222, Data[Poster],C$1, Data[Winner],TRUE())</f>
        <v>47</v>
      </c>
      <c r="D222">
        <f>COUNTIFS(Data[Date], "&lt;="&amp;$A222, Data[Poster],D$1, Data[Winner],TRUE())</f>
        <v>41</v>
      </c>
      <c r="E222">
        <f>COUNTIFS(Data[Date], "&lt;="&amp;$A222, Data[Poster],E$1, Data[Winner],TRUE())</f>
        <v>40</v>
      </c>
      <c r="F222">
        <f>COUNTIFS(Data[Date], "&lt;="&amp;$A222, Data[Poster],F$1, Data[Winner],TRUE())</f>
        <v>48</v>
      </c>
      <c r="G222" t="str" cm="1">
        <f t="array" ref="G22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23" spans="1:7">
      <c r="A223" s="217">
        <v>45855</v>
      </c>
      <c r="B223">
        <f>COUNTIFS(Data[Date], "&lt;="&amp;$A223, Data[Poster],B$1, Data[Winner],TRUE())</f>
        <v>45</v>
      </c>
      <c r="C223">
        <f>COUNTIFS(Data[Date], "&lt;="&amp;$A223, Data[Poster],C$1, Data[Winner],TRUE())</f>
        <v>47</v>
      </c>
      <c r="D223">
        <f>COUNTIFS(Data[Date], "&lt;="&amp;$A223, Data[Poster],D$1, Data[Winner],TRUE())</f>
        <v>41</v>
      </c>
      <c r="E223">
        <f>COUNTIFS(Data[Date], "&lt;="&amp;$A223, Data[Poster],E$1, Data[Winner],TRUE())</f>
        <v>41</v>
      </c>
      <c r="F223">
        <f>COUNTIFS(Data[Date], "&lt;="&amp;$A223, Data[Poster],F$1, Data[Winner],TRUE())</f>
        <v>48</v>
      </c>
      <c r="G223" t="str" cm="1">
        <f t="array" ref="G22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24" spans="1:7">
      <c r="A224" s="217">
        <v>45859</v>
      </c>
      <c r="B224">
        <f>COUNTIFS(Data[Date], "&lt;="&amp;$A224, Data[Poster],B$1, Data[Winner],TRUE())</f>
        <v>45</v>
      </c>
      <c r="C224">
        <f>COUNTIFS(Data[Date], "&lt;="&amp;$A224, Data[Poster],C$1, Data[Winner],TRUE())</f>
        <v>48</v>
      </c>
      <c r="D224">
        <f>COUNTIFS(Data[Date], "&lt;="&amp;$A224, Data[Poster],D$1, Data[Winner],TRUE())</f>
        <v>41</v>
      </c>
      <c r="E224">
        <f>COUNTIFS(Data[Date], "&lt;="&amp;$A224, Data[Poster],E$1, Data[Winner],TRUE())</f>
        <v>41</v>
      </c>
      <c r="F224">
        <f>COUNTIFS(Data[Date], "&lt;="&amp;$A224, Data[Poster],F$1, Data[Winner],TRUE())</f>
        <v>48</v>
      </c>
      <c r="G224" t="str" cm="1">
        <f t="array" ref="G224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225" spans="1:7">
      <c r="A225" s="217">
        <v>45860</v>
      </c>
      <c r="B225">
        <f>COUNTIFS(Data[Date], "&lt;="&amp;$A225, Data[Poster],B$1, Data[Winner],TRUE())</f>
        <v>45</v>
      </c>
      <c r="C225">
        <f>COUNTIFS(Data[Date], "&lt;="&amp;$A225, Data[Poster],C$1, Data[Winner],TRUE())</f>
        <v>48</v>
      </c>
      <c r="D225">
        <f>COUNTIFS(Data[Date], "&lt;="&amp;$A225, Data[Poster],D$1, Data[Winner],TRUE())</f>
        <v>41</v>
      </c>
      <c r="E225">
        <f>COUNTIFS(Data[Date], "&lt;="&amp;$A225, Data[Poster],E$1, Data[Winner],TRUE())</f>
        <v>42</v>
      </c>
      <c r="F225">
        <f>COUNTIFS(Data[Date], "&lt;="&amp;$A225, Data[Poster],F$1, Data[Winner],TRUE())</f>
        <v>48</v>
      </c>
      <c r="G225" t="str" cm="1">
        <f t="array" ref="G225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226" spans="1:7">
      <c r="A226" s="217">
        <v>45861</v>
      </c>
      <c r="B226">
        <f>COUNTIFS(Data[Date], "&lt;="&amp;$A226, Data[Poster],B$1, Data[Winner],TRUE())</f>
        <v>45</v>
      </c>
      <c r="C226">
        <f>COUNTIFS(Data[Date], "&lt;="&amp;$A226, Data[Poster],C$1, Data[Winner],TRUE())</f>
        <v>49</v>
      </c>
      <c r="D226">
        <f>COUNTIFS(Data[Date], "&lt;="&amp;$A226, Data[Poster],D$1, Data[Winner],TRUE())</f>
        <v>41</v>
      </c>
      <c r="E226">
        <f>COUNTIFS(Data[Date], "&lt;="&amp;$A226, Data[Poster],E$1, Data[Winner],TRUE())</f>
        <v>42</v>
      </c>
      <c r="F226">
        <f>COUNTIFS(Data[Date], "&lt;="&amp;$A226, Data[Poster],F$1, Data[Winner],TRUE())</f>
        <v>48</v>
      </c>
      <c r="G226" t="str" cm="1">
        <f t="array" ref="G226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227" spans="1:7">
      <c r="A227" s="217">
        <v>45862</v>
      </c>
      <c r="B227">
        <f>COUNTIFS(Data[Date], "&lt;="&amp;$A227, Data[Poster],B$1, Data[Winner],TRUE())</f>
        <v>45</v>
      </c>
      <c r="C227">
        <f>COUNTIFS(Data[Date], "&lt;="&amp;$A227, Data[Poster],C$1, Data[Winner],TRUE())</f>
        <v>49</v>
      </c>
      <c r="D227">
        <f>COUNTIFS(Data[Date], "&lt;="&amp;$A227, Data[Poster],D$1, Data[Winner],TRUE())</f>
        <v>42</v>
      </c>
      <c r="E227">
        <f>COUNTIFS(Data[Date], "&lt;="&amp;$A227, Data[Poster],E$1, Data[Winner],TRUE())</f>
        <v>42</v>
      </c>
      <c r="F227">
        <f>COUNTIFS(Data[Date], "&lt;="&amp;$A227, Data[Poster],F$1, Data[Winner],TRUE())</f>
        <v>48</v>
      </c>
      <c r="G227" t="str" cm="1">
        <f t="array" ref="G227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228" spans="1:7">
      <c r="A228" s="217">
        <v>45866</v>
      </c>
      <c r="B228">
        <f>COUNTIFS(Data[Date], "&lt;="&amp;$A228, Data[Poster],B$1, Data[Winner],TRUE())</f>
        <v>45</v>
      </c>
      <c r="C228">
        <f>COUNTIFS(Data[Date], "&lt;="&amp;$A228, Data[Poster],C$1, Data[Winner],TRUE())</f>
        <v>49</v>
      </c>
      <c r="D228">
        <f>COUNTIFS(Data[Date], "&lt;="&amp;$A228, Data[Poster],D$1, Data[Winner],TRUE())</f>
        <v>42</v>
      </c>
      <c r="E228">
        <f>COUNTIFS(Data[Date], "&lt;="&amp;$A228, Data[Poster],E$1, Data[Winner],TRUE())</f>
        <v>42</v>
      </c>
      <c r="F228">
        <f>COUNTIFS(Data[Date], "&lt;="&amp;$A228, Data[Poster],F$1, Data[Winner],TRUE())</f>
        <v>49</v>
      </c>
      <c r="G228" t="str" cm="1">
        <f t="array" ref="G228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229" spans="1:7">
      <c r="A229" s="217">
        <v>45867</v>
      </c>
      <c r="B229">
        <f>COUNTIFS(Data[Date], "&lt;="&amp;$A229, Data[Poster],B$1, Data[Winner],TRUE())</f>
        <v>46</v>
      </c>
      <c r="C229">
        <f>COUNTIFS(Data[Date], "&lt;="&amp;$A229, Data[Poster],C$1, Data[Winner],TRUE())</f>
        <v>49</v>
      </c>
      <c r="D229">
        <f>COUNTIFS(Data[Date], "&lt;="&amp;$A229, Data[Poster],D$1, Data[Winner],TRUE())</f>
        <v>42</v>
      </c>
      <c r="E229">
        <f>COUNTIFS(Data[Date], "&lt;="&amp;$A229, Data[Poster],E$1, Data[Winner],TRUE())</f>
        <v>42</v>
      </c>
      <c r="F229">
        <f>COUNTIFS(Data[Date], "&lt;="&amp;$A229, Data[Poster],F$1, Data[Winner],TRUE())</f>
        <v>49</v>
      </c>
      <c r="G229" t="str" cm="1">
        <f t="array" ref="G229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230" spans="1:7">
      <c r="A230" s="217">
        <v>45868</v>
      </c>
      <c r="B230">
        <f>COUNTIFS(Data[Date], "&lt;="&amp;$A230, Data[Poster],B$1, Data[Winner],TRUE())</f>
        <v>47</v>
      </c>
      <c r="C230">
        <f>COUNTIFS(Data[Date], "&lt;="&amp;$A230, Data[Poster],C$1, Data[Winner],TRUE())</f>
        <v>49</v>
      </c>
      <c r="D230">
        <f>COUNTIFS(Data[Date], "&lt;="&amp;$A230, Data[Poster],D$1, Data[Winner],TRUE())</f>
        <v>42</v>
      </c>
      <c r="E230">
        <f>COUNTIFS(Data[Date], "&lt;="&amp;$A230, Data[Poster],E$1, Data[Winner],TRUE())</f>
        <v>42</v>
      </c>
      <c r="F230">
        <f>COUNTIFS(Data[Date], "&lt;="&amp;$A230, Data[Poster],F$1, Data[Winner],TRUE())</f>
        <v>49</v>
      </c>
      <c r="G230" t="str" cm="1">
        <f t="array" ref="G230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231" spans="1:7">
      <c r="A231" s="217">
        <v>45869</v>
      </c>
      <c r="B231">
        <f>COUNTIFS(Data[Date], "&lt;="&amp;$A231, Data[Poster],B$1, Data[Winner],TRUE())</f>
        <v>47</v>
      </c>
      <c r="C231">
        <f>COUNTIFS(Data[Date], "&lt;="&amp;$A231, Data[Poster],C$1, Data[Winner],TRUE())</f>
        <v>49</v>
      </c>
      <c r="D231">
        <f>COUNTIFS(Data[Date], "&lt;="&amp;$A231, Data[Poster],D$1, Data[Winner],TRUE())</f>
        <v>42</v>
      </c>
      <c r="E231">
        <f>COUNTIFS(Data[Date], "&lt;="&amp;$A231, Data[Poster],E$1, Data[Winner],TRUE())</f>
        <v>43</v>
      </c>
      <c r="F231">
        <f>COUNTIFS(Data[Date], "&lt;="&amp;$A231, Data[Poster],F$1, Data[Winner],TRUE())</f>
        <v>49</v>
      </c>
      <c r="G231" t="str" cm="1">
        <f t="array" ref="G231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232" spans="1:7">
      <c r="A232" s="217">
        <v>45873</v>
      </c>
      <c r="B232">
        <f>COUNTIFS(Data[Date], "&lt;="&amp;$A232, Data[Poster],B$1, Data[Winner],TRUE())</f>
        <v>48</v>
      </c>
      <c r="C232">
        <f>COUNTIFS(Data[Date], "&lt;="&amp;$A232, Data[Poster],C$1, Data[Winner],TRUE())</f>
        <v>49</v>
      </c>
      <c r="D232">
        <f>COUNTIFS(Data[Date], "&lt;="&amp;$A232, Data[Poster],D$1, Data[Winner],TRUE())</f>
        <v>42</v>
      </c>
      <c r="E232">
        <f>COUNTIFS(Data[Date], "&lt;="&amp;$A232, Data[Poster],E$1, Data[Winner],TRUE())</f>
        <v>43</v>
      </c>
      <c r="F232">
        <f>COUNTIFS(Data[Date], "&lt;="&amp;$A232, Data[Poster],F$1, Data[Winner],TRUE())</f>
        <v>49</v>
      </c>
      <c r="G232" t="str" cm="1">
        <f t="array" ref="G232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233" spans="1:7">
      <c r="A233" s="217">
        <v>45874</v>
      </c>
      <c r="B233">
        <f>COUNTIFS(Data[Date], "&lt;="&amp;$A233, Data[Poster],B$1, Data[Winner],TRUE())</f>
        <v>48</v>
      </c>
      <c r="C233">
        <f>COUNTIFS(Data[Date], "&lt;="&amp;$A233, Data[Poster],C$1, Data[Winner],TRUE())</f>
        <v>49</v>
      </c>
      <c r="D233">
        <f>COUNTIFS(Data[Date], "&lt;="&amp;$A233, Data[Poster],D$1, Data[Winner],TRUE())</f>
        <v>42</v>
      </c>
      <c r="E233">
        <f>COUNTIFS(Data[Date], "&lt;="&amp;$A233, Data[Poster],E$1, Data[Winner],TRUE())</f>
        <v>44</v>
      </c>
      <c r="F233">
        <f>COUNTIFS(Data[Date], "&lt;="&amp;$A233, Data[Poster],F$1, Data[Winner],TRUE())</f>
        <v>49</v>
      </c>
      <c r="G233" t="str" cm="1">
        <f t="array" ref="G233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234" spans="1:7">
      <c r="A234" s="217">
        <v>45875</v>
      </c>
      <c r="B234">
        <f>COUNTIFS(Data[Date], "&lt;="&amp;$A234, Data[Poster],B$1, Data[Winner],TRUE())</f>
        <v>49</v>
      </c>
      <c r="C234">
        <f>COUNTIFS(Data[Date], "&lt;="&amp;$A234, Data[Poster],C$1, Data[Winner],TRUE())</f>
        <v>49</v>
      </c>
      <c r="D234">
        <f>COUNTIFS(Data[Date], "&lt;="&amp;$A234, Data[Poster],D$1, Data[Winner],TRUE())</f>
        <v>42</v>
      </c>
      <c r="E234">
        <f>COUNTIFS(Data[Date], "&lt;="&amp;$A234, Data[Poster],E$1, Data[Winner],TRUE())</f>
        <v>44</v>
      </c>
      <c r="F234">
        <f>COUNTIFS(Data[Date], "&lt;="&amp;$A234, Data[Poster],F$1, Data[Winner],TRUE())</f>
        <v>49</v>
      </c>
      <c r="G234" t="str" cm="1">
        <f t="array" ref="G234">_xlfn.TEXTJOIN(", ", TRUE, _xlfn._xlws.FILTER(Cumulative_Wins[[#Headers],[alappatjoe]:[currydestroyer27]], Cumulative_Wins[[#This Row],[alappatjoe]:[currydestroyer27]]=MAX(Cumulative_Wins[[#This Row],[alappatjoe]:[currydestroyer27]])))</f>
        <v>alappatjoe, danram, currydestroyer27</v>
      </c>
    </row>
    <row r="235" spans="1:7">
      <c r="A235" s="217">
        <v>45876</v>
      </c>
      <c r="B235">
        <f>COUNTIFS(Data[Date], "&lt;="&amp;$A235, Data[Poster],B$1, Data[Winner],TRUE())</f>
        <v>49</v>
      </c>
      <c r="C235">
        <f>COUNTIFS(Data[Date], "&lt;="&amp;$A235, Data[Poster],C$1, Data[Winner],TRUE())</f>
        <v>49</v>
      </c>
      <c r="D235">
        <f>COUNTIFS(Data[Date], "&lt;="&amp;$A235, Data[Poster],D$1, Data[Winner],TRUE())</f>
        <v>43</v>
      </c>
      <c r="E235">
        <f>COUNTIFS(Data[Date], "&lt;="&amp;$A235, Data[Poster],E$1, Data[Winner],TRUE())</f>
        <v>44</v>
      </c>
      <c r="F235">
        <f>COUNTIFS(Data[Date], "&lt;="&amp;$A235, Data[Poster],F$1, Data[Winner],TRUE())</f>
        <v>49</v>
      </c>
      <c r="G235" t="str" cm="1">
        <f t="array" ref="G235">_xlfn.TEXTJOIN(", ", TRUE, _xlfn._xlws.FILTER(Cumulative_Wins[[#Headers],[alappatjoe]:[currydestroyer27]], Cumulative_Wins[[#This Row],[alappatjoe]:[currydestroyer27]]=MAX(Cumulative_Wins[[#This Row],[alappatjoe]:[currydestroyer27]])))</f>
        <v>alappatjoe, danram, currydestroyer27</v>
      </c>
    </row>
    <row r="236" spans="1:7">
      <c r="A236" s="217">
        <v>45880</v>
      </c>
      <c r="B236">
        <f>COUNTIFS(Data[Date], "&lt;="&amp;$A236, Data[Poster],B$1, Data[Winner],TRUE())</f>
        <v>49</v>
      </c>
      <c r="C236">
        <f>COUNTIFS(Data[Date], "&lt;="&amp;$A236, Data[Poster],C$1, Data[Winner],TRUE())</f>
        <v>49</v>
      </c>
      <c r="D236">
        <f>COUNTIFS(Data[Date], "&lt;="&amp;$A236, Data[Poster],D$1, Data[Winner],TRUE())</f>
        <v>44</v>
      </c>
      <c r="E236">
        <f>COUNTIFS(Data[Date], "&lt;="&amp;$A236, Data[Poster],E$1, Data[Winner],TRUE())</f>
        <v>44</v>
      </c>
      <c r="F236">
        <f>COUNTIFS(Data[Date], "&lt;="&amp;$A236, Data[Poster],F$1, Data[Winner],TRUE())</f>
        <v>49</v>
      </c>
      <c r="G236" t="str" cm="1">
        <f t="array" ref="G236">_xlfn.TEXTJOIN(", ", TRUE, _xlfn._xlws.FILTER(Cumulative_Wins[[#Headers],[alappatjoe]:[currydestroyer27]], Cumulative_Wins[[#This Row],[alappatjoe]:[currydestroyer27]]=MAX(Cumulative_Wins[[#This Row],[alappatjoe]:[currydestroyer27]])))</f>
        <v>alappatjoe, danram, currydestroyer27</v>
      </c>
    </row>
    <row r="237" spans="1:7">
      <c r="A237" s="217">
        <v>45881</v>
      </c>
      <c r="B237">
        <f>COUNTIFS(Data[Date], "&lt;="&amp;$A237, Data[Poster],B$1, Data[Winner],TRUE())</f>
        <v>50</v>
      </c>
      <c r="C237">
        <f>COUNTIFS(Data[Date], "&lt;="&amp;$A237, Data[Poster],C$1, Data[Winner],TRUE())</f>
        <v>49</v>
      </c>
      <c r="D237">
        <f>COUNTIFS(Data[Date], "&lt;="&amp;$A237, Data[Poster],D$1, Data[Winner],TRUE())</f>
        <v>44</v>
      </c>
      <c r="E237">
        <f>COUNTIFS(Data[Date], "&lt;="&amp;$A237, Data[Poster],E$1, Data[Winner],TRUE())</f>
        <v>44</v>
      </c>
      <c r="F237">
        <f>COUNTIFS(Data[Date], "&lt;="&amp;$A237, Data[Poster],F$1, Data[Winner],TRUE())</f>
        <v>49</v>
      </c>
      <c r="G237" t="str" cm="1">
        <f t="array" ref="G237">_xlfn.TEXTJOIN(", ", TRUE, _xlfn._xlws.FILTER(Cumulative_Wins[[#Headers],[alappatjoe]:[currydestroyer27]], Cumulative_Wins[[#This Row],[alappatjoe]:[currydestroyer27]]=MAX(Cumulative_Wins[[#This Row],[alappatjoe]:[currydestroyer27]])))</f>
        <v>alappatjoe</v>
      </c>
    </row>
    <row r="238" spans="1:7">
      <c r="A238" s="217">
        <v>45882</v>
      </c>
      <c r="B238">
        <f>COUNTIFS(Data[Date], "&lt;="&amp;$A238, Data[Poster],B$1, Data[Winner],TRUE())</f>
        <v>50</v>
      </c>
      <c r="C238">
        <f>COUNTIFS(Data[Date], "&lt;="&amp;$A238, Data[Poster],C$1, Data[Winner],TRUE())</f>
        <v>49</v>
      </c>
      <c r="D238">
        <f>COUNTIFS(Data[Date], "&lt;="&amp;$A238, Data[Poster],D$1, Data[Winner],TRUE())</f>
        <v>44</v>
      </c>
      <c r="E238">
        <f>COUNTIFS(Data[Date], "&lt;="&amp;$A238, Data[Poster],E$1, Data[Winner],TRUE())</f>
        <v>44</v>
      </c>
      <c r="F238">
        <f>COUNTIFS(Data[Date], "&lt;="&amp;$A238, Data[Poster],F$1, Data[Winner],TRUE())</f>
        <v>50</v>
      </c>
      <c r="G238" t="str" cm="1">
        <f t="array" ref="G238">_xlfn.TEXTJOIN(", ", TRUE, _xlfn._xlws.FILTER(Cumulative_Wins[[#Headers],[alappatjoe]:[currydestroyer27]], Cumulative_Wins[[#This Row],[alappatjoe]:[currydestroyer27]]=MAX(Cumulative_Wins[[#This Row],[alappatjoe]:[currydestroyer27]])))</f>
        <v>alappatjoe, currydestroyer27</v>
      </c>
    </row>
    <row r="239" spans="1:7">
      <c r="A239" s="217">
        <v>45883</v>
      </c>
      <c r="B239">
        <f>COUNTIFS(Data[Date], "&lt;="&amp;$A239, Data[Poster],B$1, Data[Winner],TRUE())</f>
        <v>50</v>
      </c>
      <c r="C239">
        <f>COUNTIFS(Data[Date], "&lt;="&amp;$A239, Data[Poster],C$1, Data[Winner],TRUE())</f>
        <v>49</v>
      </c>
      <c r="D239">
        <f>COUNTIFS(Data[Date], "&lt;="&amp;$A239, Data[Poster],D$1, Data[Winner],TRUE())</f>
        <v>44</v>
      </c>
      <c r="E239">
        <f>COUNTIFS(Data[Date], "&lt;="&amp;$A239, Data[Poster],E$1, Data[Winner],TRUE())</f>
        <v>44</v>
      </c>
      <c r="F239">
        <f>COUNTIFS(Data[Date], "&lt;="&amp;$A239, Data[Poster],F$1, Data[Winner],TRUE())</f>
        <v>51</v>
      </c>
      <c r="G239" t="str" cm="1">
        <f t="array" ref="G23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40" spans="1:7">
      <c r="A240" s="217">
        <v>45887</v>
      </c>
      <c r="B240">
        <f>COUNTIFS(Data[Date], "&lt;="&amp;$A240, Data[Poster],B$1, Data[Winner],TRUE())</f>
        <v>50</v>
      </c>
      <c r="C240">
        <f>COUNTIFS(Data[Date], "&lt;="&amp;$A240, Data[Poster],C$1, Data[Winner],TRUE())</f>
        <v>49</v>
      </c>
      <c r="D240">
        <f>COUNTIFS(Data[Date], "&lt;="&amp;$A240, Data[Poster],D$1, Data[Winner],TRUE())</f>
        <v>44</v>
      </c>
      <c r="E240">
        <f>COUNTIFS(Data[Date], "&lt;="&amp;$A240, Data[Poster],E$1, Data[Winner],TRUE())</f>
        <v>45</v>
      </c>
      <c r="F240">
        <f>COUNTIFS(Data[Date], "&lt;="&amp;$A240, Data[Poster],F$1, Data[Winner],TRUE())</f>
        <v>51</v>
      </c>
      <c r="G240" t="str" cm="1">
        <f t="array" ref="G24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41" spans="1:7">
      <c r="A241" s="217">
        <v>45888</v>
      </c>
      <c r="B241">
        <f>COUNTIFS(Data[Date], "&lt;="&amp;$A241, Data[Poster],B$1, Data[Winner],TRUE())</f>
        <v>50</v>
      </c>
      <c r="C241">
        <f>COUNTIFS(Data[Date], "&lt;="&amp;$A241, Data[Poster],C$1, Data[Winner],TRUE())</f>
        <v>49</v>
      </c>
      <c r="D241">
        <f>COUNTIFS(Data[Date], "&lt;="&amp;$A241, Data[Poster],D$1, Data[Winner],TRUE())</f>
        <v>44</v>
      </c>
      <c r="E241">
        <f>COUNTIFS(Data[Date], "&lt;="&amp;$A241, Data[Poster],E$1, Data[Winner],TRUE())</f>
        <v>46</v>
      </c>
      <c r="F241">
        <f>COUNTIFS(Data[Date], "&lt;="&amp;$A241, Data[Poster],F$1, Data[Winner],TRUE())</f>
        <v>51</v>
      </c>
      <c r="G241" t="str" cm="1">
        <f t="array" ref="G24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42" spans="1:7">
      <c r="A242" s="217">
        <v>45889</v>
      </c>
      <c r="B242">
        <f>COUNTIFS(Data[Date], "&lt;="&amp;$A242, Data[Poster],B$1, Data[Winner],TRUE())</f>
        <v>51</v>
      </c>
      <c r="C242">
        <f>COUNTIFS(Data[Date], "&lt;="&amp;$A242, Data[Poster],C$1, Data[Winner],TRUE())</f>
        <v>49</v>
      </c>
      <c r="D242">
        <f>COUNTIFS(Data[Date], "&lt;="&amp;$A242, Data[Poster],D$1, Data[Winner],TRUE())</f>
        <v>44</v>
      </c>
      <c r="E242">
        <f>COUNTIFS(Data[Date], "&lt;="&amp;$A242, Data[Poster],E$1, Data[Winner],TRUE())</f>
        <v>46</v>
      </c>
      <c r="F242">
        <f>COUNTIFS(Data[Date], "&lt;="&amp;$A242, Data[Poster],F$1, Data[Winner],TRUE())</f>
        <v>51</v>
      </c>
      <c r="G242" t="str" cm="1">
        <f t="array" ref="G242">_xlfn.TEXTJOIN(", ", TRUE, _xlfn._xlws.FILTER(Cumulative_Wins[[#Headers],[alappatjoe]:[currydestroyer27]], Cumulative_Wins[[#This Row],[alappatjoe]:[currydestroyer27]]=MAX(Cumulative_Wins[[#This Row],[alappatjoe]:[currydestroyer27]])))</f>
        <v>alappatjoe, currydestroyer27</v>
      </c>
    </row>
    <row r="243" spans="1:7">
      <c r="A243" s="217">
        <v>45890</v>
      </c>
      <c r="B243">
        <f>COUNTIFS(Data[Date], "&lt;="&amp;$A243, Data[Poster],B$1, Data[Winner],TRUE())</f>
        <v>51</v>
      </c>
      <c r="C243">
        <f>COUNTIFS(Data[Date], "&lt;="&amp;$A243, Data[Poster],C$1, Data[Winner],TRUE())</f>
        <v>49</v>
      </c>
      <c r="D243">
        <f>COUNTIFS(Data[Date], "&lt;="&amp;$A243, Data[Poster],D$1, Data[Winner],TRUE())</f>
        <v>45</v>
      </c>
      <c r="E243">
        <f>COUNTIFS(Data[Date], "&lt;="&amp;$A243, Data[Poster],E$1, Data[Winner],TRUE())</f>
        <v>46</v>
      </c>
      <c r="F243">
        <f>COUNTIFS(Data[Date], "&lt;="&amp;$A243, Data[Poster],F$1, Data[Winner],TRUE())</f>
        <v>51</v>
      </c>
      <c r="G243" t="str" cm="1">
        <f t="array" ref="G243">_xlfn.TEXTJOIN(", ", TRUE, _xlfn._xlws.FILTER(Cumulative_Wins[[#Headers],[alappatjoe]:[currydestroyer27]], Cumulative_Wins[[#This Row],[alappatjoe]:[currydestroyer27]]=MAX(Cumulative_Wins[[#This Row],[alappatjoe]:[currydestroyer27]])))</f>
        <v>alappatjoe, currydestroyer27</v>
      </c>
    </row>
    <row r="244" spans="1:7">
      <c r="A244" s="217">
        <v>45894</v>
      </c>
      <c r="B244">
        <f>COUNTIFS(Data[Date], "&lt;="&amp;$A244, Data[Poster],B$1, Data[Winner],TRUE())</f>
        <v>51</v>
      </c>
      <c r="C244">
        <f>COUNTIFS(Data[Date], "&lt;="&amp;$A244, Data[Poster],C$1, Data[Winner],TRUE())</f>
        <v>49</v>
      </c>
      <c r="D244">
        <f>COUNTIFS(Data[Date], "&lt;="&amp;$A244, Data[Poster],D$1, Data[Winner],TRUE())</f>
        <v>46</v>
      </c>
      <c r="E244">
        <f>COUNTIFS(Data[Date], "&lt;="&amp;$A244, Data[Poster],E$1, Data[Winner],TRUE())</f>
        <v>46</v>
      </c>
      <c r="F244">
        <f>COUNTIFS(Data[Date], "&lt;="&amp;$A244, Data[Poster],F$1, Data[Winner],TRUE())</f>
        <v>51</v>
      </c>
      <c r="G244" t="str" cm="1">
        <f t="array" ref="G244">_xlfn.TEXTJOIN(", ", TRUE, _xlfn._xlws.FILTER(Cumulative_Wins[[#Headers],[alappatjoe]:[currydestroyer27]], Cumulative_Wins[[#This Row],[alappatjoe]:[currydestroyer27]]=MAX(Cumulative_Wins[[#This Row],[alappatjoe]:[currydestroyer27]])))</f>
        <v>alappatjoe, currydestroyer27</v>
      </c>
    </row>
    <row r="245" spans="1:7">
      <c r="A245" s="217">
        <v>45895</v>
      </c>
      <c r="B245">
        <f>COUNTIFS(Data[Date], "&lt;="&amp;$A245, Data[Poster],B$1, Data[Winner],TRUE())</f>
        <v>51</v>
      </c>
      <c r="C245">
        <f>COUNTIFS(Data[Date], "&lt;="&amp;$A245, Data[Poster],C$1, Data[Winner],TRUE())</f>
        <v>49</v>
      </c>
      <c r="D245">
        <f>COUNTIFS(Data[Date], "&lt;="&amp;$A245, Data[Poster],D$1, Data[Winner],TRUE())</f>
        <v>46</v>
      </c>
      <c r="E245">
        <f>COUNTIFS(Data[Date], "&lt;="&amp;$A245, Data[Poster],E$1, Data[Winner],TRUE())</f>
        <v>47</v>
      </c>
      <c r="F245">
        <f>COUNTIFS(Data[Date], "&lt;="&amp;$A245, Data[Poster],F$1, Data[Winner],TRUE())</f>
        <v>51</v>
      </c>
      <c r="G245" t="str" cm="1">
        <f t="array" ref="G245">_xlfn.TEXTJOIN(", ", TRUE, _xlfn._xlws.FILTER(Cumulative_Wins[[#Headers],[alappatjoe]:[currydestroyer27]], Cumulative_Wins[[#This Row],[alappatjoe]:[currydestroyer27]]=MAX(Cumulative_Wins[[#This Row],[alappatjoe]:[currydestroyer27]])))</f>
        <v>alappatjoe, currydestroyer27</v>
      </c>
    </row>
    <row r="246" spans="1:7">
      <c r="A246" s="217">
        <v>45896</v>
      </c>
      <c r="B246">
        <f>COUNTIFS(Data[Date], "&lt;="&amp;$A246, Data[Poster],B$1, Data[Winner],TRUE())</f>
        <v>51</v>
      </c>
      <c r="C246">
        <f>COUNTIFS(Data[Date], "&lt;="&amp;$A246, Data[Poster],C$1, Data[Winner],TRUE())</f>
        <v>49</v>
      </c>
      <c r="D246">
        <f>COUNTIFS(Data[Date], "&lt;="&amp;$A246, Data[Poster],D$1, Data[Winner],TRUE())</f>
        <v>46</v>
      </c>
      <c r="E246">
        <f>COUNTIFS(Data[Date], "&lt;="&amp;$A246, Data[Poster],E$1, Data[Winner],TRUE())</f>
        <v>47</v>
      </c>
      <c r="F246">
        <f>COUNTIFS(Data[Date], "&lt;="&amp;$A246, Data[Poster],F$1, Data[Winner],TRUE())</f>
        <v>52</v>
      </c>
      <c r="G246" t="str" cm="1">
        <f t="array" ref="G24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47" spans="1:7">
      <c r="A247" s="217">
        <v>45897</v>
      </c>
      <c r="B247">
        <f>COUNTIFS(Data[Date], "&lt;="&amp;$A247, Data[Poster],B$1, Data[Winner],TRUE())</f>
        <v>51</v>
      </c>
      <c r="C247">
        <f>COUNTIFS(Data[Date], "&lt;="&amp;$A247, Data[Poster],C$1, Data[Winner],TRUE())</f>
        <v>50</v>
      </c>
      <c r="D247">
        <f>COUNTIFS(Data[Date], "&lt;="&amp;$A247, Data[Poster],D$1, Data[Winner],TRUE())</f>
        <v>46</v>
      </c>
      <c r="E247">
        <f>COUNTIFS(Data[Date], "&lt;="&amp;$A247, Data[Poster],E$1, Data[Winner],TRUE())</f>
        <v>47</v>
      </c>
      <c r="F247">
        <f>COUNTIFS(Data[Date], "&lt;="&amp;$A247, Data[Poster],F$1, Data[Winner],TRUE())</f>
        <v>52</v>
      </c>
      <c r="G247" t="str" cm="1">
        <f t="array" ref="G24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48" spans="1:7">
      <c r="A248" s="217">
        <v>45902</v>
      </c>
      <c r="B248">
        <f>COUNTIFS(Data[Date], "&lt;="&amp;$A248, Data[Poster],B$1, Data[Winner],TRUE())</f>
        <v>51</v>
      </c>
      <c r="C248">
        <f>COUNTIFS(Data[Date], "&lt;="&amp;$A248, Data[Poster],C$1, Data[Winner],TRUE())</f>
        <v>50</v>
      </c>
      <c r="D248">
        <f>COUNTIFS(Data[Date], "&lt;="&amp;$A248, Data[Poster],D$1, Data[Winner],TRUE())</f>
        <v>47</v>
      </c>
      <c r="E248">
        <f>COUNTIFS(Data[Date], "&lt;="&amp;$A248, Data[Poster],E$1, Data[Winner],TRUE())</f>
        <v>47</v>
      </c>
      <c r="F248">
        <f>COUNTIFS(Data[Date], "&lt;="&amp;$A248, Data[Poster],F$1, Data[Winner],TRUE())</f>
        <v>52</v>
      </c>
      <c r="G248" t="str" cm="1">
        <f t="array" ref="G24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49" spans="1:7">
      <c r="A249" s="217">
        <v>45903</v>
      </c>
      <c r="B249">
        <f>COUNTIFS(Data[Date], "&lt;="&amp;$A249, Data[Poster],B$1, Data[Winner],TRUE())</f>
        <v>51</v>
      </c>
      <c r="C249">
        <f>COUNTIFS(Data[Date], "&lt;="&amp;$A249, Data[Poster],C$1, Data[Winner],TRUE())</f>
        <v>50</v>
      </c>
      <c r="D249">
        <f>COUNTIFS(Data[Date], "&lt;="&amp;$A249, Data[Poster],D$1, Data[Winner],TRUE())</f>
        <v>47</v>
      </c>
      <c r="E249">
        <f>COUNTIFS(Data[Date], "&lt;="&amp;$A249, Data[Poster],E$1, Data[Winner],TRUE())</f>
        <v>47</v>
      </c>
      <c r="F249">
        <f>COUNTIFS(Data[Date], "&lt;="&amp;$A249, Data[Poster],F$1, Data[Winner],TRUE())</f>
        <v>53</v>
      </c>
      <c r="G249" t="str" cm="1">
        <f t="array" ref="G24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50" spans="1:7">
      <c r="A250" s="217">
        <v>45904</v>
      </c>
      <c r="B250">
        <f>COUNTIFS(Data[Date], "&lt;="&amp;$A250, Data[Poster],B$1, Data[Winner],TRUE())</f>
        <v>51</v>
      </c>
      <c r="C250">
        <f>COUNTIFS(Data[Date], "&lt;="&amp;$A250, Data[Poster],C$1, Data[Winner],TRUE())</f>
        <v>50</v>
      </c>
      <c r="D250">
        <f>COUNTIFS(Data[Date], "&lt;="&amp;$A250, Data[Poster],D$1, Data[Winner],TRUE())</f>
        <v>47</v>
      </c>
      <c r="E250">
        <f>COUNTIFS(Data[Date], "&lt;="&amp;$A250, Data[Poster],E$1, Data[Winner],TRUE())</f>
        <v>47</v>
      </c>
      <c r="F250">
        <f>COUNTIFS(Data[Date], "&lt;="&amp;$A250, Data[Poster],F$1, Data[Winner],TRUE())</f>
        <v>54</v>
      </c>
      <c r="G250" t="str" cm="1">
        <f t="array" ref="G25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51" spans="1:7">
      <c r="A251" s="217">
        <v>45908</v>
      </c>
      <c r="B251">
        <f>COUNTIFS(Data[Date], "&lt;="&amp;$A251, Data[Poster],B$1, Data[Winner],TRUE())</f>
        <v>51</v>
      </c>
      <c r="C251">
        <f>COUNTIFS(Data[Date], "&lt;="&amp;$A251, Data[Poster],C$1, Data[Winner],TRUE())</f>
        <v>50</v>
      </c>
      <c r="D251">
        <f>COUNTIFS(Data[Date], "&lt;="&amp;$A251, Data[Poster],D$1, Data[Winner],TRUE())</f>
        <v>47</v>
      </c>
      <c r="E251">
        <f>COUNTIFS(Data[Date], "&lt;="&amp;$A251, Data[Poster],E$1, Data[Winner],TRUE())</f>
        <v>48</v>
      </c>
      <c r="F251">
        <f>COUNTIFS(Data[Date], "&lt;="&amp;$A251, Data[Poster],F$1, Data[Winner],TRUE())</f>
        <v>54</v>
      </c>
      <c r="G251" t="str" cm="1">
        <f t="array" ref="G25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52" spans="1:7">
      <c r="A252" s="217">
        <v>45909</v>
      </c>
      <c r="B252">
        <f>COUNTIFS(Data[Date], "&lt;="&amp;$A252, Data[Poster],B$1, Data[Winner],TRUE())</f>
        <v>51</v>
      </c>
      <c r="C252">
        <f>COUNTIFS(Data[Date], "&lt;="&amp;$A252, Data[Poster],C$1, Data[Winner],TRUE())</f>
        <v>51</v>
      </c>
      <c r="D252">
        <f>COUNTIFS(Data[Date], "&lt;="&amp;$A252, Data[Poster],D$1, Data[Winner],TRUE())</f>
        <v>47</v>
      </c>
      <c r="E252">
        <f>COUNTIFS(Data[Date], "&lt;="&amp;$A252, Data[Poster],E$1, Data[Winner],TRUE())</f>
        <v>48</v>
      </c>
      <c r="F252">
        <f>COUNTIFS(Data[Date], "&lt;="&amp;$A252, Data[Poster],F$1, Data[Winner],TRUE())</f>
        <v>54</v>
      </c>
      <c r="G252" t="str" cm="1">
        <f t="array" ref="G25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53" spans="1:7">
      <c r="A253" s="217">
        <v>45910</v>
      </c>
      <c r="B253">
        <f>COUNTIFS(Data[Date], "&lt;="&amp;$A253, Data[Poster],B$1, Data[Winner],TRUE())</f>
        <v>51</v>
      </c>
      <c r="C253">
        <f>COUNTIFS(Data[Date], "&lt;="&amp;$A253, Data[Poster],C$1, Data[Winner],TRUE())</f>
        <v>52</v>
      </c>
      <c r="D253">
        <f>COUNTIFS(Data[Date], "&lt;="&amp;$A253, Data[Poster],D$1, Data[Winner],TRUE())</f>
        <v>47</v>
      </c>
      <c r="E253">
        <f>COUNTIFS(Data[Date], "&lt;="&amp;$A253, Data[Poster],E$1, Data[Winner],TRUE())</f>
        <v>48</v>
      </c>
      <c r="F253">
        <f>COUNTIFS(Data[Date], "&lt;="&amp;$A253, Data[Poster],F$1, Data[Winner],TRUE())</f>
        <v>54</v>
      </c>
      <c r="G253" t="str" cm="1">
        <f t="array" ref="G25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54" spans="1:7">
      <c r="A254" s="217">
        <v>45911</v>
      </c>
      <c r="B254">
        <f>COUNTIFS(Data[Date], "&lt;="&amp;$A254, Data[Poster],B$1, Data[Winner],TRUE())</f>
        <v>51</v>
      </c>
      <c r="C254">
        <f>COUNTIFS(Data[Date], "&lt;="&amp;$A254, Data[Poster],C$1, Data[Winner],TRUE())</f>
        <v>52</v>
      </c>
      <c r="D254">
        <f>COUNTIFS(Data[Date], "&lt;="&amp;$A254, Data[Poster],D$1, Data[Winner],TRUE())</f>
        <v>47</v>
      </c>
      <c r="E254">
        <f>COUNTIFS(Data[Date], "&lt;="&amp;$A254, Data[Poster],E$1, Data[Winner],TRUE())</f>
        <v>49</v>
      </c>
      <c r="F254">
        <f>COUNTIFS(Data[Date], "&lt;="&amp;$A254, Data[Poster],F$1, Data[Winner],TRUE())</f>
        <v>54</v>
      </c>
      <c r="G254" t="str" cm="1">
        <f t="array" ref="G25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55" spans="1:7">
      <c r="A255" s="217">
        <v>45915</v>
      </c>
      <c r="B255">
        <f>COUNTIFS(Data[Date], "&lt;="&amp;$A255, Data[Poster],B$1, Data[Winner],TRUE())</f>
        <v>51</v>
      </c>
      <c r="C255">
        <f>COUNTIFS(Data[Date], "&lt;="&amp;$A255, Data[Poster],C$1, Data[Winner],TRUE())</f>
        <v>52</v>
      </c>
      <c r="D255">
        <f>COUNTIFS(Data[Date], "&lt;="&amp;$A255, Data[Poster],D$1, Data[Winner],TRUE())</f>
        <v>47</v>
      </c>
      <c r="E255">
        <f>COUNTIFS(Data[Date], "&lt;="&amp;$A255, Data[Poster],E$1, Data[Winner],TRUE())</f>
        <v>49</v>
      </c>
      <c r="F255">
        <f>COUNTIFS(Data[Date], "&lt;="&amp;$A255, Data[Poster],F$1, Data[Winner],TRUE())</f>
        <v>55</v>
      </c>
      <c r="G255" t="str" cm="1">
        <f t="array" ref="G25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56" spans="1:7">
      <c r="A256" s="217">
        <v>45916</v>
      </c>
      <c r="B256">
        <f>COUNTIFS(Data[Date], "&lt;="&amp;$A256, Data[Poster],B$1, Data[Winner],TRUE())</f>
        <v>51</v>
      </c>
      <c r="C256">
        <f>COUNTIFS(Data[Date], "&lt;="&amp;$A256, Data[Poster],C$1, Data[Winner],TRUE())</f>
        <v>52</v>
      </c>
      <c r="D256">
        <f>COUNTIFS(Data[Date], "&lt;="&amp;$A256, Data[Poster],D$1, Data[Winner],TRUE())</f>
        <v>47</v>
      </c>
      <c r="E256">
        <f>COUNTIFS(Data[Date], "&lt;="&amp;$A256, Data[Poster],E$1, Data[Winner],TRUE())</f>
        <v>49</v>
      </c>
      <c r="F256">
        <f>COUNTIFS(Data[Date], "&lt;="&amp;$A256, Data[Poster],F$1, Data[Winner],TRUE())</f>
        <v>56</v>
      </c>
      <c r="G256" t="str" cm="1">
        <f t="array" ref="G25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57" spans="1:7">
      <c r="A257" s="217">
        <v>45917</v>
      </c>
      <c r="B257">
        <f>COUNTIFS(Data[Date], "&lt;="&amp;$A257, Data[Poster],B$1, Data[Winner],TRUE())</f>
        <v>51</v>
      </c>
      <c r="C257">
        <f>COUNTIFS(Data[Date], "&lt;="&amp;$A257, Data[Poster],C$1, Data[Winner],TRUE())</f>
        <v>53</v>
      </c>
      <c r="D257">
        <f>COUNTIFS(Data[Date], "&lt;="&amp;$A257, Data[Poster],D$1, Data[Winner],TRUE())</f>
        <v>47</v>
      </c>
      <c r="E257">
        <f>COUNTIFS(Data[Date], "&lt;="&amp;$A257, Data[Poster],E$1, Data[Winner],TRUE())</f>
        <v>49</v>
      </c>
      <c r="F257">
        <f>COUNTIFS(Data[Date], "&lt;="&amp;$A257, Data[Poster],F$1, Data[Winner],TRUE())</f>
        <v>56</v>
      </c>
      <c r="G257" t="str" cm="1">
        <f t="array" ref="G25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58" spans="1:7">
      <c r="A258" s="217">
        <v>45918</v>
      </c>
      <c r="B258">
        <f>COUNTIFS(Data[Date], "&lt;="&amp;$A258, Data[Poster],B$1, Data[Winner],TRUE())</f>
        <v>51</v>
      </c>
      <c r="C258">
        <f>COUNTIFS(Data[Date], "&lt;="&amp;$A258, Data[Poster],C$1, Data[Winner],TRUE())</f>
        <v>54</v>
      </c>
      <c r="D258">
        <f>COUNTIFS(Data[Date], "&lt;="&amp;$A258, Data[Poster],D$1, Data[Winner],TRUE())</f>
        <v>47</v>
      </c>
      <c r="E258">
        <f>COUNTIFS(Data[Date], "&lt;="&amp;$A258, Data[Poster],E$1, Data[Winner],TRUE())</f>
        <v>49</v>
      </c>
      <c r="F258">
        <f>COUNTIFS(Data[Date], "&lt;="&amp;$A258, Data[Poster],F$1, Data[Winner],TRUE())</f>
        <v>56</v>
      </c>
      <c r="G258" t="str" cm="1">
        <f t="array" ref="G25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59" spans="1:7">
      <c r="A259" s="217">
        <v>45922</v>
      </c>
      <c r="B259">
        <f>COUNTIFS(Data[Date], "&lt;="&amp;$A259, Data[Poster],B$1, Data[Winner],TRUE())</f>
        <v>52</v>
      </c>
      <c r="C259">
        <f>COUNTIFS(Data[Date], "&lt;="&amp;$A259, Data[Poster],C$1, Data[Winner],TRUE())</f>
        <v>54</v>
      </c>
      <c r="D259">
        <f>COUNTIFS(Data[Date], "&lt;="&amp;$A259, Data[Poster],D$1, Data[Winner],TRUE())</f>
        <v>47</v>
      </c>
      <c r="E259">
        <f>COUNTIFS(Data[Date], "&lt;="&amp;$A259, Data[Poster],E$1, Data[Winner],TRUE())</f>
        <v>49</v>
      </c>
      <c r="F259">
        <f>COUNTIFS(Data[Date], "&lt;="&amp;$A259, Data[Poster],F$1, Data[Winner],TRUE())</f>
        <v>56</v>
      </c>
      <c r="G259" t="str" cm="1">
        <f t="array" ref="G25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60" spans="1:7">
      <c r="A260" s="217">
        <v>45923</v>
      </c>
      <c r="B260">
        <f>COUNTIFS(Data[Date], "&lt;="&amp;$A260, Data[Poster],B$1, Data[Winner],TRUE())</f>
        <v>53</v>
      </c>
      <c r="C260">
        <f>COUNTIFS(Data[Date], "&lt;="&amp;$A260, Data[Poster],C$1, Data[Winner],TRUE())</f>
        <v>54</v>
      </c>
      <c r="D260">
        <f>COUNTIFS(Data[Date], "&lt;="&amp;$A260, Data[Poster],D$1, Data[Winner],TRUE())</f>
        <v>47</v>
      </c>
      <c r="E260">
        <f>COUNTIFS(Data[Date], "&lt;="&amp;$A260, Data[Poster],E$1, Data[Winner],TRUE())</f>
        <v>49</v>
      </c>
      <c r="F260">
        <f>COUNTIFS(Data[Date], "&lt;="&amp;$A260, Data[Poster],F$1, Data[Winner],TRUE())</f>
        <v>56</v>
      </c>
      <c r="G260" t="str" cm="1">
        <f t="array" ref="G26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61" spans="1:7">
      <c r="A261" s="217">
        <v>45924</v>
      </c>
      <c r="B261">
        <f>COUNTIFS(Data[Date], "&lt;="&amp;$A261, Data[Poster],B$1, Data[Winner],TRUE())</f>
        <v>53</v>
      </c>
      <c r="C261">
        <f>COUNTIFS(Data[Date], "&lt;="&amp;$A261, Data[Poster],C$1, Data[Winner],TRUE())</f>
        <v>54</v>
      </c>
      <c r="D261">
        <f>COUNTIFS(Data[Date], "&lt;="&amp;$A261, Data[Poster],D$1, Data[Winner],TRUE())</f>
        <v>47</v>
      </c>
      <c r="E261">
        <f>COUNTIFS(Data[Date], "&lt;="&amp;$A261, Data[Poster],E$1, Data[Winner],TRUE())</f>
        <v>49</v>
      </c>
      <c r="F261">
        <f>COUNTIFS(Data[Date], "&lt;="&amp;$A261, Data[Poster],F$1, Data[Winner],TRUE())</f>
        <v>57</v>
      </c>
      <c r="G261" t="str" cm="1">
        <f t="array" ref="G26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62" spans="1:7">
      <c r="A262" s="217">
        <v>45925</v>
      </c>
      <c r="B262">
        <f>COUNTIFS(Data[Date], "&lt;="&amp;$A262, Data[Poster],B$1, Data[Winner],TRUE())</f>
        <v>53</v>
      </c>
      <c r="C262">
        <f>COUNTIFS(Data[Date], "&lt;="&amp;$A262, Data[Poster],C$1, Data[Winner],TRUE())</f>
        <v>54</v>
      </c>
      <c r="D262">
        <f>COUNTIFS(Data[Date], "&lt;="&amp;$A262, Data[Poster],D$1, Data[Winner],TRUE())</f>
        <v>48</v>
      </c>
      <c r="E262">
        <f>COUNTIFS(Data[Date], "&lt;="&amp;$A262, Data[Poster],E$1, Data[Winner],TRUE())</f>
        <v>49</v>
      </c>
      <c r="F262">
        <f>COUNTIFS(Data[Date], "&lt;="&amp;$A262, Data[Poster],F$1, Data[Winner],TRUE())</f>
        <v>57</v>
      </c>
      <c r="G262" t="str" cm="1">
        <f t="array" ref="G26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63" spans="1:7">
      <c r="A263" s="217">
        <v>45929</v>
      </c>
      <c r="B263">
        <f>COUNTIFS(Data[Date], "&lt;="&amp;$A263, Data[Poster],B$1, Data[Winner],TRUE())</f>
        <v>53</v>
      </c>
      <c r="C263">
        <f>COUNTIFS(Data[Date], "&lt;="&amp;$A263, Data[Poster],C$1, Data[Winner],TRUE())</f>
        <v>54</v>
      </c>
      <c r="D263">
        <f>COUNTIFS(Data[Date], "&lt;="&amp;$A263, Data[Poster],D$1, Data[Winner],TRUE())</f>
        <v>48</v>
      </c>
      <c r="E263">
        <f>COUNTIFS(Data[Date], "&lt;="&amp;$A263, Data[Poster],E$1, Data[Winner],TRUE())</f>
        <v>50</v>
      </c>
      <c r="F263">
        <f>COUNTIFS(Data[Date], "&lt;="&amp;$A263, Data[Poster],F$1, Data[Winner],TRUE())</f>
        <v>57</v>
      </c>
      <c r="G263" t="str" cm="1">
        <f t="array" ref="G26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64" spans="1:7">
      <c r="A264" s="217">
        <v>45930</v>
      </c>
      <c r="B264">
        <f>COUNTIFS(Data[Date], "&lt;="&amp;$A264, Data[Poster],B$1, Data[Winner],TRUE())</f>
        <v>54</v>
      </c>
      <c r="C264">
        <f>COUNTIFS(Data[Date], "&lt;="&amp;$A264, Data[Poster],C$1, Data[Winner],TRUE())</f>
        <v>54</v>
      </c>
      <c r="D264">
        <f>COUNTIFS(Data[Date], "&lt;="&amp;$A264, Data[Poster],D$1, Data[Winner],TRUE())</f>
        <v>48</v>
      </c>
      <c r="E264">
        <f>COUNTIFS(Data[Date], "&lt;="&amp;$A264, Data[Poster],E$1, Data[Winner],TRUE())</f>
        <v>50</v>
      </c>
      <c r="F264">
        <f>COUNTIFS(Data[Date], "&lt;="&amp;$A264, Data[Poster],F$1, Data[Winner],TRUE())</f>
        <v>57</v>
      </c>
      <c r="G264" t="str" cm="1">
        <f t="array" ref="G26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65" spans="1:7">
      <c r="A265" s="217">
        <v>45931</v>
      </c>
      <c r="B265">
        <f>COUNTIFS(Data[Date], "&lt;="&amp;$A265, Data[Poster],B$1, Data[Winner],TRUE())</f>
        <v>54</v>
      </c>
      <c r="C265">
        <f>COUNTIFS(Data[Date], "&lt;="&amp;$A265, Data[Poster],C$1, Data[Winner],TRUE())</f>
        <v>54</v>
      </c>
      <c r="D265">
        <f>COUNTIFS(Data[Date], "&lt;="&amp;$A265, Data[Poster],D$1, Data[Winner],TRUE())</f>
        <v>48</v>
      </c>
      <c r="E265">
        <f>COUNTIFS(Data[Date], "&lt;="&amp;$A265, Data[Poster],E$1, Data[Winner],TRUE())</f>
        <v>51</v>
      </c>
      <c r="F265">
        <f>COUNTIFS(Data[Date], "&lt;="&amp;$A265, Data[Poster],F$1, Data[Winner],TRUE())</f>
        <v>57</v>
      </c>
      <c r="G265" t="str" cm="1">
        <f t="array" ref="G26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66" spans="1:7">
      <c r="A266" s="217">
        <v>45932</v>
      </c>
      <c r="B266">
        <f>COUNTIFS(Data[Date], "&lt;="&amp;$A266, Data[Poster],B$1, Data[Winner],TRUE())</f>
        <v>54</v>
      </c>
      <c r="C266">
        <f>COUNTIFS(Data[Date], "&lt;="&amp;$A266, Data[Poster],C$1, Data[Winner],TRUE())</f>
        <v>55</v>
      </c>
      <c r="D266">
        <f>COUNTIFS(Data[Date], "&lt;="&amp;$A266, Data[Poster],D$1, Data[Winner],TRUE())</f>
        <v>48</v>
      </c>
      <c r="E266">
        <f>COUNTIFS(Data[Date], "&lt;="&amp;$A266, Data[Poster],E$1, Data[Winner],TRUE())</f>
        <v>51</v>
      </c>
      <c r="F266">
        <f>COUNTIFS(Data[Date], "&lt;="&amp;$A266, Data[Poster],F$1, Data[Winner],TRUE())</f>
        <v>57</v>
      </c>
      <c r="G266" t="str" cm="1">
        <f t="array" ref="G26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67" spans="1:7">
      <c r="A267" s="217">
        <v>45936</v>
      </c>
      <c r="B267">
        <f>COUNTIFS(Data[Date], "&lt;="&amp;$A267, Data[Poster],B$1, Data[Winner],TRUE())</f>
        <v>54</v>
      </c>
      <c r="C267">
        <f>COUNTIFS(Data[Date], "&lt;="&amp;$A267, Data[Poster],C$1, Data[Winner],TRUE())</f>
        <v>56</v>
      </c>
      <c r="D267">
        <f>COUNTIFS(Data[Date], "&lt;="&amp;$A267, Data[Poster],D$1, Data[Winner],TRUE())</f>
        <v>48</v>
      </c>
      <c r="E267">
        <f>COUNTIFS(Data[Date], "&lt;="&amp;$A267, Data[Poster],E$1, Data[Winner],TRUE())</f>
        <v>51</v>
      </c>
      <c r="F267">
        <f>COUNTIFS(Data[Date], "&lt;="&amp;$A267, Data[Poster],F$1, Data[Winner],TRUE())</f>
        <v>57</v>
      </c>
      <c r="G267" t="str" cm="1">
        <f t="array" ref="G26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68" spans="1:7">
      <c r="A268" s="217">
        <v>45937</v>
      </c>
      <c r="B268">
        <f>COUNTIFS(Data[Date], "&lt;="&amp;$A268, Data[Poster],B$1, Data[Winner],TRUE())</f>
        <v>54</v>
      </c>
      <c r="C268">
        <f>COUNTIFS(Data[Date], "&lt;="&amp;$A268, Data[Poster],C$1, Data[Winner],TRUE())</f>
        <v>56</v>
      </c>
      <c r="D268">
        <f>COUNTIFS(Data[Date], "&lt;="&amp;$A268, Data[Poster],D$1, Data[Winner],TRUE())</f>
        <v>48</v>
      </c>
      <c r="E268">
        <f>COUNTIFS(Data[Date], "&lt;="&amp;$A268, Data[Poster],E$1, Data[Winner],TRUE())</f>
        <v>51</v>
      </c>
      <c r="F268">
        <f>COUNTIFS(Data[Date], "&lt;="&amp;$A268, Data[Poster],F$1, Data[Winner],TRUE())</f>
        <v>58</v>
      </c>
      <c r="G268" t="str" cm="1">
        <f t="array" ref="G26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69" spans="1:7">
      <c r="A269" s="217">
        <v>45938</v>
      </c>
      <c r="B269">
        <f>COUNTIFS(Data[Date], "&lt;="&amp;$A269, Data[Poster],B$1, Data[Winner],TRUE())</f>
        <v>54</v>
      </c>
      <c r="C269">
        <f>COUNTIFS(Data[Date], "&lt;="&amp;$A269, Data[Poster],C$1, Data[Winner],TRUE())</f>
        <v>56</v>
      </c>
      <c r="D269">
        <f>COUNTIFS(Data[Date], "&lt;="&amp;$A269, Data[Poster],D$1, Data[Winner],TRUE())</f>
        <v>49</v>
      </c>
      <c r="E269">
        <f>COUNTIFS(Data[Date], "&lt;="&amp;$A269, Data[Poster],E$1, Data[Winner],TRUE())</f>
        <v>51</v>
      </c>
      <c r="F269">
        <f>COUNTIFS(Data[Date], "&lt;="&amp;$A269, Data[Poster],F$1, Data[Winner],TRUE())</f>
        <v>58</v>
      </c>
      <c r="G269" t="str" cm="1">
        <f t="array" ref="G26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70" spans="1:7">
      <c r="A270" s="217">
        <v>45939</v>
      </c>
      <c r="B270">
        <f>COUNTIFS(Data[Date], "&lt;="&amp;$A270, Data[Poster],B$1, Data[Winner],TRUE())</f>
        <v>54</v>
      </c>
      <c r="C270">
        <f>COUNTIFS(Data[Date], "&lt;="&amp;$A270, Data[Poster],C$1, Data[Winner],TRUE())</f>
        <v>56</v>
      </c>
      <c r="D270">
        <f>COUNTIFS(Data[Date], "&lt;="&amp;$A270, Data[Poster],D$1, Data[Winner],TRUE())</f>
        <v>50</v>
      </c>
      <c r="E270">
        <f>COUNTIFS(Data[Date], "&lt;="&amp;$A270, Data[Poster],E$1, Data[Winner],TRUE())</f>
        <v>51</v>
      </c>
      <c r="F270">
        <f>COUNTIFS(Data[Date], "&lt;="&amp;$A270, Data[Poster],F$1, Data[Winner],TRUE())</f>
        <v>58</v>
      </c>
      <c r="G270" t="str" cm="1">
        <f t="array" ref="G27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71" spans="1:7">
      <c r="A271" s="217">
        <v>45943</v>
      </c>
      <c r="B271">
        <f>COUNTIFS(Data[Date], "&lt;="&amp;$A271, Data[Poster],B$1, Data[Winner],TRUE())</f>
        <v>54</v>
      </c>
      <c r="C271">
        <f>COUNTIFS(Data[Date], "&lt;="&amp;$A271, Data[Poster],C$1, Data[Winner],TRUE())</f>
        <v>57</v>
      </c>
      <c r="D271">
        <f>COUNTIFS(Data[Date], "&lt;="&amp;$A271, Data[Poster],D$1, Data[Winner],TRUE())</f>
        <v>50</v>
      </c>
      <c r="E271">
        <f>COUNTIFS(Data[Date], "&lt;="&amp;$A271, Data[Poster],E$1, Data[Winner],TRUE())</f>
        <v>51</v>
      </c>
      <c r="F271">
        <f>COUNTIFS(Data[Date], "&lt;="&amp;$A271, Data[Poster],F$1, Data[Winner],TRUE())</f>
        <v>58</v>
      </c>
      <c r="G271" t="str" cm="1">
        <f t="array" ref="G27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72" spans="1:7">
      <c r="A272" s="217">
        <v>45944</v>
      </c>
      <c r="B272">
        <f>COUNTIFS(Data[Date], "&lt;="&amp;$A272, Data[Poster],B$1, Data[Winner],TRUE())</f>
        <v>55</v>
      </c>
      <c r="C272">
        <f>COUNTIFS(Data[Date], "&lt;="&amp;$A272, Data[Poster],C$1, Data[Winner],TRUE())</f>
        <v>57</v>
      </c>
      <c r="D272">
        <f>COUNTIFS(Data[Date], "&lt;="&amp;$A272, Data[Poster],D$1, Data[Winner],TRUE())</f>
        <v>50</v>
      </c>
      <c r="E272">
        <f>COUNTIFS(Data[Date], "&lt;="&amp;$A272, Data[Poster],E$1, Data[Winner],TRUE())</f>
        <v>51</v>
      </c>
      <c r="F272">
        <f>COUNTIFS(Data[Date], "&lt;="&amp;$A272, Data[Poster],F$1, Data[Winner],TRUE())</f>
        <v>58</v>
      </c>
      <c r="G272" t="str" cm="1">
        <f t="array" ref="G27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73" spans="1:7">
      <c r="A273" s="217">
        <v>45945</v>
      </c>
      <c r="B273">
        <f>COUNTIFS(Data[Date], "&lt;="&amp;$A273, Data[Poster],B$1, Data[Winner],TRUE())</f>
        <v>56</v>
      </c>
      <c r="C273">
        <f>COUNTIFS(Data[Date], "&lt;="&amp;$A273, Data[Poster],C$1, Data[Winner],TRUE())</f>
        <v>57</v>
      </c>
      <c r="D273">
        <f>COUNTIFS(Data[Date], "&lt;="&amp;$A273, Data[Poster],D$1, Data[Winner],TRUE())</f>
        <v>50</v>
      </c>
      <c r="E273">
        <f>COUNTIFS(Data[Date], "&lt;="&amp;$A273, Data[Poster],E$1, Data[Winner],TRUE())</f>
        <v>51</v>
      </c>
      <c r="F273">
        <f>COUNTIFS(Data[Date], "&lt;="&amp;$A273, Data[Poster],F$1, Data[Winner],TRUE())</f>
        <v>58</v>
      </c>
      <c r="G273" t="str" cm="1">
        <f t="array" ref="G27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74" spans="1:7">
      <c r="A274" s="217">
        <v>45946</v>
      </c>
      <c r="B274">
        <f>COUNTIFS(Data[Date], "&lt;="&amp;$A274, Data[Poster],B$1, Data[Winner],TRUE())</f>
        <v>56</v>
      </c>
      <c r="C274">
        <f>COUNTIFS(Data[Date], "&lt;="&amp;$A274, Data[Poster],C$1, Data[Winner],TRUE())</f>
        <v>57</v>
      </c>
      <c r="D274">
        <f>COUNTIFS(Data[Date], "&lt;="&amp;$A274, Data[Poster],D$1, Data[Winner],TRUE())</f>
        <v>50</v>
      </c>
      <c r="E274">
        <f>COUNTIFS(Data[Date], "&lt;="&amp;$A274, Data[Poster],E$1, Data[Winner],TRUE())</f>
        <v>52</v>
      </c>
      <c r="F274">
        <f>COUNTIFS(Data[Date], "&lt;="&amp;$A274, Data[Poster],F$1, Data[Winner],TRUE())</f>
        <v>58</v>
      </c>
      <c r="G274" t="str" cm="1">
        <f t="array" ref="G27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75" spans="1:7">
      <c r="A275" s="217">
        <v>45950</v>
      </c>
      <c r="B275">
        <f>COUNTIFS(Data[Date], "&lt;="&amp;$A275, Data[Poster],B$1, Data[Winner],TRUE())</f>
        <v>56</v>
      </c>
      <c r="C275">
        <f>COUNTIFS(Data[Date], "&lt;="&amp;$A275, Data[Poster],C$1, Data[Winner],TRUE())</f>
        <v>57</v>
      </c>
      <c r="D275">
        <f>COUNTIFS(Data[Date], "&lt;="&amp;$A275, Data[Poster],D$1, Data[Winner],TRUE())</f>
        <v>51</v>
      </c>
      <c r="E275">
        <f>COUNTIFS(Data[Date], "&lt;="&amp;$A275, Data[Poster],E$1, Data[Winner],TRUE())</f>
        <v>52</v>
      </c>
      <c r="F275">
        <f>COUNTIFS(Data[Date], "&lt;="&amp;$A275, Data[Poster],F$1, Data[Winner],TRUE())</f>
        <v>58</v>
      </c>
      <c r="G275" t="str" cm="1">
        <f t="array" ref="G27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76" spans="1:7">
      <c r="A276" s="217">
        <v>45951</v>
      </c>
      <c r="B276">
        <f>COUNTIFS(Data[Date], "&lt;="&amp;$A276, Data[Poster],B$1, Data[Winner],TRUE())</f>
        <v>56</v>
      </c>
      <c r="C276">
        <f>COUNTIFS(Data[Date], "&lt;="&amp;$A276, Data[Poster],C$1, Data[Winner],TRUE())</f>
        <v>57</v>
      </c>
      <c r="D276">
        <f>COUNTIFS(Data[Date], "&lt;="&amp;$A276, Data[Poster],D$1, Data[Winner],TRUE())</f>
        <v>51</v>
      </c>
      <c r="E276">
        <f>COUNTIFS(Data[Date], "&lt;="&amp;$A276, Data[Poster],E$1, Data[Winner],TRUE())</f>
        <v>53</v>
      </c>
      <c r="F276">
        <f>COUNTIFS(Data[Date], "&lt;="&amp;$A276, Data[Poster],F$1, Data[Winner],TRUE())</f>
        <v>58</v>
      </c>
      <c r="G276" t="str" cm="1">
        <f t="array" ref="G27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77" spans="1:7">
      <c r="A277" s="217">
        <v>45952</v>
      </c>
      <c r="B277">
        <f>COUNTIFS(Data[Date], "&lt;="&amp;$A277, Data[Poster],B$1, Data[Winner],TRUE())</f>
        <v>56</v>
      </c>
      <c r="C277">
        <f>COUNTIFS(Data[Date], "&lt;="&amp;$A277, Data[Poster],C$1, Data[Winner],TRUE())</f>
        <v>57</v>
      </c>
      <c r="D277">
        <f>COUNTIFS(Data[Date], "&lt;="&amp;$A277, Data[Poster],D$1, Data[Winner],TRUE())</f>
        <v>51</v>
      </c>
      <c r="E277">
        <f>COUNTIFS(Data[Date], "&lt;="&amp;$A277, Data[Poster],E$1, Data[Winner],TRUE())</f>
        <v>54</v>
      </c>
      <c r="F277">
        <f>COUNTIFS(Data[Date], "&lt;="&amp;$A277, Data[Poster],F$1, Data[Winner],TRUE())</f>
        <v>58</v>
      </c>
      <c r="G277" t="str" cm="1">
        <f t="array" ref="G27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78" spans="1:7">
      <c r="A278" s="217">
        <v>45953</v>
      </c>
      <c r="B278">
        <f>COUNTIFS(Data[Date], "&lt;="&amp;$A278, Data[Poster],B$1, Data[Winner],TRUE())</f>
        <v>57</v>
      </c>
      <c r="C278">
        <f>COUNTIFS(Data[Date], "&lt;="&amp;$A278, Data[Poster],C$1, Data[Winner],TRUE())</f>
        <v>57</v>
      </c>
      <c r="D278">
        <f>COUNTIFS(Data[Date], "&lt;="&amp;$A278, Data[Poster],D$1, Data[Winner],TRUE())</f>
        <v>51</v>
      </c>
      <c r="E278">
        <f>COUNTIFS(Data[Date], "&lt;="&amp;$A278, Data[Poster],E$1, Data[Winner],TRUE())</f>
        <v>54</v>
      </c>
      <c r="F278">
        <f>COUNTIFS(Data[Date], "&lt;="&amp;$A278, Data[Poster],F$1, Data[Winner],TRUE())</f>
        <v>58</v>
      </c>
      <c r="G278" t="str" cm="1">
        <f t="array" ref="G27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279" spans="1:7">
      <c r="A279" s="217">
        <v>45957</v>
      </c>
      <c r="B279">
        <f>COUNTIFS(Data[Date], "&lt;="&amp;$A279, Data[Poster],B$1, Data[Winner],TRUE())</f>
        <v>57</v>
      </c>
      <c r="C279">
        <f>COUNTIFS(Data[Date], "&lt;="&amp;$A279, Data[Poster],C$1, Data[Winner],TRUE())</f>
        <v>58</v>
      </c>
      <c r="D279">
        <f>COUNTIFS(Data[Date], "&lt;="&amp;$A279, Data[Poster],D$1, Data[Winner],TRUE())</f>
        <v>51</v>
      </c>
      <c r="E279">
        <f>COUNTIFS(Data[Date], "&lt;="&amp;$A279, Data[Poster],E$1, Data[Winner],TRUE())</f>
        <v>54</v>
      </c>
      <c r="F279">
        <f>COUNTIFS(Data[Date], "&lt;="&amp;$A279, Data[Poster],F$1, Data[Winner],TRUE())</f>
        <v>58</v>
      </c>
      <c r="G279" t="str" cm="1">
        <f t="array" ref="G279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280" spans="1:7">
      <c r="A280" s="217">
        <v>45958</v>
      </c>
      <c r="B280">
        <f>COUNTIFS(Data[Date], "&lt;="&amp;$A280, Data[Poster],B$1, Data[Winner],TRUE())</f>
        <v>57</v>
      </c>
      <c r="C280">
        <f>COUNTIFS(Data[Date], "&lt;="&amp;$A280, Data[Poster],C$1, Data[Winner],TRUE())</f>
        <v>58</v>
      </c>
      <c r="D280">
        <f>COUNTIFS(Data[Date], "&lt;="&amp;$A280, Data[Poster],D$1, Data[Winner],TRUE())</f>
        <v>51</v>
      </c>
      <c r="E280">
        <f>COUNTIFS(Data[Date], "&lt;="&amp;$A280, Data[Poster],E$1, Data[Winner],TRUE())</f>
        <v>55</v>
      </c>
      <c r="F280">
        <f>COUNTIFS(Data[Date], "&lt;="&amp;$A280, Data[Poster],F$1, Data[Winner],TRUE())</f>
        <v>58</v>
      </c>
      <c r="G280" t="str" cm="1">
        <f t="array" ref="G280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281" spans="1:7">
      <c r="A281" s="217">
        <v>45959</v>
      </c>
      <c r="B281">
        <f>COUNTIFS(Data[Date], "&lt;="&amp;$A281, Data[Poster],B$1, Data[Winner],TRUE())</f>
        <v>57</v>
      </c>
      <c r="C281">
        <f>COUNTIFS(Data[Date], "&lt;="&amp;$A281, Data[Poster],C$1, Data[Winner],TRUE())</f>
        <v>59</v>
      </c>
      <c r="D281">
        <f>COUNTIFS(Data[Date], "&lt;="&amp;$A281, Data[Poster],D$1, Data[Winner],TRUE())</f>
        <v>51</v>
      </c>
      <c r="E281">
        <f>COUNTIFS(Data[Date], "&lt;="&amp;$A281, Data[Poster],E$1, Data[Winner],TRUE())</f>
        <v>55</v>
      </c>
      <c r="F281">
        <f>COUNTIFS(Data[Date], "&lt;="&amp;$A281, Data[Poster],F$1, Data[Winner],TRUE())</f>
        <v>58</v>
      </c>
      <c r="G281" t="str" cm="1">
        <f t="array" ref="G281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282" spans="1:7">
      <c r="A282" s="217">
        <v>45960</v>
      </c>
      <c r="B282">
        <f>COUNTIFS(Data[Date], "&lt;="&amp;$A282, Data[Poster],B$1, Data[Winner],TRUE())</f>
        <v>57</v>
      </c>
      <c r="C282">
        <f>COUNTIFS(Data[Date], "&lt;="&amp;$A282, Data[Poster],C$1, Data[Winner],TRUE())</f>
        <v>60</v>
      </c>
      <c r="D282">
        <f>COUNTIFS(Data[Date], "&lt;="&amp;$A282, Data[Poster],D$1, Data[Winner],TRUE())</f>
        <v>51</v>
      </c>
      <c r="E282">
        <f>COUNTIFS(Data[Date], "&lt;="&amp;$A282, Data[Poster],E$1, Data[Winner],TRUE())</f>
        <v>55</v>
      </c>
      <c r="F282">
        <f>COUNTIFS(Data[Date], "&lt;="&amp;$A282, Data[Poster],F$1, Data[Winner],TRUE())</f>
        <v>58</v>
      </c>
      <c r="G282" t="str" cm="1">
        <f t="array" ref="G282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283" spans="1:7">
      <c r="A283" s="217">
        <v>45964</v>
      </c>
      <c r="B283">
        <f>COUNTIFS(Data[Date], "&lt;="&amp;$A283, Data[Poster],B$1, Data[Winner],TRUE())</f>
        <v>57</v>
      </c>
      <c r="C283">
        <f>COUNTIFS(Data[Date], "&lt;="&amp;$A283, Data[Poster],C$1, Data[Winner],TRUE())</f>
        <v>60</v>
      </c>
      <c r="D283">
        <f>COUNTIFS(Data[Date], "&lt;="&amp;$A283, Data[Poster],D$1, Data[Winner],TRUE())</f>
        <v>51</v>
      </c>
      <c r="E283">
        <f>COUNTIFS(Data[Date], "&lt;="&amp;$A283, Data[Poster],E$1, Data[Winner],TRUE())</f>
        <v>55</v>
      </c>
      <c r="F283">
        <f>COUNTIFS(Data[Date], "&lt;="&amp;$A283, Data[Poster],F$1, Data[Winner],TRUE())</f>
        <v>59</v>
      </c>
      <c r="G283" t="str" cm="1">
        <f t="array" ref="G283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284" spans="1:7">
      <c r="A284" s="217">
        <v>45965</v>
      </c>
      <c r="B284">
        <f>COUNTIFS(Data[Date], "&lt;="&amp;$A284, Data[Poster],B$1, Data[Winner],TRUE())</f>
        <v>58</v>
      </c>
      <c r="C284">
        <f>COUNTIFS(Data[Date], "&lt;="&amp;$A284, Data[Poster],C$1, Data[Winner],TRUE())</f>
        <v>60</v>
      </c>
      <c r="D284">
        <f>COUNTIFS(Data[Date], "&lt;="&amp;$A284, Data[Poster],D$1, Data[Winner],TRUE())</f>
        <v>51</v>
      </c>
      <c r="E284">
        <f>COUNTIFS(Data[Date], "&lt;="&amp;$A284, Data[Poster],E$1, Data[Winner],TRUE())</f>
        <v>55</v>
      </c>
      <c r="F284">
        <f>COUNTIFS(Data[Date], "&lt;="&amp;$A284, Data[Poster],F$1, Data[Winner],TRUE())</f>
        <v>59</v>
      </c>
      <c r="G284" t="str" cm="1">
        <f t="array" ref="G284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285" spans="1:7">
      <c r="A285" s="217">
        <v>45966</v>
      </c>
      <c r="B285">
        <f>COUNTIFS(Data[Date], "&lt;="&amp;$A285, Data[Poster],B$1, Data[Winner],TRUE())</f>
        <v>59</v>
      </c>
      <c r="C285">
        <f>COUNTIFS(Data[Date], "&lt;="&amp;$A285, Data[Poster],C$1, Data[Winner],TRUE())</f>
        <v>60</v>
      </c>
      <c r="D285">
        <f>COUNTIFS(Data[Date], "&lt;="&amp;$A285, Data[Poster],D$1, Data[Winner],TRUE())</f>
        <v>51</v>
      </c>
      <c r="E285">
        <f>COUNTIFS(Data[Date], "&lt;="&amp;$A285, Data[Poster],E$1, Data[Winner],TRUE())</f>
        <v>55</v>
      </c>
      <c r="F285">
        <f>COUNTIFS(Data[Date], "&lt;="&amp;$A285, Data[Poster],F$1, Data[Winner],TRUE())</f>
        <v>59</v>
      </c>
      <c r="G285" t="str" cm="1">
        <f t="array" ref="G285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286" spans="1:7">
      <c r="A286" s="217">
        <v>45967</v>
      </c>
      <c r="B286">
        <f>COUNTIFS(Data[Date], "&lt;="&amp;$A286, Data[Poster],B$1, Data[Winner],TRUE())</f>
        <v>59</v>
      </c>
      <c r="C286">
        <f>COUNTIFS(Data[Date], "&lt;="&amp;$A286, Data[Poster],C$1, Data[Winner],TRUE())</f>
        <v>60</v>
      </c>
      <c r="D286">
        <f>COUNTIFS(Data[Date], "&lt;="&amp;$A286, Data[Poster],D$1, Data[Winner],TRUE())</f>
        <v>51</v>
      </c>
      <c r="E286">
        <f>COUNTIFS(Data[Date], "&lt;="&amp;$A286, Data[Poster],E$1, Data[Winner],TRUE())</f>
        <v>56</v>
      </c>
      <c r="F286">
        <f>COUNTIFS(Data[Date], "&lt;="&amp;$A286, Data[Poster],F$1, Data[Winner],TRUE())</f>
        <v>59</v>
      </c>
      <c r="G286" t="str" cm="1">
        <f t="array" ref="G286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287" spans="1:7">
      <c r="A287" s="217">
        <v>45971</v>
      </c>
      <c r="B287">
        <f>COUNTIFS(Data[Date], "&lt;="&amp;$A287, Data[Poster],B$1, Data[Winner],TRUE())</f>
        <v>59</v>
      </c>
      <c r="C287">
        <f>COUNTIFS(Data[Date], "&lt;="&amp;$A287, Data[Poster],C$1, Data[Winner],TRUE())</f>
        <v>60</v>
      </c>
      <c r="D287">
        <f>COUNTIFS(Data[Date], "&lt;="&amp;$A287, Data[Poster],D$1, Data[Winner],TRUE())</f>
        <v>51</v>
      </c>
      <c r="E287">
        <f>COUNTIFS(Data[Date], "&lt;="&amp;$A287, Data[Poster],E$1, Data[Winner],TRUE())</f>
        <v>57</v>
      </c>
      <c r="F287">
        <f>COUNTIFS(Data[Date], "&lt;="&amp;$A287, Data[Poster],F$1, Data[Winner],TRUE())</f>
        <v>59</v>
      </c>
      <c r="G287" t="str" cm="1">
        <f t="array" ref="G287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288" spans="1:7">
      <c r="A288" s="217">
        <v>45972</v>
      </c>
      <c r="B288">
        <f>COUNTIFS(Data[Date], "&lt;="&amp;$A288, Data[Poster],B$1, Data[Winner],TRUE())</f>
        <v>60</v>
      </c>
      <c r="C288">
        <f>COUNTIFS(Data[Date], "&lt;="&amp;$A288, Data[Poster],C$1, Data[Winner],TRUE())</f>
        <v>60</v>
      </c>
      <c r="D288">
        <f>COUNTIFS(Data[Date], "&lt;="&amp;$A288, Data[Poster],D$1, Data[Winner],TRUE())</f>
        <v>51</v>
      </c>
      <c r="E288">
        <f>COUNTIFS(Data[Date], "&lt;="&amp;$A288, Data[Poster],E$1, Data[Winner],TRUE())</f>
        <v>57</v>
      </c>
      <c r="F288">
        <f>COUNTIFS(Data[Date], "&lt;="&amp;$A288, Data[Poster],F$1, Data[Winner],TRUE())</f>
        <v>59</v>
      </c>
      <c r="G288" t="str" cm="1">
        <f t="array" ref="G288">_xlfn.TEXTJOIN(", ", TRUE, _xlfn._xlws.FILTER(Cumulative_Wins[[#Headers],[alappatjoe]:[currydestroyer27]], Cumulative_Wins[[#This Row],[alappatjoe]:[currydestroyer27]]=MAX(Cumulative_Wins[[#This Row],[alappatjoe]:[currydestroyer27]])))</f>
        <v>alappatjoe, danram</v>
      </c>
    </row>
    <row r="289" spans="1:7">
      <c r="A289" s="217">
        <v>45973</v>
      </c>
      <c r="B289">
        <f>COUNTIFS(Data[Date], "&lt;="&amp;$A289, Data[Poster],B$1, Data[Winner],TRUE())</f>
        <v>60</v>
      </c>
      <c r="C289">
        <f>COUNTIFS(Data[Date], "&lt;="&amp;$A289, Data[Poster],C$1, Data[Winner],TRUE())</f>
        <v>60</v>
      </c>
      <c r="D289">
        <f>COUNTIFS(Data[Date], "&lt;="&amp;$A289, Data[Poster],D$1, Data[Winner],TRUE())</f>
        <v>51</v>
      </c>
      <c r="E289">
        <f>COUNTIFS(Data[Date], "&lt;="&amp;$A289, Data[Poster],E$1, Data[Winner],TRUE())</f>
        <v>57</v>
      </c>
      <c r="F289">
        <f>COUNTIFS(Data[Date], "&lt;="&amp;$A289, Data[Poster],F$1, Data[Winner],TRUE())</f>
        <v>60</v>
      </c>
      <c r="G289" t="str" cm="1">
        <f t="array" ref="G289">_xlfn.TEXTJOIN(", ", TRUE, _xlfn._xlws.FILTER(Cumulative_Wins[[#Headers],[alappatjoe]:[currydestroyer27]], Cumulative_Wins[[#This Row],[alappatjoe]:[currydestroyer27]]=MAX(Cumulative_Wins[[#This Row],[alappatjoe]:[currydestroyer27]])))</f>
        <v>alappatjoe, danram, currydestroyer27</v>
      </c>
    </row>
    <row r="290" spans="1:7">
      <c r="A290" s="217">
        <v>45974</v>
      </c>
      <c r="B290">
        <f>COUNTIFS(Data[Date], "&lt;="&amp;$A290, Data[Poster],B$1, Data[Winner],TRUE())</f>
        <v>61</v>
      </c>
      <c r="C290">
        <f>COUNTIFS(Data[Date], "&lt;="&amp;$A290, Data[Poster],C$1, Data[Winner],TRUE())</f>
        <v>60</v>
      </c>
      <c r="D290">
        <f>COUNTIFS(Data[Date], "&lt;="&amp;$A290, Data[Poster],D$1, Data[Winner],TRUE())</f>
        <v>51</v>
      </c>
      <c r="E290">
        <f>COUNTIFS(Data[Date], "&lt;="&amp;$A290, Data[Poster],E$1, Data[Winner],TRUE())</f>
        <v>57</v>
      </c>
      <c r="F290">
        <f>COUNTIFS(Data[Date], "&lt;="&amp;$A290, Data[Poster],F$1, Data[Winner],TRUE())</f>
        <v>60</v>
      </c>
      <c r="G290" t="str" cm="1">
        <f t="array" ref="G290">_xlfn.TEXTJOIN(", ", TRUE, _xlfn._xlws.FILTER(Cumulative_Wins[[#Headers],[alappatjoe]:[currydestroyer27]], Cumulative_Wins[[#This Row],[alappatjoe]:[currydestroyer27]]=MAX(Cumulative_Wins[[#This Row],[alappatjoe]:[currydestroyer27]])))</f>
        <v>alappatjoe</v>
      </c>
    </row>
    <row r="291" spans="1:7">
      <c r="A291" s="217">
        <v>45978</v>
      </c>
      <c r="B291">
        <f>COUNTIFS(Data[Date], "&lt;="&amp;$A291, Data[Poster],B$1, Data[Winner],TRUE())</f>
        <v>61</v>
      </c>
      <c r="C291">
        <f>COUNTIFS(Data[Date], "&lt;="&amp;$A291, Data[Poster],C$1, Data[Winner],TRUE())</f>
        <v>60</v>
      </c>
      <c r="D291">
        <f>COUNTIFS(Data[Date], "&lt;="&amp;$A291, Data[Poster],D$1, Data[Winner],TRUE())</f>
        <v>51</v>
      </c>
      <c r="E291">
        <f>COUNTIFS(Data[Date], "&lt;="&amp;$A291, Data[Poster],E$1, Data[Winner],TRUE())</f>
        <v>57</v>
      </c>
      <c r="F291">
        <f>COUNTIFS(Data[Date], "&lt;="&amp;$A291, Data[Poster],F$1, Data[Winner],TRUE())</f>
        <v>61</v>
      </c>
      <c r="G291" t="str" cm="1">
        <f t="array" ref="G291">_xlfn.TEXTJOIN(", ", TRUE, _xlfn._xlws.FILTER(Cumulative_Wins[[#Headers],[alappatjoe]:[currydestroyer27]], Cumulative_Wins[[#This Row],[alappatjoe]:[currydestroyer27]]=MAX(Cumulative_Wins[[#This Row],[alappatjoe]:[currydestroyer27]])))</f>
        <v>alappatjoe, currydestroyer27</v>
      </c>
    </row>
    <row r="292" spans="1:7">
      <c r="A292" s="217">
        <v>45979</v>
      </c>
      <c r="B292">
        <f>COUNTIFS(Data[Date], "&lt;="&amp;$A292, Data[Poster],B$1, Data[Winner],TRUE())</f>
        <v>61</v>
      </c>
      <c r="C292">
        <f>COUNTIFS(Data[Date], "&lt;="&amp;$A292, Data[Poster],C$1, Data[Winner],TRUE())</f>
        <v>61</v>
      </c>
      <c r="D292">
        <f>COUNTIFS(Data[Date], "&lt;="&amp;$A292, Data[Poster],D$1, Data[Winner],TRUE())</f>
        <v>51</v>
      </c>
      <c r="E292">
        <f>COUNTIFS(Data[Date], "&lt;="&amp;$A292, Data[Poster],E$1, Data[Winner],TRUE())</f>
        <v>57</v>
      </c>
      <c r="F292">
        <f>COUNTIFS(Data[Date], "&lt;="&amp;$A292, Data[Poster],F$1, Data[Winner],TRUE())</f>
        <v>61</v>
      </c>
      <c r="G292" t="str" cm="1">
        <f t="array" ref="G292">_xlfn.TEXTJOIN(", ", TRUE, _xlfn._xlws.FILTER(Cumulative_Wins[[#Headers],[alappatjoe]:[currydestroyer27]], Cumulative_Wins[[#This Row],[alappatjoe]:[currydestroyer27]]=MAX(Cumulative_Wins[[#This Row],[alappatjoe]:[currydestroyer27]])))</f>
        <v>alappatjoe, danram, currydestroyer27</v>
      </c>
    </row>
    <row r="293" spans="1:7">
      <c r="A293" s="217">
        <v>45980</v>
      </c>
      <c r="B293">
        <f>COUNTIFS(Data[Date], "&lt;="&amp;$A293, Data[Poster],B$1, Data[Winner],TRUE())</f>
        <v>61</v>
      </c>
      <c r="C293">
        <f>COUNTIFS(Data[Date], "&lt;="&amp;$A293, Data[Poster],C$1, Data[Winner],TRUE())</f>
        <v>61</v>
      </c>
      <c r="D293">
        <f>COUNTIFS(Data[Date], "&lt;="&amp;$A293, Data[Poster],D$1, Data[Winner],TRUE())</f>
        <v>51</v>
      </c>
      <c r="E293">
        <f>COUNTIFS(Data[Date], "&lt;="&amp;$A293, Data[Poster],E$1, Data[Winner],TRUE())</f>
        <v>58</v>
      </c>
      <c r="F293">
        <f>COUNTIFS(Data[Date], "&lt;="&amp;$A293, Data[Poster],F$1, Data[Winner],TRUE())</f>
        <v>61</v>
      </c>
      <c r="G293" t="str" cm="1">
        <f t="array" ref="G293">_xlfn.TEXTJOIN(", ", TRUE, _xlfn._xlws.FILTER(Cumulative_Wins[[#Headers],[alappatjoe]:[currydestroyer27]], Cumulative_Wins[[#This Row],[alappatjoe]:[currydestroyer27]]=MAX(Cumulative_Wins[[#This Row],[alappatjoe]:[currydestroyer27]])))</f>
        <v>alappatjoe, danram, currydestroyer27</v>
      </c>
    </row>
    <row r="294" spans="1:7">
      <c r="A294" s="217">
        <v>45981</v>
      </c>
      <c r="B294">
        <f>COUNTIFS(Data[Date], "&lt;="&amp;$A294, Data[Poster],B$1, Data[Winner],TRUE())</f>
        <v>61</v>
      </c>
      <c r="C294">
        <f>COUNTIFS(Data[Date], "&lt;="&amp;$A294, Data[Poster],C$1, Data[Winner],TRUE())</f>
        <v>62</v>
      </c>
      <c r="D294">
        <f>COUNTIFS(Data[Date], "&lt;="&amp;$A294, Data[Poster],D$1, Data[Winner],TRUE())</f>
        <v>51</v>
      </c>
      <c r="E294">
        <f>COUNTIFS(Data[Date], "&lt;="&amp;$A294, Data[Poster],E$1, Data[Winner],TRUE())</f>
        <v>58</v>
      </c>
      <c r="F294">
        <f>COUNTIFS(Data[Date], "&lt;="&amp;$A294, Data[Poster],F$1, Data[Winner],TRUE())</f>
        <v>61</v>
      </c>
      <c r="G294" t="str" cm="1">
        <f t="array" ref="G294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295" spans="1:7">
      <c r="A295" s="217">
        <v>45985</v>
      </c>
      <c r="B295">
        <f>COUNTIFS(Data[Date], "&lt;="&amp;$A295, Data[Poster],B$1, Data[Winner],TRUE())</f>
        <v>61</v>
      </c>
      <c r="C295">
        <f>COUNTIFS(Data[Date], "&lt;="&amp;$A295, Data[Poster],C$1, Data[Winner],TRUE())</f>
        <v>62</v>
      </c>
      <c r="D295">
        <f>COUNTIFS(Data[Date], "&lt;="&amp;$A295, Data[Poster],D$1, Data[Winner],TRUE())</f>
        <v>51</v>
      </c>
      <c r="E295">
        <f>COUNTIFS(Data[Date], "&lt;="&amp;$A295, Data[Poster],E$1, Data[Winner],TRUE())</f>
        <v>58</v>
      </c>
      <c r="F295">
        <f>COUNTIFS(Data[Date], "&lt;="&amp;$A295, Data[Poster],F$1, Data[Winner],TRUE())</f>
        <v>62</v>
      </c>
      <c r="G295" t="str" cm="1">
        <f t="array" ref="G295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296" spans="1:7">
      <c r="A296" s="217">
        <v>45986</v>
      </c>
      <c r="B296">
        <f>COUNTIFS(Data[Date], "&lt;="&amp;$A296, Data[Poster],B$1, Data[Winner],TRUE())</f>
        <v>61</v>
      </c>
      <c r="C296">
        <f>COUNTIFS(Data[Date], "&lt;="&amp;$A296, Data[Poster],C$1, Data[Winner],TRUE())</f>
        <v>62</v>
      </c>
      <c r="D296">
        <f>COUNTIFS(Data[Date], "&lt;="&amp;$A296, Data[Poster],D$1, Data[Winner],TRUE())</f>
        <v>51</v>
      </c>
      <c r="E296">
        <f>COUNTIFS(Data[Date], "&lt;="&amp;$A296, Data[Poster],E$1, Data[Winner],TRUE())</f>
        <v>59</v>
      </c>
      <c r="F296">
        <f>COUNTIFS(Data[Date], "&lt;="&amp;$A296, Data[Poster],F$1, Data[Winner],TRUE())</f>
        <v>62</v>
      </c>
      <c r="G296" t="str" cm="1">
        <f t="array" ref="G296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297" spans="1:7">
      <c r="A297" s="217">
        <v>45987</v>
      </c>
      <c r="B297">
        <f>COUNTIFS(Data[Date], "&lt;="&amp;$A297, Data[Poster],B$1, Data[Winner],TRUE())</f>
        <v>62</v>
      </c>
      <c r="C297">
        <f>COUNTIFS(Data[Date], "&lt;="&amp;$A297, Data[Poster],C$1, Data[Winner],TRUE())</f>
        <v>62</v>
      </c>
      <c r="D297">
        <f>COUNTIFS(Data[Date], "&lt;="&amp;$A297, Data[Poster],D$1, Data[Winner],TRUE())</f>
        <v>51</v>
      </c>
      <c r="E297">
        <f>COUNTIFS(Data[Date], "&lt;="&amp;$A297, Data[Poster],E$1, Data[Winner],TRUE())</f>
        <v>59</v>
      </c>
      <c r="F297">
        <f>COUNTIFS(Data[Date], "&lt;="&amp;$A297, Data[Poster],F$1, Data[Winner],TRUE())</f>
        <v>62</v>
      </c>
      <c r="G297" t="str" cm="1">
        <f t="array" ref="G297">_xlfn.TEXTJOIN(", ", TRUE, _xlfn._xlws.FILTER(Cumulative_Wins[[#Headers],[alappatjoe]:[currydestroyer27]], Cumulative_Wins[[#This Row],[alappatjoe]:[currydestroyer27]]=MAX(Cumulative_Wins[[#This Row],[alappatjoe]:[currydestroyer27]])))</f>
        <v>alappatjoe, danram, currydestroyer27</v>
      </c>
    </row>
    <row r="298" spans="1:7">
      <c r="A298" s="217">
        <v>45988</v>
      </c>
      <c r="B298">
        <f>COUNTIFS(Data[Date], "&lt;="&amp;$A298, Data[Poster],B$1, Data[Winner],TRUE())</f>
        <v>62</v>
      </c>
      <c r="C298">
        <f>COUNTIFS(Data[Date], "&lt;="&amp;$A298, Data[Poster],C$1, Data[Winner],TRUE())</f>
        <v>63</v>
      </c>
      <c r="D298">
        <f>COUNTIFS(Data[Date], "&lt;="&amp;$A298, Data[Poster],D$1, Data[Winner],TRUE())</f>
        <v>51</v>
      </c>
      <c r="E298">
        <f>COUNTIFS(Data[Date], "&lt;="&amp;$A298, Data[Poster],E$1, Data[Winner],TRUE())</f>
        <v>59</v>
      </c>
      <c r="F298">
        <f>COUNTIFS(Data[Date], "&lt;="&amp;$A298, Data[Poster],F$1, Data[Winner],TRUE())</f>
        <v>62</v>
      </c>
      <c r="G298" t="str" cm="1">
        <f t="array" ref="G298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299" spans="1:7">
      <c r="A299" s="217">
        <v>45992</v>
      </c>
      <c r="B299">
        <f>COUNTIFS(Data[Date], "&lt;="&amp;$A299, Data[Poster],B$1, Data[Winner],TRUE())</f>
        <v>62</v>
      </c>
      <c r="C299">
        <f>COUNTIFS(Data[Date], "&lt;="&amp;$A299, Data[Poster],C$1, Data[Winner],TRUE())</f>
        <v>63</v>
      </c>
      <c r="D299">
        <f>COUNTIFS(Data[Date], "&lt;="&amp;$A299, Data[Poster],D$1, Data[Winner],TRUE())</f>
        <v>51</v>
      </c>
      <c r="E299">
        <f>COUNTIFS(Data[Date], "&lt;="&amp;$A299, Data[Poster],E$1, Data[Winner],TRUE())</f>
        <v>59</v>
      </c>
      <c r="F299">
        <f>COUNTIFS(Data[Date], "&lt;="&amp;$A299, Data[Poster],F$1, Data[Winner],TRUE())</f>
        <v>63</v>
      </c>
      <c r="G299" t="str" cm="1">
        <f t="array" ref="G299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300" spans="1:7">
      <c r="A300" s="217">
        <v>45993</v>
      </c>
      <c r="B300">
        <f>COUNTIFS(Data[Date], "&lt;="&amp;$A300, Data[Poster],B$1, Data[Winner],TRUE())</f>
        <v>62</v>
      </c>
      <c r="C300">
        <f>COUNTIFS(Data[Date], "&lt;="&amp;$A300, Data[Poster],C$1, Data[Winner],TRUE())</f>
        <v>64</v>
      </c>
      <c r="D300">
        <f>COUNTIFS(Data[Date], "&lt;="&amp;$A300, Data[Poster],D$1, Data[Winner],TRUE())</f>
        <v>51</v>
      </c>
      <c r="E300">
        <f>COUNTIFS(Data[Date], "&lt;="&amp;$A300, Data[Poster],E$1, Data[Winner],TRUE())</f>
        <v>59</v>
      </c>
      <c r="F300">
        <f>COUNTIFS(Data[Date], "&lt;="&amp;$A300, Data[Poster],F$1, Data[Winner],TRUE())</f>
        <v>63</v>
      </c>
      <c r="G300" t="str" cm="1">
        <f t="array" ref="G300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301" spans="1:7">
      <c r="A301" s="217">
        <v>45994</v>
      </c>
      <c r="B301">
        <f>COUNTIFS(Data[Date], "&lt;="&amp;$A301, Data[Poster],B$1, Data[Winner],TRUE())</f>
        <v>63</v>
      </c>
      <c r="C301">
        <f>COUNTIFS(Data[Date], "&lt;="&amp;$A301, Data[Poster],C$1, Data[Winner],TRUE())</f>
        <v>64</v>
      </c>
      <c r="D301">
        <f>COUNTIFS(Data[Date], "&lt;="&amp;$A301, Data[Poster],D$1, Data[Winner],TRUE())</f>
        <v>51</v>
      </c>
      <c r="E301">
        <f>COUNTIFS(Data[Date], "&lt;="&amp;$A301, Data[Poster],E$1, Data[Winner],TRUE())</f>
        <v>59</v>
      </c>
      <c r="F301">
        <f>COUNTIFS(Data[Date], "&lt;="&amp;$A301, Data[Poster],F$1, Data[Winner],TRUE())</f>
        <v>63</v>
      </c>
      <c r="G301" t="str" cm="1">
        <f t="array" ref="G301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302" spans="1:7">
      <c r="A302" s="217">
        <v>45995</v>
      </c>
      <c r="B302">
        <f>COUNTIFS(Data[Date], "&lt;="&amp;$A302, Data[Poster],B$1, Data[Winner],TRUE())</f>
        <v>63</v>
      </c>
      <c r="C302">
        <f>COUNTIFS(Data[Date], "&lt;="&amp;$A302, Data[Poster],C$1, Data[Winner],TRUE())</f>
        <v>64</v>
      </c>
      <c r="D302">
        <f>COUNTIFS(Data[Date], "&lt;="&amp;$A302, Data[Poster],D$1, Data[Winner],TRUE())</f>
        <v>51</v>
      </c>
      <c r="E302">
        <f>COUNTIFS(Data[Date], "&lt;="&amp;$A302, Data[Poster],E$1, Data[Winner],TRUE())</f>
        <v>60</v>
      </c>
      <c r="F302">
        <f>COUNTIFS(Data[Date], "&lt;="&amp;$A302, Data[Poster],F$1, Data[Winner],TRUE())</f>
        <v>63</v>
      </c>
      <c r="G302" t="str" cm="1">
        <f t="array" ref="G302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303" spans="1:7">
      <c r="A303" s="217">
        <v>45999</v>
      </c>
      <c r="B303">
        <f>COUNTIFS(Data[Date], "&lt;="&amp;$A303, Data[Poster],B$1, Data[Winner],TRUE())</f>
        <v>63</v>
      </c>
      <c r="C303">
        <f>COUNTIFS(Data[Date], "&lt;="&amp;$A303, Data[Poster],C$1, Data[Winner],TRUE())</f>
        <v>64</v>
      </c>
      <c r="D303">
        <f>COUNTIFS(Data[Date], "&lt;="&amp;$A303, Data[Poster],D$1, Data[Winner],TRUE())</f>
        <v>51</v>
      </c>
      <c r="E303">
        <f>COUNTIFS(Data[Date], "&lt;="&amp;$A303, Data[Poster],E$1, Data[Winner],TRUE())</f>
        <v>61</v>
      </c>
      <c r="F303">
        <f>COUNTIFS(Data[Date], "&lt;="&amp;$A303, Data[Poster],F$1, Data[Winner],TRUE())</f>
        <v>63</v>
      </c>
      <c r="G303" t="str" cm="1">
        <f t="array" ref="G303">_xlfn.TEXTJOIN(", ", TRUE, _xlfn._xlws.FILTER(Cumulative_Wins[[#Headers],[alappatjoe]:[currydestroyer27]], Cumulative_Wins[[#This Row],[alappatjoe]:[currydestroyer27]]=MAX(Cumulative_Wins[[#This Row],[alappatjoe]:[currydestroyer27]])))</f>
        <v>danram</v>
      </c>
    </row>
    <row r="304" spans="1:7">
      <c r="A304" s="217">
        <v>46000</v>
      </c>
      <c r="B304">
        <f>COUNTIFS(Data[Date], "&lt;="&amp;$A304, Data[Poster],B$1, Data[Winner],TRUE())</f>
        <v>63</v>
      </c>
      <c r="C304">
        <f>COUNTIFS(Data[Date], "&lt;="&amp;$A304, Data[Poster],C$1, Data[Winner],TRUE())</f>
        <v>64</v>
      </c>
      <c r="D304">
        <f>COUNTIFS(Data[Date], "&lt;="&amp;$A304, Data[Poster],D$1, Data[Winner],TRUE())</f>
        <v>51</v>
      </c>
      <c r="E304">
        <f>COUNTIFS(Data[Date], "&lt;="&amp;$A304, Data[Poster],E$1, Data[Winner],TRUE())</f>
        <v>61</v>
      </c>
      <c r="F304">
        <f>COUNTIFS(Data[Date], "&lt;="&amp;$A304, Data[Poster],F$1, Data[Winner],TRUE())</f>
        <v>64</v>
      </c>
      <c r="G304" t="str" cm="1">
        <f t="array" ref="G304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305" spans="1:7">
      <c r="A305" s="217">
        <v>46001</v>
      </c>
      <c r="B305">
        <f>COUNTIFS(Data[Date], "&lt;="&amp;$A305, Data[Poster],B$1, Data[Winner],TRUE())</f>
        <v>63</v>
      </c>
      <c r="C305">
        <f>COUNTIFS(Data[Date], "&lt;="&amp;$A305, Data[Poster],C$1, Data[Winner],TRUE())</f>
        <v>64</v>
      </c>
      <c r="D305">
        <f>COUNTIFS(Data[Date], "&lt;="&amp;$A305, Data[Poster],D$1, Data[Winner],TRUE())</f>
        <v>52</v>
      </c>
      <c r="E305">
        <f>COUNTIFS(Data[Date], "&lt;="&amp;$A305, Data[Poster],E$1, Data[Winner],TRUE())</f>
        <v>61</v>
      </c>
      <c r="F305">
        <f>COUNTIFS(Data[Date], "&lt;="&amp;$A305, Data[Poster],F$1, Data[Winner],TRUE())</f>
        <v>64</v>
      </c>
      <c r="G305" t="str" cm="1">
        <f t="array" ref="G305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306" spans="1:7">
      <c r="A306" s="217">
        <v>46002</v>
      </c>
      <c r="B306">
        <f>COUNTIFS(Data[Date], "&lt;="&amp;$A306, Data[Poster],B$1, Data[Winner],TRUE())</f>
        <v>63</v>
      </c>
      <c r="C306">
        <f>COUNTIFS(Data[Date], "&lt;="&amp;$A306, Data[Poster],C$1, Data[Winner],TRUE())</f>
        <v>64</v>
      </c>
      <c r="D306">
        <f>COUNTIFS(Data[Date], "&lt;="&amp;$A306, Data[Poster],D$1, Data[Winner],TRUE())</f>
        <v>53</v>
      </c>
      <c r="E306">
        <f>COUNTIFS(Data[Date], "&lt;="&amp;$A306, Data[Poster],E$1, Data[Winner],TRUE())</f>
        <v>61</v>
      </c>
      <c r="F306">
        <f>COUNTIFS(Data[Date], "&lt;="&amp;$A306, Data[Poster],F$1, Data[Winner],TRUE())</f>
        <v>64</v>
      </c>
      <c r="G306" t="str" cm="1">
        <f t="array" ref="G306">_xlfn.TEXTJOIN(", ", TRUE, _xlfn._xlws.FILTER(Cumulative_Wins[[#Headers],[alappatjoe]:[currydestroyer27]], Cumulative_Wins[[#This Row],[alappatjoe]:[currydestroyer27]]=MAX(Cumulative_Wins[[#This Row],[alappatjoe]:[currydestroyer27]])))</f>
        <v>danram, currydestroyer27</v>
      </c>
    </row>
    <row r="307" spans="1:7">
      <c r="A307" s="217">
        <v>46006</v>
      </c>
      <c r="B307">
        <f>COUNTIFS(Data[Date], "&lt;="&amp;$A307, Data[Poster],B$1, Data[Winner],TRUE())</f>
        <v>63</v>
      </c>
      <c r="C307">
        <f>COUNTIFS(Data[Date], "&lt;="&amp;$A307, Data[Poster],C$1, Data[Winner],TRUE())</f>
        <v>64</v>
      </c>
      <c r="D307">
        <f>COUNTIFS(Data[Date], "&lt;="&amp;$A307, Data[Poster],D$1, Data[Winner],TRUE())</f>
        <v>53</v>
      </c>
      <c r="E307">
        <f>COUNTIFS(Data[Date], "&lt;="&amp;$A307, Data[Poster],E$1, Data[Winner],TRUE())</f>
        <v>61</v>
      </c>
      <c r="F307">
        <f>COUNTIFS(Data[Date], "&lt;="&amp;$A307, Data[Poster],F$1, Data[Winner],TRUE())</f>
        <v>65</v>
      </c>
      <c r="G307" t="str" cm="1">
        <f t="array" ref="G30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08" spans="1:7">
      <c r="A308" s="217">
        <v>46007</v>
      </c>
      <c r="B308">
        <f>COUNTIFS(Data[Date], "&lt;="&amp;$A308, Data[Poster],B$1, Data[Winner],TRUE())</f>
        <v>63</v>
      </c>
      <c r="C308">
        <f>COUNTIFS(Data[Date], "&lt;="&amp;$A308, Data[Poster],C$1, Data[Winner],TRUE())</f>
        <v>64</v>
      </c>
      <c r="D308">
        <f>COUNTIFS(Data[Date], "&lt;="&amp;$A308, Data[Poster],D$1, Data[Winner],TRUE())</f>
        <v>54</v>
      </c>
      <c r="E308">
        <f>COUNTIFS(Data[Date], "&lt;="&amp;$A308, Data[Poster],E$1, Data[Winner],TRUE())</f>
        <v>61</v>
      </c>
      <c r="F308">
        <f>COUNTIFS(Data[Date], "&lt;="&amp;$A308, Data[Poster],F$1, Data[Winner],TRUE())</f>
        <v>65</v>
      </c>
      <c r="G308" t="str" cm="1">
        <f t="array" ref="G30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09" spans="1:7">
      <c r="A309" s="217">
        <v>46008</v>
      </c>
      <c r="B309">
        <f>COUNTIFS(Data[Date], "&lt;="&amp;$A309, Data[Poster],B$1, Data[Winner],TRUE())</f>
        <v>63</v>
      </c>
      <c r="C309">
        <f>COUNTIFS(Data[Date], "&lt;="&amp;$A309, Data[Poster],C$1, Data[Winner],TRUE())</f>
        <v>64</v>
      </c>
      <c r="D309">
        <f>COUNTIFS(Data[Date], "&lt;="&amp;$A309, Data[Poster],D$1, Data[Winner],TRUE())</f>
        <v>54</v>
      </c>
      <c r="E309">
        <f>COUNTIFS(Data[Date], "&lt;="&amp;$A309, Data[Poster],E$1, Data[Winner],TRUE())</f>
        <v>61</v>
      </c>
      <c r="F309">
        <f>COUNTIFS(Data[Date], "&lt;="&amp;$A309, Data[Poster],F$1, Data[Winner],TRUE())</f>
        <v>66</v>
      </c>
      <c r="G309" t="str" cm="1">
        <f t="array" ref="G30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10" spans="1:7">
      <c r="A310" s="217">
        <v>46009</v>
      </c>
      <c r="B310">
        <f>COUNTIFS(Data[Date], "&lt;="&amp;$A310, Data[Poster],B$1, Data[Winner],TRUE())</f>
        <v>63</v>
      </c>
      <c r="C310">
        <f>COUNTIFS(Data[Date], "&lt;="&amp;$A310, Data[Poster],C$1, Data[Winner],TRUE())</f>
        <v>64</v>
      </c>
      <c r="D310">
        <f>COUNTIFS(Data[Date], "&lt;="&amp;$A310, Data[Poster],D$1, Data[Winner],TRUE())</f>
        <v>54</v>
      </c>
      <c r="E310">
        <f>COUNTIFS(Data[Date], "&lt;="&amp;$A310, Data[Poster],E$1, Data[Winner],TRUE())</f>
        <v>61</v>
      </c>
      <c r="F310">
        <f>COUNTIFS(Data[Date], "&lt;="&amp;$A310, Data[Poster],F$1, Data[Winner],TRUE())</f>
        <v>67</v>
      </c>
      <c r="G310" t="str" cm="1">
        <f t="array" ref="G31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11" spans="1:7">
      <c r="A311" s="217">
        <v>46027</v>
      </c>
      <c r="B311">
        <f>COUNTIFS(Data[Date], "&lt;="&amp;$A311, Data[Poster],B$1, Data[Winner],TRUE())</f>
        <v>63</v>
      </c>
      <c r="C311">
        <f>COUNTIFS(Data[Date], "&lt;="&amp;$A311, Data[Poster],C$1, Data[Winner],TRUE())</f>
        <v>64</v>
      </c>
      <c r="D311">
        <f>COUNTIFS(Data[Date], "&lt;="&amp;$A311, Data[Poster],D$1, Data[Winner],TRUE())</f>
        <v>54</v>
      </c>
      <c r="E311">
        <f>COUNTIFS(Data[Date], "&lt;="&amp;$A311, Data[Poster],E$1, Data[Winner],TRUE())</f>
        <v>62</v>
      </c>
      <c r="F311">
        <f>COUNTIFS(Data[Date], "&lt;="&amp;$A311, Data[Poster],F$1, Data[Winner],TRUE())</f>
        <v>67</v>
      </c>
      <c r="G311" t="str" cm="1">
        <f t="array" ref="G31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12" spans="1:7">
      <c r="A312" s="217">
        <v>46028</v>
      </c>
      <c r="B312">
        <f>COUNTIFS(Data[Date], "&lt;="&amp;$A312, Data[Poster],B$1, Data[Winner],TRUE())</f>
        <v>64</v>
      </c>
      <c r="C312">
        <f>COUNTIFS(Data[Date], "&lt;="&amp;$A312, Data[Poster],C$1, Data[Winner],TRUE())</f>
        <v>64</v>
      </c>
      <c r="D312">
        <f>COUNTIFS(Data[Date], "&lt;="&amp;$A312, Data[Poster],D$1, Data[Winner],TRUE())</f>
        <v>54</v>
      </c>
      <c r="E312">
        <f>COUNTIFS(Data[Date], "&lt;="&amp;$A312, Data[Poster],E$1, Data[Winner],TRUE())</f>
        <v>62</v>
      </c>
      <c r="F312">
        <f>COUNTIFS(Data[Date], "&lt;="&amp;$A312, Data[Poster],F$1, Data[Winner],TRUE())</f>
        <v>67</v>
      </c>
      <c r="G312" t="str" cm="1">
        <f t="array" ref="G31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13" spans="1:7">
      <c r="A313" s="217">
        <v>46029</v>
      </c>
      <c r="B313">
        <f>COUNTIFS(Data[Date], "&lt;="&amp;$A313, Data[Poster],B$1, Data[Winner],TRUE())</f>
        <v>64</v>
      </c>
      <c r="C313">
        <f>COUNTIFS(Data[Date], "&lt;="&amp;$A313, Data[Poster],C$1, Data[Winner],TRUE())</f>
        <v>64</v>
      </c>
      <c r="D313">
        <f>COUNTIFS(Data[Date], "&lt;="&amp;$A313, Data[Poster],D$1, Data[Winner],TRUE())</f>
        <v>55</v>
      </c>
      <c r="E313">
        <f>COUNTIFS(Data[Date], "&lt;="&amp;$A313, Data[Poster],E$1, Data[Winner],TRUE())</f>
        <v>62</v>
      </c>
      <c r="F313">
        <f>COUNTIFS(Data[Date], "&lt;="&amp;$A313, Data[Poster],F$1, Data[Winner],TRUE())</f>
        <v>67</v>
      </c>
      <c r="G313" t="str" cm="1">
        <f t="array" ref="G31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14" spans="1:7">
      <c r="A314" s="217">
        <v>46030</v>
      </c>
      <c r="B314">
        <f>COUNTIFS(Data[Date], "&lt;="&amp;$A314, Data[Poster],B$1, Data[Winner],TRUE())</f>
        <v>65</v>
      </c>
      <c r="C314">
        <f>COUNTIFS(Data[Date], "&lt;="&amp;$A314, Data[Poster],C$1, Data[Winner],TRUE())</f>
        <v>64</v>
      </c>
      <c r="D314">
        <f>COUNTIFS(Data[Date], "&lt;="&amp;$A314, Data[Poster],D$1, Data[Winner],TRUE())</f>
        <v>55</v>
      </c>
      <c r="E314">
        <f>COUNTIFS(Data[Date], "&lt;="&amp;$A314, Data[Poster],E$1, Data[Winner],TRUE())</f>
        <v>62</v>
      </c>
      <c r="F314">
        <f>COUNTIFS(Data[Date], "&lt;="&amp;$A314, Data[Poster],F$1, Data[Winner],TRUE())</f>
        <v>67</v>
      </c>
      <c r="G314" t="str" cm="1">
        <f t="array" ref="G31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15" spans="1:7">
      <c r="A315" s="217">
        <v>46034</v>
      </c>
      <c r="B315">
        <f>COUNTIFS(Data[Date], "&lt;="&amp;$A315, Data[Poster],B$1, Data[Winner],TRUE())</f>
        <v>65</v>
      </c>
      <c r="C315">
        <f>COUNTIFS(Data[Date], "&lt;="&amp;$A315, Data[Poster],C$1, Data[Winner],TRUE())</f>
        <v>64</v>
      </c>
      <c r="D315">
        <f>COUNTIFS(Data[Date], "&lt;="&amp;$A315, Data[Poster],D$1, Data[Winner],TRUE())</f>
        <v>55</v>
      </c>
      <c r="E315">
        <f>COUNTIFS(Data[Date], "&lt;="&amp;$A315, Data[Poster],E$1, Data[Winner],TRUE())</f>
        <v>62</v>
      </c>
      <c r="F315">
        <f>COUNTIFS(Data[Date], "&lt;="&amp;$A315, Data[Poster],F$1, Data[Winner],TRUE())</f>
        <v>68</v>
      </c>
      <c r="G315" t="str" cm="1">
        <f t="array" ref="G31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16" spans="1:7">
      <c r="A316" s="217">
        <v>46035</v>
      </c>
      <c r="B316">
        <f>COUNTIFS(Data[Date], "&lt;="&amp;$A316, Data[Poster],B$1, Data[Winner],TRUE())</f>
        <v>65</v>
      </c>
      <c r="C316">
        <f>COUNTIFS(Data[Date], "&lt;="&amp;$A316, Data[Poster],C$1, Data[Winner],TRUE())</f>
        <v>64</v>
      </c>
      <c r="D316">
        <f>COUNTIFS(Data[Date], "&lt;="&amp;$A316, Data[Poster],D$1, Data[Winner],TRUE())</f>
        <v>55</v>
      </c>
      <c r="E316">
        <f>COUNTIFS(Data[Date], "&lt;="&amp;$A316, Data[Poster],E$1, Data[Winner],TRUE())</f>
        <v>62</v>
      </c>
      <c r="F316">
        <f>COUNTIFS(Data[Date], "&lt;="&amp;$A316, Data[Poster],F$1, Data[Winner],TRUE())</f>
        <v>69</v>
      </c>
      <c r="G316" t="str" cm="1">
        <f t="array" ref="G31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17" spans="1:7">
      <c r="A317" s="217">
        <v>46036</v>
      </c>
      <c r="B317">
        <f>COUNTIFS(Data[Date], "&lt;="&amp;$A317, Data[Poster],B$1, Data[Winner],TRUE())</f>
        <v>66</v>
      </c>
      <c r="C317">
        <f>COUNTIFS(Data[Date], "&lt;="&amp;$A317, Data[Poster],C$1, Data[Winner],TRUE())</f>
        <v>64</v>
      </c>
      <c r="D317">
        <f>COUNTIFS(Data[Date], "&lt;="&amp;$A317, Data[Poster],D$1, Data[Winner],TRUE())</f>
        <v>55</v>
      </c>
      <c r="E317">
        <f>COUNTIFS(Data[Date], "&lt;="&amp;$A317, Data[Poster],E$1, Data[Winner],TRUE())</f>
        <v>62</v>
      </c>
      <c r="F317">
        <f>COUNTIFS(Data[Date], "&lt;="&amp;$A317, Data[Poster],F$1, Data[Winner],TRUE())</f>
        <v>69</v>
      </c>
      <c r="G317" t="str" cm="1">
        <f t="array" ref="G31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18" spans="1:7">
      <c r="A318" s="217">
        <v>46037</v>
      </c>
      <c r="B318">
        <f>COUNTIFS(Data[Date], "&lt;="&amp;$A318, Data[Poster],B$1, Data[Winner],TRUE())</f>
        <v>66</v>
      </c>
      <c r="C318">
        <f>COUNTIFS(Data[Date], "&lt;="&amp;$A318, Data[Poster],C$1, Data[Winner],TRUE())</f>
        <v>64</v>
      </c>
      <c r="D318">
        <f>COUNTIFS(Data[Date], "&lt;="&amp;$A318, Data[Poster],D$1, Data[Winner],TRUE())</f>
        <v>55</v>
      </c>
      <c r="E318">
        <f>COUNTIFS(Data[Date], "&lt;="&amp;$A318, Data[Poster],E$1, Data[Winner],TRUE())</f>
        <v>63</v>
      </c>
      <c r="F318">
        <f>COUNTIFS(Data[Date], "&lt;="&amp;$A318, Data[Poster],F$1, Data[Winner],TRUE())</f>
        <v>69</v>
      </c>
      <c r="G318" t="str" cm="1">
        <f t="array" ref="G31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19" spans="1:7">
      <c r="A319" s="217">
        <v>46041</v>
      </c>
      <c r="B319">
        <f>COUNTIFS(Data[Date], "&lt;="&amp;$A319, Data[Poster],B$1, Data[Winner],TRUE())</f>
        <v>66</v>
      </c>
      <c r="C319">
        <f>COUNTIFS(Data[Date], "&lt;="&amp;$A319, Data[Poster],C$1, Data[Winner],TRUE())</f>
        <v>64</v>
      </c>
      <c r="D319">
        <f>COUNTIFS(Data[Date], "&lt;="&amp;$A319, Data[Poster],D$1, Data[Winner],TRUE())</f>
        <v>56</v>
      </c>
      <c r="E319">
        <f>COUNTIFS(Data[Date], "&lt;="&amp;$A319, Data[Poster],E$1, Data[Winner],TRUE())</f>
        <v>63</v>
      </c>
      <c r="F319">
        <f>COUNTIFS(Data[Date], "&lt;="&amp;$A319, Data[Poster],F$1, Data[Winner],TRUE())</f>
        <v>69</v>
      </c>
      <c r="G319" t="str" cm="1">
        <f t="array" ref="G31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20" spans="1:7">
      <c r="A320" s="217">
        <v>46042</v>
      </c>
      <c r="B320">
        <f>COUNTIFS(Data[Date], "&lt;="&amp;$A320, Data[Poster],B$1, Data[Winner],TRUE())</f>
        <v>66</v>
      </c>
      <c r="C320">
        <f>COUNTIFS(Data[Date], "&lt;="&amp;$A320, Data[Poster],C$1, Data[Winner],TRUE())</f>
        <v>64</v>
      </c>
      <c r="D320">
        <f>COUNTIFS(Data[Date], "&lt;="&amp;$A320, Data[Poster],D$1, Data[Winner],TRUE())</f>
        <v>56</v>
      </c>
      <c r="E320">
        <f>COUNTIFS(Data[Date], "&lt;="&amp;$A320, Data[Poster],E$1, Data[Winner],TRUE())</f>
        <v>64</v>
      </c>
      <c r="F320">
        <f>COUNTIFS(Data[Date], "&lt;="&amp;$A320, Data[Poster],F$1, Data[Winner],TRUE())</f>
        <v>69</v>
      </c>
      <c r="G320" t="str" cm="1">
        <f t="array" ref="G32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21" spans="1:7">
      <c r="A321" s="217">
        <v>46043</v>
      </c>
      <c r="B321">
        <f>COUNTIFS(Data[Date], "&lt;="&amp;$A321, Data[Poster],B$1, Data[Winner],TRUE())</f>
        <v>66</v>
      </c>
      <c r="C321">
        <f>COUNTIFS(Data[Date], "&lt;="&amp;$A321, Data[Poster],C$1, Data[Winner],TRUE())</f>
        <v>64</v>
      </c>
      <c r="D321">
        <f>COUNTIFS(Data[Date], "&lt;="&amp;$A321, Data[Poster],D$1, Data[Winner],TRUE())</f>
        <v>56</v>
      </c>
      <c r="E321">
        <f>COUNTIFS(Data[Date], "&lt;="&amp;$A321, Data[Poster],E$1, Data[Winner],TRUE())</f>
        <v>65</v>
      </c>
      <c r="F321">
        <f>COUNTIFS(Data[Date], "&lt;="&amp;$A321, Data[Poster],F$1, Data[Winner],TRUE())</f>
        <v>69</v>
      </c>
      <c r="G321" t="str" cm="1">
        <f t="array" ref="G32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22" spans="1:7">
      <c r="A322" s="217">
        <v>46044</v>
      </c>
      <c r="B322">
        <f>COUNTIFS(Data[Date], "&lt;="&amp;$A322, Data[Poster],B$1, Data[Winner],TRUE())</f>
        <v>66</v>
      </c>
      <c r="C322">
        <f>COUNTIFS(Data[Date], "&lt;="&amp;$A322, Data[Poster],C$1, Data[Winner],TRUE())</f>
        <v>64</v>
      </c>
      <c r="D322">
        <f>COUNTIFS(Data[Date], "&lt;="&amp;$A322, Data[Poster],D$1, Data[Winner],TRUE())</f>
        <v>56</v>
      </c>
      <c r="E322">
        <f>COUNTIFS(Data[Date], "&lt;="&amp;$A322, Data[Poster],E$1, Data[Winner],TRUE())</f>
        <v>65</v>
      </c>
      <c r="F322">
        <f>COUNTIFS(Data[Date], "&lt;="&amp;$A322, Data[Poster],F$1, Data[Winner],TRUE())</f>
        <v>70</v>
      </c>
      <c r="G322" t="str" cm="1">
        <f t="array" ref="G32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23" spans="1:7">
      <c r="A323" s="217">
        <v>46048</v>
      </c>
      <c r="B323">
        <f>COUNTIFS(Data[Date], "&lt;="&amp;$A323, Data[Poster],B$1, Data[Winner],TRUE())</f>
        <v>67</v>
      </c>
      <c r="C323">
        <f>COUNTIFS(Data[Date], "&lt;="&amp;$A323, Data[Poster],C$1, Data[Winner],TRUE())</f>
        <v>64</v>
      </c>
      <c r="D323">
        <f>COUNTIFS(Data[Date], "&lt;="&amp;$A323, Data[Poster],D$1, Data[Winner],TRUE())</f>
        <v>56</v>
      </c>
      <c r="E323">
        <f>COUNTIFS(Data[Date], "&lt;="&amp;$A323, Data[Poster],E$1, Data[Winner],TRUE())</f>
        <v>65</v>
      </c>
      <c r="F323">
        <f>COUNTIFS(Data[Date], "&lt;="&amp;$A323, Data[Poster],F$1, Data[Winner],TRUE())</f>
        <v>70</v>
      </c>
      <c r="G323" t="str" cm="1">
        <f t="array" ref="G32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24" spans="1:7">
      <c r="A324" s="217">
        <v>46049</v>
      </c>
      <c r="B324">
        <f>COUNTIFS(Data[Date], "&lt;="&amp;$A324, Data[Poster],B$1, Data[Winner],TRUE())</f>
        <v>67</v>
      </c>
      <c r="C324">
        <f>COUNTIFS(Data[Date], "&lt;="&amp;$A324, Data[Poster],C$1, Data[Winner],TRUE())</f>
        <v>64</v>
      </c>
      <c r="D324">
        <f>COUNTIFS(Data[Date], "&lt;="&amp;$A324, Data[Poster],D$1, Data[Winner],TRUE())</f>
        <v>57</v>
      </c>
      <c r="E324">
        <f>COUNTIFS(Data[Date], "&lt;="&amp;$A324, Data[Poster],E$1, Data[Winner],TRUE())</f>
        <v>65</v>
      </c>
      <c r="F324">
        <f>COUNTIFS(Data[Date], "&lt;="&amp;$A324, Data[Poster],F$1, Data[Winner],TRUE())</f>
        <v>70</v>
      </c>
      <c r="G324" t="str" cm="1">
        <f t="array" ref="G32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25" spans="1:7">
      <c r="A325" s="217">
        <v>46050</v>
      </c>
      <c r="B325">
        <f>COUNTIFS(Data[Date], "&lt;="&amp;$A325, Data[Poster],B$1, Data[Winner],TRUE())</f>
        <v>67</v>
      </c>
      <c r="C325">
        <f>COUNTIFS(Data[Date], "&lt;="&amp;$A325, Data[Poster],C$1, Data[Winner],TRUE())</f>
        <v>64</v>
      </c>
      <c r="D325">
        <f>COUNTIFS(Data[Date], "&lt;="&amp;$A325, Data[Poster],D$1, Data[Winner],TRUE())</f>
        <v>57</v>
      </c>
      <c r="E325">
        <f>COUNTIFS(Data[Date], "&lt;="&amp;$A325, Data[Poster],E$1, Data[Winner],TRUE())</f>
        <v>65</v>
      </c>
      <c r="F325">
        <f>COUNTIFS(Data[Date], "&lt;="&amp;$A325, Data[Poster],F$1, Data[Winner],TRUE())</f>
        <v>71</v>
      </c>
      <c r="G325" t="str" cm="1">
        <f t="array" ref="G32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26" spans="1:7">
      <c r="A326" s="217">
        <v>46051</v>
      </c>
      <c r="B326">
        <f>COUNTIFS(Data[Date], "&lt;="&amp;$A326, Data[Poster],B$1, Data[Winner],TRUE())</f>
        <v>67</v>
      </c>
      <c r="C326">
        <f>COUNTIFS(Data[Date], "&lt;="&amp;$A326, Data[Poster],C$1, Data[Winner],TRUE())</f>
        <v>64</v>
      </c>
      <c r="D326">
        <f>COUNTIFS(Data[Date], "&lt;="&amp;$A326, Data[Poster],D$1, Data[Winner],TRUE())</f>
        <v>57</v>
      </c>
      <c r="E326">
        <f>COUNTIFS(Data[Date], "&lt;="&amp;$A326, Data[Poster],E$1, Data[Winner],TRUE())</f>
        <v>65</v>
      </c>
      <c r="F326">
        <f>COUNTIFS(Data[Date], "&lt;="&amp;$A326, Data[Poster],F$1, Data[Winner],TRUE())</f>
        <v>72</v>
      </c>
      <c r="G326" t="str" cm="1">
        <f t="array" ref="G32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27" spans="1:7">
      <c r="A327" s="217">
        <v>46055</v>
      </c>
      <c r="B327">
        <f>COUNTIFS(Data[Date], "&lt;="&amp;$A327, Data[Poster],B$1, Data[Winner],TRUE())</f>
        <v>67</v>
      </c>
      <c r="C327">
        <f>COUNTIFS(Data[Date], "&lt;="&amp;$A327, Data[Poster],C$1, Data[Winner],TRUE())</f>
        <v>64</v>
      </c>
      <c r="D327">
        <f>COUNTIFS(Data[Date], "&lt;="&amp;$A327, Data[Poster],D$1, Data[Winner],TRUE())</f>
        <v>58</v>
      </c>
      <c r="E327">
        <f>COUNTIFS(Data[Date], "&lt;="&amp;$A327, Data[Poster],E$1, Data[Winner],TRUE())</f>
        <v>65</v>
      </c>
      <c r="F327">
        <f>COUNTIFS(Data[Date], "&lt;="&amp;$A327, Data[Poster],F$1, Data[Winner],TRUE())</f>
        <v>72</v>
      </c>
      <c r="G327" t="str" cm="1">
        <f t="array" ref="G32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28" spans="1:7">
      <c r="A328" s="217">
        <v>46056</v>
      </c>
      <c r="B328">
        <f>COUNTIFS(Data[Date], "&lt;="&amp;$A328, Data[Poster],B$1, Data[Winner],TRUE())</f>
        <v>67</v>
      </c>
      <c r="C328">
        <f>COUNTIFS(Data[Date], "&lt;="&amp;$A328, Data[Poster],C$1, Data[Winner],TRUE())</f>
        <v>64</v>
      </c>
      <c r="D328">
        <f>COUNTIFS(Data[Date], "&lt;="&amp;$A328, Data[Poster],D$1, Data[Winner],TRUE())</f>
        <v>59</v>
      </c>
      <c r="E328">
        <f>COUNTIFS(Data[Date], "&lt;="&amp;$A328, Data[Poster],E$1, Data[Winner],TRUE())</f>
        <v>65</v>
      </c>
      <c r="F328">
        <f>COUNTIFS(Data[Date], "&lt;="&amp;$A328, Data[Poster],F$1, Data[Winner],TRUE())</f>
        <v>72</v>
      </c>
      <c r="G328" t="str" cm="1">
        <f t="array" ref="G32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29" spans="1:7">
      <c r="A329" s="217">
        <v>46057</v>
      </c>
      <c r="B329">
        <f>COUNTIFS(Data[Date], "&lt;="&amp;$A329, Data[Poster],B$1, Data[Winner],TRUE())</f>
        <v>67</v>
      </c>
      <c r="C329">
        <f>COUNTIFS(Data[Date], "&lt;="&amp;$A329, Data[Poster],C$1, Data[Winner],TRUE())</f>
        <v>64</v>
      </c>
      <c r="D329">
        <f>COUNTIFS(Data[Date], "&lt;="&amp;$A329, Data[Poster],D$1, Data[Winner],TRUE())</f>
        <v>59</v>
      </c>
      <c r="E329">
        <f>COUNTIFS(Data[Date], "&lt;="&amp;$A329, Data[Poster],E$1, Data[Winner],TRUE())</f>
        <v>65</v>
      </c>
      <c r="F329">
        <f>COUNTIFS(Data[Date], "&lt;="&amp;$A329, Data[Poster],F$1, Data[Winner],TRUE())</f>
        <v>73</v>
      </c>
      <c r="G329" t="str" cm="1">
        <f t="array" ref="G32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30" spans="1:7">
      <c r="A330" s="217">
        <v>46058</v>
      </c>
      <c r="B330">
        <f>COUNTIFS(Data[Date], "&lt;="&amp;$A330, Data[Poster],B$1, Data[Winner],TRUE())</f>
        <v>68</v>
      </c>
      <c r="C330">
        <f>COUNTIFS(Data[Date], "&lt;="&amp;$A330, Data[Poster],C$1, Data[Winner],TRUE())</f>
        <v>64</v>
      </c>
      <c r="D330">
        <f>COUNTIFS(Data[Date], "&lt;="&amp;$A330, Data[Poster],D$1, Data[Winner],TRUE())</f>
        <v>59</v>
      </c>
      <c r="E330">
        <f>COUNTIFS(Data[Date], "&lt;="&amp;$A330, Data[Poster],E$1, Data[Winner],TRUE())</f>
        <v>65</v>
      </c>
      <c r="F330">
        <f>COUNTIFS(Data[Date], "&lt;="&amp;$A330, Data[Poster],F$1, Data[Winner],TRUE())</f>
        <v>73</v>
      </c>
      <c r="G330" t="str" cm="1">
        <f t="array" ref="G33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31" spans="1:7">
      <c r="A331" s="217">
        <v>46062</v>
      </c>
      <c r="B331">
        <f>COUNTIFS(Data[Date], "&lt;="&amp;$A331, Data[Poster],B$1, Data[Winner],TRUE())</f>
        <v>68</v>
      </c>
      <c r="C331">
        <f>COUNTIFS(Data[Date], "&lt;="&amp;$A331, Data[Poster],C$1, Data[Winner],TRUE())</f>
        <v>64</v>
      </c>
      <c r="D331">
        <f>COUNTIFS(Data[Date], "&lt;="&amp;$A331, Data[Poster],D$1, Data[Winner],TRUE())</f>
        <v>59</v>
      </c>
      <c r="E331">
        <f>COUNTIFS(Data[Date], "&lt;="&amp;$A331, Data[Poster],E$1, Data[Winner],TRUE())</f>
        <v>66</v>
      </c>
      <c r="F331">
        <f>COUNTIFS(Data[Date], "&lt;="&amp;$A331, Data[Poster],F$1, Data[Winner],TRUE())</f>
        <v>73</v>
      </c>
      <c r="G331" t="str" cm="1">
        <f t="array" ref="G33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32" spans="1:7">
      <c r="A332" s="217">
        <v>46063</v>
      </c>
      <c r="B332">
        <f>COUNTIFS(Data[Date], "&lt;="&amp;$A332, Data[Poster],B$1, Data[Winner],TRUE())</f>
        <v>68</v>
      </c>
      <c r="C332">
        <f>COUNTIFS(Data[Date], "&lt;="&amp;$A332, Data[Poster],C$1, Data[Winner],TRUE())</f>
        <v>64</v>
      </c>
      <c r="D332">
        <f>COUNTIFS(Data[Date], "&lt;="&amp;$A332, Data[Poster],D$1, Data[Winner],TRUE())</f>
        <v>59</v>
      </c>
      <c r="E332">
        <f>COUNTIFS(Data[Date], "&lt;="&amp;$A332, Data[Poster],E$1, Data[Winner],TRUE())</f>
        <v>66</v>
      </c>
      <c r="F332">
        <f>COUNTIFS(Data[Date], "&lt;="&amp;$A332, Data[Poster],F$1, Data[Winner],TRUE())</f>
        <v>74</v>
      </c>
      <c r="G332" t="str" cm="1">
        <f t="array" ref="G33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33" spans="1:7">
      <c r="A333" s="217">
        <v>46064</v>
      </c>
      <c r="B333">
        <f>COUNTIFS(Data[Date], "&lt;="&amp;$A333, Data[Poster],B$1, Data[Winner],TRUE())</f>
        <v>68</v>
      </c>
      <c r="C333">
        <f>COUNTIFS(Data[Date], "&lt;="&amp;$A333, Data[Poster],C$1, Data[Winner],TRUE())</f>
        <v>64</v>
      </c>
      <c r="D333">
        <f>COUNTIFS(Data[Date], "&lt;="&amp;$A333, Data[Poster],D$1, Data[Winner],TRUE())</f>
        <v>59</v>
      </c>
      <c r="E333">
        <f>COUNTIFS(Data[Date], "&lt;="&amp;$A333, Data[Poster],E$1, Data[Winner],TRUE())</f>
        <v>67</v>
      </c>
      <c r="F333">
        <f>COUNTIFS(Data[Date], "&lt;="&amp;$A333, Data[Poster],F$1, Data[Winner],TRUE())</f>
        <v>74</v>
      </c>
      <c r="G333" t="str" cm="1">
        <f t="array" ref="G33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34" spans="1:7">
      <c r="A334" s="217">
        <v>46065</v>
      </c>
      <c r="B334">
        <f>COUNTIFS(Data[Date], "&lt;="&amp;$A334, Data[Poster],B$1, Data[Winner],TRUE())</f>
        <v>68</v>
      </c>
      <c r="C334">
        <f>COUNTIFS(Data[Date], "&lt;="&amp;$A334, Data[Poster],C$1, Data[Winner],TRUE())</f>
        <v>64</v>
      </c>
      <c r="D334">
        <f>COUNTIFS(Data[Date], "&lt;="&amp;$A334, Data[Poster],D$1, Data[Winner],TRUE())</f>
        <v>59</v>
      </c>
      <c r="E334">
        <f>COUNTIFS(Data[Date], "&lt;="&amp;$A334, Data[Poster],E$1, Data[Winner],TRUE())</f>
        <v>68</v>
      </c>
      <c r="F334">
        <f>COUNTIFS(Data[Date], "&lt;="&amp;$A334, Data[Poster],F$1, Data[Winner],TRUE())</f>
        <v>74</v>
      </c>
      <c r="G334" t="str" cm="1">
        <f t="array" ref="G33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35" spans="1:7">
      <c r="A335" s="217">
        <v>46069</v>
      </c>
      <c r="B335">
        <f>COUNTIFS(Data[Date], "&lt;="&amp;$A335, Data[Poster],B$1, Data[Winner],TRUE())</f>
        <v>68</v>
      </c>
      <c r="C335">
        <f>COUNTIFS(Data[Date], "&lt;="&amp;$A335, Data[Poster],C$1, Data[Winner],TRUE())</f>
        <v>64</v>
      </c>
      <c r="D335">
        <f>COUNTIFS(Data[Date], "&lt;="&amp;$A335, Data[Poster],D$1, Data[Winner],TRUE())</f>
        <v>59</v>
      </c>
      <c r="E335">
        <f>COUNTIFS(Data[Date], "&lt;="&amp;$A335, Data[Poster],E$1, Data[Winner],TRUE())</f>
        <v>69</v>
      </c>
      <c r="F335">
        <f>COUNTIFS(Data[Date], "&lt;="&amp;$A335, Data[Poster],F$1, Data[Winner],TRUE())</f>
        <v>74</v>
      </c>
      <c r="G335" t="str" cm="1">
        <f t="array" ref="G33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36" spans="1:7">
      <c r="A336" s="217">
        <v>46070</v>
      </c>
      <c r="B336">
        <f>COUNTIFS(Data[Date], "&lt;="&amp;$A336, Data[Poster],B$1, Data[Winner],TRUE())</f>
        <v>68</v>
      </c>
      <c r="C336">
        <f>COUNTIFS(Data[Date], "&lt;="&amp;$A336, Data[Poster],C$1, Data[Winner],TRUE())</f>
        <v>64</v>
      </c>
      <c r="D336">
        <f>COUNTIFS(Data[Date], "&lt;="&amp;$A336, Data[Poster],D$1, Data[Winner],TRUE())</f>
        <v>59</v>
      </c>
      <c r="E336">
        <f>COUNTIFS(Data[Date], "&lt;="&amp;$A336, Data[Poster],E$1, Data[Winner],TRUE())</f>
        <v>70</v>
      </c>
      <c r="F336">
        <f>COUNTIFS(Data[Date], "&lt;="&amp;$A336, Data[Poster],F$1, Data[Winner],TRUE())</f>
        <v>74</v>
      </c>
      <c r="G336" t="str" cm="1">
        <f t="array" ref="G33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37" spans="1:7">
      <c r="A337" s="217">
        <v>46071</v>
      </c>
      <c r="B337">
        <f>COUNTIFS(Data[Date], "&lt;="&amp;$A337, Data[Poster],B$1, Data[Winner],TRUE())</f>
        <v>69</v>
      </c>
      <c r="C337">
        <f>COUNTIFS(Data[Date], "&lt;="&amp;$A337, Data[Poster],C$1, Data[Winner],TRUE())</f>
        <v>64</v>
      </c>
      <c r="D337">
        <f>COUNTIFS(Data[Date], "&lt;="&amp;$A337, Data[Poster],D$1, Data[Winner],TRUE())</f>
        <v>59</v>
      </c>
      <c r="E337">
        <f>COUNTIFS(Data[Date], "&lt;="&amp;$A337, Data[Poster],E$1, Data[Winner],TRUE())</f>
        <v>70</v>
      </c>
      <c r="F337">
        <f>COUNTIFS(Data[Date], "&lt;="&amp;$A337, Data[Poster],F$1, Data[Winner],TRUE())</f>
        <v>74</v>
      </c>
      <c r="G337" t="str" cm="1">
        <f t="array" ref="G33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38" spans="1:7">
      <c r="A338" s="217">
        <v>46072</v>
      </c>
      <c r="B338">
        <f>COUNTIFS(Data[Date], "&lt;="&amp;$A338, Data[Poster],B$1, Data[Winner],TRUE())</f>
        <v>69</v>
      </c>
      <c r="C338">
        <f>COUNTIFS(Data[Date], "&lt;="&amp;$A338, Data[Poster],C$1, Data[Winner],TRUE())</f>
        <v>65</v>
      </c>
      <c r="D338">
        <f>COUNTIFS(Data[Date], "&lt;="&amp;$A338, Data[Poster],D$1, Data[Winner],TRUE())</f>
        <v>59</v>
      </c>
      <c r="E338">
        <f>COUNTIFS(Data[Date], "&lt;="&amp;$A338, Data[Poster],E$1, Data[Winner],TRUE())</f>
        <v>70</v>
      </c>
      <c r="F338">
        <f>COUNTIFS(Data[Date], "&lt;="&amp;$A338, Data[Poster],F$1, Data[Winner],TRUE())</f>
        <v>74</v>
      </c>
      <c r="G338" t="str" cm="1">
        <f t="array" ref="G33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39" spans="1:7">
      <c r="A339" s="217">
        <v>46076</v>
      </c>
      <c r="B339">
        <f>COUNTIFS(Data[Date], "&lt;="&amp;$A339, Data[Poster],B$1, Data[Winner],TRUE())</f>
        <v>70</v>
      </c>
      <c r="C339">
        <f>COUNTIFS(Data[Date], "&lt;="&amp;$A339, Data[Poster],C$1, Data[Winner],TRUE())</f>
        <v>65</v>
      </c>
      <c r="D339">
        <f>COUNTIFS(Data[Date], "&lt;="&amp;$A339, Data[Poster],D$1, Data[Winner],TRUE())</f>
        <v>59</v>
      </c>
      <c r="E339">
        <f>COUNTIFS(Data[Date], "&lt;="&amp;$A339, Data[Poster],E$1, Data[Winner],TRUE())</f>
        <v>70</v>
      </c>
      <c r="F339">
        <f>COUNTIFS(Data[Date], "&lt;="&amp;$A339, Data[Poster],F$1, Data[Winner],TRUE())</f>
        <v>74</v>
      </c>
      <c r="G339" t="str" cm="1">
        <f t="array" ref="G33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40" spans="1:7">
      <c r="A340" s="217">
        <v>46077</v>
      </c>
      <c r="B340">
        <f>COUNTIFS(Data[Date], "&lt;="&amp;$A340, Data[Poster],B$1, Data[Winner],TRUE())</f>
        <v>70</v>
      </c>
      <c r="C340">
        <f>COUNTIFS(Data[Date], "&lt;="&amp;$A340, Data[Poster],C$1, Data[Winner],TRUE())</f>
        <v>65</v>
      </c>
      <c r="D340">
        <f>COUNTIFS(Data[Date], "&lt;="&amp;$A340, Data[Poster],D$1, Data[Winner],TRUE())</f>
        <v>60</v>
      </c>
      <c r="E340">
        <f>COUNTIFS(Data[Date], "&lt;="&amp;$A340, Data[Poster],E$1, Data[Winner],TRUE())</f>
        <v>70</v>
      </c>
      <c r="F340">
        <f>COUNTIFS(Data[Date], "&lt;="&amp;$A340, Data[Poster],F$1, Data[Winner],TRUE())</f>
        <v>74</v>
      </c>
      <c r="G340" t="str" cm="1">
        <f t="array" ref="G34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41" spans="1:7">
      <c r="A341" s="217">
        <v>46078</v>
      </c>
      <c r="B341">
        <f>COUNTIFS(Data[Date], "&lt;="&amp;$A341, Data[Poster],B$1, Data[Winner],TRUE())</f>
        <v>70</v>
      </c>
      <c r="C341">
        <f>COUNTIFS(Data[Date], "&lt;="&amp;$A341, Data[Poster],C$1, Data[Winner],TRUE())</f>
        <v>66</v>
      </c>
      <c r="D341">
        <f>COUNTIFS(Data[Date], "&lt;="&amp;$A341, Data[Poster],D$1, Data[Winner],TRUE())</f>
        <v>60</v>
      </c>
      <c r="E341">
        <f>COUNTIFS(Data[Date], "&lt;="&amp;$A341, Data[Poster],E$1, Data[Winner],TRUE())</f>
        <v>70</v>
      </c>
      <c r="F341">
        <f>COUNTIFS(Data[Date], "&lt;="&amp;$A341, Data[Poster],F$1, Data[Winner],TRUE())</f>
        <v>74</v>
      </c>
      <c r="G341" t="str" cm="1">
        <f t="array" ref="G34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42" spans="1:7">
      <c r="A342" s="217">
        <v>46079</v>
      </c>
      <c r="B342">
        <f>COUNTIFS(Data[Date], "&lt;="&amp;$A342, Data[Poster],B$1, Data[Winner],TRUE())</f>
        <v>71</v>
      </c>
      <c r="C342">
        <f>COUNTIFS(Data[Date], "&lt;="&amp;$A342, Data[Poster],C$1, Data[Winner],TRUE())</f>
        <v>66</v>
      </c>
      <c r="D342">
        <f>COUNTIFS(Data[Date], "&lt;="&amp;$A342, Data[Poster],D$1, Data[Winner],TRUE())</f>
        <v>60</v>
      </c>
      <c r="E342">
        <f>COUNTIFS(Data[Date], "&lt;="&amp;$A342, Data[Poster],E$1, Data[Winner],TRUE())</f>
        <v>70</v>
      </c>
      <c r="F342">
        <f>COUNTIFS(Data[Date], "&lt;="&amp;$A342, Data[Poster],F$1, Data[Winner],TRUE())</f>
        <v>74</v>
      </c>
      <c r="G342" t="str" cm="1">
        <f t="array" ref="G34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43" spans="1:7">
      <c r="A343" s="217">
        <v>46083</v>
      </c>
      <c r="B343">
        <f>COUNTIFS(Data[Date], "&lt;="&amp;$A343, Data[Poster],B$1, Data[Winner],TRUE())</f>
        <v>71</v>
      </c>
      <c r="C343">
        <f>COUNTIFS(Data[Date], "&lt;="&amp;$A343, Data[Poster],C$1, Data[Winner],TRUE())</f>
        <v>66</v>
      </c>
      <c r="D343">
        <f>COUNTIFS(Data[Date], "&lt;="&amp;$A343, Data[Poster],D$1, Data[Winner],TRUE())</f>
        <v>61</v>
      </c>
      <c r="E343">
        <f>COUNTIFS(Data[Date], "&lt;="&amp;$A343, Data[Poster],E$1, Data[Winner],TRUE())</f>
        <v>70</v>
      </c>
      <c r="F343">
        <f>COUNTIFS(Data[Date], "&lt;="&amp;$A343, Data[Poster],F$1, Data[Winner],TRUE())</f>
        <v>74</v>
      </c>
      <c r="G343" t="str" cm="1">
        <f t="array" ref="G34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44" spans="1:7">
      <c r="A344" s="217">
        <v>46084</v>
      </c>
      <c r="B344">
        <f>COUNTIFS(Data[Date], "&lt;="&amp;$A344, Data[Poster],B$1, Data[Winner],TRUE())</f>
        <v>71</v>
      </c>
      <c r="C344">
        <f>COUNTIFS(Data[Date], "&lt;="&amp;$A344, Data[Poster],C$1, Data[Winner],TRUE())</f>
        <v>66</v>
      </c>
      <c r="D344">
        <f>COUNTIFS(Data[Date], "&lt;="&amp;$A344, Data[Poster],D$1, Data[Winner],TRUE())</f>
        <v>61</v>
      </c>
      <c r="E344">
        <f>COUNTIFS(Data[Date], "&lt;="&amp;$A344, Data[Poster],E$1, Data[Winner],TRUE())</f>
        <v>70</v>
      </c>
      <c r="F344">
        <f>COUNTIFS(Data[Date], "&lt;="&amp;$A344, Data[Poster],F$1, Data[Winner],TRUE())</f>
        <v>75</v>
      </c>
      <c r="G344" t="str" cm="1">
        <f t="array" ref="G34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45" spans="1:7">
      <c r="A345" s="217">
        <v>46085</v>
      </c>
      <c r="B345">
        <f>COUNTIFS(Data[Date], "&lt;="&amp;$A345, Data[Poster],B$1, Data[Winner],TRUE())</f>
        <v>71</v>
      </c>
      <c r="C345">
        <f>COUNTIFS(Data[Date], "&lt;="&amp;$A345, Data[Poster],C$1, Data[Winner],TRUE())</f>
        <v>67</v>
      </c>
      <c r="D345">
        <f>COUNTIFS(Data[Date], "&lt;="&amp;$A345, Data[Poster],D$1, Data[Winner],TRUE())</f>
        <v>61</v>
      </c>
      <c r="E345">
        <f>COUNTIFS(Data[Date], "&lt;="&amp;$A345, Data[Poster],E$1, Data[Winner],TRUE())</f>
        <v>70</v>
      </c>
      <c r="F345">
        <f>COUNTIFS(Data[Date], "&lt;="&amp;$A345, Data[Poster],F$1, Data[Winner],TRUE())</f>
        <v>75</v>
      </c>
      <c r="G345" t="str" cm="1">
        <f t="array" ref="G34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46" spans="1:7">
      <c r="A346" s="217">
        <v>46086</v>
      </c>
      <c r="B346">
        <f>COUNTIFS(Data[Date], "&lt;="&amp;$A346, Data[Poster],B$1, Data[Winner],TRUE())</f>
        <v>71</v>
      </c>
      <c r="C346">
        <f>COUNTIFS(Data[Date], "&lt;="&amp;$A346, Data[Poster],C$1, Data[Winner],TRUE())</f>
        <v>68</v>
      </c>
      <c r="D346">
        <f>COUNTIFS(Data[Date], "&lt;="&amp;$A346, Data[Poster],D$1, Data[Winner],TRUE())</f>
        <v>61</v>
      </c>
      <c r="E346">
        <f>COUNTIFS(Data[Date], "&lt;="&amp;$A346, Data[Poster],E$1, Data[Winner],TRUE())</f>
        <v>70</v>
      </c>
      <c r="F346">
        <f>COUNTIFS(Data[Date], "&lt;="&amp;$A346, Data[Poster],F$1, Data[Winner],TRUE())</f>
        <v>75</v>
      </c>
      <c r="G346" t="str" cm="1">
        <f t="array" ref="G34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47" spans="1:7">
      <c r="A347" s="217">
        <v>46090</v>
      </c>
      <c r="B347">
        <f>COUNTIFS(Data[Date], "&lt;="&amp;$A347, Data[Poster],B$1, Data[Winner],TRUE())</f>
        <v>71</v>
      </c>
      <c r="C347">
        <f>COUNTIFS(Data[Date], "&lt;="&amp;$A347, Data[Poster],C$1, Data[Winner],TRUE())</f>
        <v>68</v>
      </c>
      <c r="D347">
        <f>COUNTIFS(Data[Date], "&lt;="&amp;$A347, Data[Poster],D$1, Data[Winner],TRUE())</f>
        <v>62</v>
      </c>
      <c r="E347">
        <f>COUNTIFS(Data[Date], "&lt;="&amp;$A347, Data[Poster],E$1, Data[Winner],TRUE())</f>
        <v>70</v>
      </c>
      <c r="F347">
        <f>COUNTIFS(Data[Date], "&lt;="&amp;$A347, Data[Poster],F$1, Data[Winner],TRUE())</f>
        <v>75</v>
      </c>
      <c r="G347" t="str" cm="1">
        <f t="array" ref="G34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48" spans="1:7">
      <c r="A348" s="217">
        <v>46091</v>
      </c>
      <c r="B348">
        <f>COUNTIFS(Data[Date], "&lt;="&amp;$A348, Data[Poster],B$1, Data[Winner],TRUE())</f>
        <v>72</v>
      </c>
      <c r="C348">
        <f>COUNTIFS(Data[Date], "&lt;="&amp;$A348, Data[Poster],C$1, Data[Winner],TRUE())</f>
        <v>68</v>
      </c>
      <c r="D348">
        <f>COUNTIFS(Data[Date], "&lt;="&amp;$A348, Data[Poster],D$1, Data[Winner],TRUE())</f>
        <v>62</v>
      </c>
      <c r="E348">
        <f>COUNTIFS(Data[Date], "&lt;="&amp;$A348, Data[Poster],E$1, Data[Winner],TRUE())</f>
        <v>70</v>
      </c>
      <c r="F348">
        <f>COUNTIFS(Data[Date], "&lt;="&amp;$A348, Data[Poster],F$1, Data[Winner],TRUE())</f>
        <v>75</v>
      </c>
      <c r="G348" t="str" cm="1">
        <f t="array" ref="G34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49" spans="1:7">
      <c r="A349" s="217">
        <v>46092</v>
      </c>
      <c r="B349">
        <f>COUNTIFS(Data[Date], "&lt;="&amp;$A349, Data[Poster],B$1, Data[Winner],TRUE())</f>
        <v>72</v>
      </c>
      <c r="C349">
        <f>COUNTIFS(Data[Date], "&lt;="&amp;$A349, Data[Poster],C$1, Data[Winner],TRUE())</f>
        <v>68</v>
      </c>
      <c r="D349">
        <f>COUNTIFS(Data[Date], "&lt;="&amp;$A349, Data[Poster],D$1, Data[Winner],TRUE())</f>
        <v>63</v>
      </c>
      <c r="E349">
        <f>COUNTIFS(Data[Date], "&lt;="&amp;$A349, Data[Poster],E$1, Data[Winner],TRUE())</f>
        <v>70</v>
      </c>
      <c r="F349">
        <f>COUNTIFS(Data[Date], "&lt;="&amp;$A349, Data[Poster],F$1, Data[Winner],TRUE())</f>
        <v>75</v>
      </c>
      <c r="G349" t="str" cm="1">
        <f t="array" ref="G34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50" spans="1:7">
      <c r="A350" s="217">
        <v>46093</v>
      </c>
      <c r="B350">
        <f>COUNTIFS(Data[Date], "&lt;="&amp;$A350, Data[Poster],B$1, Data[Winner],TRUE())</f>
        <v>72</v>
      </c>
      <c r="C350">
        <f>COUNTIFS(Data[Date], "&lt;="&amp;$A350, Data[Poster],C$1, Data[Winner],TRUE())</f>
        <v>68</v>
      </c>
      <c r="D350">
        <f>COUNTIFS(Data[Date], "&lt;="&amp;$A350, Data[Poster],D$1, Data[Winner],TRUE())</f>
        <v>63</v>
      </c>
      <c r="E350">
        <f>COUNTIFS(Data[Date], "&lt;="&amp;$A350, Data[Poster],E$1, Data[Winner],TRUE())</f>
        <v>71</v>
      </c>
      <c r="F350">
        <f>COUNTIFS(Data[Date], "&lt;="&amp;$A350, Data[Poster],F$1, Data[Winner],TRUE())</f>
        <v>75</v>
      </c>
      <c r="G350" t="str" cm="1">
        <f t="array" ref="G35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51" spans="1:7">
      <c r="A351" s="217">
        <v>46097</v>
      </c>
      <c r="B351">
        <f>COUNTIFS(Data[Date], "&lt;="&amp;$A351, Data[Poster],B$1, Data[Winner],TRUE())</f>
        <v>72</v>
      </c>
      <c r="C351">
        <f>COUNTIFS(Data[Date], "&lt;="&amp;$A351, Data[Poster],C$1, Data[Winner],TRUE())</f>
        <v>69</v>
      </c>
      <c r="D351">
        <f>COUNTIFS(Data[Date], "&lt;="&amp;$A351, Data[Poster],D$1, Data[Winner],TRUE())</f>
        <v>63</v>
      </c>
      <c r="E351">
        <f>COUNTIFS(Data[Date], "&lt;="&amp;$A351, Data[Poster],E$1, Data[Winner],TRUE())</f>
        <v>71</v>
      </c>
      <c r="F351">
        <f>COUNTIFS(Data[Date], "&lt;="&amp;$A351, Data[Poster],F$1, Data[Winner],TRUE())</f>
        <v>75</v>
      </c>
      <c r="G351" t="str" cm="1">
        <f t="array" ref="G35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52" spans="1:7">
      <c r="A352" s="217">
        <v>46098</v>
      </c>
      <c r="B352">
        <f>COUNTIFS(Data[Date], "&lt;="&amp;$A352, Data[Poster],B$1, Data[Winner],TRUE())</f>
        <v>72</v>
      </c>
      <c r="C352">
        <f>COUNTIFS(Data[Date], "&lt;="&amp;$A352, Data[Poster],C$1, Data[Winner],TRUE())</f>
        <v>70</v>
      </c>
      <c r="D352">
        <f>COUNTIFS(Data[Date], "&lt;="&amp;$A352, Data[Poster],D$1, Data[Winner],TRUE())</f>
        <v>63</v>
      </c>
      <c r="E352">
        <f>COUNTIFS(Data[Date], "&lt;="&amp;$A352, Data[Poster],E$1, Data[Winner],TRUE())</f>
        <v>71</v>
      </c>
      <c r="F352">
        <f>COUNTIFS(Data[Date], "&lt;="&amp;$A352, Data[Poster],F$1, Data[Winner],TRUE())</f>
        <v>75</v>
      </c>
      <c r="G352" t="str" cm="1">
        <f t="array" ref="G35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53" spans="1:7">
      <c r="A353" s="217">
        <v>46099</v>
      </c>
      <c r="B353">
        <f>COUNTIFS(Data[Date], "&lt;="&amp;$A353, Data[Poster],B$1, Data[Winner],TRUE())</f>
        <v>73</v>
      </c>
      <c r="C353">
        <f>COUNTIFS(Data[Date], "&lt;="&amp;$A353, Data[Poster],C$1, Data[Winner],TRUE())</f>
        <v>70</v>
      </c>
      <c r="D353">
        <f>COUNTIFS(Data[Date], "&lt;="&amp;$A353, Data[Poster],D$1, Data[Winner],TRUE())</f>
        <v>63</v>
      </c>
      <c r="E353">
        <f>COUNTIFS(Data[Date], "&lt;="&amp;$A353, Data[Poster],E$1, Data[Winner],TRUE())</f>
        <v>71</v>
      </c>
      <c r="F353">
        <f>COUNTIFS(Data[Date], "&lt;="&amp;$A353, Data[Poster],F$1, Data[Winner],TRUE())</f>
        <v>75</v>
      </c>
      <c r="G353" t="str" cm="1">
        <f t="array" ref="G35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54" spans="1:7">
      <c r="A354" s="217">
        <v>46100</v>
      </c>
      <c r="B354">
        <f>COUNTIFS(Data[Date], "&lt;="&amp;$A354, Data[Poster],B$1, Data[Winner],TRUE())</f>
        <v>73</v>
      </c>
      <c r="C354">
        <f>COUNTIFS(Data[Date], "&lt;="&amp;$A354, Data[Poster],C$1, Data[Winner],TRUE())</f>
        <v>70</v>
      </c>
      <c r="D354">
        <f>COUNTIFS(Data[Date], "&lt;="&amp;$A354, Data[Poster],D$1, Data[Winner],TRUE())</f>
        <v>64</v>
      </c>
      <c r="E354">
        <f>COUNTIFS(Data[Date], "&lt;="&amp;$A354, Data[Poster],E$1, Data[Winner],TRUE())</f>
        <v>71</v>
      </c>
      <c r="F354">
        <f>COUNTIFS(Data[Date], "&lt;="&amp;$A354, Data[Poster],F$1, Data[Winner],TRUE())</f>
        <v>75</v>
      </c>
      <c r="G354" t="str" cm="1">
        <f t="array" ref="G35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55" spans="1:7">
      <c r="A355" s="217">
        <v>46104</v>
      </c>
      <c r="B355">
        <f>COUNTIFS(Data[Date], "&lt;="&amp;$A355, Data[Poster],B$1, Data[Winner],TRUE())</f>
        <v>73</v>
      </c>
      <c r="C355">
        <f>COUNTIFS(Data[Date], "&lt;="&amp;$A355, Data[Poster],C$1, Data[Winner],TRUE())</f>
        <v>71</v>
      </c>
      <c r="D355">
        <f>COUNTIFS(Data[Date], "&lt;="&amp;$A355, Data[Poster],D$1, Data[Winner],TRUE())</f>
        <v>64</v>
      </c>
      <c r="E355">
        <f>COUNTIFS(Data[Date], "&lt;="&amp;$A355, Data[Poster],E$1, Data[Winner],TRUE())</f>
        <v>71</v>
      </c>
      <c r="F355">
        <f>COUNTIFS(Data[Date], "&lt;="&amp;$A355, Data[Poster],F$1, Data[Winner],TRUE())</f>
        <v>75</v>
      </c>
      <c r="G355" t="str" cm="1">
        <f t="array" ref="G35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56" spans="1:7">
      <c r="A356" s="217">
        <v>46105</v>
      </c>
      <c r="B356">
        <f>COUNTIFS(Data[Date], "&lt;="&amp;$A356, Data[Poster],B$1, Data[Winner],TRUE())</f>
        <v>74</v>
      </c>
      <c r="C356">
        <f>COUNTIFS(Data[Date], "&lt;="&amp;$A356, Data[Poster],C$1, Data[Winner],TRUE())</f>
        <v>71</v>
      </c>
      <c r="D356">
        <f>COUNTIFS(Data[Date], "&lt;="&amp;$A356, Data[Poster],D$1, Data[Winner],TRUE())</f>
        <v>64</v>
      </c>
      <c r="E356">
        <f>COUNTIFS(Data[Date], "&lt;="&amp;$A356, Data[Poster],E$1, Data[Winner],TRUE())</f>
        <v>71</v>
      </c>
      <c r="F356">
        <f>COUNTIFS(Data[Date], "&lt;="&amp;$A356, Data[Poster],F$1, Data[Winner],TRUE())</f>
        <v>75</v>
      </c>
      <c r="G356" t="str" cm="1">
        <f t="array" ref="G35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57" spans="1:7">
      <c r="A357" s="217">
        <v>46106</v>
      </c>
      <c r="B357">
        <f>COUNTIFS(Data[Date], "&lt;="&amp;$A357, Data[Poster],B$1, Data[Winner],TRUE())</f>
        <v>74</v>
      </c>
      <c r="C357">
        <f>COUNTIFS(Data[Date], "&lt;="&amp;$A357, Data[Poster],C$1, Data[Winner],TRUE())</f>
        <v>71</v>
      </c>
      <c r="D357">
        <f>COUNTIFS(Data[Date], "&lt;="&amp;$A357, Data[Poster],D$1, Data[Winner],TRUE())</f>
        <v>64</v>
      </c>
      <c r="E357">
        <f>COUNTIFS(Data[Date], "&lt;="&amp;$A357, Data[Poster],E$1, Data[Winner],TRUE())</f>
        <v>72</v>
      </c>
      <c r="F357">
        <f>COUNTIFS(Data[Date], "&lt;="&amp;$A357, Data[Poster],F$1, Data[Winner],TRUE())</f>
        <v>75</v>
      </c>
      <c r="G357" t="str" cm="1">
        <f t="array" ref="G35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58" spans="1:7">
      <c r="A358" s="217">
        <v>46107</v>
      </c>
      <c r="B358">
        <f>COUNTIFS(Data[Date], "&lt;="&amp;$A358, Data[Poster],B$1, Data[Winner],TRUE())</f>
        <v>74</v>
      </c>
      <c r="C358">
        <f>COUNTIFS(Data[Date], "&lt;="&amp;$A358, Data[Poster],C$1, Data[Winner],TRUE())</f>
        <v>71</v>
      </c>
      <c r="D358">
        <f>COUNTIFS(Data[Date], "&lt;="&amp;$A358, Data[Poster],D$1, Data[Winner],TRUE())</f>
        <v>64</v>
      </c>
      <c r="E358">
        <f>COUNTIFS(Data[Date], "&lt;="&amp;$A358, Data[Poster],E$1, Data[Winner],TRUE())</f>
        <v>72</v>
      </c>
      <c r="F358">
        <f>COUNTIFS(Data[Date], "&lt;="&amp;$A358, Data[Poster],F$1, Data[Winner],TRUE())</f>
        <v>76</v>
      </c>
      <c r="G358" t="str" cm="1">
        <f t="array" ref="G35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59" spans="1:7">
      <c r="A359" s="217">
        <v>46111</v>
      </c>
      <c r="B359">
        <f>COUNTIFS(Data[Date], "&lt;="&amp;$A359, Data[Poster],B$1, Data[Winner],TRUE())</f>
        <v>74</v>
      </c>
      <c r="C359">
        <f>COUNTIFS(Data[Date], "&lt;="&amp;$A359, Data[Poster],C$1, Data[Winner],TRUE())</f>
        <v>71</v>
      </c>
      <c r="D359">
        <f>COUNTIFS(Data[Date], "&lt;="&amp;$A359, Data[Poster],D$1, Data[Winner],TRUE())</f>
        <v>65</v>
      </c>
      <c r="E359">
        <f>COUNTIFS(Data[Date], "&lt;="&amp;$A359, Data[Poster],E$1, Data[Winner],TRUE())</f>
        <v>72</v>
      </c>
      <c r="F359">
        <f>COUNTIFS(Data[Date], "&lt;="&amp;$A359, Data[Poster],F$1, Data[Winner],TRUE())</f>
        <v>76</v>
      </c>
      <c r="G359" t="str" cm="1">
        <f t="array" ref="G35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60" spans="1:7">
      <c r="A360" s="217">
        <v>46112</v>
      </c>
      <c r="B360">
        <f>COUNTIFS(Data[Date], "&lt;="&amp;$A360, Data[Poster],B$1, Data[Winner],TRUE())</f>
        <v>74</v>
      </c>
      <c r="C360">
        <f>COUNTIFS(Data[Date], "&lt;="&amp;$A360, Data[Poster],C$1, Data[Winner],TRUE())</f>
        <v>71</v>
      </c>
      <c r="D360">
        <f>COUNTIFS(Data[Date], "&lt;="&amp;$A360, Data[Poster],D$1, Data[Winner],TRUE())</f>
        <v>65</v>
      </c>
      <c r="E360">
        <f>COUNTIFS(Data[Date], "&lt;="&amp;$A360, Data[Poster],E$1, Data[Winner],TRUE())</f>
        <v>72</v>
      </c>
      <c r="F360">
        <f>COUNTIFS(Data[Date], "&lt;="&amp;$A360, Data[Poster],F$1, Data[Winner],TRUE())</f>
        <v>77</v>
      </c>
      <c r="G360" t="str" cm="1">
        <f t="array" ref="G36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61" spans="1:7">
      <c r="A361" s="217">
        <v>46113</v>
      </c>
      <c r="B361">
        <f>COUNTIFS(Data[Date], "&lt;="&amp;$A361, Data[Poster],B$1, Data[Winner],TRUE())</f>
        <v>74</v>
      </c>
      <c r="C361">
        <f>COUNTIFS(Data[Date], "&lt;="&amp;$A361, Data[Poster],C$1, Data[Winner],TRUE())</f>
        <v>72</v>
      </c>
      <c r="D361">
        <f>COUNTIFS(Data[Date], "&lt;="&amp;$A361, Data[Poster],D$1, Data[Winner],TRUE())</f>
        <v>65</v>
      </c>
      <c r="E361">
        <f>COUNTIFS(Data[Date], "&lt;="&amp;$A361, Data[Poster],E$1, Data[Winner],TRUE())</f>
        <v>72</v>
      </c>
      <c r="F361">
        <f>COUNTIFS(Data[Date], "&lt;="&amp;$A361, Data[Poster],F$1, Data[Winner],TRUE())</f>
        <v>77</v>
      </c>
      <c r="G361" t="str" cm="1">
        <f t="array" ref="G36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62" spans="1:7">
      <c r="A362" s="217">
        <v>46114</v>
      </c>
      <c r="B362">
        <f>COUNTIFS(Data[Date], "&lt;="&amp;$A362, Data[Poster],B$1, Data[Winner],TRUE())</f>
        <v>74</v>
      </c>
      <c r="C362">
        <f>COUNTIFS(Data[Date], "&lt;="&amp;$A362, Data[Poster],C$1, Data[Winner],TRUE())</f>
        <v>73</v>
      </c>
      <c r="D362">
        <f>COUNTIFS(Data[Date], "&lt;="&amp;$A362, Data[Poster],D$1, Data[Winner],TRUE())</f>
        <v>65</v>
      </c>
      <c r="E362">
        <f>COUNTIFS(Data[Date], "&lt;="&amp;$A362, Data[Poster],E$1, Data[Winner],TRUE())</f>
        <v>72</v>
      </c>
      <c r="F362">
        <f>COUNTIFS(Data[Date], "&lt;="&amp;$A362, Data[Poster],F$1, Data[Winner],TRUE())</f>
        <v>77</v>
      </c>
      <c r="G362" t="str" cm="1">
        <f t="array" ref="G36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63" spans="1:7">
      <c r="A363" s="217">
        <v>46118</v>
      </c>
      <c r="B363">
        <f>COUNTIFS(Data[Date], "&lt;="&amp;$A363, Data[Poster],B$1, Data[Winner],TRUE())</f>
        <v>74</v>
      </c>
      <c r="C363">
        <f>COUNTIFS(Data[Date], "&lt;="&amp;$A363, Data[Poster],C$1, Data[Winner],TRUE())</f>
        <v>73</v>
      </c>
      <c r="D363">
        <f>COUNTIFS(Data[Date], "&lt;="&amp;$A363, Data[Poster],D$1, Data[Winner],TRUE())</f>
        <v>65</v>
      </c>
      <c r="E363">
        <f>COUNTIFS(Data[Date], "&lt;="&amp;$A363, Data[Poster],E$1, Data[Winner],TRUE())</f>
        <v>73</v>
      </c>
      <c r="F363">
        <f>COUNTIFS(Data[Date], "&lt;="&amp;$A363, Data[Poster],F$1, Data[Winner],TRUE())</f>
        <v>77</v>
      </c>
      <c r="G363" t="str" cm="1">
        <f t="array" ref="G36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64" spans="1:7">
      <c r="A364" s="217">
        <v>46119</v>
      </c>
      <c r="B364">
        <f>COUNTIFS(Data[Date], "&lt;="&amp;$A364, Data[Poster],B$1, Data[Winner],TRUE())</f>
        <v>75</v>
      </c>
      <c r="C364">
        <f>COUNTIFS(Data[Date], "&lt;="&amp;$A364, Data[Poster],C$1, Data[Winner],TRUE())</f>
        <v>73</v>
      </c>
      <c r="D364">
        <f>COUNTIFS(Data[Date], "&lt;="&amp;$A364, Data[Poster],D$1, Data[Winner],TRUE())</f>
        <v>65</v>
      </c>
      <c r="E364">
        <f>COUNTIFS(Data[Date], "&lt;="&amp;$A364, Data[Poster],E$1, Data[Winner],TRUE())</f>
        <v>73</v>
      </c>
      <c r="F364">
        <f>COUNTIFS(Data[Date], "&lt;="&amp;$A364, Data[Poster],F$1, Data[Winner],TRUE())</f>
        <v>77</v>
      </c>
      <c r="G364" t="str" cm="1">
        <f t="array" ref="G36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65" spans="1:7">
      <c r="A365" s="217">
        <v>46120</v>
      </c>
      <c r="B365">
        <f>COUNTIFS(Data[Date], "&lt;="&amp;$A365, Data[Poster],B$1, Data[Winner],TRUE())</f>
        <v>75</v>
      </c>
      <c r="C365">
        <f>COUNTIFS(Data[Date], "&lt;="&amp;$A365, Data[Poster],C$1, Data[Winner],TRUE())</f>
        <v>73</v>
      </c>
      <c r="D365">
        <f>COUNTIFS(Data[Date], "&lt;="&amp;$A365, Data[Poster],D$1, Data[Winner],TRUE())</f>
        <v>65</v>
      </c>
      <c r="E365">
        <f>COUNTIFS(Data[Date], "&lt;="&amp;$A365, Data[Poster],E$1, Data[Winner],TRUE())</f>
        <v>73</v>
      </c>
      <c r="F365">
        <f>COUNTIFS(Data[Date], "&lt;="&amp;$A365, Data[Poster],F$1, Data[Winner],TRUE())</f>
        <v>78</v>
      </c>
      <c r="G365" t="str" cm="1">
        <f t="array" ref="G36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66" spans="1:7">
      <c r="A366" s="217">
        <v>46121</v>
      </c>
      <c r="B366">
        <f>COUNTIFS(Data[Date], "&lt;="&amp;$A366, Data[Poster],B$1, Data[Winner],TRUE())</f>
        <v>76</v>
      </c>
      <c r="C366">
        <f>COUNTIFS(Data[Date], "&lt;="&amp;$A366, Data[Poster],C$1, Data[Winner],TRUE())</f>
        <v>73</v>
      </c>
      <c r="D366">
        <f>COUNTIFS(Data[Date], "&lt;="&amp;$A366, Data[Poster],D$1, Data[Winner],TRUE())</f>
        <v>65</v>
      </c>
      <c r="E366">
        <f>COUNTIFS(Data[Date], "&lt;="&amp;$A366, Data[Poster],E$1, Data[Winner],TRUE())</f>
        <v>73</v>
      </c>
      <c r="F366">
        <f>COUNTIFS(Data[Date], "&lt;="&amp;$A366, Data[Poster],F$1, Data[Winner],TRUE())</f>
        <v>78</v>
      </c>
      <c r="G366" t="str" cm="1">
        <f t="array" ref="G36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67" spans="1:7">
      <c r="A367" s="217">
        <v>46125</v>
      </c>
      <c r="B367">
        <f>COUNTIFS(Data[Date], "&lt;="&amp;$A367, Data[Poster],B$1, Data[Winner],TRUE())</f>
        <v>76</v>
      </c>
      <c r="C367">
        <f>COUNTIFS(Data[Date], "&lt;="&amp;$A367, Data[Poster],C$1, Data[Winner],TRUE())</f>
        <v>73</v>
      </c>
      <c r="D367">
        <f>COUNTIFS(Data[Date], "&lt;="&amp;$A367, Data[Poster],D$1, Data[Winner],TRUE())</f>
        <v>66</v>
      </c>
      <c r="E367">
        <f>COUNTIFS(Data[Date], "&lt;="&amp;$A367, Data[Poster],E$1, Data[Winner],TRUE())</f>
        <v>73</v>
      </c>
      <c r="F367">
        <f>COUNTIFS(Data[Date], "&lt;="&amp;$A367, Data[Poster],F$1, Data[Winner],TRUE())</f>
        <v>78</v>
      </c>
      <c r="G367" t="str" cm="1">
        <f t="array" ref="G36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68" spans="1:7">
      <c r="A368" s="217">
        <v>46126</v>
      </c>
      <c r="B368">
        <f>COUNTIFS(Data[Date], "&lt;="&amp;$A368, Data[Poster],B$1, Data[Winner],TRUE())</f>
        <v>76</v>
      </c>
      <c r="C368">
        <f>COUNTIFS(Data[Date], "&lt;="&amp;$A368, Data[Poster],C$1, Data[Winner],TRUE())</f>
        <v>73</v>
      </c>
      <c r="D368">
        <f>COUNTIFS(Data[Date], "&lt;="&amp;$A368, Data[Poster],D$1, Data[Winner],TRUE())</f>
        <v>67</v>
      </c>
      <c r="E368">
        <f>COUNTIFS(Data[Date], "&lt;="&amp;$A368, Data[Poster],E$1, Data[Winner],TRUE())</f>
        <v>73</v>
      </c>
      <c r="F368">
        <f>COUNTIFS(Data[Date], "&lt;="&amp;$A368, Data[Poster],F$1, Data[Winner],TRUE())</f>
        <v>78</v>
      </c>
      <c r="G368" t="str" cm="1">
        <f t="array" ref="G36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69" spans="1:7">
      <c r="A369" s="217">
        <v>46127</v>
      </c>
      <c r="B369">
        <f>COUNTIFS(Data[Date], "&lt;="&amp;$A369, Data[Poster],B$1, Data[Winner],TRUE())</f>
        <v>76</v>
      </c>
      <c r="C369">
        <f>COUNTIFS(Data[Date], "&lt;="&amp;$A369, Data[Poster],C$1, Data[Winner],TRUE())</f>
        <v>73</v>
      </c>
      <c r="D369">
        <f>COUNTIFS(Data[Date], "&lt;="&amp;$A369, Data[Poster],D$1, Data[Winner],TRUE())</f>
        <v>68</v>
      </c>
      <c r="E369">
        <f>COUNTIFS(Data[Date], "&lt;="&amp;$A369, Data[Poster],E$1, Data[Winner],TRUE())</f>
        <v>73</v>
      </c>
      <c r="F369">
        <f>COUNTIFS(Data[Date], "&lt;="&amp;$A369, Data[Poster],F$1, Data[Winner],TRUE())</f>
        <v>78</v>
      </c>
      <c r="G369" t="str" cm="1">
        <f t="array" ref="G36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70" spans="1:7">
      <c r="A370" s="217">
        <v>46128</v>
      </c>
      <c r="B370">
        <f>COUNTIFS(Data[Date], "&lt;="&amp;$A370, Data[Poster],B$1, Data[Winner],TRUE())</f>
        <v>76</v>
      </c>
      <c r="C370">
        <f>COUNTIFS(Data[Date], "&lt;="&amp;$A370, Data[Poster],C$1, Data[Winner],TRUE())</f>
        <v>74</v>
      </c>
      <c r="D370">
        <f>COUNTIFS(Data[Date], "&lt;="&amp;$A370, Data[Poster],D$1, Data[Winner],TRUE())</f>
        <v>68</v>
      </c>
      <c r="E370">
        <f>COUNTIFS(Data[Date], "&lt;="&amp;$A370, Data[Poster],E$1, Data[Winner],TRUE())</f>
        <v>73</v>
      </c>
      <c r="F370">
        <f>COUNTIFS(Data[Date], "&lt;="&amp;$A370, Data[Poster],F$1, Data[Winner],TRUE())</f>
        <v>78</v>
      </c>
      <c r="G370" t="str" cm="1">
        <f t="array" ref="G37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71" spans="1:7">
      <c r="A371" s="217">
        <v>46132</v>
      </c>
      <c r="B371">
        <f>COUNTIFS(Data[Date], "&lt;="&amp;$A371, Data[Poster],B$1, Data[Winner],TRUE())</f>
        <v>76</v>
      </c>
      <c r="C371">
        <f>COUNTIFS(Data[Date], "&lt;="&amp;$A371, Data[Poster],C$1, Data[Winner],TRUE())</f>
        <v>74</v>
      </c>
      <c r="D371">
        <f>COUNTIFS(Data[Date], "&lt;="&amp;$A371, Data[Poster],D$1, Data[Winner],TRUE())</f>
        <v>69</v>
      </c>
      <c r="E371">
        <f>COUNTIFS(Data[Date], "&lt;="&amp;$A371, Data[Poster],E$1, Data[Winner],TRUE())</f>
        <v>73</v>
      </c>
      <c r="F371">
        <f>COUNTIFS(Data[Date], "&lt;="&amp;$A371, Data[Poster],F$1, Data[Winner],TRUE())</f>
        <v>78</v>
      </c>
      <c r="G371" t="str" cm="1">
        <f t="array" ref="G37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72" spans="1:7">
      <c r="A372" s="217">
        <v>46133</v>
      </c>
      <c r="B372">
        <f>COUNTIFS(Data[Date], "&lt;="&amp;$A372, Data[Poster],B$1, Data[Winner],TRUE())</f>
        <v>76</v>
      </c>
      <c r="C372">
        <f>COUNTIFS(Data[Date], "&lt;="&amp;$A372, Data[Poster],C$1, Data[Winner],TRUE())</f>
        <v>74</v>
      </c>
      <c r="D372">
        <f>COUNTIFS(Data[Date], "&lt;="&amp;$A372, Data[Poster],D$1, Data[Winner],TRUE())</f>
        <v>70</v>
      </c>
      <c r="E372">
        <f>COUNTIFS(Data[Date], "&lt;="&amp;$A372, Data[Poster],E$1, Data[Winner],TRUE())</f>
        <v>73</v>
      </c>
      <c r="F372">
        <f>COUNTIFS(Data[Date], "&lt;="&amp;$A372, Data[Poster],F$1, Data[Winner],TRUE())</f>
        <v>78</v>
      </c>
      <c r="G372" t="str" cm="1">
        <f t="array" ref="G37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73" spans="1:7">
      <c r="A373" s="217">
        <v>46134</v>
      </c>
      <c r="B373">
        <f>COUNTIFS(Data[Date], "&lt;="&amp;$A373, Data[Poster],B$1, Data[Winner],TRUE())</f>
        <v>76</v>
      </c>
      <c r="C373">
        <f>COUNTIFS(Data[Date], "&lt;="&amp;$A373, Data[Poster],C$1, Data[Winner],TRUE())</f>
        <v>74</v>
      </c>
      <c r="D373">
        <f>COUNTIFS(Data[Date], "&lt;="&amp;$A373, Data[Poster],D$1, Data[Winner],TRUE())</f>
        <v>70</v>
      </c>
      <c r="E373">
        <f>COUNTIFS(Data[Date], "&lt;="&amp;$A373, Data[Poster],E$1, Data[Winner],TRUE())</f>
        <v>73</v>
      </c>
      <c r="F373">
        <f>COUNTIFS(Data[Date], "&lt;="&amp;$A373, Data[Poster],F$1, Data[Winner],TRUE())</f>
        <v>79</v>
      </c>
      <c r="G373" t="str" cm="1">
        <f t="array" ref="G37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74" spans="1:7">
      <c r="A374" s="217">
        <v>46135</v>
      </c>
      <c r="B374">
        <f>COUNTIFS(Data[Date], "&lt;="&amp;$A374, Data[Poster],B$1, Data[Winner],TRUE())</f>
        <v>76</v>
      </c>
      <c r="C374">
        <f>COUNTIFS(Data[Date], "&lt;="&amp;$A374, Data[Poster],C$1, Data[Winner],TRUE())</f>
        <v>74</v>
      </c>
      <c r="D374">
        <f>COUNTIFS(Data[Date], "&lt;="&amp;$A374, Data[Poster],D$1, Data[Winner],TRUE())</f>
        <v>70</v>
      </c>
      <c r="E374">
        <f>COUNTIFS(Data[Date], "&lt;="&amp;$A374, Data[Poster],E$1, Data[Winner],TRUE())</f>
        <v>74</v>
      </c>
      <c r="F374">
        <f>COUNTIFS(Data[Date], "&lt;="&amp;$A374, Data[Poster],F$1, Data[Winner],TRUE())</f>
        <v>79</v>
      </c>
      <c r="G374" t="str" cm="1">
        <f t="array" ref="G37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75" spans="1:7">
      <c r="A375" s="217">
        <v>46139</v>
      </c>
      <c r="B375">
        <f>COUNTIFS(Data[Date], "&lt;="&amp;$A375, Data[Poster],B$1, Data[Winner],TRUE())</f>
        <v>76</v>
      </c>
      <c r="C375">
        <f>COUNTIFS(Data[Date], "&lt;="&amp;$A375, Data[Poster],C$1, Data[Winner],TRUE())</f>
        <v>74</v>
      </c>
      <c r="D375">
        <f>COUNTIFS(Data[Date], "&lt;="&amp;$A375, Data[Poster],D$1, Data[Winner],TRUE())</f>
        <v>71</v>
      </c>
      <c r="E375">
        <f>COUNTIFS(Data[Date], "&lt;="&amp;$A375, Data[Poster],E$1, Data[Winner],TRUE())</f>
        <v>74</v>
      </c>
      <c r="F375">
        <f>COUNTIFS(Data[Date], "&lt;="&amp;$A375, Data[Poster],F$1, Data[Winner],TRUE())</f>
        <v>79</v>
      </c>
      <c r="G375" t="str" cm="1">
        <f t="array" ref="G37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76" spans="1:7">
      <c r="A376" s="217">
        <v>46140</v>
      </c>
      <c r="B376">
        <f>COUNTIFS(Data[Date], "&lt;="&amp;$A376, Data[Poster],B$1, Data[Winner],TRUE())</f>
        <v>77</v>
      </c>
      <c r="C376">
        <f>COUNTIFS(Data[Date], "&lt;="&amp;$A376, Data[Poster],C$1, Data[Winner],TRUE())</f>
        <v>74</v>
      </c>
      <c r="D376">
        <f>COUNTIFS(Data[Date], "&lt;="&amp;$A376, Data[Poster],D$1, Data[Winner],TRUE())</f>
        <v>71</v>
      </c>
      <c r="E376">
        <f>COUNTIFS(Data[Date], "&lt;="&amp;$A376, Data[Poster],E$1, Data[Winner],TRUE())</f>
        <v>74</v>
      </c>
      <c r="F376">
        <f>COUNTIFS(Data[Date], "&lt;="&amp;$A376, Data[Poster],F$1, Data[Winner],TRUE())</f>
        <v>79</v>
      </c>
      <c r="G376" t="str" cm="1">
        <f t="array" ref="G37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77" spans="1:7">
      <c r="A377" s="217">
        <v>46141</v>
      </c>
      <c r="B377">
        <f>COUNTIFS(Data[Date], "&lt;="&amp;$A377, Data[Poster],B$1, Data[Winner],TRUE())</f>
        <v>77</v>
      </c>
      <c r="C377">
        <f>COUNTIFS(Data[Date], "&lt;="&amp;$A377, Data[Poster],C$1, Data[Winner],TRUE())</f>
        <v>74</v>
      </c>
      <c r="D377">
        <f>COUNTIFS(Data[Date], "&lt;="&amp;$A377, Data[Poster],D$1, Data[Winner],TRUE())</f>
        <v>72</v>
      </c>
      <c r="E377">
        <f>COUNTIFS(Data[Date], "&lt;="&amp;$A377, Data[Poster],E$1, Data[Winner],TRUE())</f>
        <v>74</v>
      </c>
      <c r="F377">
        <f>COUNTIFS(Data[Date], "&lt;="&amp;$A377, Data[Poster],F$1, Data[Winner],TRUE())</f>
        <v>79</v>
      </c>
      <c r="G377" t="str" cm="1">
        <f t="array" ref="G37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78" spans="1:7">
      <c r="A378" s="217">
        <v>46142</v>
      </c>
      <c r="B378">
        <f>COUNTIFS(Data[Date], "&lt;="&amp;$A378, Data[Poster],B$1, Data[Winner],TRUE())</f>
        <v>77</v>
      </c>
      <c r="C378">
        <f>COUNTIFS(Data[Date], "&lt;="&amp;$A378, Data[Poster],C$1, Data[Winner],TRUE())</f>
        <v>74</v>
      </c>
      <c r="D378">
        <f>COUNTIFS(Data[Date], "&lt;="&amp;$A378, Data[Poster],D$1, Data[Winner],TRUE())</f>
        <v>73</v>
      </c>
      <c r="E378">
        <f>COUNTIFS(Data[Date], "&lt;="&amp;$A378, Data[Poster],E$1, Data[Winner],TRUE())</f>
        <v>74</v>
      </c>
      <c r="F378">
        <f>COUNTIFS(Data[Date], "&lt;="&amp;$A378, Data[Poster],F$1, Data[Winner],TRUE())</f>
        <v>79</v>
      </c>
      <c r="G378" t="str" cm="1">
        <f t="array" ref="G37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79" spans="1:7">
      <c r="A379" s="217">
        <v>46146</v>
      </c>
      <c r="B379">
        <f>COUNTIFS(Data[Date], "&lt;="&amp;$A379, Data[Poster],B$1, Data[Winner],TRUE())</f>
        <v>77</v>
      </c>
      <c r="C379">
        <f>COUNTIFS(Data[Date], "&lt;="&amp;$A379, Data[Poster],C$1, Data[Winner],TRUE())</f>
        <v>75</v>
      </c>
      <c r="D379">
        <f>COUNTIFS(Data[Date], "&lt;="&amp;$A379, Data[Poster],D$1, Data[Winner],TRUE())</f>
        <v>73</v>
      </c>
      <c r="E379">
        <f>COUNTIFS(Data[Date], "&lt;="&amp;$A379, Data[Poster],E$1, Data[Winner],TRUE())</f>
        <v>74</v>
      </c>
      <c r="F379">
        <f>COUNTIFS(Data[Date], "&lt;="&amp;$A379, Data[Poster],F$1, Data[Winner],TRUE())</f>
        <v>79</v>
      </c>
      <c r="G379" t="str" cm="1">
        <f t="array" ref="G37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80" spans="1:7">
      <c r="A380" s="217">
        <v>46147</v>
      </c>
      <c r="B380">
        <f>COUNTIFS(Data[Date], "&lt;="&amp;$A380, Data[Poster],B$1, Data[Winner],TRUE())</f>
        <v>77</v>
      </c>
      <c r="C380">
        <f>COUNTIFS(Data[Date], "&lt;="&amp;$A380, Data[Poster],C$1, Data[Winner],TRUE())</f>
        <v>75</v>
      </c>
      <c r="D380">
        <f>COUNTIFS(Data[Date], "&lt;="&amp;$A380, Data[Poster],D$1, Data[Winner],TRUE())</f>
        <v>74</v>
      </c>
      <c r="E380">
        <f>COUNTIFS(Data[Date], "&lt;="&amp;$A380, Data[Poster],E$1, Data[Winner],TRUE())</f>
        <v>74</v>
      </c>
      <c r="F380">
        <f>COUNTIFS(Data[Date], "&lt;="&amp;$A380, Data[Poster],F$1, Data[Winner],TRUE())</f>
        <v>79</v>
      </c>
      <c r="G380" t="str" cm="1">
        <f t="array" ref="G38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81" spans="1:7">
      <c r="A381" s="217">
        <v>46148</v>
      </c>
      <c r="B381">
        <f>COUNTIFS(Data[Date], "&lt;="&amp;$A381, Data[Poster],B$1, Data[Winner],TRUE())</f>
        <v>77</v>
      </c>
      <c r="C381">
        <f>COUNTIFS(Data[Date], "&lt;="&amp;$A381, Data[Poster],C$1, Data[Winner],TRUE())</f>
        <v>75</v>
      </c>
      <c r="D381">
        <f>COUNTIFS(Data[Date], "&lt;="&amp;$A381, Data[Poster],D$1, Data[Winner],TRUE())</f>
        <v>74</v>
      </c>
      <c r="E381">
        <f>COUNTIFS(Data[Date], "&lt;="&amp;$A381, Data[Poster],E$1, Data[Winner],TRUE())</f>
        <v>75</v>
      </c>
      <c r="F381">
        <f>COUNTIFS(Data[Date], "&lt;="&amp;$A381, Data[Poster],F$1, Data[Winner],TRUE())</f>
        <v>79</v>
      </c>
      <c r="G381" t="str" cm="1">
        <f t="array" ref="G38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82" spans="1:7">
      <c r="A382" s="217">
        <v>46149</v>
      </c>
      <c r="B382">
        <f>COUNTIFS(Data[Date], "&lt;="&amp;$A382, Data[Poster],B$1, Data[Winner],TRUE())</f>
        <v>77</v>
      </c>
      <c r="C382">
        <f>COUNTIFS(Data[Date], "&lt;="&amp;$A382, Data[Poster],C$1, Data[Winner],TRUE())</f>
        <v>75</v>
      </c>
      <c r="D382">
        <f>COUNTIFS(Data[Date], "&lt;="&amp;$A382, Data[Poster],D$1, Data[Winner],TRUE())</f>
        <v>75</v>
      </c>
      <c r="E382">
        <f>COUNTIFS(Data[Date], "&lt;="&amp;$A382, Data[Poster],E$1, Data[Winner],TRUE())</f>
        <v>75</v>
      </c>
      <c r="F382">
        <f>COUNTIFS(Data[Date], "&lt;="&amp;$A382, Data[Poster],F$1, Data[Winner],TRUE())</f>
        <v>79</v>
      </c>
      <c r="G382" t="str" cm="1">
        <f t="array" ref="G38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83" spans="1:7">
      <c r="A383" s="217">
        <v>46153</v>
      </c>
      <c r="B383">
        <f>COUNTIFS(Data[Date], "&lt;="&amp;$A383, Data[Poster],B$1, Data[Winner],TRUE())</f>
        <v>77</v>
      </c>
      <c r="C383">
        <f>COUNTIFS(Data[Date], "&lt;="&amp;$A383, Data[Poster],C$1, Data[Winner],TRUE())</f>
        <v>75</v>
      </c>
      <c r="D383">
        <f>COUNTIFS(Data[Date], "&lt;="&amp;$A383, Data[Poster],D$1, Data[Winner],TRUE())</f>
        <v>75</v>
      </c>
      <c r="E383">
        <f>COUNTIFS(Data[Date], "&lt;="&amp;$A383, Data[Poster],E$1, Data[Winner],TRUE())</f>
        <v>75</v>
      </c>
      <c r="F383">
        <f>COUNTIFS(Data[Date], "&lt;="&amp;$A383, Data[Poster],F$1, Data[Winner],TRUE())</f>
        <v>80</v>
      </c>
      <c r="G383" t="str" cm="1">
        <f t="array" ref="G38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84" spans="1:7">
      <c r="A384" s="217">
        <v>46154</v>
      </c>
      <c r="B384">
        <f>COUNTIFS(Data[Date], "&lt;="&amp;$A384, Data[Poster],B$1, Data[Winner],TRUE())</f>
        <v>78</v>
      </c>
      <c r="C384">
        <f>COUNTIFS(Data[Date], "&lt;="&amp;$A384, Data[Poster],C$1, Data[Winner],TRUE())</f>
        <v>75</v>
      </c>
      <c r="D384">
        <f>COUNTIFS(Data[Date], "&lt;="&amp;$A384, Data[Poster],D$1, Data[Winner],TRUE())</f>
        <v>75</v>
      </c>
      <c r="E384">
        <f>COUNTIFS(Data[Date], "&lt;="&amp;$A384, Data[Poster],E$1, Data[Winner],TRUE())</f>
        <v>75</v>
      </c>
      <c r="F384">
        <f>COUNTIFS(Data[Date], "&lt;="&amp;$A384, Data[Poster],F$1, Data[Winner],TRUE())</f>
        <v>80</v>
      </c>
      <c r="G384" t="str" cm="1">
        <f t="array" ref="G38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85" spans="1:7">
      <c r="A385" s="217">
        <v>46155</v>
      </c>
      <c r="B385">
        <f>COUNTIFS(Data[Date], "&lt;="&amp;$A385, Data[Poster],B$1, Data[Winner],TRUE())</f>
        <v>79</v>
      </c>
      <c r="C385">
        <f>COUNTIFS(Data[Date], "&lt;="&amp;$A385, Data[Poster],C$1, Data[Winner],TRUE())</f>
        <v>75</v>
      </c>
      <c r="D385">
        <f>COUNTIFS(Data[Date], "&lt;="&amp;$A385, Data[Poster],D$1, Data[Winner],TRUE())</f>
        <v>75</v>
      </c>
      <c r="E385">
        <f>COUNTIFS(Data[Date], "&lt;="&amp;$A385, Data[Poster],E$1, Data[Winner],TRUE())</f>
        <v>75</v>
      </c>
      <c r="F385">
        <f>COUNTIFS(Data[Date], "&lt;="&amp;$A385, Data[Poster],F$1, Data[Winner],TRUE())</f>
        <v>80</v>
      </c>
      <c r="G385" t="str" cm="1">
        <f t="array" ref="G38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86" spans="1:7">
      <c r="A386" s="217">
        <v>46156</v>
      </c>
      <c r="B386">
        <f>COUNTIFS(Data[Date], "&lt;="&amp;$A386, Data[Poster],B$1, Data[Winner],TRUE())</f>
        <v>79</v>
      </c>
      <c r="C386">
        <f>COUNTIFS(Data[Date], "&lt;="&amp;$A386, Data[Poster],C$1, Data[Winner],TRUE())</f>
        <v>75</v>
      </c>
      <c r="D386">
        <f>COUNTIFS(Data[Date], "&lt;="&amp;$A386, Data[Poster],D$1, Data[Winner],TRUE())</f>
        <v>75</v>
      </c>
      <c r="E386">
        <f>COUNTIFS(Data[Date], "&lt;="&amp;$A386, Data[Poster],E$1, Data[Winner],TRUE())</f>
        <v>75</v>
      </c>
      <c r="F386">
        <f>COUNTIFS(Data[Date], "&lt;="&amp;$A386, Data[Poster],F$1, Data[Winner],TRUE())</f>
        <v>81</v>
      </c>
      <c r="G386" t="str" cm="1">
        <f t="array" ref="G38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87" spans="1:7">
      <c r="A387" s="217">
        <v>46160</v>
      </c>
      <c r="B387">
        <f>COUNTIFS(Data[Date], "&lt;="&amp;$A387, Data[Poster],B$1, Data[Winner],TRUE())</f>
        <v>80</v>
      </c>
      <c r="C387">
        <f>COUNTIFS(Data[Date], "&lt;="&amp;$A387, Data[Poster],C$1, Data[Winner],TRUE())</f>
        <v>75</v>
      </c>
      <c r="D387">
        <f>COUNTIFS(Data[Date], "&lt;="&amp;$A387, Data[Poster],D$1, Data[Winner],TRUE())</f>
        <v>75</v>
      </c>
      <c r="E387">
        <f>COUNTIFS(Data[Date], "&lt;="&amp;$A387, Data[Poster],E$1, Data[Winner],TRUE())</f>
        <v>75</v>
      </c>
      <c r="F387">
        <f>COUNTIFS(Data[Date], "&lt;="&amp;$A387, Data[Poster],F$1, Data[Winner],TRUE())</f>
        <v>81</v>
      </c>
      <c r="G387" t="str" cm="1">
        <f t="array" ref="G38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88" spans="1:7">
      <c r="A388" s="217">
        <v>46161</v>
      </c>
      <c r="B388">
        <f>COUNTIFS(Data[Date], "&lt;="&amp;$A388, Data[Poster],B$1, Data[Winner],TRUE())</f>
        <v>80</v>
      </c>
      <c r="C388">
        <f>COUNTIFS(Data[Date], "&lt;="&amp;$A388, Data[Poster],C$1, Data[Winner],TRUE())</f>
        <v>75</v>
      </c>
      <c r="D388">
        <f>COUNTIFS(Data[Date], "&lt;="&amp;$A388, Data[Poster],D$1, Data[Winner],TRUE())</f>
        <v>76</v>
      </c>
      <c r="E388">
        <f>COUNTIFS(Data[Date], "&lt;="&amp;$A388, Data[Poster],E$1, Data[Winner],TRUE())</f>
        <v>75</v>
      </c>
      <c r="F388">
        <f>COUNTIFS(Data[Date], "&lt;="&amp;$A388, Data[Poster],F$1, Data[Winner],TRUE())</f>
        <v>81</v>
      </c>
      <c r="G388" t="str" cm="1">
        <f t="array" ref="G38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89" spans="1:7">
      <c r="A389" s="217">
        <v>46162</v>
      </c>
      <c r="B389">
        <f>COUNTIFS(Data[Date], "&lt;="&amp;$A389, Data[Poster],B$1, Data[Winner],TRUE())</f>
        <v>80</v>
      </c>
      <c r="C389">
        <f>COUNTIFS(Data[Date], "&lt;="&amp;$A389, Data[Poster],C$1, Data[Winner],TRUE())</f>
        <v>75</v>
      </c>
      <c r="D389">
        <f>COUNTIFS(Data[Date], "&lt;="&amp;$A389, Data[Poster],D$1, Data[Winner],TRUE())</f>
        <v>77</v>
      </c>
      <c r="E389">
        <f>COUNTIFS(Data[Date], "&lt;="&amp;$A389, Data[Poster],E$1, Data[Winner],TRUE())</f>
        <v>75</v>
      </c>
      <c r="F389">
        <f>COUNTIFS(Data[Date], "&lt;="&amp;$A389, Data[Poster],F$1, Data[Winner],TRUE())</f>
        <v>81</v>
      </c>
      <c r="G389" t="str" cm="1">
        <f t="array" ref="G38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90" spans="1:7">
      <c r="A390" s="217">
        <v>46163</v>
      </c>
      <c r="B390">
        <f>COUNTIFS(Data[Date], "&lt;="&amp;$A390, Data[Poster],B$1, Data[Winner],TRUE())</f>
        <v>80</v>
      </c>
      <c r="C390">
        <f>COUNTIFS(Data[Date], "&lt;="&amp;$A390, Data[Poster],C$1, Data[Winner],TRUE())</f>
        <v>75</v>
      </c>
      <c r="D390">
        <f>COUNTIFS(Data[Date], "&lt;="&amp;$A390, Data[Poster],D$1, Data[Winner],TRUE())</f>
        <v>77</v>
      </c>
      <c r="E390">
        <f>COUNTIFS(Data[Date], "&lt;="&amp;$A390, Data[Poster],E$1, Data[Winner],TRUE())</f>
        <v>75</v>
      </c>
      <c r="F390">
        <f>COUNTIFS(Data[Date], "&lt;="&amp;$A390, Data[Poster],F$1, Data[Winner],TRUE())</f>
        <v>82</v>
      </c>
      <c r="G390" t="str" cm="1">
        <f t="array" ref="G39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91" spans="1:7">
      <c r="A391" s="217">
        <v>46167</v>
      </c>
      <c r="B391">
        <f>COUNTIFS(Data[Date], "&lt;="&amp;$A391, Data[Poster],B$1, Data[Winner],TRUE())</f>
        <v>80</v>
      </c>
      <c r="C391">
        <f>COUNTIFS(Data[Date], "&lt;="&amp;$A391, Data[Poster],C$1, Data[Winner],TRUE())</f>
        <v>76</v>
      </c>
      <c r="D391">
        <f>COUNTIFS(Data[Date], "&lt;="&amp;$A391, Data[Poster],D$1, Data[Winner],TRUE())</f>
        <v>77</v>
      </c>
      <c r="E391">
        <f>COUNTIFS(Data[Date], "&lt;="&amp;$A391, Data[Poster],E$1, Data[Winner],TRUE())</f>
        <v>75</v>
      </c>
      <c r="F391">
        <f>COUNTIFS(Data[Date], "&lt;="&amp;$A391, Data[Poster],F$1, Data[Winner],TRUE())</f>
        <v>82</v>
      </c>
      <c r="G391" t="str" cm="1">
        <f t="array" ref="G39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92" spans="1:7">
      <c r="A392" s="217">
        <v>46168</v>
      </c>
      <c r="B392">
        <f>COUNTIFS(Data[Date], "&lt;="&amp;$A392, Data[Poster],B$1, Data[Winner],TRUE())</f>
        <v>80</v>
      </c>
      <c r="C392">
        <f>COUNTIFS(Data[Date], "&lt;="&amp;$A392, Data[Poster],C$1, Data[Winner],TRUE())</f>
        <v>76</v>
      </c>
      <c r="D392">
        <f>COUNTIFS(Data[Date], "&lt;="&amp;$A392, Data[Poster],D$1, Data[Winner],TRUE())</f>
        <v>78</v>
      </c>
      <c r="E392">
        <f>COUNTIFS(Data[Date], "&lt;="&amp;$A392, Data[Poster],E$1, Data[Winner],TRUE())</f>
        <v>75</v>
      </c>
      <c r="F392">
        <f>COUNTIFS(Data[Date], "&lt;="&amp;$A392, Data[Poster],F$1, Data[Winner],TRUE())</f>
        <v>82</v>
      </c>
      <c r="G392" t="str" cm="1">
        <f t="array" ref="G39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93" spans="1:7">
      <c r="A393" s="217">
        <v>46169</v>
      </c>
      <c r="B393">
        <f>COUNTIFS(Data[Date], "&lt;="&amp;$A393, Data[Poster],B$1, Data[Winner],TRUE())</f>
        <v>80</v>
      </c>
      <c r="C393">
        <f>COUNTIFS(Data[Date], "&lt;="&amp;$A393, Data[Poster],C$1, Data[Winner],TRUE())</f>
        <v>76</v>
      </c>
      <c r="D393">
        <f>COUNTIFS(Data[Date], "&lt;="&amp;$A393, Data[Poster],D$1, Data[Winner],TRUE())</f>
        <v>78</v>
      </c>
      <c r="E393">
        <f>COUNTIFS(Data[Date], "&lt;="&amp;$A393, Data[Poster],E$1, Data[Winner],TRUE())</f>
        <v>75</v>
      </c>
      <c r="F393">
        <f>COUNTIFS(Data[Date], "&lt;="&amp;$A393, Data[Poster],F$1, Data[Winner],TRUE())</f>
        <v>83</v>
      </c>
      <c r="G393" t="str" cm="1">
        <f t="array" ref="G39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94" spans="1:7">
      <c r="A394" s="217">
        <v>46170</v>
      </c>
      <c r="B394">
        <f>COUNTIFS(Data[Date], "&lt;="&amp;$A394, Data[Poster],B$1, Data[Winner],TRUE())</f>
        <v>80</v>
      </c>
      <c r="C394">
        <f>COUNTIFS(Data[Date], "&lt;="&amp;$A394, Data[Poster],C$1, Data[Winner],TRUE())</f>
        <v>76</v>
      </c>
      <c r="D394">
        <f>COUNTIFS(Data[Date], "&lt;="&amp;$A394, Data[Poster],D$1, Data[Winner],TRUE())</f>
        <v>79</v>
      </c>
      <c r="E394">
        <f>COUNTIFS(Data[Date], "&lt;="&amp;$A394, Data[Poster],E$1, Data[Winner],TRUE())</f>
        <v>75</v>
      </c>
      <c r="F394">
        <f>COUNTIFS(Data[Date], "&lt;="&amp;$A394, Data[Poster],F$1, Data[Winner],TRUE())</f>
        <v>83</v>
      </c>
      <c r="G394" t="str" cm="1">
        <f t="array" ref="G39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95" spans="1:7">
      <c r="A395" s="217">
        <v>46174</v>
      </c>
      <c r="B395">
        <f>COUNTIFS(Data[Date], "&lt;="&amp;$A395, Data[Poster],B$1, Data[Winner],TRUE())</f>
        <v>80</v>
      </c>
      <c r="C395">
        <f>COUNTIFS(Data[Date], "&lt;="&amp;$A395, Data[Poster],C$1, Data[Winner],TRUE())</f>
        <v>77</v>
      </c>
      <c r="D395">
        <f>COUNTIFS(Data[Date], "&lt;="&amp;$A395, Data[Poster],D$1, Data[Winner],TRUE())</f>
        <v>79</v>
      </c>
      <c r="E395">
        <f>COUNTIFS(Data[Date], "&lt;="&amp;$A395, Data[Poster],E$1, Data[Winner],TRUE())</f>
        <v>75</v>
      </c>
      <c r="F395">
        <f>COUNTIFS(Data[Date], "&lt;="&amp;$A395, Data[Poster],F$1, Data[Winner],TRUE())</f>
        <v>83</v>
      </c>
      <c r="G395" t="str" cm="1">
        <f t="array" ref="G39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96" spans="1:7">
      <c r="A396" s="217">
        <v>46175</v>
      </c>
      <c r="B396">
        <f>COUNTIFS(Data[Date], "&lt;="&amp;$A396, Data[Poster],B$1, Data[Winner],TRUE())</f>
        <v>80</v>
      </c>
      <c r="C396">
        <f>COUNTIFS(Data[Date], "&lt;="&amp;$A396, Data[Poster],C$1, Data[Winner],TRUE())</f>
        <v>77</v>
      </c>
      <c r="D396">
        <f>COUNTIFS(Data[Date], "&lt;="&amp;$A396, Data[Poster],D$1, Data[Winner],TRUE())</f>
        <v>79</v>
      </c>
      <c r="E396">
        <f>COUNTIFS(Data[Date], "&lt;="&amp;$A396, Data[Poster],E$1, Data[Winner],TRUE())</f>
        <v>76</v>
      </c>
      <c r="F396">
        <f>COUNTIFS(Data[Date], "&lt;="&amp;$A396, Data[Poster],F$1, Data[Winner],TRUE())</f>
        <v>83</v>
      </c>
      <c r="G396" t="str" cm="1">
        <f t="array" ref="G39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97" spans="1:7">
      <c r="A397" s="217">
        <v>46176</v>
      </c>
      <c r="B397">
        <f>COUNTIFS(Data[Date], "&lt;="&amp;$A397, Data[Poster],B$1, Data[Winner],TRUE())</f>
        <v>80</v>
      </c>
      <c r="C397">
        <f>COUNTIFS(Data[Date], "&lt;="&amp;$A397, Data[Poster],C$1, Data[Winner],TRUE())</f>
        <v>77</v>
      </c>
      <c r="D397">
        <f>COUNTIFS(Data[Date], "&lt;="&amp;$A397, Data[Poster],D$1, Data[Winner],TRUE())</f>
        <v>80</v>
      </c>
      <c r="E397">
        <f>COUNTIFS(Data[Date], "&lt;="&amp;$A397, Data[Poster],E$1, Data[Winner],TRUE())</f>
        <v>76</v>
      </c>
      <c r="F397">
        <f>COUNTIFS(Data[Date], "&lt;="&amp;$A397, Data[Poster],F$1, Data[Winner],TRUE())</f>
        <v>83</v>
      </c>
      <c r="G397" t="str" cm="1">
        <f t="array" ref="G39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98" spans="1:7">
      <c r="A398" s="217">
        <v>46177</v>
      </c>
      <c r="B398">
        <f>COUNTIFS(Data[Date], "&lt;="&amp;$A398, Data[Poster],B$1, Data[Winner],TRUE())</f>
        <v>80</v>
      </c>
      <c r="C398">
        <f>COUNTIFS(Data[Date], "&lt;="&amp;$A398, Data[Poster],C$1, Data[Winner],TRUE())</f>
        <v>77</v>
      </c>
      <c r="D398">
        <f>COUNTIFS(Data[Date], "&lt;="&amp;$A398, Data[Poster],D$1, Data[Winner],TRUE())</f>
        <v>81</v>
      </c>
      <c r="E398">
        <f>COUNTIFS(Data[Date], "&lt;="&amp;$A398, Data[Poster],E$1, Data[Winner],TRUE())</f>
        <v>76</v>
      </c>
      <c r="F398">
        <f>COUNTIFS(Data[Date], "&lt;="&amp;$A398, Data[Poster],F$1, Data[Winner],TRUE())</f>
        <v>83</v>
      </c>
      <c r="G398" t="str" cm="1">
        <f t="array" ref="G39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399" spans="1:7">
      <c r="A399" s="217">
        <v>46181</v>
      </c>
      <c r="B399">
        <f>COUNTIFS(Data[Date], "&lt;="&amp;$A399, Data[Poster],B$1, Data[Winner],TRUE())</f>
        <v>80</v>
      </c>
      <c r="C399">
        <f>COUNTIFS(Data[Date], "&lt;="&amp;$A399, Data[Poster],C$1, Data[Winner],TRUE())</f>
        <v>78</v>
      </c>
      <c r="D399">
        <f>COUNTIFS(Data[Date], "&lt;="&amp;$A399, Data[Poster],D$1, Data[Winner],TRUE())</f>
        <v>81</v>
      </c>
      <c r="E399">
        <f>COUNTIFS(Data[Date], "&lt;="&amp;$A399, Data[Poster],E$1, Data[Winner],TRUE())</f>
        <v>76</v>
      </c>
      <c r="F399">
        <f>COUNTIFS(Data[Date], "&lt;="&amp;$A399, Data[Poster],F$1, Data[Winner],TRUE())</f>
        <v>83</v>
      </c>
      <c r="G399" t="str" cm="1">
        <f t="array" ref="G39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00" spans="1:7">
      <c r="A400" s="217">
        <v>46182</v>
      </c>
      <c r="B400">
        <f>COUNTIFS(Data[Date], "&lt;="&amp;$A400, Data[Poster],B$1, Data[Winner],TRUE())</f>
        <v>80</v>
      </c>
      <c r="C400">
        <f>COUNTIFS(Data[Date], "&lt;="&amp;$A400, Data[Poster],C$1, Data[Winner],TRUE())</f>
        <v>78</v>
      </c>
      <c r="D400">
        <f>COUNTIFS(Data[Date], "&lt;="&amp;$A400, Data[Poster],D$1, Data[Winner],TRUE())</f>
        <v>81</v>
      </c>
      <c r="E400">
        <f>COUNTIFS(Data[Date], "&lt;="&amp;$A400, Data[Poster],E$1, Data[Winner],TRUE())</f>
        <v>76</v>
      </c>
      <c r="F400">
        <f>COUNTIFS(Data[Date], "&lt;="&amp;$A400, Data[Poster],F$1, Data[Winner],TRUE())</f>
        <v>84</v>
      </c>
      <c r="G400" t="str" cm="1">
        <f t="array" ref="G40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01" spans="1:7">
      <c r="A401" s="217">
        <v>46183</v>
      </c>
      <c r="B401">
        <f>COUNTIFS(Data[Date], "&lt;="&amp;$A401, Data[Poster],B$1, Data[Winner],TRUE())</f>
        <v>80</v>
      </c>
      <c r="C401">
        <f>COUNTIFS(Data[Date], "&lt;="&amp;$A401, Data[Poster],C$1, Data[Winner],TRUE())</f>
        <v>79</v>
      </c>
      <c r="D401">
        <f>COUNTIFS(Data[Date], "&lt;="&amp;$A401, Data[Poster],D$1, Data[Winner],TRUE())</f>
        <v>81</v>
      </c>
      <c r="E401">
        <f>COUNTIFS(Data[Date], "&lt;="&amp;$A401, Data[Poster],E$1, Data[Winner],TRUE())</f>
        <v>76</v>
      </c>
      <c r="F401">
        <f>COUNTIFS(Data[Date], "&lt;="&amp;$A401, Data[Poster],F$1, Data[Winner],TRUE())</f>
        <v>84</v>
      </c>
      <c r="G401" t="str" cm="1">
        <f t="array" ref="G40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02" spans="1:7">
      <c r="A402" s="217">
        <v>46184</v>
      </c>
      <c r="B402">
        <f>COUNTIFS(Data[Date], "&lt;="&amp;$A402, Data[Poster],B$1, Data[Winner],TRUE())</f>
        <v>80</v>
      </c>
      <c r="C402">
        <f>COUNTIFS(Data[Date], "&lt;="&amp;$A402, Data[Poster],C$1, Data[Winner],TRUE())</f>
        <v>79</v>
      </c>
      <c r="D402">
        <f>COUNTIFS(Data[Date], "&lt;="&amp;$A402, Data[Poster],D$1, Data[Winner],TRUE())</f>
        <v>81</v>
      </c>
      <c r="E402">
        <f>COUNTIFS(Data[Date], "&lt;="&amp;$A402, Data[Poster],E$1, Data[Winner],TRUE())</f>
        <v>76</v>
      </c>
      <c r="F402">
        <f>COUNTIFS(Data[Date], "&lt;="&amp;$A402, Data[Poster],F$1, Data[Winner],TRUE())</f>
        <v>85</v>
      </c>
      <c r="G402" t="str" cm="1">
        <f t="array" ref="G40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03" spans="1:7">
      <c r="A403" s="217">
        <v>46188</v>
      </c>
      <c r="B403">
        <f>COUNTIFS(Data[Date], "&lt;="&amp;$A403, Data[Poster],B$1, Data[Winner],TRUE())</f>
        <v>80</v>
      </c>
      <c r="C403">
        <f>COUNTIFS(Data[Date], "&lt;="&amp;$A403, Data[Poster],C$1, Data[Winner],TRUE())</f>
        <v>79</v>
      </c>
      <c r="D403">
        <f>COUNTIFS(Data[Date], "&lt;="&amp;$A403, Data[Poster],D$1, Data[Winner],TRUE())</f>
        <v>81</v>
      </c>
      <c r="E403">
        <f>COUNTIFS(Data[Date], "&lt;="&amp;$A403, Data[Poster],E$1, Data[Winner],TRUE())</f>
        <v>77</v>
      </c>
      <c r="F403">
        <f>COUNTIFS(Data[Date], "&lt;="&amp;$A403, Data[Poster],F$1, Data[Winner],TRUE())</f>
        <v>85</v>
      </c>
      <c r="G403" t="str" cm="1">
        <f t="array" ref="G40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04" spans="1:7">
      <c r="A404" s="217">
        <v>46189</v>
      </c>
      <c r="B404">
        <f>COUNTIFS(Data[Date], "&lt;="&amp;$A404, Data[Poster],B$1, Data[Winner],TRUE())</f>
        <v>80</v>
      </c>
      <c r="C404">
        <f>COUNTIFS(Data[Date], "&lt;="&amp;$A404, Data[Poster],C$1, Data[Winner],TRUE())</f>
        <v>79</v>
      </c>
      <c r="D404">
        <f>COUNTIFS(Data[Date], "&lt;="&amp;$A404, Data[Poster],D$1, Data[Winner],TRUE())</f>
        <v>81</v>
      </c>
      <c r="E404">
        <f>COUNTIFS(Data[Date], "&lt;="&amp;$A404, Data[Poster],E$1, Data[Winner],TRUE())</f>
        <v>77</v>
      </c>
      <c r="F404">
        <f>COUNTIFS(Data[Date], "&lt;="&amp;$A404, Data[Poster],F$1, Data[Winner],TRUE())</f>
        <v>86</v>
      </c>
      <c r="G404" t="str" cm="1">
        <f t="array" ref="G40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05" spans="1:7">
      <c r="A405" s="217">
        <v>46190</v>
      </c>
      <c r="B405">
        <f>COUNTIFS(Data[Date], "&lt;="&amp;$A405, Data[Poster],B$1, Data[Winner],TRUE())</f>
        <v>80</v>
      </c>
      <c r="C405">
        <f>COUNTIFS(Data[Date], "&lt;="&amp;$A405, Data[Poster],C$1, Data[Winner],TRUE())</f>
        <v>79</v>
      </c>
      <c r="D405">
        <f>COUNTIFS(Data[Date], "&lt;="&amp;$A405, Data[Poster],D$1, Data[Winner],TRUE())</f>
        <v>81</v>
      </c>
      <c r="E405">
        <f>COUNTIFS(Data[Date], "&lt;="&amp;$A405, Data[Poster],E$1, Data[Winner],TRUE())</f>
        <v>77</v>
      </c>
      <c r="F405">
        <f>COUNTIFS(Data[Date], "&lt;="&amp;$A405, Data[Poster],F$1, Data[Winner],TRUE())</f>
        <v>87</v>
      </c>
      <c r="G405" t="str" cm="1">
        <f t="array" ref="G40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06" spans="1:7">
      <c r="A406" s="217">
        <v>46191</v>
      </c>
      <c r="B406">
        <f>COUNTIFS(Data[Date], "&lt;="&amp;$A406, Data[Poster],B$1, Data[Winner],TRUE())</f>
        <v>80</v>
      </c>
      <c r="C406">
        <f>COUNTIFS(Data[Date], "&lt;="&amp;$A406, Data[Poster],C$1, Data[Winner],TRUE())</f>
        <v>79</v>
      </c>
      <c r="D406">
        <f>COUNTIFS(Data[Date], "&lt;="&amp;$A406, Data[Poster],D$1, Data[Winner],TRUE())</f>
        <v>81</v>
      </c>
      <c r="E406">
        <f>COUNTIFS(Data[Date], "&lt;="&amp;$A406, Data[Poster],E$1, Data[Winner],TRUE())</f>
        <v>78</v>
      </c>
      <c r="F406">
        <f>COUNTIFS(Data[Date], "&lt;="&amp;$A406, Data[Poster],F$1, Data[Winner],TRUE())</f>
        <v>87</v>
      </c>
      <c r="G406" t="str" cm="1">
        <f t="array" ref="G40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07" spans="1:7">
      <c r="A407" s="217">
        <v>46195</v>
      </c>
      <c r="B407">
        <f>COUNTIFS(Data[Date], "&lt;="&amp;$A407, Data[Poster],B$1, Data[Winner],TRUE())</f>
        <v>80</v>
      </c>
      <c r="C407">
        <f>COUNTIFS(Data[Date], "&lt;="&amp;$A407, Data[Poster],C$1, Data[Winner],TRUE())</f>
        <v>80</v>
      </c>
      <c r="D407">
        <f>COUNTIFS(Data[Date], "&lt;="&amp;$A407, Data[Poster],D$1, Data[Winner],TRUE())</f>
        <v>81</v>
      </c>
      <c r="E407">
        <f>COUNTIFS(Data[Date], "&lt;="&amp;$A407, Data[Poster],E$1, Data[Winner],TRUE())</f>
        <v>78</v>
      </c>
      <c r="F407">
        <f>COUNTIFS(Data[Date], "&lt;="&amp;$A407, Data[Poster],F$1, Data[Winner],TRUE())</f>
        <v>87</v>
      </c>
      <c r="G407" t="str" cm="1">
        <f t="array" ref="G40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08" spans="1:7">
      <c r="A408" s="217">
        <v>46196</v>
      </c>
      <c r="B408">
        <f>COUNTIFS(Data[Date], "&lt;="&amp;$A408, Data[Poster],B$1, Data[Winner],TRUE())</f>
        <v>80</v>
      </c>
      <c r="C408">
        <f>COUNTIFS(Data[Date], "&lt;="&amp;$A408, Data[Poster],C$1, Data[Winner],TRUE())</f>
        <v>81</v>
      </c>
      <c r="D408">
        <f>COUNTIFS(Data[Date], "&lt;="&amp;$A408, Data[Poster],D$1, Data[Winner],TRUE())</f>
        <v>81</v>
      </c>
      <c r="E408">
        <f>COUNTIFS(Data[Date], "&lt;="&amp;$A408, Data[Poster],E$1, Data[Winner],TRUE())</f>
        <v>78</v>
      </c>
      <c r="F408">
        <f>COUNTIFS(Data[Date], "&lt;="&amp;$A408, Data[Poster],F$1, Data[Winner],TRUE())</f>
        <v>87</v>
      </c>
      <c r="G408" t="str" cm="1">
        <f t="array" ref="G40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09" spans="1:7">
      <c r="A409" s="217">
        <v>46197</v>
      </c>
      <c r="B409">
        <f>COUNTIFS(Data[Date], "&lt;="&amp;$A409, Data[Poster],B$1, Data[Winner],TRUE())</f>
        <v>81</v>
      </c>
      <c r="C409">
        <f>COUNTIFS(Data[Date], "&lt;="&amp;$A409, Data[Poster],C$1, Data[Winner],TRUE())</f>
        <v>81</v>
      </c>
      <c r="D409">
        <f>COUNTIFS(Data[Date], "&lt;="&amp;$A409, Data[Poster],D$1, Data[Winner],TRUE())</f>
        <v>81</v>
      </c>
      <c r="E409">
        <f>COUNTIFS(Data[Date], "&lt;="&amp;$A409, Data[Poster],E$1, Data[Winner],TRUE())</f>
        <v>78</v>
      </c>
      <c r="F409">
        <f>COUNTIFS(Data[Date], "&lt;="&amp;$A409, Data[Poster],F$1, Data[Winner],TRUE())</f>
        <v>87</v>
      </c>
      <c r="G409" t="str" cm="1">
        <f t="array" ref="G40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10" spans="1:7">
      <c r="A410" s="217">
        <v>46198</v>
      </c>
      <c r="B410">
        <f>COUNTIFS(Data[Date], "&lt;="&amp;$A410, Data[Poster],B$1, Data[Winner],TRUE())</f>
        <v>81</v>
      </c>
      <c r="C410">
        <f>COUNTIFS(Data[Date], "&lt;="&amp;$A410, Data[Poster],C$1, Data[Winner],TRUE())</f>
        <v>81</v>
      </c>
      <c r="D410">
        <f>COUNTIFS(Data[Date], "&lt;="&amp;$A410, Data[Poster],D$1, Data[Winner],TRUE())</f>
        <v>82</v>
      </c>
      <c r="E410">
        <f>COUNTIFS(Data[Date], "&lt;="&amp;$A410, Data[Poster],E$1, Data[Winner],TRUE())</f>
        <v>78</v>
      </c>
      <c r="F410">
        <f>COUNTIFS(Data[Date], "&lt;="&amp;$A410, Data[Poster],F$1, Data[Winner],TRUE())</f>
        <v>87</v>
      </c>
      <c r="G410" t="str" cm="1">
        <f t="array" ref="G41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11" spans="1:7">
      <c r="A411" s="217">
        <v>46202</v>
      </c>
      <c r="B411">
        <f>COUNTIFS(Data[Date], "&lt;="&amp;$A411, Data[Poster],B$1, Data[Winner],TRUE())</f>
        <v>81</v>
      </c>
      <c r="C411">
        <f>COUNTIFS(Data[Date], "&lt;="&amp;$A411, Data[Poster],C$1, Data[Winner],TRUE())</f>
        <v>81</v>
      </c>
      <c r="D411">
        <f>COUNTIFS(Data[Date], "&lt;="&amp;$A411, Data[Poster],D$1, Data[Winner],TRUE())</f>
        <v>82</v>
      </c>
      <c r="E411">
        <f>COUNTIFS(Data[Date], "&lt;="&amp;$A411, Data[Poster],E$1, Data[Winner],TRUE())</f>
        <v>79</v>
      </c>
      <c r="F411">
        <f>COUNTIFS(Data[Date], "&lt;="&amp;$A411, Data[Poster],F$1, Data[Winner],TRUE())</f>
        <v>87</v>
      </c>
      <c r="G411" t="str" cm="1">
        <f t="array" ref="G41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12" spans="1:7">
      <c r="A412" s="217">
        <v>46203</v>
      </c>
      <c r="B412">
        <f>COUNTIFS(Data[Date], "&lt;="&amp;$A412, Data[Poster],B$1, Data[Winner],TRUE())</f>
        <v>81</v>
      </c>
      <c r="C412">
        <f>COUNTIFS(Data[Date], "&lt;="&amp;$A412, Data[Poster],C$1, Data[Winner],TRUE())</f>
        <v>82</v>
      </c>
      <c r="D412">
        <f>COUNTIFS(Data[Date], "&lt;="&amp;$A412, Data[Poster],D$1, Data[Winner],TRUE())</f>
        <v>82</v>
      </c>
      <c r="E412">
        <f>COUNTIFS(Data[Date], "&lt;="&amp;$A412, Data[Poster],E$1, Data[Winner],TRUE())</f>
        <v>79</v>
      </c>
      <c r="F412">
        <f>COUNTIFS(Data[Date], "&lt;="&amp;$A412, Data[Poster],F$1, Data[Winner],TRUE())</f>
        <v>87</v>
      </c>
      <c r="G412" t="str" cm="1">
        <f t="array" ref="G41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13" spans="1:7">
      <c r="A413" s="217">
        <v>46204</v>
      </c>
      <c r="B413">
        <f>COUNTIFS(Data[Date], "&lt;="&amp;$A413, Data[Poster],B$1, Data[Winner],TRUE())</f>
        <v>81</v>
      </c>
      <c r="C413">
        <f>COUNTIFS(Data[Date], "&lt;="&amp;$A413, Data[Poster],C$1, Data[Winner],TRUE())</f>
        <v>82</v>
      </c>
      <c r="D413">
        <f>COUNTIFS(Data[Date], "&lt;="&amp;$A413, Data[Poster],D$1, Data[Winner],TRUE())</f>
        <v>83</v>
      </c>
      <c r="E413">
        <f>COUNTIFS(Data[Date], "&lt;="&amp;$A413, Data[Poster],E$1, Data[Winner],TRUE())</f>
        <v>79</v>
      </c>
      <c r="F413">
        <f>COUNTIFS(Data[Date], "&lt;="&amp;$A413, Data[Poster],F$1, Data[Winner],TRUE())</f>
        <v>87</v>
      </c>
      <c r="G413" t="str" cm="1">
        <f t="array" ref="G41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14" spans="1:7">
      <c r="A414" s="217">
        <v>46205</v>
      </c>
      <c r="B414">
        <f>COUNTIFS(Data[Date], "&lt;="&amp;$A414, Data[Poster],B$1, Data[Winner],TRUE())</f>
        <v>81</v>
      </c>
      <c r="C414">
        <f>COUNTIFS(Data[Date], "&lt;="&amp;$A414, Data[Poster],C$1, Data[Winner],TRUE())</f>
        <v>83</v>
      </c>
      <c r="D414">
        <f>COUNTIFS(Data[Date], "&lt;="&amp;$A414, Data[Poster],D$1, Data[Winner],TRUE())</f>
        <v>83</v>
      </c>
      <c r="E414">
        <f>COUNTIFS(Data[Date], "&lt;="&amp;$A414, Data[Poster],E$1, Data[Winner],TRUE())</f>
        <v>79</v>
      </c>
      <c r="F414">
        <f>COUNTIFS(Data[Date], "&lt;="&amp;$A414, Data[Poster],F$1, Data[Winner],TRUE())</f>
        <v>87</v>
      </c>
      <c r="G414" t="str" cm="1">
        <f t="array" ref="G41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15" spans="1:7">
      <c r="A415" s="217">
        <v>46209</v>
      </c>
      <c r="B415">
        <f>COUNTIFS(Data[Date], "&lt;="&amp;$A415, Data[Poster],B$1, Data[Winner],TRUE())</f>
        <v>81</v>
      </c>
      <c r="C415">
        <f>COUNTIFS(Data[Date], "&lt;="&amp;$A415, Data[Poster],C$1, Data[Winner],TRUE())</f>
        <v>83</v>
      </c>
      <c r="D415">
        <f>COUNTIFS(Data[Date], "&lt;="&amp;$A415, Data[Poster],D$1, Data[Winner],TRUE())</f>
        <v>83</v>
      </c>
      <c r="E415">
        <f>COUNTIFS(Data[Date], "&lt;="&amp;$A415, Data[Poster],E$1, Data[Winner],TRUE())</f>
        <v>80</v>
      </c>
      <c r="F415">
        <f>COUNTIFS(Data[Date], "&lt;="&amp;$A415, Data[Poster],F$1, Data[Winner],TRUE())</f>
        <v>87</v>
      </c>
      <c r="G415" t="str" cm="1">
        <f t="array" ref="G41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16" spans="1:7">
      <c r="A416" s="217">
        <v>46210</v>
      </c>
      <c r="B416">
        <f>COUNTIFS(Data[Date], "&lt;="&amp;$A416, Data[Poster],B$1, Data[Winner],TRUE())</f>
        <v>81</v>
      </c>
      <c r="C416">
        <f>COUNTIFS(Data[Date], "&lt;="&amp;$A416, Data[Poster],C$1, Data[Winner],TRUE())</f>
        <v>83</v>
      </c>
      <c r="D416">
        <f>COUNTIFS(Data[Date], "&lt;="&amp;$A416, Data[Poster],D$1, Data[Winner],TRUE())</f>
        <v>83</v>
      </c>
      <c r="E416">
        <f>COUNTIFS(Data[Date], "&lt;="&amp;$A416, Data[Poster],E$1, Data[Winner],TRUE())</f>
        <v>81</v>
      </c>
      <c r="F416">
        <f>COUNTIFS(Data[Date], "&lt;="&amp;$A416, Data[Poster],F$1, Data[Winner],TRUE())</f>
        <v>87</v>
      </c>
      <c r="G416" t="str" cm="1">
        <f t="array" ref="G41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17" spans="1:7">
      <c r="A417" s="217">
        <v>46211</v>
      </c>
      <c r="B417">
        <f>COUNTIFS(Data[Date], "&lt;="&amp;$A417, Data[Poster],B$1, Data[Winner],TRUE())</f>
        <v>81</v>
      </c>
      <c r="C417">
        <f>COUNTIFS(Data[Date], "&lt;="&amp;$A417, Data[Poster],C$1, Data[Winner],TRUE())</f>
        <v>83</v>
      </c>
      <c r="D417">
        <f>COUNTIFS(Data[Date], "&lt;="&amp;$A417, Data[Poster],D$1, Data[Winner],TRUE())</f>
        <v>83</v>
      </c>
      <c r="E417">
        <f>COUNTIFS(Data[Date], "&lt;="&amp;$A417, Data[Poster],E$1, Data[Winner],TRUE())</f>
        <v>82</v>
      </c>
      <c r="F417">
        <f>COUNTIFS(Data[Date], "&lt;="&amp;$A417, Data[Poster],F$1, Data[Winner],TRUE())</f>
        <v>87</v>
      </c>
      <c r="G417" t="str" cm="1">
        <f t="array" ref="G41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18" spans="1:7">
      <c r="A418" s="217">
        <v>46212</v>
      </c>
      <c r="B418">
        <f>COUNTIFS(Data[Date], "&lt;="&amp;$A418, Data[Poster],B$1, Data[Winner],TRUE())</f>
        <v>81</v>
      </c>
      <c r="C418">
        <f>COUNTIFS(Data[Date], "&lt;="&amp;$A418, Data[Poster],C$1, Data[Winner],TRUE())</f>
        <v>83</v>
      </c>
      <c r="D418">
        <f>COUNTIFS(Data[Date], "&lt;="&amp;$A418, Data[Poster],D$1, Data[Winner],TRUE())</f>
        <v>83</v>
      </c>
      <c r="E418">
        <f>COUNTIFS(Data[Date], "&lt;="&amp;$A418, Data[Poster],E$1, Data[Winner],TRUE())</f>
        <v>82</v>
      </c>
      <c r="F418">
        <f>COUNTIFS(Data[Date], "&lt;="&amp;$A418, Data[Poster],F$1, Data[Winner],TRUE())</f>
        <v>88</v>
      </c>
      <c r="G418" t="str" cm="1">
        <f t="array" ref="G41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19" spans="1:7">
      <c r="A419" s="217">
        <v>46216</v>
      </c>
      <c r="B419">
        <f>COUNTIFS(Data[Date], "&lt;="&amp;$A419, Data[Poster],B$1, Data[Winner],TRUE())</f>
        <v>81</v>
      </c>
      <c r="C419">
        <f>COUNTIFS(Data[Date], "&lt;="&amp;$A419, Data[Poster],C$1, Data[Winner],TRUE())</f>
        <v>83</v>
      </c>
      <c r="D419">
        <f>COUNTIFS(Data[Date], "&lt;="&amp;$A419, Data[Poster],D$1, Data[Winner],TRUE())</f>
        <v>83</v>
      </c>
      <c r="E419">
        <f>COUNTIFS(Data[Date], "&lt;="&amp;$A419, Data[Poster],E$1, Data[Winner],TRUE())</f>
        <v>83</v>
      </c>
      <c r="F419">
        <f>COUNTIFS(Data[Date], "&lt;="&amp;$A419, Data[Poster],F$1, Data[Winner],TRUE())</f>
        <v>88</v>
      </c>
      <c r="G419" t="str" cm="1">
        <f t="array" ref="G41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20" spans="1:7">
      <c r="A420" s="217">
        <v>46217</v>
      </c>
      <c r="B420">
        <f>COUNTIFS(Data[Date], "&lt;="&amp;$A420, Data[Poster],B$1, Data[Winner],TRUE())</f>
        <v>81</v>
      </c>
      <c r="C420">
        <f>COUNTIFS(Data[Date], "&lt;="&amp;$A420, Data[Poster],C$1, Data[Winner],TRUE())</f>
        <v>83</v>
      </c>
      <c r="D420">
        <f>COUNTIFS(Data[Date], "&lt;="&amp;$A420, Data[Poster],D$1, Data[Winner],TRUE())</f>
        <v>83</v>
      </c>
      <c r="E420">
        <f>COUNTIFS(Data[Date], "&lt;="&amp;$A420, Data[Poster],E$1, Data[Winner],TRUE())</f>
        <v>84</v>
      </c>
      <c r="F420">
        <f>COUNTIFS(Data[Date], "&lt;="&amp;$A420, Data[Poster],F$1, Data[Winner],TRUE())</f>
        <v>88</v>
      </c>
      <c r="G420" t="str" cm="1">
        <f t="array" ref="G42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21" spans="1:7">
      <c r="A421" s="217">
        <v>46218</v>
      </c>
      <c r="B421">
        <f>COUNTIFS(Data[Date], "&lt;="&amp;$A421, Data[Poster],B$1, Data[Winner],TRUE())</f>
        <v>82</v>
      </c>
      <c r="C421">
        <f>COUNTIFS(Data[Date], "&lt;="&amp;$A421, Data[Poster],C$1, Data[Winner],TRUE())</f>
        <v>83</v>
      </c>
      <c r="D421">
        <f>COUNTIFS(Data[Date], "&lt;="&amp;$A421, Data[Poster],D$1, Data[Winner],TRUE())</f>
        <v>83</v>
      </c>
      <c r="E421">
        <f>COUNTIFS(Data[Date], "&lt;="&amp;$A421, Data[Poster],E$1, Data[Winner],TRUE())</f>
        <v>84</v>
      </c>
      <c r="F421">
        <f>COUNTIFS(Data[Date], "&lt;="&amp;$A421, Data[Poster],F$1, Data[Winner],TRUE())</f>
        <v>88</v>
      </c>
      <c r="G421" t="str" cm="1">
        <f t="array" ref="G42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22" spans="1:7">
      <c r="A422" s="217">
        <v>46219</v>
      </c>
      <c r="B422">
        <f>COUNTIFS(Data[Date], "&lt;="&amp;$A422, Data[Poster],B$1, Data[Winner],TRUE())</f>
        <v>82</v>
      </c>
      <c r="C422">
        <f>COUNTIFS(Data[Date], "&lt;="&amp;$A422, Data[Poster],C$1, Data[Winner],TRUE())</f>
        <v>83</v>
      </c>
      <c r="D422">
        <f>COUNTIFS(Data[Date], "&lt;="&amp;$A422, Data[Poster],D$1, Data[Winner],TRUE())</f>
        <v>83</v>
      </c>
      <c r="E422">
        <f>COUNTIFS(Data[Date], "&lt;="&amp;$A422, Data[Poster],E$1, Data[Winner],TRUE())</f>
        <v>84</v>
      </c>
      <c r="F422">
        <f>COUNTIFS(Data[Date], "&lt;="&amp;$A422, Data[Poster],F$1, Data[Winner],TRUE())</f>
        <v>89</v>
      </c>
      <c r="G422" t="str" cm="1">
        <f t="array" ref="G42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23" spans="1:7">
      <c r="A423" s="217">
        <v>46223</v>
      </c>
      <c r="B423">
        <f>COUNTIFS(Data[Date], "&lt;="&amp;$A423, Data[Poster],B$1, Data[Winner],TRUE())</f>
        <v>82</v>
      </c>
      <c r="C423">
        <f>COUNTIFS(Data[Date], "&lt;="&amp;$A423, Data[Poster],C$1, Data[Winner],TRUE())</f>
        <v>83</v>
      </c>
      <c r="D423">
        <f>COUNTIFS(Data[Date], "&lt;="&amp;$A423, Data[Poster],D$1, Data[Winner],TRUE())</f>
        <v>83</v>
      </c>
      <c r="E423">
        <f>COUNTIFS(Data[Date], "&lt;="&amp;$A423, Data[Poster],E$1, Data[Winner],TRUE())</f>
        <v>84</v>
      </c>
      <c r="F423">
        <f>COUNTIFS(Data[Date], "&lt;="&amp;$A423, Data[Poster],F$1, Data[Winner],TRUE())</f>
        <v>90</v>
      </c>
      <c r="G423" t="str" cm="1">
        <f t="array" ref="G42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24" spans="1:7">
      <c r="A424" s="217">
        <v>46224</v>
      </c>
      <c r="B424">
        <f>COUNTIFS(Data[Date], "&lt;="&amp;$A424, Data[Poster],B$1, Data[Winner],TRUE())</f>
        <v>83</v>
      </c>
      <c r="C424">
        <f>COUNTIFS(Data[Date], "&lt;="&amp;$A424, Data[Poster],C$1, Data[Winner],TRUE())</f>
        <v>83</v>
      </c>
      <c r="D424">
        <f>COUNTIFS(Data[Date], "&lt;="&amp;$A424, Data[Poster],D$1, Data[Winner],TRUE())</f>
        <v>83</v>
      </c>
      <c r="E424">
        <f>COUNTIFS(Data[Date], "&lt;="&amp;$A424, Data[Poster],E$1, Data[Winner],TRUE())</f>
        <v>84</v>
      </c>
      <c r="F424">
        <f>COUNTIFS(Data[Date], "&lt;="&amp;$A424, Data[Poster],F$1, Data[Winner],TRUE())</f>
        <v>90</v>
      </c>
      <c r="G424" t="str" cm="1">
        <f t="array" ref="G42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25" spans="1:7">
      <c r="A425" s="217">
        <v>46225</v>
      </c>
      <c r="B425">
        <f>COUNTIFS(Data[Date], "&lt;="&amp;$A425, Data[Poster],B$1, Data[Winner],TRUE())</f>
        <v>83</v>
      </c>
      <c r="C425">
        <f>COUNTIFS(Data[Date], "&lt;="&amp;$A425, Data[Poster],C$1, Data[Winner],TRUE())</f>
        <v>83</v>
      </c>
      <c r="D425">
        <f>COUNTIFS(Data[Date], "&lt;="&amp;$A425, Data[Poster],D$1, Data[Winner],TRUE())</f>
        <v>83</v>
      </c>
      <c r="E425">
        <f>COUNTIFS(Data[Date], "&lt;="&amp;$A425, Data[Poster],E$1, Data[Winner],TRUE())</f>
        <v>84</v>
      </c>
      <c r="F425">
        <f>COUNTIFS(Data[Date], "&lt;="&amp;$A425, Data[Poster],F$1, Data[Winner],TRUE())</f>
        <v>91</v>
      </c>
      <c r="G425" t="str" cm="1">
        <f t="array" ref="G42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26" spans="1:7">
      <c r="A426" s="217">
        <v>46226</v>
      </c>
      <c r="B426">
        <f>COUNTIFS(Data[Date], "&lt;="&amp;$A426, Data[Poster],B$1, Data[Winner],TRUE())</f>
        <v>83</v>
      </c>
      <c r="C426">
        <f>COUNTIFS(Data[Date], "&lt;="&amp;$A426, Data[Poster],C$1, Data[Winner],TRUE())</f>
        <v>83</v>
      </c>
      <c r="D426">
        <f>COUNTIFS(Data[Date], "&lt;="&amp;$A426, Data[Poster],D$1, Data[Winner],TRUE())</f>
        <v>84</v>
      </c>
      <c r="E426">
        <f>COUNTIFS(Data[Date], "&lt;="&amp;$A426, Data[Poster],E$1, Data[Winner],TRUE())</f>
        <v>84</v>
      </c>
      <c r="F426">
        <f>COUNTIFS(Data[Date], "&lt;="&amp;$A426, Data[Poster],F$1, Data[Winner],TRUE())</f>
        <v>91</v>
      </c>
      <c r="G426" t="str" cm="1">
        <f t="array" ref="G42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27" spans="1:7">
      <c r="A427" s="217">
        <v>46230</v>
      </c>
      <c r="B427">
        <f>COUNTIFS(Data[Date], "&lt;="&amp;$A427, Data[Poster],B$1, Data[Winner],TRUE())</f>
        <v>83</v>
      </c>
      <c r="C427">
        <f>COUNTIFS(Data[Date], "&lt;="&amp;$A427, Data[Poster],C$1, Data[Winner],TRUE())</f>
        <v>83</v>
      </c>
      <c r="D427">
        <f>COUNTIFS(Data[Date], "&lt;="&amp;$A427, Data[Poster],D$1, Data[Winner],TRUE())</f>
        <v>85</v>
      </c>
      <c r="E427">
        <f>COUNTIFS(Data[Date], "&lt;="&amp;$A427, Data[Poster],E$1, Data[Winner],TRUE())</f>
        <v>84</v>
      </c>
      <c r="F427">
        <f>COUNTIFS(Data[Date], "&lt;="&amp;$A427, Data[Poster],F$1, Data[Winner],TRUE())</f>
        <v>91</v>
      </c>
      <c r="G427" t="str" cm="1">
        <f t="array" ref="G42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28" spans="1:7">
      <c r="A428" s="217">
        <v>46231</v>
      </c>
      <c r="B428">
        <f>COUNTIFS(Data[Date], "&lt;="&amp;$A428, Data[Poster],B$1, Data[Winner],TRUE())</f>
        <v>84</v>
      </c>
      <c r="C428">
        <f>COUNTIFS(Data[Date], "&lt;="&amp;$A428, Data[Poster],C$1, Data[Winner],TRUE())</f>
        <v>83</v>
      </c>
      <c r="D428">
        <f>COUNTIFS(Data[Date], "&lt;="&amp;$A428, Data[Poster],D$1, Data[Winner],TRUE())</f>
        <v>85</v>
      </c>
      <c r="E428">
        <f>COUNTIFS(Data[Date], "&lt;="&amp;$A428, Data[Poster],E$1, Data[Winner],TRUE())</f>
        <v>84</v>
      </c>
      <c r="F428">
        <f>COUNTIFS(Data[Date], "&lt;="&amp;$A428, Data[Poster],F$1, Data[Winner],TRUE())</f>
        <v>91</v>
      </c>
      <c r="G428" t="str" cm="1">
        <f t="array" ref="G42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29" spans="1:7">
      <c r="A429" s="217">
        <v>46232</v>
      </c>
      <c r="B429">
        <f>COUNTIFS(Data[Date], "&lt;="&amp;$A429, Data[Poster],B$1, Data[Winner],TRUE())</f>
        <v>84</v>
      </c>
      <c r="C429">
        <f>COUNTIFS(Data[Date], "&lt;="&amp;$A429, Data[Poster],C$1, Data[Winner],TRUE())</f>
        <v>83</v>
      </c>
      <c r="D429">
        <f>COUNTIFS(Data[Date], "&lt;="&amp;$A429, Data[Poster],D$1, Data[Winner],TRUE())</f>
        <v>86</v>
      </c>
      <c r="E429">
        <f>COUNTIFS(Data[Date], "&lt;="&amp;$A429, Data[Poster],E$1, Data[Winner],TRUE())</f>
        <v>84</v>
      </c>
      <c r="F429">
        <f>COUNTIFS(Data[Date], "&lt;="&amp;$A429, Data[Poster],F$1, Data[Winner],TRUE())</f>
        <v>91</v>
      </c>
      <c r="G429" t="str" cm="1">
        <f t="array" ref="G42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30" spans="1:7">
      <c r="A430" s="217">
        <v>46233</v>
      </c>
      <c r="B430">
        <f>COUNTIFS(Data[Date], "&lt;="&amp;$A430, Data[Poster],B$1, Data[Winner],TRUE())</f>
        <v>84</v>
      </c>
      <c r="C430">
        <f>COUNTIFS(Data[Date], "&lt;="&amp;$A430, Data[Poster],C$1, Data[Winner],TRUE())</f>
        <v>84</v>
      </c>
      <c r="D430">
        <f>COUNTIFS(Data[Date], "&lt;="&amp;$A430, Data[Poster],D$1, Data[Winner],TRUE())</f>
        <v>86</v>
      </c>
      <c r="E430">
        <f>COUNTIFS(Data[Date], "&lt;="&amp;$A430, Data[Poster],E$1, Data[Winner],TRUE())</f>
        <v>84</v>
      </c>
      <c r="F430">
        <f>COUNTIFS(Data[Date], "&lt;="&amp;$A430, Data[Poster],F$1, Data[Winner],TRUE())</f>
        <v>91</v>
      </c>
      <c r="G430" t="str" cm="1">
        <f t="array" ref="G43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31" spans="1:7">
      <c r="A431" s="217">
        <v>46237</v>
      </c>
      <c r="B431">
        <f>COUNTIFS(Data[Date], "&lt;="&amp;$A431, Data[Poster],B$1, Data[Winner],TRUE())</f>
        <v>84</v>
      </c>
      <c r="C431">
        <f>COUNTIFS(Data[Date], "&lt;="&amp;$A431, Data[Poster],C$1, Data[Winner],TRUE())</f>
        <v>84</v>
      </c>
      <c r="D431">
        <f>COUNTIFS(Data[Date], "&lt;="&amp;$A431, Data[Poster],D$1, Data[Winner],TRUE())</f>
        <v>87</v>
      </c>
      <c r="E431">
        <f>COUNTIFS(Data[Date], "&lt;="&amp;$A431, Data[Poster],E$1, Data[Winner],TRUE())</f>
        <v>84</v>
      </c>
      <c r="F431">
        <f>COUNTIFS(Data[Date], "&lt;="&amp;$A431, Data[Poster],F$1, Data[Winner],TRUE())</f>
        <v>91</v>
      </c>
      <c r="G431" t="str" cm="1">
        <f t="array" ref="G43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32" spans="1:7">
      <c r="A432" s="217">
        <v>46238</v>
      </c>
      <c r="B432">
        <f>COUNTIFS(Data[Date], "&lt;="&amp;$A432, Data[Poster],B$1, Data[Winner],TRUE())</f>
        <v>84</v>
      </c>
      <c r="C432">
        <f>COUNTIFS(Data[Date], "&lt;="&amp;$A432, Data[Poster],C$1, Data[Winner],TRUE())</f>
        <v>85</v>
      </c>
      <c r="D432">
        <f>COUNTIFS(Data[Date], "&lt;="&amp;$A432, Data[Poster],D$1, Data[Winner],TRUE())</f>
        <v>87</v>
      </c>
      <c r="E432">
        <f>COUNTIFS(Data[Date], "&lt;="&amp;$A432, Data[Poster],E$1, Data[Winner],TRUE())</f>
        <v>84</v>
      </c>
      <c r="F432">
        <f>COUNTIFS(Data[Date], "&lt;="&amp;$A432, Data[Poster],F$1, Data[Winner],TRUE())</f>
        <v>91</v>
      </c>
      <c r="G432" t="str" cm="1">
        <f t="array" ref="G43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33" spans="1:7">
      <c r="A433" s="217">
        <v>46239</v>
      </c>
      <c r="B433">
        <f>COUNTIFS(Data[Date], "&lt;="&amp;$A433, Data[Poster],B$1, Data[Winner],TRUE())</f>
        <v>84</v>
      </c>
      <c r="C433">
        <f>COUNTIFS(Data[Date], "&lt;="&amp;$A433, Data[Poster],C$1, Data[Winner],TRUE())</f>
        <v>85</v>
      </c>
      <c r="D433">
        <f>COUNTIFS(Data[Date], "&lt;="&amp;$A433, Data[Poster],D$1, Data[Winner],TRUE())</f>
        <v>87</v>
      </c>
      <c r="E433">
        <f>COUNTIFS(Data[Date], "&lt;="&amp;$A433, Data[Poster],E$1, Data[Winner],TRUE())</f>
        <v>84</v>
      </c>
      <c r="F433">
        <f>COUNTIFS(Data[Date], "&lt;="&amp;$A433, Data[Poster],F$1, Data[Winner],TRUE())</f>
        <v>92</v>
      </c>
      <c r="G433" t="str" cm="1">
        <f t="array" ref="G43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34" spans="1:7">
      <c r="A434" s="217">
        <v>46240</v>
      </c>
      <c r="B434">
        <f>COUNTIFS(Data[Date], "&lt;="&amp;$A434, Data[Poster],B$1, Data[Winner],TRUE())</f>
        <v>84</v>
      </c>
      <c r="C434">
        <f>COUNTIFS(Data[Date], "&lt;="&amp;$A434, Data[Poster],C$1, Data[Winner],TRUE())</f>
        <v>86</v>
      </c>
      <c r="D434">
        <f>COUNTIFS(Data[Date], "&lt;="&amp;$A434, Data[Poster],D$1, Data[Winner],TRUE())</f>
        <v>87</v>
      </c>
      <c r="E434">
        <f>COUNTIFS(Data[Date], "&lt;="&amp;$A434, Data[Poster],E$1, Data[Winner],TRUE())</f>
        <v>84</v>
      </c>
      <c r="F434">
        <f>COUNTIFS(Data[Date], "&lt;="&amp;$A434, Data[Poster],F$1, Data[Winner],TRUE())</f>
        <v>92</v>
      </c>
      <c r="G434" t="str" cm="1">
        <f t="array" ref="G43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35" spans="1:7">
      <c r="A435" s="217">
        <v>46244</v>
      </c>
      <c r="B435">
        <f>COUNTIFS(Data[Date], "&lt;="&amp;$A435, Data[Poster],B$1, Data[Winner],TRUE())</f>
        <v>84</v>
      </c>
      <c r="C435">
        <f>COUNTIFS(Data[Date], "&lt;="&amp;$A435, Data[Poster],C$1, Data[Winner],TRUE())</f>
        <v>86</v>
      </c>
      <c r="D435">
        <f>COUNTIFS(Data[Date], "&lt;="&amp;$A435, Data[Poster],D$1, Data[Winner],TRUE())</f>
        <v>88</v>
      </c>
      <c r="E435">
        <f>COUNTIFS(Data[Date], "&lt;="&amp;$A435, Data[Poster],E$1, Data[Winner],TRUE())</f>
        <v>84</v>
      </c>
      <c r="F435">
        <f>COUNTIFS(Data[Date], "&lt;="&amp;$A435, Data[Poster],F$1, Data[Winner],TRUE())</f>
        <v>92</v>
      </c>
      <c r="G435" t="str" cm="1">
        <f t="array" ref="G43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36" spans="1:7">
      <c r="A436" s="217">
        <v>46245</v>
      </c>
      <c r="B436">
        <f>COUNTIFS(Data[Date], "&lt;="&amp;$A436, Data[Poster],B$1, Data[Winner],TRUE())</f>
        <v>84</v>
      </c>
      <c r="C436">
        <f>COUNTIFS(Data[Date], "&lt;="&amp;$A436, Data[Poster],C$1, Data[Winner],TRUE())</f>
        <v>87</v>
      </c>
      <c r="D436">
        <f>COUNTIFS(Data[Date], "&lt;="&amp;$A436, Data[Poster],D$1, Data[Winner],TRUE())</f>
        <v>88</v>
      </c>
      <c r="E436">
        <f>COUNTIFS(Data[Date], "&lt;="&amp;$A436, Data[Poster],E$1, Data[Winner],TRUE())</f>
        <v>84</v>
      </c>
      <c r="F436">
        <f>COUNTIFS(Data[Date], "&lt;="&amp;$A436, Data[Poster],F$1, Data[Winner],TRUE())</f>
        <v>92</v>
      </c>
      <c r="G436" t="str" cm="1">
        <f t="array" ref="G43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37" spans="1:7">
      <c r="A437" s="217">
        <v>46246</v>
      </c>
      <c r="B437">
        <f>COUNTIFS(Data[Date], "&lt;="&amp;$A437, Data[Poster],B$1, Data[Winner],TRUE())</f>
        <v>84</v>
      </c>
      <c r="C437">
        <f>COUNTIFS(Data[Date], "&lt;="&amp;$A437, Data[Poster],C$1, Data[Winner],TRUE())</f>
        <v>87</v>
      </c>
      <c r="D437">
        <f>COUNTIFS(Data[Date], "&lt;="&amp;$A437, Data[Poster],D$1, Data[Winner],TRUE())</f>
        <v>88</v>
      </c>
      <c r="E437">
        <f>COUNTIFS(Data[Date], "&lt;="&amp;$A437, Data[Poster],E$1, Data[Winner],TRUE())</f>
        <v>85</v>
      </c>
      <c r="F437">
        <f>COUNTIFS(Data[Date], "&lt;="&amp;$A437, Data[Poster],F$1, Data[Winner],TRUE())</f>
        <v>92</v>
      </c>
      <c r="G437" t="str" cm="1">
        <f t="array" ref="G437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38" spans="1:7">
      <c r="A438" s="217">
        <v>46247</v>
      </c>
      <c r="B438">
        <f>COUNTIFS(Data[Date], "&lt;="&amp;$A438, Data[Poster],B$1, Data[Winner],TRUE())</f>
        <v>85</v>
      </c>
      <c r="C438">
        <f>COUNTIFS(Data[Date], "&lt;="&amp;$A438, Data[Poster],C$1, Data[Winner],TRUE())</f>
        <v>87</v>
      </c>
      <c r="D438">
        <f>COUNTIFS(Data[Date], "&lt;="&amp;$A438, Data[Poster],D$1, Data[Winner],TRUE())</f>
        <v>88</v>
      </c>
      <c r="E438">
        <f>COUNTIFS(Data[Date], "&lt;="&amp;$A438, Data[Poster],E$1, Data[Winner],TRUE())</f>
        <v>85</v>
      </c>
      <c r="F438">
        <f>COUNTIFS(Data[Date], "&lt;="&amp;$A438, Data[Poster],F$1, Data[Winner],TRUE())</f>
        <v>92</v>
      </c>
      <c r="G438" t="str" cm="1">
        <f t="array" ref="G438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39" spans="1:7">
      <c r="A439" s="217">
        <v>46251</v>
      </c>
      <c r="B439">
        <f>COUNTIFS(Data[Date], "&lt;="&amp;$A439, Data[Poster],B$1, Data[Winner],TRUE())</f>
        <v>85</v>
      </c>
      <c r="C439">
        <f>COUNTIFS(Data[Date], "&lt;="&amp;$A439, Data[Poster],C$1, Data[Winner],TRUE())</f>
        <v>88</v>
      </c>
      <c r="D439">
        <f>COUNTIFS(Data[Date], "&lt;="&amp;$A439, Data[Poster],D$1, Data[Winner],TRUE())</f>
        <v>88</v>
      </c>
      <c r="E439">
        <f>COUNTIFS(Data[Date], "&lt;="&amp;$A439, Data[Poster],E$1, Data[Winner],TRUE())</f>
        <v>85</v>
      </c>
      <c r="F439">
        <f>COUNTIFS(Data[Date], "&lt;="&amp;$A439, Data[Poster],F$1, Data[Winner],TRUE())</f>
        <v>92</v>
      </c>
      <c r="G439" t="str" cm="1">
        <f t="array" ref="G439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40" spans="1:7">
      <c r="A440" s="217">
        <v>46252</v>
      </c>
      <c r="B440">
        <f>COUNTIFS(Data[Date], "&lt;="&amp;$A440, Data[Poster],B$1, Data[Winner],TRUE())</f>
        <v>85</v>
      </c>
      <c r="C440">
        <f>COUNTIFS(Data[Date], "&lt;="&amp;$A440, Data[Poster],C$1, Data[Winner],TRUE())</f>
        <v>88</v>
      </c>
      <c r="D440">
        <f>COUNTIFS(Data[Date], "&lt;="&amp;$A440, Data[Poster],D$1, Data[Winner],TRUE())</f>
        <v>89</v>
      </c>
      <c r="E440">
        <f>COUNTIFS(Data[Date], "&lt;="&amp;$A440, Data[Poster],E$1, Data[Winner],TRUE())</f>
        <v>85</v>
      </c>
      <c r="F440">
        <f>COUNTIFS(Data[Date], "&lt;="&amp;$A440, Data[Poster],F$1, Data[Winner],TRUE())</f>
        <v>92</v>
      </c>
      <c r="G440" t="str" cm="1">
        <f t="array" ref="G440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41" spans="1:7">
      <c r="A441" s="217">
        <v>46253</v>
      </c>
      <c r="B441">
        <f>COUNTIFS(Data[Date], "&lt;="&amp;$A441, Data[Poster],B$1, Data[Winner],TRUE())</f>
        <v>86</v>
      </c>
      <c r="C441">
        <f>COUNTIFS(Data[Date], "&lt;="&amp;$A441, Data[Poster],C$1, Data[Winner],TRUE())</f>
        <v>88</v>
      </c>
      <c r="D441">
        <f>COUNTIFS(Data[Date], "&lt;="&amp;$A441, Data[Poster],D$1, Data[Winner],TRUE())</f>
        <v>89</v>
      </c>
      <c r="E441">
        <f>COUNTIFS(Data[Date], "&lt;="&amp;$A441, Data[Poster],E$1, Data[Winner],TRUE())</f>
        <v>85</v>
      </c>
      <c r="F441">
        <f>COUNTIFS(Data[Date], "&lt;="&amp;$A441, Data[Poster],F$1, Data[Winner],TRUE())</f>
        <v>92</v>
      </c>
      <c r="G441" t="str" cm="1">
        <f t="array" ref="G441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42" spans="1:7">
      <c r="A442" s="217">
        <v>46254</v>
      </c>
      <c r="B442">
        <f>COUNTIFS(Data[Date], "&lt;="&amp;$A442, Data[Poster],B$1, Data[Winner],TRUE())</f>
        <v>87</v>
      </c>
      <c r="C442">
        <f>COUNTIFS(Data[Date], "&lt;="&amp;$A442, Data[Poster],C$1, Data[Winner],TRUE())</f>
        <v>88</v>
      </c>
      <c r="D442">
        <f>COUNTIFS(Data[Date], "&lt;="&amp;$A442, Data[Poster],D$1, Data[Winner],TRUE())</f>
        <v>89</v>
      </c>
      <c r="E442">
        <f>COUNTIFS(Data[Date], "&lt;="&amp;$A442, Data[Poster],E$1, Data[Winner],TRUE())</f>
        <v>85</v>
      </c>
      <c r="F442">
        <f>COUNTIFS(Data[Date], "&lt;="&amp;$A442, Data[Poster],F$1, Data[Winner],TRUE())</f>
        <v>92</v>
      </c>
      <c r="G442" t="str" cm="1">
        <f t="array" ref="G442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43" spans="1:7">
      <c r="A443" s="217">
        <v>46258</v>
      </c>
      <c r="B443">
        <f>COUNTIFS(Data[Date], "&lt;="&amp;$A443, Data[Poster],B$1, Data[Winner],TRUE())</f>
        <v>87</v>
      </c>
      <c r="C443">
        <f>COUNTIFS(Data[Date], "&lt;="&amp;$A443, Data[Poster],C$1, Data[Winner],TRUE())</f>
        <v>88</v>
      </c>
      <c r="D443">
        <f>COUNTIFS(Data[Date], "&lt;="&amp;$A443, Data[Poster],D$1, Data[Winner],TRUE())</f>
        <v>89</v>
      </c>
      <c r="E443">
        <f>COUNTIFS(Data[Date], "&lt;="&amp;$A443, Data[Poster],E$1, Data[Winner],TRUE())</f>
        <v>86</v>
      </c>
      <c r="F443">
        <f>COUNTIFS(Data[Date], "&lt;="&amp;$A443, Data[Poster],F$1, Data[Winner],TRUE())</f>
        <v>92</v>
      </c>
      <c r="G443" t="str" cm="1">
        <f t="array" ref="G443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44" spans="1:7">
      <c r="A444" s="217">
        <v>46259</v>
      </c>
      <c r="B444">
        <f>COUNTIFS(Data[Date], "&lt;="&amp;$A444, Data[Poster],B$1, Data[Winner],TRUE())</f>
        <v>87</v>
      </c>
      <c r="C444">
        <f>COUNTIFS(Data[Date], "&lt;="&amp;$A444, Data[Poster],C$1, Data[Winner],TRUE())</f>
        <v>88</v>
      </c>
      <c r="D444">
        <f>COUNTIFS(Data[Date], "&lt;="&amp;$A444, Data[Poster],D$1, Data[Winner],TRUE())</f>
        <v>90</v>
      </c>
      <c r="E444">
        <f>COUNTIFS(Data[Date], "&lt;="&amp;$A444, Data[Poster],E$1, Data[Winner],TRUE())</f>
        <v>86</v>
      </c>
      <c r="F444">
        <f>COUNTIFS(Data[Date], "&lt;="&amp;$A444, Data[Poster],F$1, Data[Winner],TRUE())</f>
        <v>92</v>
      </c>
      <c r="G444" t="str" cm="1">
        <f t="array" ref="G444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45" spans="1:7">
      <c r="A445" s="217">
        <v>46260</v>
      </c>
      <c r="B445">
        <f>COUNTIFS(Data[Date], "&lt;="&amp;$A445, Data[Poster],B$1, Data[Winner],TRUE())</f>
        <v>87</v>
      </c>
      <c r="C445">
        <f>COUNTIFS(Data[Date], "&lt;="&amp;$A445, Data[Poster],C$1, Data[Winner],TRUE())</f>
        <v>89</v>
      </c>
      <c r="D445">
        <f>COUNTIFS(Data[Date], "&lt;="&amp;$A445, Data[Poster],D$1, Data[Winner],TRUE())</f>
        <v>90</v>
      </c>
      <c r="E445">
        <f>COUNTIFS(Data[Date], "&lt;="&amp;$A445, Data[Poster],E$1, Data[Winner],TRUE())</f>
        <v>86</v>
      </c>
      <c r="F445">
        <f>COUNTIFS(Data[Date], "&lt;="&amp;$A445, Data[Poster],F$1, Data[Winner],TRUE())</f>
        <v>92</v>
      </c>
      <c r="G445" t="str" cm="1">
        <f t="array" ref="G445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  <row r="446" spans="1:7">
      <c r="A446" s="217">
        <v>46261</v>
      </c>
      <c r="B446">
        <f>COUNTIFS(Data[Date], "&lt;="&amp;$A446, Data[Poster],B$1, Data[Winner],TRUE())</f>
        <v>87</v>
      </c>
      <c r="C446">
        <f>COUNTIFS(Data[Date], "&lt;="&amp;$A446, Data[Poster],C$1, Data[Winner],TRUE())</f>
        <v>89</v>
      </c>
      <c r="D446">
        <f>COUNTIFS(Data[Date], "&lt;="&amp;$A446, Data[Poster],D$1, Data[Winner],TRUE())</f>
        <v>90</v>
      </c>
      <c r="E446">
        <f>COUNTIFS(Data[Date], "&lt;="&amp;$A446, Data[Poster],E$1, Data[Winner],TRUE())</f>
        <v>87</v>
      </c>
      <c r="F446">
        <f>COUNTIFS(Data[Date], "&lt;="&amp;$A446, Data[Poster],F$1, Data[Winner],TRUE())</f>
        <v>92</v>
      </c>
      <c r="G446" t="str" cm="1">
        <f t="array" ref="G446">_xlfn.TEXTJOIN(", ", TRUE, _xlfn._xlws.FILTER(Cumulative_Wins[[#Headers],[alappatjoe]:[currydestroyer27]], Cumulative_Wins[[#This Row],[alappatjoe]:[currydestroyer27]]=MAX(Cumulative_Wins[[#This Row],[alappatjoe]:[currydestroyer27]])))</f>
        <v>currydestroyer27</v>
      </c>
    </row>
  </sheetData>
  <phoneticPr fontId="17" type="noConversion"/>
  <conditionalFormatting sqref="G1:G1048576">
    <cfRule type="cellIs" dxfId="206" priority="1" operator="equal">
      <formula>$B$1</formula>
    </cfRule>
    <cfRule type="cellIs" dxfId="205" priority="2" operator="equal">
      <formula>$C$1</formula>
    </cfRule>
    <cfRule type="cellIs" dxfId="204" priority="3" operator="equal">
      <formula>$D$1</formula>
    </cfRule>
    <cfRule type="cellIs" dxfId="203" priority="4" operator="equal">
      <formula>$E$1</formula>
    </cfRule>
    <cfRule type="cellIs" dxfId="202" priority="5" operator="equal">
      <formula>$F$1</formula>
    </cfRule>
  </conditionalFormatting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03F9F-19B8-4FCC-915C-C3CF79EB7693}">
  <sheetPr codeName="Sheet9"/>
  <dimension ref="A1:AL111"/>
  <sheetViews>
    <sheetView topLeftCell="V1" zoomScale="85" zoomScaleNormal="85" workbookViewId="0">
      <selection activeCell="AH16" sqref="AH16"/>
    </sheetView>
  </sheetViews>
  <sheetFormatPr defaultRowHeight="15"/>
  <cols>
    <col min="1" max="1" width="13.7109375" customWidth="1"/>
    <col min="3" max="3" width="9.140625" style="3"/>
    <col min="4" max="4" width="12" style="3" customWidth="1"/>
    <col min="5" max="5" width="11.5703125" style="3" customWidth="1"/>
    <col min="6" max="6" width="11.7109375" style="3" customWidth="1"/>
    <col min="7" max="8" width="10.42578125" style="3" customWidth="1"/>
    <col min="9" max="13" width="9.140625" style="3"/>
    <col min="14" max="14" width="44.28515625" style="204" bestFit="1" customWidth="1"/>
    <col min="15" max="15" width="9.5703125" customWidth="1"/>
    <col min="16" max="16" width="44.28515625" style="3" bestFit="1" customWidth="1"/>
    <col min="17" max="17" width="9.5703125" style="123" customWidth="1"/>
    <col min="18" max="18" width="41.42578125" bestFit="1" customWidth="1"/>
    <col min="19" max="23" width="9.140625" style="3"/>
    <col min="24" max="24" width="12.7109375" style="3" bestFit="1" customWidth="1"/>
    <col min="26" max="26" width="9.140625" style="3"/>
    <col min="27" max="27" width="12" style="59" bestFit="1" customWidth="1"/>
    <col min="28" max="28" width="16.140625" bestFit="1" customWidth="1"/>
    <col min="29" max="30" width="9.140625" style="3"/>
    <col min="31" max="31" width="44.28515625" bestFit="1" customWidth="1"/>
    <col min="32" max="32" width="69" bestFit="1" customWidth="1"/>
    <col min="36" max="36" width="41.42578125" bestFit="1" customWidth="1"/>
  </cols>
  <sheetData>
    <row r="1" spans="1:38">
      <c r="A1" s="301">
        <f>MAX(Z:Z)</f>
        <v>110</v>
      </c>
      <c r="B1" s="301">
        <f>FLOOR(LOG(A1, 2), 1)-1</f>
        <v>5</v>
      </c>
      <c r="C1" s="301">
        <f>_xlfn.CEILING.MATH(LOG(A1, 2), 1)-1</f>
        <v>6</v>
      </c>
      <c r="D1" s="301"/>
      <c r="E1" s="301"/>
      <c r="F1" s="301"/>
      <c r="G1" s="301"/>
      <c r="H1" s="301"/>
      <c r="I1" s="347" t="s">
        <v>4200</v>
      </c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01"/>
      <c r="Z1" s="148" t="s">
        <v>4163</v>
      </c>
      <c r="AA1" s="149" t="s">
        <v>29</v>
      </c>
      <c r="AB1" s="150" t="s">
        <v>32</v>
      </c>
      <c r="AC1" s="151" t="s">
        <v>33</v>
      </c>
      <c r="AD1" s="152" t="s">
        <v>34</v>
      </c>
      <c r="AE1" s="153" t="s">
        <v>4161</v>
      </c>
      <c r="AF1" s="154" t="s">
        <v>36</v>
      </c>
      <c r="AG1" s="155" t="s">
        <v>4164</v>
      </c>
      <c r="AI1" s="207" t="s">
        <v>4165</v>
      </c>
      <c r="AJ1" s="208" t="s">
        <v>35</v>
      </c>
      <c r="AK1" s="209" t="s">
        <v>4166</v>
      </c>
      <c r="AL1" s="210" t="s">
        <v>4167</v>
      </c>
    </row>
    <row r="2" spans="1:38">
      <c r="A2" s="194" t="s">
        <v>4168</v>
      </c>
      <c r="B2" s="195" t="s">
        <v>4169</v>
      </c>
      <c r="C2" s="195" t="s">
        <v>4170</v>
      </c>
      <c r="D2" s="195" t="s">
        <v>4171</v>
      </c>
      <c r="E2" s="195" t="s">
        <v>4172</v>
      </c>
      <c r="F2" s="195" t="s">
        <v>4173</v>
      </c>
      <c r="G2" s="195" t="s">
        <v>4174</v>
      </c>
      <c r="H2" s="195" t="s">
        <v>4175</v>
      </c>
      <c r="I2" s="195" t="s">
        <v>4176</v>
      </c>
      <c r="J2" s="195" t="s">
        <v>4177</v>
      </c>
      <c r="K2" s="195" t="s">
        <v>4178</v>
      </c>
      <c r="L2" s="195" t="s">
        <v>4179</v>
      </c>
      <c r="M2" s="195" t="s">
        <v>4180</v>
      </c>
      <c r="N2" s="205" t="s">
        <v>4181</v>
      </c>
      <c r="O2" s="196" t="s">
        <v>4182</v>
      </c>
      <c r="P2" s="195" t="s">
        <v>47</v>
      </c>
      <c r="Q2" s="196" t="s">
        <v>4183</v>
      </c>
      <c r="R2" s="195" t="s">
        <v>4184</v>
      </c>
      <c r="S2" s="195" t="s">
        <v>4185</v>
      </c>
      <c r="T2" s="195" t="s">
        <v>4186</v>
      </c>
      <c r="U2" s="195" t="s">
        <v>4187</v>
      </c>
      <c r="V2" s="195" t="s">
        <v>4188</v>
      </c>
      <c r="W2" s="202" t="s">
        <v>4189</v>
      </c>
      <c r="X2" s="196" t="s">
        <v>4190</v>
      </c>
      <c r="Z2" s="109">
        <f>IF(AC2&gt;0, COUNTIF(AC$2:AC$111, "&lt;"&amp;AC2) + COUNTIFS(AC$2:AC$111, AC2, AD$2:AD$111, "&lt;"&amp;AD2) + COUNTIFS(AC$2:AC$111, AC2, AD$2:AD$111, AD2, AA$2:AA$111, "&lt;"&amp;AA2) + 1, "TBD")</f>
        <v>49</v>
      </c>
      <c r="AA2" s="85" cm="1">
        <f t="array" ref="AA2:AF111">_xlfn._xlws.FILTER(Data[Date]:Data[Artist], (Data[Date]&gt;=DATE(2024,1,1))*(Data[Date]&lt;=DATE(2024,12,31))*(Data[Winner]=TRUE()), "TBD")</f>
        <v>45455</v>
      </c>
      <c r="AB2" s="123" t="str">
        <v>danram</v>
      </c>
      <c r="AC2" s="3">
        <v>2.2000000000000002</v>
      </c>
      <c r="AD2" s="86">
        <v>0.74833147735478833</v>
      </c>
      <c r="AE2" s="123" t="str">
        <v>Mosquito</v>
      </c>
      <c r="AF2" t="str">
        <v>PinkPantheress</v>
      </c>
      <c r="AG2" s="100">
        <f>IFERROR(IF(Z2&gt;1, 2^(FLOOR(LOG(Z2-1,2),1))+1, 1), "TBD")</f>
        <v>33</v>
      </c>
      <c r="AI2" s="114">
        <v>1</v>
      </c>
      <c r="AJ2" s="105" t="str">
        <f ca="1">P3</f>
        <v>3005</v>
      </c>
      <c r="AK2" s="115">
        <f ca="1">IFERROR(VLOOKUP(SotY_2024_Results[[#This Row],[Song Title]], $AE$2:$AG$111, 3, FALSE)-SotY_2024_Results[[#This Row],[Result]], "TBD")</f>
        <v>64</v>
      </c>
      <c r="AL2" s="112" t="str">
        <f ca="1">IF(SotY_2024_Results[[#This Row],[Diff]]&lt;0,"↓",IF(SotY_2024_Results[[#This Row],[Diff]]=0,"-","↑"))</f>
        <v>↑</v>
      </c>
    </row>
    <row r="3" spans="1:38">
      <c r="A3" s="197" t="str">
        <f>_xlfn.CONCAT("Seed ", SotY_2024[[#This Row],[Top Seed]], " vs ", SotY_2024[[#This Row],[Low Seed]])</f>
        <v>Seed 1 vs 2</v>
      </c>
      <c r="B3" s="115">
        <v>1</v>
      </c>
      <c r="C3" s="115">
        <f>FLOOR(LOG(SotY_2024[[#This Row],[Num]], 2), 1)</f>
        <v>0</v>
      </c>
      <c r="D3" s="115">
        <f>2^(SotY_2024[[#This Row],[Round]]+1)</f>
        <v>2</v>
      </c>
      <c r="E3" s="115">
        <f>SotY_2024[[#This Row],[Max Seed]]-SotY_2024[[#This Row],[Num]]</f>
        <v>1</v>
      </c>
      <c r="F3" s="115">
        <f>SotY_2024[[#This Row],[Max Seed]]-SotY_2024[[#This Row],[Top Seed]]+1</f>
        <v>2</v>
      </c>
      <c r="G3" s="115" t="b">
        <f>IF(SotY_2024[[#This Row],[Round]]=$C$1, TRUE(), IF(SotY_2024[[#This Row],[Round]]=$B$1, SotY_2024[[#This Row],[Top Seed]]&lt;=2*SotY_2024[[#This Row],[Max Seed]]-$A$1, FALSE()))</f>
        <v>0</v>
      </c>
      <c r="H3" s="115" t="b">
        <f>IF(SotY_2024[[#This Row],[Round]]=$C$1, TRUE(), IF(SotY_2024[[#This Row],[Round]]=$B$1, SotY_2024[[#This Row],[Low Seed]]&lt;=2*SotY_2024[[#This Row],[Max Seed]]-$A$1, FALSE()))</f>
        <v>0</v>
      </c>
      <c r="I3" s="187" t="s">
        <v>4191</v>
      </c>
      <c r="J3" s="188"/>
      <c r="K3" s="189"/>
      <c r="L3" s="190" t="s">
        <v>4191</v>
      </c>
      <c r="M3" s="191" t="s">
        <v>4191</v>
      </c>
      <c r="N3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3005</v>
      </c>
      <c r="O3" s="105">
        <f>COUNTIF(SotY_2024[[#This Row],[J]:[H]],"x")</f>
        <v>3</v>
      </c>
      <c r="P3" s="115" t="str">
        <f ca="1">IF(SotY_2024[[#This Row],[Num]]&gt;=$A$1, "-", IF(SotY_2024[[#This Row],[Score 1]]&gt;=3, SotY_2024[[#This Row],[Song 1]], IF(SotY_2024[[#This Row],[Score 2]]&gt;=3, SotY_2024[[#This Row],[Song 2]], "TBD")))</f>
        <v>3005</v>
      </c>
      <c r="Q3" s="193">
        <f>COUNTIF(SotY_2024[[#This Row],[H ]:[J ]],"x")</f>
        <v>2</v>
      </c>
      <c r="R3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Closer</v>
      </c>
      <c r="S3" s="191"/>
      <c r="T3" s="190"/>
      <c r="U3" s="189" t="s">
        <v>4191</v>
      </c>
      <c r="V3" s="188" t="s">
        <v>4191</v>
      </c>
      <c r="W3" s="198"/>
      <c r="X3" s="213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3" s="109">
        <f t="shared" ref="Z3:Z4" si="0">IF(AC3&gt;0, COUNTIF(AC$2:AC$111, "&lt;"&amp;AC3) + COUNTIFS(AC$2:AC$111, AC3, AD$2:AD$111, "&lt;"&amp;AD3) + COUNTIFS(AC$2:AC$111, AC3, AD$2:AD$111, AD3, AA$2:AA$111, "&lt;"&amp;AA3) + 1, "TBD")</f>
        <v>50</v>
      </c>
      <c r="AA3" s="85">
        <v>45456</v>
      </c>
      <c r="AB3" s="123" t="str">
        <v>alappatjoe</v>
      </c>
      <c r="AC3" s="3">
        <v>2.2000000000000002</v>
      </c>
      <c r="AD3" s="86">
        <v>0.74833147735478833</v>
      </c>
      <c r="AE3" s="123" t="str">
        <v>Illusion - Extended</v>
      </c>
      <c r="AF3" t="str">
        <v>Dua Lipa</v>
      </c>
      <c r="AG3" s="100">
        <f t="shared" ref="AG3:AG66" si="1">IFERROR(IF(Z3&gt;1, 2^(FLOOR(LOG(Z3-1,2),1))+1, 1), "TBD")</f>
        <v>33</v>
      </c>
      <c r="AI3" s="114">
        <f>SotY_2024[[#This Row],[Max Seed]]/2 + 1</f>
        <v>2</v>
      </c>
      <c r="AJ3" s="105" t="str">
        <f ca="1">IF(SotY_2024[[#This Row],[Num]]&gt;=$A$1, "-", IF(SotY_2024[[#This Row],[Score 1]]&gt;=3, SotY_2024[[#This Row],[Song 2]], IF(SotY_2024[[#This Row],[Score 2]]&gt;=3, SotY_2024[[#This Row],[Song 1]], "TBD")))</f>
        <v>Closer</v>
      </c>
      <c r="AK3" s="115">
        <f ca="1">IFERROR(VLOOKUP(SotY_2024_Results[[#This Row],[Song Title]], $AE$2:$AG$111, 3, FALSE)-SotY_2024_Results[[#This Row],[Result]], "TBD")</f>
        <v>7</v>
      </c>
      <c r="AL3" s="112" t="str">
        <f ca="1">IF(SotY_2024_Results[[#This Row],[Diff]]&lt;0,"↓",IF(SotY_2024_Results[[#This Row],[Diff]]=0,"-","↑"))</f>
        <v>↑</v>
      </c>
    </row>
    <row r="4" spans="1:38">
      <c r="A4" s="197" t="str">
        <f>_xlfn.CONCAT("Seed ", SotY_2024[[#This Row],[Top Seed]], " vs ", SotY_2024[[#This Row],[Low Seed]])</f>
        <v>Seed 2 vs 3</v>
      </c>
      <c r="B4" s="115">
        <v>2</v>
      </c>
      <c r="C4" s="115">
        <f>FLOOR(LOG(SotY_2024[[#This Row],[Num]], 2), 1)</f>
        <v>1</v>
      </c>
      <c r="D4" s="115">
        <f>2^(SotY_2024[[#This Row],[Round]]+1)</f>
        <v>4</v>
      </c>
      <c r="E4" s="115">
        <f>SotY_2024[[#This Row],[Max Seed]]-SotY_2024[[#This Row],[Num]]</f>
        <v>2</v>
      </c>
      <c r="F4" s="115">
        <f>SotY_2024[[#This Row],[Max Seed]]-SotY_2024[[#This Row],[Top Seed]]+1</f>
        <v>3</v>
      </c>
      <c r="G4" s="115" t="b">
        <f>IF(SotY_2024[[#This Row],[Round]]=$C$1, TRUE(), IF(SotY_2024[[#This Row],[Round]]=$B$1, SotY_2024[[#This Row],[Top Seed]]&lt;=2*SotY_2024[[#This Row],[Max Seed]]-$A$1, FALSE()))</f>
        <v>0</v>
      </c>
      <c r="H4" s="115" t="b">
        <f>IF(SotY_2024[[#This Row],[Round]]=$C$1, TRUE(), IF(SotY_2024[[#This Row],[Round]]=$B$1, SotY_2024[[#This Row],[Low Seed]]&lt;=2*SotY_2024[[#This Row],[Max Seed]]-$A$1, FALSE()))</f>
        <v>0</v>
      </c>
      <c r="I4" s="187"/>
      <c r="J4" s="188"/>
      <c r="K4" s="189"/>
      <c r="L4" s="190"/>
      <c r="M4" s="191" t="s">
        <v>4191</v>
      </c>
      <c r="N4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Great Escape</v>
      </c>
      <c r="O4" s="105">
        <f>COUNTIF(SotY_2024[[#This Row],[J]:[H]],"x")</f>
        <v>1</v>
      </c>
      <c r="P4" s="115" t="str">
        <f ca="1">IF(SotY_2024[[#This Row],[Num]]&gt;=$A$1, "-", IF(SotY_2024[[#This Row],[Score 1]]&gt;=3, SotY_2024[[#This Row],[Song 1]], IF(SotY_2024[[#This Row],[Score 2]]&gt;=3, SotY_2024[[#This Row],[Song 2]], "TBD")))</f>
        <v>Closer</v>
      </c>
      <c r="Q4" s="193">
        <f>COUNTIF(SotY_2024[[#This Row],[H ]:[J ]],"x")</f>
        <v>4</v>
      </c>
      <c r="R4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Closer</v>
      </c>
      <c r="S4" s="191"/>
      <c r="T4" s="190" t="s">
        <v>4191</v>
      </c>
      <c r="U4" s="189" t="s">
        <v>4191</v>
      </c>
      <c r="V4" s="188" t="s">
        <v>4191</v>
      </c>
      <c r="W4" s="198" t="s">
        <v>4191</v>
      </c>
      <c r="X4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4" s="109">
        <f t="shared" si="0"/>
        <v>56</v>
      </c>
      <c r="AA4" s="59">
        <v>45460</v>
      </c>
      <c r="AB4" t="str">
        <v>danram</v>
      </c>
      <c r="AC4" s="3">
        <v>2.2000000000000002</v>
      </c>
      <c r="AD4" s="3">
        <v>0.9797958971132712</v>
      </c>
      <c r="AE4" t="str">
        <v>BIRDS OF A FEATHER</v>
      </c>
      <c r="AF4" t="str">
        <v>Billie Eilish</v>
      </c>
      <c r="AG4" s="100">
        <f t="shared" si="1"/>
        <v>33</v>
      </c>
      <c r="AI4" s="114">
        <f>SotY_2024[[#This Row],[Max Seed]]/2 + 1</f>
        <v>3</v>
      </c>
      <c r="AJ4" s="105" t="str">
        <f ca="1">IF(SotY_2024[[#This Row],[Num]]&gt;=$A$1, "-", IF(SotY_2024[[#This Row],[Score 1]]&gt;=3, SotY_2024[[#This Row],[Song 2]], IF(SotY_2024[[#This Row],[Score 2]]&gt;=3, SotY_2024[[#This Row],[Song 1]], "TBD")))</f>
        <v>Great Escape</v>
      </c>
      <c r="AK4" s="115">
        <f ca="1">IFERROR(VLOOKUP(SotY_2024_Results[[#This Row],[Song Title]], $AE$2:$AG$111, 3, FALSE)-SotY_2024_Results[[#This Row],[Result]], "TBD")</f>
        <v>14</v>
      </c>
      <c r="AL4" s="112" t="str">
        <f ca="1">IF(SotY_2024_Results[[#This Row],[Diff]]&lt;0,"↓",IF(SotY_2024_Results[[#This Row],[Diff]]=0,"-","↑"))</f>
        <v>↑</v>
      </c>
    </row>
    <row r="5" spans="1:38">
      <c r="A5" s="197" t="str">
        <f>_xlfn.CONCAT("Seed ", SotY_2024[[#This Row],[Top Seed]], " vs ", SotY_2024[[#This Row],[Low Seed]])</f>
        <v>Seed 1 vs 4</v>
      </c>
      <c r="B5" s="115">
        <v>3</v>
      </c>
      <c r="C5" s="115">
        <f>FLOOR(LOG(SotY_2024[[#This Row],[Num]], 2), 1)</f>
        <v>1</v>
      </c>
      <c r="D5" s="115">
        <f>2^(SotY_2024[[#This Row],[Round]]+1)</f>
        <v>4</v>
      </c>
      <c r="E5" s="115">
        <f>SotY_2024[[#This Row],[Max Seed]]-SotY_2024[[#This Row],[Num]]</f>
        <v>1</v>
      </c>
      <c r="F5" s="115">
        <f>SotY_2024[[#This Row],[Max Seed]]-SotY_2024[[#This Row],[Top Seed]]+1</f>
        <v>4</v>
      </c>
      <c r="G5" s="115" t="b">
        <f>IF(SotY_2024[[#This Row],[Round]]=$C$1, TRUE(), IF(SotY_2024[[#This Row],[Round]]=$B$1, SotY_2024[[#This Row],[Top Seed]]&lt;=2*SotY_2024[[#This Row],[Max Seed]]-$A$1, FALSE()))</f>
        <v>0</v>
      </c>
      <c r="H5" s="115" t="b">
        <f>IF(SotY_2024[[#This Row],[Round]]=$C$1, TRUE(), IF(SotY_2024[[#This Row],[Round]]=$B$1, SotY_2024[[#This Row],[Low Seed]]&lt;=2*SotY_2024[[#This Row],[Max Seed]]-$A$1, FALSE()))</f>
        <v>0</v>
      </c>
      <c r="I5" s="187"/>
      <c r="J5" s="188"/>
      <c r="K5" s="189"/>
      <c r="L5" s="190"/>
      <c r="M5" s="191"/>
      <c r="N5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Leave Before You Love Me</v>
      </c>
      <c r="O5" s="105">
        <f>COUNTIF(SotY_2024[[#This Row],[J]:[H]],"x")</f>
        <v>0</v>
      </c>
      <c r="P5" s="115" t="str">
        <f ca="1">IF(SotY_2024[[#This Row],[Num]]&gt;=$A$1, "-", IF(SotY_2024[[#This Row],[Score 1]]&gt;=3, SotY_2024[[#This Row],[Song 1]], IF(SotY_2024[[#This Row],[Score 2]]&gt;=3, SotY_2024[[#This Row],[Song 2]], "TBD")))</f>
        <v>3005</v>
      </c>
      <c r="Q5" s="193">
        <f>COUNTIF(SotY_2024[[#This Row],[H ]:[J ]],"x")</f>
        <v>4</v>
      </c>
      <c r="R5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3005</v>
      </c>
      <c r="S5" s="191" t="s">
        <v>4191</v>
      </c>
      <c r="T5" s="190" t="s">
        <v>4191</v>
      </c>
      <c r="U5" s="189" t="s">
        <v>4191</v>
      </c>
      <c r="V5" s="188"/>
      <c r="W5" s="198" t="s">
        <v>4191</v>
      </c>
      <c r="X5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 xml:space="preserve">D </v>
      </c>
      <c r="Z5" s="109">
        <f t="shared" ref="Z5:Z66" si="2">IF(AC5&gt;0, COUNTIF(AC$2:AC$111, "&lt;"&amp;AC5) + COUNTIFS(AC$2:AC$111, AC5, AD$2:AD$111, "&lt;"&amp;AD5) + COUNTIFS(AC$2:AC$111, AC5, AD$2:AD$111, AD5, AA$2:AA$111, "&lt;"&amp;AA5) + 1, "TBD")</f>
        <v>17</v>
      </c>
      <c r="AA5" s="59">
        <v>45461</v>
      </c>
      <c r="AB5" t="str">
        <v>loganworsdell</v>
      </c>
      <c r="AC5" s="3">
        <v>1.8</v>
      </c>
      <c r="AD5" s="3">
        <v>0.74833147735478833</v>
      </c>
      <c r="AE5" t="str">
        <v>Candle Flame</v>
      </c>
      <c r="AF5" t="str">
        <v>Jungle, Erick the Architect</v>
      </c>
      <c r="AG5" s="100">
        <f t="shared" si="1"/>
        <v>17</v>
      </c>
      <c r="AI5" s="114">
        <f>SotY_2024[[#This Row],[Max Seed]]/2 + 1</f>
        <v>3</v>
      </c>
      <c r="AJ5" s="105" t="str">
        <f ca="1">IF(SotY_2024[[#This Row],[Num]]&gt;=$A$1, "-", IF(SotY_2024[[#This Row],[Score 1]]&gt;=3, SotY_2024[[#This Row],[Song 2]], IF(SotY_2024[[#This Row],[Score 2]]&gt;=3, SotY_2024[[#This Row],[Song 1]], "TBD")))</f>
        <v>Leave Before You Love Me</v>
      </c>
      <c r="AK5" s="115">
        <f ca="1">IFERROR(VLOOKUP(SotY_2024_Results[[#This Row],[Song Title]], $AE$2:$AG$111, 3, FALSE)-SotY_2024_Results[[#This Row],[Result]], "TBD")</f>
        <v>14</v>
      </c>
      <c r="AL5" s="112" t="str">
        <f ca="1">IF(SotY_2024_Results[[#This Row],[Diff]]&lt;0,"↓",IF(SotY_2024_Results[[#This Row],[Diff]]=0,"-","↑"))</f>
        <v>↑</v>
      </c>
    </row>
    <row r="6" spans="1:38">
      <c r="A6" s="197" t="str">
        <f>_xlfn.CONCAT("Seed ", SotY_2024[[#This Row],[Top Seed]], " vs ", SotY_2024[[#This Row],[Low Seed]])</f>
        <v>Seed 4 vs 5</v>
      </c>
      <c r="B6" s="115">
        <v>4</v>
      </c>
      <c r="C6" s="115">
        <f>FLOOR(LOG(SotY_2024[[#This Row],[Num]], 2), 1)</f>
        <v>2</v>
      </c>
      <c r="D6" s="115">
        <f>2^(SotY_2024[[#This Row],[Round]]+1)</f>
        <v>8</v>
      </c>
      <c r="E6" s="115">
        <f>SotY_2024[[#This Row],[Max Seed]]-SotY_2024[[#This Row],[Num]]</f>
        <v>4</v>
      </c>
      <c r="F6" s="115">
        <f>SotY_2024[[#This Row],[Max Seed]]-SotY_2024[[#This Row],[Top Seed]]+1</f>
        <v>5</v>
      </c>
      <c r="G6" s="115" t="b">
        <f>IF(SotY_2024[[#This Row],[Round]]=$C$1, TRUE(), IF(SotY_2024[[#This Row],[Round]]=$B$1, SotY_2024[[#This Row],[Top Seed]]&lt;=2*SotY_2024[[#This Row],[Max Seed]]-$A$1, FALSE()))</f>
        <v>0</v>
      </c>
      <c r="H6" s="115" t="b">
        <f>IF(SotY_2024[[#This Row],[Round]]=$C$1, TRUE(), IF(SotY_2024[[#This Row],[Round]]=$B$1, SotY_2024[[#This Row],[Low Seed]]&lt;=2*SotY_2024[[#This Row],[Max Seed]]-$A$1, FALSE()))</f>
        <v>0</v>
      </c>
      <c r="I6" s="187" t="s">
        <v>4191</v>
      </c>
      <c r="J6" s="188"/>
      <c r="K6" s="189"/>
      <c r="L6" s="190"/>
      <c r="M6" s="191"/>
      <c r="N6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Plastic Love</v>
      </c>
      <c r="O6" s="105">
        <f>COUNTIF(SotY_2024[[#This Row],[J]:[H]],"x")</f>
        <v>1</v>
      </c>
      <c r="P6" s="115" t="str">
        <f ca="1">IF(SotY_2024[[#This Row],[Num]]&gt;=$A$1, "-", IF(SotY_2024[[#This Row],[Score 1]]&gt;=3, SotY_2024[[#This Row],[Song 1]], IF(SotY_2024[[#This Row],[Score 2]]&gt;=3, SotY_2024[[#This Row],[Song 2]], "TBD")))</f>
        <v>3005</v>
      </c>
      <c r="Q6" s="193">
        <f>COUNTIF(SotY_2024[[#This Row],[H ]:[J ]],"x")</f>
        <v>4</v>
      </c>
      <c r="R6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3005</v>
      </c>
      <c r="S6" s="191" t="s">
        <v>4191</v>
      </c>
      <c r="T6" s="190" t="s">
        <v>4191</v>
      </c>
      <c r="U6" s="189" t="s">
        <v>4191</v>
      </c>
      <c r="V6" s="188" t="s">
        <v>4191</v>
      </c>
      <c r="W6" s="198"/>
      <c r="X6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6" s="109">
        <f t="shared" si="2"/>
        <v>1</v>
      </c>
      <c r="AA6" s="59">
        <v>45462</v>
      </c>
      <c r="AB6" t="str">
        <v>currydestroyer27</v>
      </c>
      <c r="AC6" s="3">
        <v>1.4</v>
      </c>
      <c r="AD6" s="3">
        <v>0.4898979485566356</v>
      </c>
      <c r="AE6" t="str">
        <v>Holdin Out for a Hero</v>
      </c>
      <c r="AF6" t="str">
        <v>Bonnie Tyler</v>
      </c>
      <c r="AG6" s="100">
        <f t="shared" si="1"/>
        <v>1</v>
      </c>
      <c r="AI6" s="114">
        <f>SotY_2024[[#This Row],[Max Seed]]/2 + 1</f>
        <v>5</v>
      </c>
      <c r="AJ6" s="105" t="str">
        <f ca="1">IF(SotY_2024[[#This Row],[Num]]&gt;=$A$1, "-", IF(SotY_2024[[#This Row],[Score 1]]&gt;=3, SotY_2024[[#This Row],[Song 2]], IF(SotY_2024[[#This Row],[Score 2]]&gt;=3, SotY_2024[[#This Row],[Song 1]], "TBD")))</f>
        <v>Plastic Love</v>
      </c>
      <c r="AK6" s="115">
        <f ca="1">IFERROR(VLOOKUP(SotY_2024_Results[[#This Row],[Song Title]], $AE$2:$AG$111, 3, FALSE)-SotY_2024_Results[[#This Row],[Result]], "TBD")</f>
        <v>28</v>
      </c>
      <c r="AL6" s="112" t="str">
        <f ca="1">IF(SotY_2024_Results[[#This Row],[Diff]]&lt;0,"↓",IF(SotY_2024_Results[[#This Row],[Diff]]=0,"-","↑"))</f>
        <v>↑</v>
      </c>
    </row>
    <row r="7" spans="1:38">
      <c r="A7" s="197" t="str">
        <f>_xlfn.CONCAT("Seed ", SotY_2024[[#This Row],[Top Seed]], " vs ", SotY_2024[[#This Row],[Low Seed]])</f>
        <v>Seed 3 vs 6</v>
      </c>
      <c r="B7" s="115">
        <v>5</v>
      </c>
      <c r="C7" s="115">
        <f>FLOOR(LOG(SotY_2024[[#This Row],[Num]], 2), 1)</f>
        <v>2</v>
      </c>
      <c r="D7" s="115">
        <f>2^(SotY_2024[[#This Row],[Round]]+1)</f>
        <v>8</v>
      </c>
      <c r="E7" s="115">
        <f>SotY_2024[[#This Row],[Max Seed]]-SotY_2024[[#This Row],[Num]]</f>
        <v>3</v>
      </c>
      <c r="F7" s="115">
        <f>SotY_2024[[#This Row],[Max Seed]]-SotY_2024[[#This Row],[Top Seed]]+1</f>
        <v>6</v>
      </c>
      <c r="G7" s="115" t="b">
        <f>IF(SotY_2024[[#This Row],[Round]]=$C$1, TRUE(), IF(SotY_2024[[#This Row],[Round]]=$B$1, SotY_2024[[#This Row],[Top Seed]]&lt;=2*SotY_2024[[#This Row],[Max Seed]]-$A$1, FALSE()))</f>
        <v>0</v>
      </c>
      <c r="H7" s="115" t="b">
        <f>IF(SotY_2024[[#This Row],[Round]]=$C$1, TRUE(), IF(SotY_2024[[#This Row],[Round]]=$B$1, SotY_2024[[#This Row],[Low Seed]]&lt;=2*SotY_2024[[#This Row],[Max Seed]]-$A$1, FALSE()))</f>
        <v>0</v>
      </c>
      <c r="I7" s="187"/>
      <c r="J7" s="188"/>
      <c r="K7" s="189"/>
      <c r="L7" s="190"/>
      <c r="M7" s="191" t="s">
        <v>4191</v>
      </c>
      <c r="N7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Mystery Lady</v>
      </c>
      <c r="O7" s="105">
        <f>COUNTIF(SotY_2024[[#This Row],[J]:[H]],"x")</f>
        <v>1</v>
      </c>
      <c r="P7" s="115" t="str">
        <f ca="1">IF(SotY_2024[[#This Row],[Num]]&gt;=$A$1, "-", IF(SotY_2024[[#This Row],[Score 1]]&gt;=3, SotY_2024[[#This Row],[Song 1]], IF(SotY_2024[[#This Row],[Score 2]]&gt;=3, SotY_2024[[#This Row],[Song 2]], "TBD")))</f>
        <v>Closer</v>
      </c>
      <c r="Q7" s="193">
        <f>COUNTIF(SotY_2024[[#This Row],[H ]:[J ]],"x")</f>
        <v>4</v>
      </c>
      <c r="R7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Closer</v>
      </c>
      <c r="S7" s="191"/>
      <c r="T7" s="190" t="s">
        <v>4191</v>
      </c>
      <c r="U7" s="189" t="s">
        <v>4191</v>
      </c>
      <c r="V7" s="188" t="s">
        <v>4191</v>
      </c>
      <c r="W7" s="198" t="s">
        <v>4191</v>
      </c>
      <c r="X7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7" s="109">
        <f t="shared" si="2"/>
        <v>12</v>
      </c>
      <c r="AA7" s="59">
        <v>45463</v>
      </c>
      <c r="AB7" t="str">
        <v>alappatjoe</v>
      </c>
      <c r="AC7" s="3">
        <v>1.8</v>
      </c>
      <c r="AD7" s="3">
        <v>0.4</v>
      </c>
      <c r="AE7" t="str">
        <v>Espresso</v>
      </c>
      <c r="AF7" t="str">
        <v>Sabrina Carpenter</v>
      </c>
      <c r="AG7" s="100">
        <f t="shared" si="1"/>
        <v>9</v>
      </c>
      <c r="AI7" s="114">
        <f>SotY_2024[[#This Row],[Max Seed]]/2 + 1</f>
        <v>5</v>
      </c>
      <c r="AJ7" s="105" t="str">
        <f ca="1">IF(SotY_2024[[#This Row],[Num]]&gt;=$A$1, "-", IF(SotY_2024[[#This Row],[Score 1]]&gt;=3, SotY_2024[[#This Row],[Song 2]], IF(SotY_2024[[#This Row],[Score 2]]&gt;=3, SotY_2024[[#This Row],[Song 1]], "TBD")))</f>
        <v>Mystery Lady</v>
      </c>
      <c r="AK7" s="115">
        <f ca="1">IFERROR(VLOOKUP(SotY_2024_Results[[#This Row],[Song Title]], $AE$2:$AG$111, 3, FALSE)-SotY_2024_Results[[#This Row],[Result]], "TBD")</f>
        <v>28</v>
      </c>
      <c r="AL7" s="112" t="str">
        <f ca="1">IF(SotY_2024_Results[[#This Row],[Diff]]&lt;0,"↓",IF(SotY_2024_Results[[#This Row],[Diff]]=0,"-","↑"))</f>
        <v>↑</v>
      </c>
    </row>
    <row r="8" spans="1:38">
      <c r="A8" s="197" t="str">
        <f>_xlfn.CONCAT("Seed ", SotY_2024[[#This Row],[Top Seed]], " vs ", SotY_2024[[#This Row],[Low Seed]])</f>
        <v>Seed 2 vs 7</v>
      </c>
      <c r="B8" s="115">
        <v>6</v>
      </c>
      <c r="C8" s="115">
        <f>FLOOR(LOG(SotY_2024[[#This Row],[Num]], 2), 1)</f>
        <v>2</v>
      </c>
      <c r="D8" s="115">
        <f>2^(SotY_2024[[#This Row],[Round]]+1)</f>
        <v>8</v>
      </c>
      <c r="E8" s="115">
        <f>SotY_2024[[#This Row],[Max Seed]]-SotY_2024[[#This Row],[Num]]</f>
        <v>2</v>
      </c>
      <c r="F8" s="115">
        <f>SotY_2024[[#This Row],[Max Seed]]-SotY_2024[[#This Row],[Top Seed]]+1</f>
        <v>7</v>
      </c>
      <c r="G8" s="115" t="b">
        <f>IF(SotY_2024[[#This Row],[Round]]=$C$1, TRUE(), IF(SotY_2024[[#This Row],[Round]]=$B$1, SotY_2024[[#This Row],[Top Seed]]&lt;=2*SotY_2024[[#This Row],[Max Seed]]-$A$1, FALSE()))</f>
        <v>0</v>
      </c>
      <c r="H8" s="115" t="b">
        <f>IF(SotY_2024[[#This Row],[Round]]=$C$1, TRUE(), IF(SotY_2024[[#This Row],[Round]]=$B$1, SotY_2024[[#This Row],[Low Seed]]&lt;=2*SotY_2024[[#This Row],[Max Seed]]-$A$1, FALSE()))</f>
        <v>0</v>
      </c>
      <c r="I8" s="187" t="s">
        <v>4191</v>
      </c>
      <c r="J8" s="188"/>
      <c r="K8" s="189"/>
      <c r="L8" s="190" t="s">
        <v>4191</v>
      </c>
      <c r="M8" s="191" t="s">
        <v>4191</v>
      </c>
      <c r="N8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Great Escape</v>
      </c>
      <c r="O8" s="105">
        <f>COUNTIF(SotY_2024[[#This Row],[J]:[H]],"x")</f>
        <v>3</v>
      </c>
      <c r="P8" s="115" t="str">
        <f ca="1">IF(SotY_2024[[#This Row],[Num]]&gt;=$A$1, "-", IF(SotY_2024[[#This Row],[Score 1]]&gt;=3, SotY_2024[[#This Row],[Song 1]], IF(SotY_2024[[#This Row],[Score 2]]&gt;=3, SotY_2024[[#This Row],[Song 2]], "TBD")))</f>
        <v>Great Escape</v>
      </c>
      <c r="Q8" s="193">
        <f>COUNTIF(SotY_2024[[#This Row],[H ]:[J ]],"x")</f>
        <v>2</v>
      </c>
      <c r="R8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Feel It</v>
      </c>
      <c r="S8" s="191"/>
      <c r="T8" s="190"/>
      <c r="U8" s="189" t="s">
        <v>4191</v>
      </c>
      <c r="V8" s="188" t="s">
        <v>4191</v>
      </c>
      <c r="W8" s="198"/>
      <c r="X8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8" s="109">
        <f t="shared" si="2"/>
        <v>73</v>
      </c>
      <c r="AA8" s="59">
        <v>45467</v>
      </c>
      <c r="AB8" t="str">
        <v>loganworsdell</v>
      </c>
      <c r="AC8" s="3">
        <v>2.2000000000000002</v>
      </c>
      <c r="AD8" s="3">
        <v>1.6</v>
      </c>
      <c r="AE8" t="str">
        <v>Everything Goes On</v>
      </c>
      <c r="AF8" t="str">
        <v>Porter Robinson, League of Legends</v>
      </c>
      <c r="AG8" s="100">
        <f t="shared" si="1"/>
        <v>65</v>
      </c>
      <c r="AI8" s="114">
        <f>SotY_2024[[#This Row],[Max Seed]]/2 + 1</f>
        <v>5</v>
      </c>
      <c r="AJ8" s="105" t="str">
        <f ca="1">IF(SotY_2024[[#This Row],[Num]]&gt;=$A$1, "-", IF(SotY_2024[[#This Row],[Score 1]]&gt;=3, SotY_2024[[#This Row],[Song 2]], IF(SotY_2024[[#This Row],[Score 2]]&gt;=3, SotY_2024[[#This Row],[Song 1]], "TBD")))</f>
        <v>Feel It</v>
      </c>
      <c r="AK8" s="115">
        <f ca="1">IFERROR(VLOOKUP(SotY_2024_Results[[#This Row],[Song Title]], $AE$2:$AG$111, 3, FALSE)-SotY_2024_Results[[#This Row],[Result]], "TBD")</f>
        <v>0</v>
      </c>
      <c r="AL8" s="112" t="str">
        <f ca="1">IF(SotY_2024_Results[[#This Row],[Diff]]&lt;0,"↓",IF(SotY_2024_Results[[#This Row],[Diff]]=0,"-","↑"))</f>
        <v>-</v>
      </c>
    </row>
    <row r="9" spans="1:38">
      <c r="A9" s="197" t="str">
        <f>_xlfn.CONCAT("Seed ", SotY_2024[[#This Row],[Top Seed]], " vs ", SotY_2024[[#This Row],[Low Seed]])</f>
        <v>Seed 1 vs 8</v>
      </c>
      <c r="B9" s="115">
        <v>7</v>
      </c>
      <c r="C9" s="115">
        <f>FLOOR(LOG(SotY_2024[[#This Row],[Num]], 2), 1)</f>
        <v>2</v>
      </c>
      <c r="D9" s="115">
        <f>2^(SotY_2024[[#This Row],[Round]]+1)</f>
        <v>8</v>
      </c>
      <c r="E9" s="115">
        <f>SotY_2024[[#This Row],[Max Seed]]-SotY_2024[[#This Row],[Num]]</f>
        <v>1</v>
      </c>
      <c r="F9" s="115">
        <f>SotY_2024[[#This Row],[Max Seed]]-SotY_2024[[#This Row],[Top Seed]]+1</f>
        <v>8</v>
      </c>
      <c r="G9" s="115" t="b">
        <f>IF(SotY_2024[[#This Row],[Round]]=$C$1, TRUE(), IF(SotY_2024[[#This Row],[Round]]=$B$1, SotY_2024[[#This Row],[Top Seed]]&lt;=2*SotY_2024[[#This Row],[Max Seed]]-$A$1, FALSE()))</f>
        <v>0</v>
      </c>
      <c r="H9" s="115" t="b">
        <f>IF(SotY_2024[[#This Row],[Round]]=$C$1, TRUE(), IF(SotY_2024[[#This Row],[Round]]=$B$1, SotY_2024[[#This Row],[Low Seed]]&lt;=2*SotY_2024[[#This Row],[Max Seed]]-$A$1, FALSE()))</f>
        <v>0</v>
      </c>
      <c r="I9" s="187" t="s">
        <v>4191</v>
      </c>
      <c r="J9" s="188" t="s">
        <v>4191</v>
      </c>
      <c r="K9" s="189"/>
      <c r="L9" s="190"/>
      <c r="M9" s="191" t="s">
        <v>4191</v>
      </c>
      <c r="N9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Leave Before You Love Me</v>
      </c>
      <c r="O9" s="105">
        <f>COUNTIF(SotY_2024[[#This Row],[J]:[H]],"x")</f>
        <v>3</v>
      </c>
      <c r="P9" s="115" t="str">
        <f ca="1">IF(SotY_2024[[#This Row],[Num]]&gt;=$A$1, "-", IF(SotY_2024[[#This Row],[Score 1]]&gt;=3, SotY_2024[[#This Row],[Song 1]], IF(SotY_2024[[#This Row],[Score 2]]&gt;=3, SotY_2024[[#This Row],[Song 2]], "TBD")))</f>
        <v>Leave Before You Love Me</v>
      </c>
      <c r="Q9" s="193">
        <f>COUNTIF(SotY_2024[[#This Row],[H ]:[J ]],"x")</f>
        <v>2</v>
      </c>
      <c r="R9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In Bloom</v>
      </c>
      <c r="S9" s="191"/>
      <c r="T9" s="190" t="s">
        <v>4191</v>
      </c>
      <c r="U9" s="189" t="s">
        <v>4191</v>
      </c>
      <c r="V9" s="188"/>
      <c r="W9" s="198"/>
      <c r="X9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9" s="109">
        <f t="shared" si="2"/>
        <v>104</v>
      </c>
      <c r="AA9" s="59">
        <v>45468</v>
      </c>
      <c r="AB9" t="str">
        <v>currydestroyer27</v>
      </c>
      <c r="AC9" s="3">
        <v>2.6</v>
      </c>
      <c r="AD9" s="3">
        <v>1.6248076809271921</v>
      </c>
      <c r="AE9" t="str">
        <v>Right Now</v>
      </c>
      <c r="AF9" t="str">
        <v>New Jeans</v>
      </c>
      <c r="AG9" s="100">
        <f t="shared" si="1"/>
        <v>65</v>
      </c>
      <c r="AI9" s="114">
        <f>SotY_2024[[#This Row],[Max Seed]]/2 + 1</f>
        <v>5</v>
      </c>
      <c r="AJ9" s="105" t="str">
        <f ca="1">IF(SotY_2024[[#This Row],[Num]]&gt;=$A$1, "-", IF(SotY_2024[[#This Row],[Score 1]]&gt;=3, SotY_2024[[#This Row],[Song 2]], IF(SotY_2024[[#This Row],[Score 2]]&gt;=3, SotY_2024[[#This Row],[Song 1]], "TBD")))</f>
        <v>In Bloom</v>
      </c>
      <c r="AK9" s="115">
        <f ca="1">IFERROR(VLOOKUP(SotY_2024_Results[[#This Row],[Song Title]], $AE$2:$AG$111, 3, FALSE)-SotY_2024_Results[[#This Row],[Result]], "TBD")</f>
        <v>60</v>
      </c>
      <c r="AL9" s="112" t="str">
        <f ca="1">IF(SotY_2024_Results[[#This Row],[Diff]]&lt;0,"↓",IF(SotY_2024_Results[[#This Row],[Diff]]=0,"-","↑"))</f>
        <v>↑</v>
      </c>
    </row>
    <row r="10" spans="1:38">
      <c r="A10" s="197" t="str">
        <f>_xlfn.CONCAT("Seed ", SotY_2024[[#This Row],[Top Seed]], " vs ", SotY_2024[[#This Row],[Low Seed]])</f>
        <v>Seed 8 vs 9</v>
      </c>
      <c r="B10" s="115">
        <v>8</v>
      </c>
      <c r="C10" s="115">
        <f>FLOOR(LOG(SotY_2024[[#This Row],[Num]], 2), 1)</f>
        <v>3</v>
      </c>
      <c r="D10" s="115">
        <f>2^(SotY_2024[[#This Row],[Round]]+1)</f>
        <v>16</v>
      </c>
      <c r="E10" s="115">
        <f>SotY_2024[[#This Row],[Max Seed]]-SotY_2024[[#This Row],[Num]]</f>
        <v>8</v>
      </c>
      <c r="F10" s="115">
        <f>SotY_2024[[#This Row],[Max Seed]]-SotY_2024[[#This Row],[Top Seed]]+1</f>
        <v>9</v>
      </c>
      <c r="G10" s="115" t="b">
        <f>IF(SotY_2024[[#This Row],[Round]]=$C$1, TRUE(), IF(SotY_2024[[#This Row],[Round]]=$B$1, SotY_2024[[#This Row],[Top Seed]]&lt;=2*SotY_2024[[#This Row],[Max Seed]]-$A$1, FALSE()))</f>
        <v>0</v>
      </c>
      <c r="H10" s="115" t="b">
        <f>IF(SotY_2024[[#This Row],[Round]]=$C$1, TRUE(), IF(SotY_2024[[#This Row],[Round]]=$B$1, SotY_2024[[#This Row],[Low Seed]]&lt;=2*SotY_2024[[#This Row],[Max Seed]]-$A$1, FALSE()))</f>
        <v>0</v>
      </c>
      <c r="I10" s="187"/>
      <c r="J10" s="188" t="s">
        <v>4191</v>
      </c>
      <c r="K10" s="189" t="s">
        <v>4191</v>
      </c>
      <c r="L10" s="190" t="s">
        <v>4191</v>
      </c>
      <c r="M10" s="191"/>
      <c r="N10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In Bloom</v>
      </c>
      <c r="O10" s="105">
        <f>COUNTIF(SotY_2024[[#This Row],[J]:[H]],"x")</f>
        <v>3</v>
      </c>
      <c r="P10" s="115" t="str">
        <f ca="1">IF(SotY_2024[[#This Row],[Num]]&gt;=$A$1, "-", IF(SotY_2024[[#This Row],[Score 1]]&gt;=3, SotY_2024[[#This Row],[Song 1]], IF(SotY_2024[[#This Row],[Score 2]]&gt;=3, SotY_2024[[#This Row],[Song 2]], "TBD")))</f>
        <v>In Bloom</v>
      </c>
      <c r="Q10" s="193">
        <f>COUNTIF(SotY_2024[[#This Row],[H ]:[J ]],"x")</f>
        <v>2</v>
      </c>
      <c r="R10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Lady Writer</v>
      </c>
      <c r="S10" s="191" t="s">
        <v>4191</v>
      </c>
      <c r="T10" s="190"/>
      <c r="U10" s="189"/>
      <c r="V10" s="188"/>
      <c r="W10" s="198" t="s">
        <v>4191</v>
      </c>
      <c r="X10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0" s="109">
        <f t="shared" si="2"/>
        <v>36</v>
      </c>
      <c r="AA10" s="59">
        <v>45469</v>
      </c>
      <c r="AB10" t="str">
        <v>loganworsdell</v>
      </c>
      <c r="AC10" s="3">
        <v>2</v>
      </c>
      <c r="AD10" s="3">
        <v>0.89442719099991586</v>
      </c>
      <c r="AE10" t="str">
        <v>KLINK</v>
      </c>
      <c r="AF10" t="str">
        <v>Smino</v>
      </c>
      <c r="AG10" s="100">
        <f t="shared" si="1"/>
        <v>33</v>
      </c>
      <c r="AI10" s="114">
        <f>SotY_2024[[#This Row],[Max Seed]]/2 + 1</f>
        <v>9</v>
      </c>
      <c r="AJ10" s="105" t="str">
        <f ca="1">IF(SotY_2024[[#This Row],[Num]]&gt;=$A$1, "-", IF(SotY_2024[[#This Row],[Score 1]]&gt;=3, SotY_2024[[#This Row],[Song 2]], IF(SotY_2024[[#This Row],[Score 2]]&gt;=3, SotY_2024[[#This Row],[Song 1]], "TBD")))</f>
        <v>Lady Writer</v>
      </c>
      <c r="AK10" s="115">
        <f ca="1">IFERROR(VLOOKUP(SotY_2024_Results[[#This Row],[Song Title]], $AE$2:$AG$111, 3, FALSE)-SotY_2024_Results[[#This Row],[Result]], "TBD")</f>
        <v>56</v>
      </c>
      <c r="AL10" s="112" t="str">
        <f ca="1">IF(SotY_2024_Results[[#This Row],[Diff]]&lt;0,"↓",IF(SotY_2024_Results[[#This Row],[Diff]]=0,"-","↑"))</f>
        <v>↑</v>
      </c>
    </row>
    <row r="11" spans="1:38">
      <c r="A11" s="197" t="str">
        <f>_xlfn.CONCAT("Seed ", SotY_2024[[#This Row],[Top Seed]], " vs ", SotY_2024[[#This Row],[Low Seed]])</f>
        <v>Seed 7 vs 10</v>
      </c>
      <c r="B11" s="115">
        <v>9</v>
      </c>
      <c r="C11" s="115">
        <f>FLOOR(LOG(SotY_2024[[#This Row],[Num]], 2), 1)</f>
        <v>3</v>
      </c>
      <c r="D11" s="115">
        <f>2^(SotY_2024[[#This Row],[Round]]+1)</f>
        <v>16</v>
      </c>
      <c r="E11" s="115">
        <f>SotY_2024[[#This Row],[Max Seed]]-SotY_2024[[#This Row],[Num]]</f>
        <v>7</v>
      </c>
      <c r="F11" s="115">
        <f>SotY_2024[[#This Row],[Max Seed]]-SotY_2024[[#This Row],[Top Seed]]+1</f>
        <v>10</v>
      </c>
      <c r="G11" s="115" t="b">
        <f>IF(SotY_2024[[#This Row],[Round]]=$C$1, TRUE(), IF(SotY_2024[[#This Row],[Round]]=$B$1, SotY_2024[[#This Row],[Top Seed]]&lt;=2*SotY_2024[[#This Row],[Max Seed]]-$A$1, FALSE()))</f>
        <v>0</v>
      </c>
      <c r="H11" s="115" t="b">
        <f>IF(SotY_2024[[#This Row],[Round]]=$C$1, TRUE(), IF(SotY_2024[[#This Row],[Round]]=$B$1, SotY_2024[[#This Row],[Low Seed]]&lt;=2*SotY_2024[[#This Row],[Max Seed]]-$A$1, FALSE()))</f>
        <v>0</v>
      </c>
      <c r="I11" s="187"/>
      <c r="J11" s="188"/>
      <c r="K11" s="189" t="s">
        <v>4191</v>
      </c>
      <c r="L11" s="190" t="s">
        <v>4191</v>
      </c>
      <c r="M11" s="191" t="s">
        <v>4191</v>
      </c>
      <c r="N11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Feel It</v>
      </c>
      <c r="O11" s="105">
        <f>COUNTIF(SotY_2024[[#This Row],[J]:[H]],"x")</f>
        <v>3</v>
      </c>
      <c r="P11" s="115" t="str">
        <f ca="1">IF(SotY_2024[[#This Row],[Num]]&gt;=$A$1, "-", IF(SotY_2024[[#This Row],[Score 1]]&gt;=3, SotY_2024[[#This Row],[Song 1]], IF(SotY_2024[[#This Row],[Score 2]]&gt;=3, SotY_2024[[#This Row],[Song 2]], "TBD")))</f>
        <v>Feel It</v>
      </c>
      <c r="Q11" s="193">
        <f>COUNTIF(SotY_2024[[#This Row],[H ]:[J ]],"x")</f>
        <v>2</v>
      </c>
      <c r="R11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P.Y.T.(Pretty Young Thing)</v>
      </c>
      <c r="S11" s="191"/>
      <c r="T11" s="190"/>
      <c r="U11" s="189"/>
      <c r="V11" s="188" t="s">
        <v>4191</v>
      </c>
      <c r="W11" s="198" t="s">
        <v>4191</v>
      </c>
      <c r="X11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1" s="109">
        <f t="shared" si="2"/>
        <v>94</v>
      </c>
      <c r="AA11" s="59">
        <v>45470</v>
      </c>
      <c r="AB11" t="str">
        <v>samuelbattista</v>
      </c>
      <c r="AC11" s="3">
        <v>2.6</v>
      </c>
      <c r="AD11" s="3">
        <v>1.019803902718557</v>
      </c>
      <c r="AE11" t="str">
        <v>Doritos &amp; Fritos</v>
      </c>
      <c r="AF11" t="str">
        <v>100 gecs</v>
      </c>
      <c r="AG11" s="100">
        <f t="shared" si="1"/>
        <v>65</v>
      </c>
      <c r="AI11" s="114">
        <f>SotY_2024[[#This Row],[Max Seed]]/2 + 1</f>
        <v>9</v>
      </c>
      <c r="AJ11" s="105" t="str">
        <f ca="1">IF(SotY_2024[[#This Row],[Num]]&gt;=$A$1, "-", IF(SotY_2024[[#This Row],[Score 1]]&gt;=3, SotY_2024[[#This Row],[Song 2]], IF(SotY_2024[[#This Row],[Score 2]]&gt;=3, SotY_2024[[#This Row],[Song 1]], "TBD")))</f>
        <v>P.Y.T.(Pretty Young Thing)</v>
      </c>
      <c r="AK11" s="115">
        <f ca="1">IFERROR(VLOOKUP(SotY_2024_Results[[#This Row],[Song Title]], $AE$2:$AG$111, 3, FALSE)-SotY_2024_Results[[#This Row],[Result]], "TBD")</f>
        <v>0</v>
      </c>
      <c r="AL11" s="112" t="str">
        <f ca="1">IF(SotY_2024_Results[[#This Row],[Diff]]&lt;0,"↓",IF(SotY_2024_Results[[#This Row],[Diff]]=0,"-","↑"))</f>
        <v>-</v>
      </c>
    </row>
    <row r="12" spans="1:38">
      <c r="A12" s="197" t="str">
        <f>_xlfn.CONCAT("Seed ", SotY_2024[[#This Row],[Top Seed]], " vs ", SotY_2024[[#This Row],[Low Seed]])</f>
        <v>Seed 6 vs 11</v>
      </c>
      <c r="B12" s="115">
        <v>10</v>
      </c>
      <c r="C12" s="115">
        <f>FLOOR(LOG(SotY_2024[[#This Row],[Num]], 2), 1)</f>
        <v>3</v>
      </c>
      <c r="D12" s="115">
        <f>2^(SotY_2024[[#This Row],[Round]]+1)</f>
        <v>16</v>
      </c>
      <c r="E12" s="115">
        <f>SotY_2024[[#This Row],[Max Seed]]-SotY_2024[[#This Row],[Num]]</f>
        <v>6</v>
      </c>
      <c r="F12" s="115">
        <f>SotY_2024[[#This Row],[Max Seed]]-SotY_2024[[#This Row],[Top Seed]]+1</f>
        <v>11</v>
      </c>
      <c r="G12" s="115" t="b">
        <f>IF(SotY_2024[[#This Row],[Round]]=$C$1, TRUE(), IF(SotY_2024[[#This Row],[Round]]=$B$1, SotY_2024[[#This Row],[Top Seed]]&lt;=2*SotY_2024[[#This Row],[Max Seed]]-$A$1, FALSE()))</f>
        <v>0</v>
      </c>
      <c r="H12" s="115" t="b">
        <f>IF(SotY_2024[[#This Row],[Round]]=$C$1, TRUE(), IF(SotY_2024[[#This Row],[Round]]=$B$1, SotY_2024[[#This Row],[Low Seed]]&lt;=2*SotY_2024[[#This Row],[Max Seed]]-$A$1, FALSE()))</f>
        <v>0</v>
      </c>
      <c r="I12" s="187"/>
      <c r="J12" s="188"/>
      <c r="K12" s="189"/>
      <c r="L12" s="190"/>
      <c r="M12" s="191" t="s">
        <v>4191</v>
      </c>
      <c r="N12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ETA</v>
      </c>
      <c r="O12" s="105">
        <f>COUNTIF(SotY_2024[[#This Row],[J]:[H]],"x")</f>
        <v>1</v>
      </c>
      <c r="P12" s="115" t="str">
        <f ca="1">IF(SotY_2024[[#This Row],[Num]]&gt;=$A$1, "-", IF(SotY_2024[[#This Row],[Score 1]]&gt;=3, SotY_2024[[#This Row],[Song 1]], IF(SotY_2024[[#This Row],[Score 2]]&gt;=3, SotY_2024[[#This Row],[Song 2]], "TBD")))</f>
        <v>Closer</v>
      </c>
      <c r="Q12" s="193">
        <f>COUNTIF(SotY_2024[[#This Row],[H ]:[J ]],"x")</f>
        <v>4</v>
      </c>
      <c r="R12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Closer</v>
      </c>
      <c r="S12" s="191"/>
      <c r="T12" s="190" t="s">
        <v>4191</v>
      </c>
      <c r="U12" s="189" t="s">
        <v>4191</v>
      </c>
      <c r="V12" s="188" t="s">
        <v>4191</v>
      </c>
      <c r="W12" s="198" t="s">
        <v>4191</v>
      </c>
      <c r="X12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2" s="109">
        <f t="shared" si="2"/>
        <v>105</v>
      </c>
      <c r="AA12" s="59">
        <v>45474</v>
      </c>
      <c r="AB12" t="str">
        <v>alappatjoe</v>
      </c>
      <c r="AC12" s="3">
        <v>2.6</v>
      </c>
      <c r="AD12" s="3">
        <v>1.9595917942265424</v>
      </c>
      <c r="AE12" t="str">
        <v>Spain</v>
      </c>
      <c r="AF12" t="str">
        <v>US Air Force Airmen of Note</v>
      </c>
      <c r="AG12" s="100">
        <f t="shared" si="1"/>
        <v>65</v>
      </c>
      <c r="AI12" s="114">
        <f>SotY_2024[[#This Row],[Max Seed]]/2 + 1</f>
        <v>9</v>
      </c>
      <c r="AJ12" s="105" t="str">
        <f ca="1">IF(SotY_2024[[#This Row],[Num]]&gt;=$A$1, "-", IF(SotY_2024[[#This Row],[Score 1]]&gt;=3, SotY_2024[[#This Row],[Song 2]], IF(SotY_2024[[#This Row],[Score 2]]&gt;=3, SotY_2024[[#This Row],[Song 1]], "TBD")))</f>
        <v>ETA</v>
      </c>
      <c r="AK12" s="115">
        <f ca="1">IFERROR(VLOOKUP(SotY_2024_Results[[#This Row],[Song Title]], $AE$2:$AG$111, 3, FALSE)-SotY_2024_Results[[#This Row],[Result]], "TBD")</f>
        <v>-4</v>
      </c>
      <c r="AL12" s="112" t="str">
        <f ca="1">IF(SotY_2024_Results[[#This Row],[Diff]]&lt;0,"↓",IF(SotY_2024_Results[[#This Row],[Diff]]=0,"-","↑"))</f>
        <v>↓</v>
      </c>
    </row>
    <row r="13" spans="1:38">
      <c r="A13" s="197" t="str">
        <f>_xlfn.CONCAT("Seed ", SotY_2024[[#This Row],[Top Seed]], " vs ", SotY_2024[[#This Row],[Low Seed]])</f>
        <v>Seed 5 vs 12</v>
      </c>
      <c r="B13" s="115">
        <v>11</v>
      </c>
      <c r="C13" s="115">
        <f>FLOOR(LOG(SotY_2024[[#This Row],[Num]], 2), 1)</f>
        <v>3</v>
      </c>
      <c r="D13" s="115">
        <f>2^(SotY_2024[[#This Row],[Round]]+1)</f>
        <v>16</v>
      </c>
      <c r="E13" s="115">
        <f>SotY_2024[[#This Row],[Max Seed]]-SotY_2024[[#This Row],[Num]]</f>
        <v>5</v>
      </c>
      <c r="F13" s="115">
        <f>SotY_2024[[#This Row],[Max Seed]]-SotY_2024[[#This Row],[Top Seed]]+1</f>
        <v>12</v>
      </c>
      <c r="G13" s="115" t="b">
        <f>IF(SotY_2024[[#This Row],[Round]]=$C$1, TRUE(), IF(SotY_2024[[#This Row],[Round]]=$B$1, SotY_2024[[#This Row],[Top Seed]]&lt;=2*SotY_2024[[#This Row],[Max Seed]]-$A$1, FALSE()))</f>
        <v>0</v>
      </c>
      <c r="H13" s="115" t="b">
        <f>IF(SotY_2024[[#This Row],[Round]]=$C$1, TRUE(), IF(SotY_2024[[#This Row],[Round]]=$B$1, SotY_2024[[#This Row],[Low Seed]]&lt;=2*SotY_2024[[#This Row],[Max Seed]]-$A$1, FALSE()))</f>
        <v>0</v>
      </c>
      <c r="I13" s="187"/>
      <c r="J13" s="188" t="s">
        <v>4191</v>
      </c>
      <c r="K13" s="189" t="s">
        <v>4191</v>
      </c>
      <c r="L13" s="190" t="s">
        <v>4191</v>
      </c>
      <c r="M13" s="191" t="s">
        <v>4191</v>
      </c>
      <c r="N13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3005</v>
      </c>
      <c r="O13" s="105">
        <f>COUNTIF(SotY_2024[[#This Row],[J]:[H]],"x")</f>
        <v>4</v>
      </c>
      <c r="P13" s="115" t="str">
        <f ca="1">IF(SotY_2024[[#This Row],[Num]]&gt;=$A$1, "-", IF(SotY_2024[[#This Row],[Score 1]]&gt;=3, SotY_2024[[#This Row],[Song 1]], IF(SotY_2024[[#This Row],[Score 2]]&gt;=3, SotY_2024[[#This Row],[Song 2]], "TBD")))</f>
        <v>3005</v>
      </c>
      <c r="Q13" s="193">
        <f>COUNTIF(SotY_2024[[#This Row],[H ]:[J ]],"x")</f>
        <v>1</v>
      </c>
      <c r="R13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Espresso</v>
      </c>
      <c r="S13" s="191"/>
      <c r="T13" s="190"/>
      <c r="U13" s="189"/>
      <c r="V13" s="188"/>
      <c r="W13" s="198" t="s">
        <v>4191</v>
      </c>
      <c r="X13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3" s="109">
        <f t="shared" si="2"/>
        <v>67</v>
      </c>
      <c r="AA13" s="59">
        <v>45475</v>
      </c>
      <c r="AB13" t="str">
        <v>danram</v>
      </c>
      <c r="AC13" s="3">
        <v>2.2000000000000002</v>
      </c>
      <c r="AD13" s="3">
        <v>1.4696938456699069</v>
      </c>
      <c r="AE13" t="str">
        <v>Stop Signs are Merely Suggestions</v>
      </c>
      <c r="AF13" t="str">
        <v>Moving Boxes</v>
      </c>
      <c r="AG13" s="100">
        <f t="shared" si="1"/>
        <v>65</v>
      </c>
      <c r="AI13" s="114">
        <f>SotY_2024[[#This Row],[Max Seed]]/2 + 1</f>
        <v>9</v>
      </c>
      <c r="AJ13" s="105" t="str">
        <f ca="1">IF(SotY_2024[[#This Row],[Num]]&gt;=$A$1, "-", IF(SotY_2024[[#This Row],[Score 1]]&gt;=3, SotY_2024[[#This Row],[Song 2]], IF(SotY_2024[[#This Row],[Score 2]]&gt;=3, SotY_2024[[#This Row],[Song 1]], "TBD")))</f>
        <v>Espresso</v>
      </c>
      <c r="AK13" s="115">
        <f ca="1">IFERROR(VLOOKUP(SotY_2024_Results[[#This Row],[Song Title]], $AE$2:$AG$111, 3, FALSE)-SotY_2024_Results[[#This Row],[Result]], "TBD")</f>
        <v>0</v>
      </c>
      <c r="AL13" s="112" t="str">
        <f ca="1">IF(SotY_2024_Results[[#This Row],[Diff]]&lt;0,"↓",IF(SotY_2024_Results[[#This Row],[Diff]]=0,"-","↑"))</f>
        <v>-</v>
      </c>
    </row>
    <row r="14" spans="1:38">
      <c r="A14" s="197" t="str">
        <f>_xlfn.CONCAT("Seed ", SotY_2024[[#This Row],[Top Seed]], " vs ", SotY_2024[[#This Row],[Low Seed]])</f>
        <v>Seed 4 vs 13</v>
      </c>
      <c r="B14" s="115">
        <v>12</v>
      </c>
      <c r="C14" s="115">
        <f>FLOOR(LOG(SotY_2024[[#This Row],[Num]], 2), 1)</f>
        <v>3</v>
      </c>
      <c r="D14" s="115">
        <f>2^(SotY_2024[[#This Row],[Round]]+1)</f>
        <v>16</v>
      </c>
      <c r="E14" s="115">
        <f>SotY_2024[[#This Row],[Max Seed]]-SotY_2024[[#This Row],[Num]]</f>
        <v>4</v>
      </c>
      <c r="F14" s="115">
        <f>SotY_2024[[#This Row],[Max Seed]]-SotY_2024[[#This Row],[Top Seed]]+1</f>
        <v>13</v>
      </c>
      <c r="G14" s="115" t="b">
        <f>IF(SotY_2024[[#This Row],[Round]]=$C$1, TRUE(), IF(SotY_2024[[#This Row],[Round]]=$B$1, SotY_2024[[#This Row],[Top Seed]]&lt;=2*SotY_2024[[#This Row],[Max Seed]]-$A$1, FALSE()))</f>
        <v>0</v>
      </c>
      <c r="H14" s="115" t="b">
        <f>IF(SotY_2024[[#This Row],[Round]]=$C$1, TRUE(), IF(SotY_2024[[#This Row],[Round]]=$B$1, SotY_2024[[#This Row],[Low Seed]]&lt;=2*SotY_2024[[#This Row],[Max Seed]]-$A$1, FALSE()))</f>
        <v>0</v>
      </c>
      <c r="I14" s="187" t="s">
        <v>4191</v>
      </c>
      <c r="J14" s="188"/>
      <c r="K14" s="189"/>
      <c r="L14" s="190" t="s">
        <v>4191</v>
      </c>
      <c r="M14" s="191" t="s">
        <v>4191</v>
      </c>
      <c r="N14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Plastic Love</v>
      </c>
      <c r="O14" s="105">
        <f>COUNTIF(SotY_2024[[#This Row],[J]:[H]],"x")</f>
        <v>3</v>
      </c>
      <c r="P14" s="115" t="str">
        <f ca="1">IF(SotY_2024[[#This Row],[Num]]&gt;=$A$1, "-", IF(SotY_2024[[#This Row],[Score 1]]&gt;=3, SotY_2024[[#This Row],[Song 1]], IF(SotY_2024[[#This Row],[Score 2]]&gt;=3, SotY_2024[[#This Row],[Song 2]], "TBD")))</f>
        <v>Plastic Love</v>
      </c>
      <c r="Q14" s="193">
        <f>COUNTIF(SotY_2024[[#This Row],[H ]:[J ]],"x")</f>
        <v>2</v>
      </c>
      <c r="R14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princess peach</v>
      </c>
      <c r="S14" s="191"/>
      <c r="T14" s="190"/>
      <c r="U14" s="189" t="s">
        <v>4191</v>
      </c>
      <c r="V14" s="188" t="s">
        <v>4191</v>
      </c>
      <c r="W14" s="198"/>
      <c r="X14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4" s="109">
        <f t="shared" si="2"/>
        <v>2</v>
      </c>
      <c r="AA14" s="59">
        <v>45476</v>
      </c>
      <c r="AB14" t="str">
        <v>alappatjoe</v>
      </c>
      <c r="AC14" s="3">
        <v>1.4</v>
      </c>
      <c r="AD14" s="3">
        <v>0.4898979485566356</v>
      </c>
      <c r="AE14" t="str">
        <v>specialist</v>
      </c>
      <c r="AF14" t="str">
        <v>アトラスサウンドチーム</v>
      </c>
      <c r="AG14" s="100">
        <f t="shared" si="1"/>
        <v>2</v>
      </c>
      <c r="AI14" s="114">
        <f>SotY_2024[[#This Row],[Max Seed]]/2 + 1</f>
        <v>9</v>
      </c>
      <c r="AJ14" s="105" t="str">
        <f ca="1">IF(SotY_2024[[#This Row],[Num]]&gt;=$A$1, "-", IF(SotY_2024[[#This Row],[Score 1]]&gt;=3, SotY_2024[[#This Row],[Song 2]], IF(SotY_2024[[#This Row],[Score 2]]&gt;=3, SotY_2024[[#This Row],[Song 1]], "TBD")))</f>
        <v>princess peach</v>
      </c>
      <c r="AK14" s="115">
        <f ca="1">IFERROR(VLOOKUP(SotY_2024_Results[[#This Row],[Song Title]], $AE$2:$AG$111, 3, FALSE)-SotY_2024_Results[[#This Row],[Result]], "TBD")</f>
        <v>56</v>
      </c>
      <c r="AL14" s="112" t="str">
        <f ca="1">IF(SotY_2024_Results[[#This Row],[Diff]]&lt;0,"↓",IF(SotY_2024_Results[[#This Row],[Diff]]=0,"-","↑"))</f>
        <v>↑</v>
      </c>
    </row>
    <row r="15" spans="1:38">
      <c r="A15" s="197" t="str">
        <f>_xlfn.CONCAT("Seed ", SotY_2024[[#This Row],[Top Seed]], " vs ", SotY_2024[[#This Row],[Low Seed]])</f>
        <v>Seed 3 vs 14</v>
      </c>
      <c r="B15" s="115">
        <v>13</v>
      </c>
      <c r="C15" s="115">
        <f>FLOOR(LOG(SotY_2024[[#This Row],[Num]], 2), 1)</f>
        <v>3</v>
      </c>
      <c r="D15" s="115">
        <f>2^(SotY_2024[[#This Row],[Round]]+1)</f>
        <v>16</v>
      </c>
      <c r="E15" s="115">
        <f>SotY_2024[[#This Row],[Max Seed]]-SotY_2024[[#This Row],[Num]]</f>
        <v>3</v>
      </c>
      <c r="F15" s="115">
        <f>SotY_2024[[#This Row],[Max Seed]]-SotY_2024[[#This Row],[Top Seed]]+1</f>
        <v>14</v>
      </c>
      <c r="G15" s="115" t="b">
        <f>IF(SotY_2024[[#This Row],[Round]]=$C$1, TRUE(), IF(SotY_2024[[#This Row],[Round]]=$B$1, SotY_2024[[#This Row],[Top Seed]]&lt;=2*SotY_2024[[#This Row],[Max Seed]]-$A$1, FALSE()))</f>
        <v>0</v>
      </c>
      <c r="H15" s="115" t="b">
        <f>IF(SotY_2024[[#This Row],[Round]]=$C$1, TRUE(), IF(SotY_2024[[#This Row],[Round]]=$B$1, SotY_2024[[#This Row],[Low Seed]]&lt;=2*SotY_2024[[#This Row],[Max Seed]]-$A$1, FALSE()))</f>
        <v>0</v>
      </c>
      <c r="I15" s="187"/>
      <c r="J15" s="188" t="s">
        <v>4191</v>
      </c>
      <c r="K15" s="189"/>
      <c r="L15" s="190" t="s">
        <v>4191</v>
      </c>
      <c r="M15" s="191"/>
      <c r="N15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Stop Signs are Merely Suggestions</v>
      </c>
      <c r="O15" s="105">
        <f>COUNTIF(SotY_2024[[#This Row],[J]:[H]],"x")</f>
        <v>2</v>
      </c>
      <c r="P15" s="115" t="str">
        <f ca="1">IF(SotY_2024[[#This Row],[Num]]&gt;=$A$1, "-", IF(SotY_2024[[#This Row],[Score 1]]&gt;=3, SotY_2024[[#This Row],[Song 1]], IF(SotY_2024[[#This Row],[Score 2]]&gt;=3, SotY_2024[[#This Row],[Song 2]], "TBD")))</f>
        <v>Mystery Lady</v>
      </c>
      <c r="Q15" s="193">
        <f>COUNTIF(SotY_2024[[#This Row],[H ]:[J ]],"x")</f>
        <v>3</v>
      </c>
      <c r="R15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Mystery Lady</v>
      </c>
      <c r="S15" s="191" t="s">
        <v>4191</v>
      </c>
      <c r="T15" s="190"/>
      <c r="U15" s="189" t="s">
        <v>4191</v>
      </c>
      <c r="V15" s="188"/>
      <c r="W15" s="198" t="s">
        <v>4191</v>
      </c>
      <c r="X15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5" s="109">
        <f t="shared" si="2"/>
        <v>76</v>
      </c>
      <c r="AA15" s="59">
        <v>45477</v>
      </c>
      <c r="AB15" t="str">
        <v>loganworsdell</v>
      </c>
      <c r="AC15" s="3">
        <v>2.4</v>
      </c>
      <c r="AD15" s="3">
        <v>0.8</v>
      </c>
      <c r="AE15" t="str">
        <v>Otaku Hot Girl</v>
      </c>
      <c r="AF15" t="str">
        <v>Megan Thee Stallion</v>
      </c>
      <c r="AG15" s="100">
        <f t="shared" si="1"/>
        <v>65</v>
      </c>
      <c r="AI15" s="114">
        <f>SotY_2024[[#This Row],[Max Seed]]/2 + 1</f>
        <v>9</v>
      </c>
      <c r="AJ15" s="105" t="str">
        <f ca="1">IF(SotY_2024[[#This Row],[Num]]&gt;=$A$1, "-", IF(SotY_2024[[#This Row],[Score 1]]&gt;=3, SotY_2024[[#This Row],[Song 2]], IF(SotY_2024[[#This Row],[Score 2]]&gt;=3, SotY_2024[[#This Row],[Song 1]], "TBD")))</f>
        <v>Stop Signs are Merely Suggestions</v>
      </c>
      <c r="AK15" s="115">
        <f ca="1">IFERROR(VLOOKUP(SotY_2024_Results[[#This Row],[Song Title]], $AE$2:$AG$111, 3, FALSE)-SotY_2024_Results[[#This Row],[Result]], "TBD")</f>
        <v>56</v>
      </c>
      <c r="AL15" s="112" t="str">
        <f ca="1">IF(SotY_2024_Results[[#This Row],[Diff]]&lt;0,"↓",IF(SotY_2024_Results[[#This Row],[Diff]]=0,"-","↑"))</f>
        <v>↑</v>
      </c>
    </row>
    <row r="16" spans="1:38">
      <c r="A16" s="197" t="str">
        <f>_xlfn.CONCAT("Seed ", SotY_2024[[#This Row],[Top Seed]], " vs ", SotY_2024[[#This Row],[Low Seed]])</f>
        <v>Seed 2 vs 15</v>
      </c>
      <c r="B16" s="115">
        <v>14</v>
      </c>
      <c r="C16" s="115">
        <f>FLOOR(LOG(SotY_2024[[#This Row],[Num]], 2), 1)</f>
        <v>3</v>
      </c>
      <c r="D16" s="115">
        <f>2^(SotY_2024[[#This Row],[Round]]+1)</f>
        <v>16</v>
      </c>
      <c r="E16" s="115">
        <f>SotY_2024[[#This Row],[Max Seed]]-SotY_2024[[#This Row],[Num]]</f>
        <v>2</v>
      </c>
      <c r="F16" s="115">
        <f>SotY_2024[[#This Row],[Max Seed]]-SotY_2024[[#This Row],[Top Seed]]+1</f>
        <v>15</v>
      </c>
      <c r="G16" s="115" t="b">
        <f>IF(SotY_2024[[#This Row],[Round]]=$C$1, TRUE(), IF(SotY_2024[[#This Row],[Round]]=$B$1, SotY_2024[[#This Row],[Top Seed]]&lt;=2*SotY_2024[[#This Row],[Max Seed]]-$A$1, FALSE()))</f>
        <v>0</v>
      </c>
      <c r="H16" s="115" t="b">
        <f>IF(SotY_2024[[#This Row],[Round]]=$C$1, TRUE(), IF(SotY_2024[[#This Row],[Round]]=$B$1, SotY_2024[[#This Row],[Low Seed]]&lt;=2*SotY_2024[[#This Row],[Max Seed]]-$A$1, FALSE()))</f>
        <v>0</v>
      </c>
      <c r="I16" s="187" t="s">
        <v>4191</v>
      </c>
      <c r="J16" s="188" t="s">
        <v>4191</v>
      </c>
      <c r="K16" s="189"/>
      <c r="L16" s="190"/>
      <c r="M16" s="191"/>
      <c r="N16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Alchemy</v>
      </c>
      <c r="O16" s="105">
        <f>COUNTIF(SotY_2024[[#This Row],[J]:[H]],"x")</f>
        <v>2</v>
      </c>
      <c r="P16" s="115" t="str">
        <f ca="1">IF(SotY_2024[[#This Row],[Num]]&gt;=$A$1, "-", IF(SotY_2024[[#This Row],[Score 1]]&gt;=3, SotY_2024[[#This Row],[Song 1]], IF(SotY_2024[[#This Row],[Score 2]]&gt;=3, SotY_2024[[#This Row],[Song 2]], "TBD")))</f>
        <v>Great Escape</v>
      </c>
      <c r="Q16" s="193">
        <f>COUNTIF(SotY_2024[[#This Row],[H ]:[J ]],"x")</f>
        <v>3</v>
      </c>
      <c r="R16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Great Escape</v>
      </c>
      <c r="S16" s="191" t="s">
        <v>4191</v>
      </c>
      <c r="T16" s="190" t="s">
        <v>4191</v>
      </c>
      <c r="U16" s="189" t="s">
        <v>4191</v>
      </c>
      <c r="V16" s="188"/>
      <c r="W16" s="198"/>
      <c r="X16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6" s="109">
        <f t="shared" si="2"/>
        <v>46</v>
      </c>
      <c r="AA16" s="59">
        <v>45481</v>
      </c>
      <c r="AB16" t="str">
        <v>currydestroyer27</v>
      </c>
      <c r="AC16" s="3">
        <v>2</v>
      </c>
      <c r="AD16" s="3">
        <v>1.2649110640673518</v>
      </c>
      <c r="AE16" t="str">
        <v>Chasing The Sun</v>
      </c>
      <c r="AF16" t="str">
        <v>The Wanted</v>
      </c>
      <c r="AG16" s="100">
        <f t="shared" si="1"/>
        <v>33</v>
      </c>
      <c r="AI16" s="114">
        <f>SotY_2024[[#This Row],[Max Seed]]/2 + 1</f>
        <v>9</v>
      </c>
      <c r="AJ16" s="105" t="str">
        <f ca="1">IF(SotY_2024[[#This Row],[Num]]&gt;=$A$1, "-", IF(SotY_2024[[#This Row],[Score 1]]&gt;=3, SotY_2024[[#This Row],[Song 2]], IF(SotY_2024[[#This Row],[Score 2]]&gt;=3, SotY_2024[[#This Row],[Song 1]], "TBD")))</f>
        <v>Alchemy</v>
      </c>
      <c r="AK16" s="115">
        <f ca="1">IFERROR(VLOOKUP(SotY_2024_Results[[#This Row],[Song Title]], $AE$2:$AG$111, 3, FALSE)-SotY_2024_Results[[#This Row],[Result]], "TBD")</f>
        <v>8</v>
      </c>
      <c r="AL16" s="112" t="str">
        <f ca="1">IF(SotY_2024_Results[[#This Row],[Diff]]&lt;0,"↓",IF(SotY_2024_Results[[#This Row],[Diff]]=0,"-","↑"))</f>
        <v>↑</v>
      </c>
    </row>
    <row r="17" spans="1:38">
      <c r="A17" s="197" t="str">
        <f>_xlfn.CONCAT("Seed ", SotY_2024[[#This Row],[Top Seed]], " vs ", SotY_2024[[#This Row],[Low Seed]])</f>
        <v>Seed 1 vs 16</v>
      </c>
      <c r="B17" s="115">
        <v>15</v>
      </c>
      <c r="C17" s="115">
        <f>FLOOR(LOG(SotY_2024[[#This Row],[Num]], 2), 1)</f>
        <v>3</v>
      </c>
      <c r="D17" s="115">
        <f>2^(SotY_2024[[#This Row],[Round]]+1)</f>
        <v>16</v>
      </c>
      <c r="E17" s="115">
        <f>SotY_2024[[#This Row],[Max Seed]]-SotY_2024[[#This Row],[Num]]</f>
        <v>1</v>
      </c>
      <c r="F17" s="115">
        <f>SotY_2024[[#This Row],[Max Seed]]-SotY_2024[[#This Row],[Top Seed]]+1</f>
        <v>16</v>
      </c>
      <c r="G17" s="115" t="b">
        <f>IF(SotY_2024[[#This Row],[Round]]=$C$1, TRUE(), IF(SotY_2024[[#This Row],[Round]]=$B$1, SotY_2024[[#This Row],[Top Seed]]&lt;=2*SotY_2024[[#This Row],[Max Seed]]-$A$1, FALSE()))</f>
        <v>0</v>
      </c>
      <c r="H17" s="115" t="b">
        <f>IF(SotY_2024[[#This Row],[Round]]=$C$1, TRUE(), IF(SotY_2024[[#This Row],[Round]]=$B$1, SotY_2024[[#This Row],[Low Seed]]&lt;=2*SotY_2024[[#This Row],[Max Seed]]-$A$1, FALSE()))</f>
        <v>0</v>
      </c>
      <c r="I17" s="187"/>
      <c r="J17" s="188" t="s">
        <v>4191</v>
      </c>
      <c r="K17" s="189"/>
      <c r="L17" s="190" t="s">
        <v>4191</v>
      </c>
      <c r="M17" s="191" t="s">
        <v>4191</v>
      </c>
      <c r="N17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Leave Before You Love Me</v>
      </c>
      <c r="O17" s="105">
        <f>COUNTIF(SotY_2024[[#This Row],[J]:[H]],"x")</f>
        <v>3</v>
      </c>
      <c r="P17" s="115" t="str">
        <f ca="1">IF(SotY_2024[[#This Row],[Num]]&gt;=$A$1, "-", IF(SotY_2024[[#This Row],[Score 1]]&gt;=3, SotY_2024[[#This Row],[Song 1]], IF(SotY_2024[[#This Row],[Score 2]]&gt;=3, SotY_2024[[#This Row],[Song 2]], "TBD")))</f>
        <v>Leave Before You Love Me</v>
      </c>
      <c r="Q17" s="193">
        <f>COUNTIF(SotY_2024[[#This Row],[H ]:[J ]],"x")</f>
        <v>2</v>
      </c>
      <c r="R17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Candle Flame</v>
      </c>
      <c r="S17" s="191"/>
      <c r="T17" s="190"/>
      <c r="U17" s="189" t="s">
        <v>4191</v>
      </c>
      <c r="V17" s="188"/>
      <c r="W17" s="198" t="s">
        <v>4191</v>
      </c>
      <c r="X17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7" s="109">
        <f t="shared" si="2"/>
        <v>87</v>
      </c>
      <c r="AA17" s="59">
        <v>45482</v>
      </c>
      <c r="AB17" t="str">
        <v>loganworsdell</v>
      </c>
      <c r="AC17" s="3">
        <v>2.4</v>
      </c>
      <c r="AD17" s="3">
        <v>1.4966629547095767</v>
      </c>
      <c r="AE17" t="str">
        <v>DNA</v>
      </c>
      <c r="AF17" t="str">
        <v>Ghali</v>
      </c>
      <c r="AG17" s="100">
        <f t="shared" si="1"/>
        <v>65</v>
      </c>
      <c r="AI17" s="114">
        <f>SotY_2024[[#This Row],[Max Seed]]/2 + 1</f>
        <v>9</v>
      </c>
      <c r="AJ17" s="105" t="str">
        <f ca="1">IF(SotY_2024[[#This Row],[Num]]&gt;=$A$1, "-", IF(SotY_2024[[#This Row],[Score 1]]&gt;=3, SotY_2024[[#This Row],[Song 2]], IF(SotY_2024[[#This Row],[Score 2]]&gt;=3, SotY_2024[[#This Row],[Song 1]], "TBD")))</f>
        <v>Candle Flame</v>
      </c>
      <c r="AK17" s="115">
        <f ca="1">IFERROR(VLOOKUP(SotY_2024_Results[[#This Row],[Song Title]], $AE$2:$AG$111, 3, FALSE)-SotY_2024_Results[[#This Row],[Result]], "TBD")</f>
        <v>8</v>
      </c>
      <c r="AL17" s="112" t="str">
        <f ca="1">IF(SotY_2024_Results[[#This Row],[Diff]]&lt;0,"↓",IF(SotY_2024_Results[[#This Row],[Diff]]=0,"-","↑"))</f>
        <v>↑</v>
      </c>
    </row>
    <row r="18" spans="1:38">
      <c r="A18" s="197" t="str">
        <f>_xlfn.CONCAT("Seed ", SotY_2024[[#This Row],[Top Seed]], " vs ", SotY_2024[[#This Row],[Low Seed]])</f>
        <v>Seed 16 vs 17</v>
      </c>
      <c r="B18" s="115">
        <v>16</v>
      </c>
      <c r="C18" s="115">
        <f>FLOOR(LOG(SotY_2024[[#This Row],[Num]], 2), 1)</f>
        <v>4</v>
      </c>
      <c r="D18" s="115">
        <f>2^(SotY_2024[[#This Row],[Round]]+1)</f>
        <v>32</v>
      </c>
      <c r="E18" s="115">
        <f>SotY_2024[[#This Row],[Max Seed]]-SotY_2024[[#This Row],[Num]]</f>
        <v>16</v>
      </c>
      <c r="F18" s="115">
        <f>SotY_2024[[#This Row],[Max Seed]]-SotY_2024[[#This Row],[Top Seed]]+1</f>
        <v>17</v>
      </c>
      <c r="G18" s="115" t="b">
        <f>IF(SotY_2024[[#This Row],[Round]]=$C$1, TRUE(), IF(SotY_2024[[#This Row],[Round]]=$B$1, SotY_2024[[#This Row],[Top Seed]]&lt;=2*SotY_2024[[#This Row],[Max Seed]]-$A$1, FALSE()))</f>
        <v>0</v>
      </c>
      <c r="H18" s="115" t="b">
        <f>IF(SotY_2024[[#This Row],[Round]]=$C$1, TRUE(), IF(SotY_2024[[#This Row],[Round]]=$B$1, SotY_2024[[#This Row],[Low Seed]]&lt;=2*SotY_2024[[#This Row],[Max Seed]]-$A$1, FALSE()))</f>
        <v>0</v>
      </c>
      <c r="I18" s="187"/>
      <c r="J18" s="188" t="s">
        <v>4191</v>
      </c>
      <c r="K18" s="189"/>
      <c r="L18" s="190" t="s">
        <v>4191</v>
      </c>
      <c r="M18" s="191"/>
      <c r="N18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The Number You Have Dialed Is Not in Service</v>
      </c>
      <c r="O18" s="105">
        <f>COUNTIF(SotY_2024[[#This Row],[J]:[H]],"x")</f>
        <v>2</v>
      </c>
      <c r="P18" s="115" t="str">
        <f ca="1">IF(SotY_2024[[#This Row],[Num]]&gt;=$A$1, "-", IF(SotY_2024[[#This Row],[Score 1]]&gt;=3, SotY_2024[[#This Row],[Song 1]], IF(SotY_2024[[#This Row],[Score 2]]&gt;=3, SotY_2024[[#This Row],[Song 2]], "TBD")))</f>
        <v>Candle Flame</v>
      </c>
      <c r="Q18" s="193">
        <f>COUNTIF(SotY_2024[[#This Row],[H ]:[J ]],"x")</f>
        <v>3</v>
      </c>
      <c r="R18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Candle Flame</v>
      </c>
      <c r="S18" s="191" t="s">
        <v>4191</v>
      </c>
      <c r="T18" s="190"/>
      <c r="U18" s="189" t="s">
        <v>4191</v>
      </c>
      <c r="V18" s="188"/>
      <c r="W18" s="198" t="s">
        <v>4191</v>
      </c>
      <c r="X18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8" s="109">
        <f t="shared" si="2"/>
        <v>18</v>
      </c>
      <c r="AA18" s="59">
        <v>45483</v>
      </c>
      <c r="AB18" t="str">
        <v>currydestroyer27</v>
      </c>
      <c r="AC18" s="3">
        <v>1.8</v>
      </c>
      <c r="AD18" s="3">
        <v>0.74833147735478833</v>
      </c>
      <c r="AE18" t="str">
        <v>Great Escape</v>
      </c>
      <c r="AF18" t="str">
        <v>Cinema Staff</v>
      </c>
      <c r="AG18" s="100">
        <f t="shared" si="1"/>
        <v>17</v>
      </c>
      <c r="AI18" s="114">
        <f>SotY_2024[[#This Row],[Max Seed]]/2 + 1</f>
        <v>17</v>
      </c>
      <c r="AJ18" s="105" t="str">
        <f ca="1">IF(SotY_2024[[#This Row],[Num]]&gt;=$A$1, "-", IF(SotY_2024[[#This Row],[Score 1]]&gt;=3, SotY_2024[[#This Row],[Song 2]], IF(SotY_2024[[#This Row],[Score 2]]&gt;=3, SotY_2024[[#This Row],[Song 1]], "TBD")))</f>
        <v>The Number You Have Dialed Is Not in Service</v>
      </c>
      <c r="AK18" s="115">
        <f ca="1">IFERROR(VLOOKUP(SotY_2024_Results[[#This Row],[Song Title]], $AE$2:$AG$111, 3, FALSE)-SotY_2024_Results[[#This Row],[Result]], "TBD")</f>
        <v>-8</v>
      </c>
      <c r="AL18" s="112" t="str">
        <f ca="1">IF(SotY_2024_Results[[#This Row],[Diff]]&lt;0,"↓",IF(SotY_2024_Results[[#This Row],[Diff]]=0,"-","↑"))</f>
        <v>↓</v>
      </c>
    </row>
    <row r="19" spans="1:38">
      <c r="A19" s="197" t="str">
        <f>_xlfn.CONCAT("Seed ", SotY_2024[[#This Row],[Top Seed]], " vs ", SotY_2024[[#This Row],[Low Seed]])</f>
        <v>Seed 15 vs 18</v>
      </c>
      <c r="B19" s="115">
        <v>17</v>
      </c>
      <c r="C19" s="115">
        <f>FLOOR(LOG(SotY_2024[[#This Row],[Num]], 2), 1)</f>
        <v>4</v>
      </c>
      <c r="D19" s="115">
        <f>2^(SotY_2024[[#This Row],[Round]]+1)</f>
        <v>32</v>
      </c>
      <c r="E19" s="115">
        <f>SotY_2024[[#This Row],[Max Seed]]-SotY_2024[[#This Row],[Num]]</f>
        <v>15</v>
      </c>
      <c r="F19" s="115">
        <f>SotY_2024[[#This Row],[Max Seed]]-SotY_2024[[#This Row],[Top Seed]]+1</f>
        <v>18</v>
      </c>
      <c r="G19" s="115" t="b">
        <f>IF(SotY_2024[[#This Row],[Round]]=$C$1, TRUE(), IF(SotY_2024[[#This Row],[Round]]=$B$1, SotY_2024[[#This Row],[Top Seed]]&lt;=2*SotY_2024[[#This Row],[Max Seed]]-$A$1, FALSE()))</f>
        <v>0</v>
      </c>
      <c r="H19" s="115" t="b">
        <f>IF(SotY_2024[[#This Row],[Round]]=$C$1, TRUE(), IF(SotY_2024[[#This Row],[Round]]=$B$1, SotY_2024[[#This Row],[Low Seed]]&lt;=2*SotY_2024[[#This Row],[Max Seed]]-$A$1, FALSE()))</f>
        <v>0</v>
      </c>
      <c r="I19" s="187"/>
      <c r="J19" s="188" t="s">
        <v>4191</v>
      </c>
      <c r="K19" s="189"/>
      <c r="L19" s="190"/>
      <c r="M19" s="191"/>
      <c r="N19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Kiss Me Thru The Phone</v>
      </c>
      <c r="O19" s="105">
        <f>COUNTIF(SotY_2024[[#This Row],[J]:[H]],"x")</f>
        <v>1</v>
      </c>
      <c r="P19" s="115" t="str">
        <f ca="1">IF(SotY_2024[[#This Row],[Num]]&gt;=$A$1, "-", IF(SotY_2024[[#This Row],[Score 1]]&gt;=3, SotY_2024[[#This Row],[Song 1]], IF(SotY_2024[[#This Row],[Score 2]]&gt;=3, SotY_2024[[#This Row],[Song 2]], "TBD")))</f>
        <v>Great Escape</v>
      </c>
      <c r="Q19" s="193">
        <f>COUNTIF(SotY_2024[[#This Row],[H ]:[J ]],"x")</f>
        <v>4</v>
      </c>
      <c r="R19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Great Escape</v>
      </c>
      <c r="S19" s="191" t="s">
        <v>4191</v>
      </c>
      <c r="T19" s="190" t="s">
        <v>4191</v>
      </c>
      <c r="U19" s="189" t="s">
        <v>4191</v>
      </c>
      <c r="V19" s="188"/>
      <c r="W19" s="198" t="s">
        <v>4191</v>
      </c>
      <c r="X19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9" s="109">
        <f t="shared" si="2"/>
        <v>68</v>
      </c>
      <c r="AA19" s="59">
        <v>45484</v>
      </c>
      <c r="AB19" t="str">
        <v>samuelbattista</v>
      </c>
      <c r="AC19" s="3">
        <v>2.2000000000000002</v>
      </c>
      <c r="AD19" s="3">
        <v>1.4696938456699069</v>
      </c>
      <c r="AE19" t="str">
        <v>Congratulations</v>
      </c>
      <c r="AF19" t="str">
        <v>Post Malone</v>
      </c>
      <c r="AG19" s="100">
        <f t="shared" si="1"/>
        <v>65</v>
      </c>
      <c r="AI19" s="114">
        <f>SotY_2024[[#This Row],[Max Seed]]/2 + 1</f>
        <v>17</v>
      </c>
      <c r="AJ19" s="105" t="str">
        <f ca="1">IF(SotY_2024[[#This Row],[Num]]&gt;=$A$1, "-", IF(SotY_2024[[#This Row],[Score 1]]&gt;=3, SotY_2024[[#This Row],[Song 2]], IF(SotY_2024[[#This Row],[Score 2]]&gt;=3, SotY_2024[[#This Row],[Song 1]], "TBD")))</f>
        <v>Kiss Me Thru The Phone</v>
      </c>
      <c r="AK19" s="115">
        <f ca="1">IFERROR(VLOOKUP(SotY_2024_Results[[#This Row],[Song Title]], $AE$2:$AG$111, 3, FALSE)-SotY_2024_Results[[#This Row],[Result]], "TBD")</f>
        <v>-8</v>
      </c>
      <c r="AL19" s="112" t="str">
        <f ca="1">IF(SotY_2024_Results[[#This Row],[Diff]]&lt;0,"↓",IF(SotY_2024_Results[[#This Row],[Diff]]=0,"-","↑"))</f>
        <v>↓</v>
      </c>
    </row>
    <row r="20" spans="1:38">
      <c r="A20" s="197" t="str">
        <f>_xlfn.CONCAT("Seed ", SotY_2024[[#This Row],[Top Seed]], " vs ", SotY_2024[[#This Row],[Low Seed]])</f>
        <v>Seed 14 vs 19</v>
      </c>
      <c r="B20" s="115">
        <v>18</v>
      </c>
      <c r="C20" s="115">
        <f>FLOOR(LOG(SotY_2024[[#This Row],[Num]], 2), 1)</f>
        <v>4</v>
      </c>
      <c r="D20" s="115">
        <f>2^(SotY_2024[[#This Row],[Round]]+1)</f>
        <v>32</v>
      </c>
      <c r="E20" s="115">
        <f>SotY_2024[[#This Row],[Max Seed]]-SotY_2024[[#This Row],[Num]]</f>
        <v>14</v>
      </c>
      <c r="F20" s="115">
        <f>SotY_2024[[#This Row],[Max Seed]]-SotY_2024[[#This Row],[Top Seed]]+1</f>
        <v>19</v>
      </c>
      <c r="G20" s="115" t="b">
        <f>IF(SotY_2024[[#This Row],[Round]]=$C$1, TRUE(), IF(SotY_2024[[#This Row],[Round]]=$B$1, SotY_2024[[#This Row],[Top Seed]]&lt;=2*SotY_2024[[#This Row],[Max Seed]]-$A$1, FALSE()))</f>
        <v>0</v>
      </c>
      <c r="H20" s="115" t="b">
        <f>IF(SotY_2024[[#This Row],[Round]]=$C$1, TRUE(), IF(SotY_2024[[#This Row],[Round]]=$B$1, SotY_2024[[#This Row],[Low Seed]]&lt;=2*SotY_2024[[#This Row],[Max Seed]]-$A$1, FALSE()))</f>
        <v>0</v>
      </c>
      <c r="I20" s="187" t="s">
        <v>4191</v>
      </c>
      <c r="J20" s="188"/>
      <c r="K20" s="189" t="s">
        <v>4191</v>
      </c>
      <c r="L20" s="190" t="s">
        <v>4191</v>
      </c>
      <c r="M20" s="191" t="s">
        <v>4191</v>
      </c>
      <c r="N20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Mystery Lady</v>
      </c>
      <c r="O20" s="105">
        <f>COUNTIF(SotY_2024[[#This Row],[J]:[H]],"x")</f>
        <v>4</v>
      </c>
      <c r="P20" s="115" t="str">
        <f ca="1">IF(SotY_2024[[#This Row],[Num]]&gt;=$A$1, "-", IF(SotY_2024[[#This Row],[Score 1]]&gt;=3, SotY_2024[[#This Row],[Song 1]], IF(SotY_2024[[#This Row],[Score 2]]&gt;=3, SotY_2024[[#This Row],[Song 2]], "TBD")))</f>
        <v>Mystery Lady</v>
      </c>
      <c r="Q20" s="193">
        <f>COUNTIF(SotY_2024[[#This Row],[H ]:[J ]],"x")</f>
        <v>1</v>
      </c>
      <c r="R20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Chasing The Sun</v>
      </c>
      <c r="S20" s="191"/>
      <c r="T20" s="190"/>
      <c r="U20" s="189"/>
      <c r="V20" s="188" t="s">
        <v>4191</v>
      </c>
      <c r="W20" s="198"/>
      <c r="X20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20" s="109">
        <f t="shared" si="2"/>
        <v>13</v>
      </c>
      <c r="AA20" s="59">
        <v>45488</v>
      </c>
      <c r="AB20" t="str">
        <v>currydestroyer27</v>
      </c>
      <c r="AC20" s="3">
        <v>1.8</v>
      </c>
      <c r="AD20" s="3">
        <v>0.4</v>
      </c>
      <c r="AE20" t="str">
        <v>Annihilate</v>
      </c>
      <c r="AF20" t="str">
        <v>Metro Boomin, Swae Lee, Lil Wayne</v>
      </c>
      <c r="AG20" s="100">
        <f t="shared" si="1"/>
        <v>9</v>
      </c>
      <c r="AI20" s="114">
        <f>SotY_2024[[#This Row],[Max Seed]]/2 + 1</f>
        <v>17</v>
      </c>
      <c r="AJ20" s="105" t="str">
        <f ca="1">IF(SotY_2024[[#This Row],[Num]]&gt;=$A$1, "-", IF(SotY_2024[[#This Row],[Score 1]]&gt;=3, SotY_2024[[#This Row],[Song 2]], IF(SotY_2024[[#This Row],[Score 2]]&gt;=3, SotY_2024[[#This Row],[Song 1]], "TBD")))</f>
        <v>Chasing The Sun</v>
      </c>
      <c r="AK20" s="115">
        <f ca="1">IFERROR(VLOOKUP(SotY_2024_Results[[#This Row],[Song Title]], $AE$2:$AG$111, 3, FALSE)-SotY_2024_Results[[#This Row],[Result]], "TBD")</f>
        <v>16</v>
      </c>
      <c r="AL20" s="112" t="str">
        <f ca="1">IF(SotY_2024_Results[[#This Row],[Diff]]&lt;0,"↓",IF(SotY_2024_Results[[#This Row],[Diff]]=0,"-","↑"))</f>
        <v>↑</v>
      </c>
    </row>
    <row r="21" spans="1:38">
      <c r="A21" s="197" t="str">
        <f>_xlfn.CONCAT("Seed ", SotY_2024[[#This Row],[Top Seed]], " vs ", SotY_2024[[#This Row],[Low Seed]])</f>
        <v>Seed 13 vs 20</v>
      </c>
      <c r="B21" s="115">
        <v>19</v>
      </c>
      <c r="C21" s="115">
        <f>FLOOR(LOG(SotY_2024[[#This Row],[Num]], 2), 1)</f>
        <v>4</v>
      </c>
      <c r="D21" s="115">
        <f>2^(SotY_2024[[#This Row],[Round]]+1)</f>
        <v>32</v>
      </c>
      <c r="E21" s="115">
        <f>SotY_2024[[#This Row],[Max Seed]]-SotY_2024[[#This Row],[Num]]</f>
        <v>13</v>
      </c>
      <c r="F21" s="115">
        <f>SotY_2024[[#This Row],[Max Seed]]-SotY_2024[[#This Row],[Top Seed]]+1</f>
        <v>20</v>
      </c>
      <c r="G21" s="115" t="b">
        <f>IF(SotY_2024[[#This Row],[Round]]=$C$1, TRUE(), IF(SotY_2024[[#This Row],[Round]]=$B$1, SotY_2024[[#This Row],[Top Seed]]&lt;=2*SotY_2024[[#This Row],[Max Seed]]-$A$1, FALSE()))</f>
        <v>0</v>
      </c>
      <c r="H21" s="115" t="b">
        <f>IF(SotY_2024[[#This Row],[Round]]=$C$1, TRUE(), IF(SotY_2024[[#This Row],[Round]]=$B$1, SotY_2024[[#This Row],[Low Seed]]&lt;=2*SotY_2024[[#This Row],[Max Seed]]-$A$1, FALSE()))</f>
        <v>0</v>
      </c>
      <c r="I21" s="187"/>
      <c r="J21" s="188" t="s">
        <v>4191</v>
      </c>
      <c r="K21" s="189" t="s">
        <v>4191</v>
      </c>
      <c r="L21" s="190"/>
      <c r="M21" s="191" t="s">
        <v>4191</v>
      </c>
      <c r="N21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princess peach</v>
      </c>
      <c r="O21" s="105">
        <f>COUNTIF(SotY_2024[[#This Row],[J]:[H]],"x")</f>
        <v>3</v>
      </c>
      <c r="P21" s="115" t="str">
        <f ca="1">IF(SotY_2024[[#This Row],[Num]]&gt;=$A$1, "-", IF(SotY_2024[[#This Row],[Score 1]]&gt;=3, SotY_2024[[#This Row],[Song 1]], IF(SotY_2024[[#This Row],[Score 2]]&gt;=3, SotY_2024[[#This Row],[Song 2]], "TBD")))</f>
        <v>princess peach</v>
      </c>
      <c r="Q21" s="193">
        <f>COUNTIF(SotY_2024[[#This Row],[H ]:[J ]],"x")</f>
        <v>2</v>
      </c>
      <c r="R21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Edge of Seventeen</v>
      </c>
      <c r="S21" s="191"/>
      <c r="T21" s="190" t="s">
        <v>4191</v>
      </c>
      <c r="U21" s="189"/>
      <c r="V21" s="188"/>
      <c r="W21" s="198" t="s">
        <v>4191</v>
      </c>
      <c r="X21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21" s="109">
        <f t="shared" si="2"/>
        <v>7</v>
      </c>
      <c r="AA21" s="59">
        <v>45489</v>
      </c>
      <c r="AB21" t="str">
        <v>loganworsdell</v>
      </c>
      <c r="AC21" s="3">
        <v>1.4</v>
      </c>
      <c r="AD21" s="3">
        <v>0.8</v>
      </c>
      <c r="AE21" t="str">
        <v>Feel It</v>
      </c>
      <c r="AF21" t="str">
        <v>d4vd</v>
      </c>
      <c r="AG21" s="100">
        <f t="shared" si="1"/>
        <v>5</v>
      </c>
      <c r="AI21" s="114">
        <f>SotY_2024[[#This Row],[Max Seed]]/2 + 1</f>
        <v>17</v>
      </c>
      <c r="AJ21" s="105" t="str">
        <f ca="1">IF(SotY_2024[[#This Row],[Num]]&gt;=$A$1, "-", IF(SotY_2024[[#This Row],[Score 1]]&gt;=3, SotY_2024[[#This Row],[Song 2]], IF(SotY_2024[[#This Row],[Score 2]]&gt;=3, SotY_2024[[#This Row],[Song 1]], "TBD")))</f>
        <v>Edge of Seventeen</v>
      </c>
      <c r="AK21" s="115">
        <f ca="1">IFERROR(VLOOKUP(SotY_2024_Results[[#This Row],[Song Title]], $AE$2:$AG$111, 3, FALSE)-SotY_2024_Results[[#This Row],[Result]], "TBD")</f>
        <v>0</v>
      </c>
      <c r="AL21" s="112" t="str">
        <f ca="1">IF(SotY_2024_Results[[#This Row],[Diff]]&lt;0,"↓",IF(SotY_2024_Results[[#This Row],[Diff]]=0,"-","↑"))</f>
        <v>-</v>
      </c>
    </row>
    <row r="22" spans="1:38">
      <c r="A22" s="197" t="str">
        <f>_xlfn.CONCAT("Seed ", SotY_2024[[#This Row],[Top Seed]], " vs ", SotY_2024[[#This Row],[Low Seed]])</f>
        <v>Seed 12 vs 21</v>
      </c>
      <c r="B22" s="115">
        <v>20</v>
      </c>
      <c r="C22" s="115">
        <f>FLOOR(LOG(SotY_2024[[#This Row],[Num]], 2), 1)</f>
        <v>4</v>
      </c>
      <c r="D22" s="115">
        <f>2^(SotY_2024[[#This Row],[Round]]+1)</f>
        <v>32</v>
      </c>
      <c r="E22" s="115">
        <f>SotY_2024[[#This Row],[Max Seed]]-SotY_2024[[#This Row],[Num]]</f>
        <v>12</v>
      </c>
      <c r="F22" s="115">
        <f>SotY_2024[[#This Row],[Max Seed]]-SotY_2024[[#This Row],[Top Seed]]+1</f>
        <v>21</v>
      </c>
      <c r="G22" s="115" t="b">
        <f>IF(SotY_2024[[#This Row],[Round]]=$C$1, TRUE(), IF(SotY_2024[[#This Row],[Round]]=$B$1, SotY_2024[[#This Row],[Top Seed]]&lt;=2*SotY_2024[[#This Row],[Max Seed]]-$A$1, FALSE()))</f>
        <v>0</v>
      </c>
      <c r="H22" s="115" t="b">
        <f>IF(SotY_2024[[#This Row],[Round]]=$C$1, TRUE(), IF(SotY_2024[[#This Row],[Round]]=$B$1, SotY_2024[[#This Row],[Low Seed]]&lt;=2*SotY_2024[[#This Row],[Max Seed]]-$A$1, FALSE()))</f>
        <v>0</v>
      </c>
      <c r="I22" s="187" t="s">
        <v>4191</v>
      </c>
      <c r="J22" s="188" t="s">
        <v>4191</v>
      </c>
      <c r="K22" s="189"/>
      <c r="L22" s="190" t="s">
        <v>4191</v>
      </c>
      <c r="M22" s="191"/>
      <c r="N22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Espresso</v>
      </c>
      <c r="O22" s="105">
        <f>COUNTIF(SotY_2024[[#This Row],[J]:[H]],"x")</f>
        <v>3</v>
      </c>
      <c r="P22" s="115" t="str">
        <f ca="1">IF(SotY_2024[[#This Row],[Num]]&gt;=$A$1, "-", IF(SotY_2024[[#This Row],[Score 1]]&gt;=3, SotY_2024[[#This Row],[Song 1]], IF(SotY_2024[[#This Row],[Score 2]]&gt;=3, SotY_2024[[#This Row],[Song 2]], "TBD")))</f>
        <v>Espresso</v>
      </c>
      <c r="Q22" s="193">
        <f>COUNTIF(SotY_2024[[#This Row],[H ]:[J ]],"x")</f>
        <v>2</v>
      </c>
      <c r="R22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Free Bird</v>
      </c>
      <c r="S22" s="191" t="s">
        <v>4191</v>
      </c>
      <c r="T22" s="190"/>
      <c r="U22" s="189" t="s">
        <v>4191</v>
      </c>
      <c r="V22" s="188"/>
      <c r="W22" s="198"/>
      <c r="X22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22" s="109">
        <f t="shared" si="2"/>
        <v>106</v>
      </c>
      <c r="AA22" s="59">
        <v>45490</v>
      </c>
      <c r="AB22" t="str">
        <v>danram</v>
      </c>
      <c r="AC22" s="3">
        <v>2.6</v>
      </c>
      <c r="AD22" s="3">
        <v>1.9595917942265424</v>
      </c>
      <c r="AE22" t="str">
        <v>F.C.P.R.E.M.I.X</v>
      </c>
      <c r="AF22" t="str">
        <v>The Fall of Troy</v>
      </c>
      <c r="AG22" s="100">
        <f t="shared" si="1"/>
        <v>65</v>
      </c>
      <c r="AI22" s="114">
        <f>SotY_2024[[#This Row],[Max Seed]]/2 + 1</f>
        <v>17</v>
      </c>
      <c r="AJ22" s="105" t="str">
        <f ca="1">IF(SotY_2024[[#This Row],[Num]]&gt;=$A$1, "-", IF(SotY_2024[[#This Row],[Score 1]]&gt;=3, SotY_2024[[#This Row],[Song 2]], IF(SotY_2024[[#This Row],[Score 2]]&gt;=3, SotY_2024[[#This Row],[Song 1]], "TBD")))</f>
        <v>Free Bird</v>
      </c>
      <c r="AK22" s="115">
        <f ca="1">IFERROR(VLOOKUP(SotY_2024_Results[[#This Row],[Song Title]], $AE$2:$AG$111, 3, FALSE)-SotY_2024_Results[[#This Row],[Result]], "TBD")</f>
        <v>16</v>
      </c>
      <c r="AL22" s="112" t="str">
        <f ca="1">IF(SotY_2024_Results[[#This Row],[Diff]]&lt;0,"↓",IF(SotY_2024_Results[[#This Row],[Diff]]=0,"-","↑"))</f>
        <v>↑</v>
      </c>
    </row>
    <row r="23" spans="1:38">
      <c r="A23" s="197" t="str">
        <f>_xlfn.CONCAT("Seed ", SotY_2024[[#This Row],[Top Seed]], " vs ", SotY_2024[[#This Row],[Low Seed]])</f>
        <v>Seed 11 vs 22</v>
      </c>
      <c r="B23" s="115">
        <v>21</v>
      </c>
      <c r="C23" s="115">
        <f>FLOOR(LOG(SotY_2024[[#This Row],[Num]], 2), 1)</f>
        <v>4</v>
      </c>
      <c r="D23" s="115">
        <f>2^(SotY_2024[[#This Row],[Round]]+1)</f>
        <v>32</v>
      </c>
      <c r="E23" s="115">
        <f>SotY_2024[[#This Row],[Max Seed]]-SotY_2024[[#This Row],[Num]]</f>
        <v>11</v>
      </c>
      <c r="F23" s="115">
        <f>SotY_2024[[#This Row],[Max Seed]]-SotY_2024[[#This Row],[Top Seed]]+1</f>
        <v>22</v>
      </c>
      <c r="G23" s="115" t="b">
        <f>IF(SotY_2024[[#This Row],[Round]]=$C$1, TRUE(), IF(SotY_2024[[#This Row],[Round]]=$B$1, SotY_2024[[#This Row],[Top Seed]]&lt;=2*SotY_2024[[#This Row],[Max Seed]]-$A$1, FALSE()))</f>
        <v>0</v>
      </c>
      <c r="H23" s="115" t="b">
        <f>IF(SotY_2024[[#This Row],[Round]]=$C$1, TRUE(), IF(SotY_2024[[#This Row],[Round]]=$B$1, SotY_2024[[#This Row],[Low Seed]]&lt;=2*SotY_2024[[#This Row],[Max Seed]]-$A$1, FALSE()))</f>
        <v>0</v>
      </c>
      <c r="I23" s="187"/>
      <c r="J23" s="188"/>
      <c r="K23" s="189" t="s">
        <v>4191</v>
      </c>
      <c r="L23" s="190" t="s">
        <v>4191</v>
      </c>
      <c r="M23" s="191" t="s">
        <v>4191</v>
      </c>
      <c r="N23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Closer</v>
      </c>
      <c r="O23" s="105">
        <f>COUNTIF(SotY_2024[[#This Row],[J]:[H]],"x")</f>
        <v>3</v>
      </c>
      <c r="P23" s="115" t="str">
        <f ca="1">IF(SotY_2024[[#This Row],[Num]]&gt;=$A$1, "-", IF(SotY_2024[[#This Row],[Score 1]]&gt;=3, SotY_2024[[#This Row],[Song 1]], IF(SotY_2024[[#This Row],[Score 2]]&gt;=3, SotY_2024[[#This Row],[Song 2]], "TBD")))</f>
        <v>Closer</v>
      </c>
      <c r="Q23" s="193">
        <f>COUNTIF(SotY_2024[[#This Row],[H ]:[J ]],"x")</f>
        <v>2</v>
      </c>
      <c r="R23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Homecoming</v>
      </c>
      <c r="S23" s="191"/>
      <c r="T23" s="190"/>
      <c r="U23" s="189"/>
      <c r="V23" s="188" t="s">
        <v>4191</v>
      </c>
      <c r="W23" s="198" t="s">
        <v>4191</v>
      </c>
      <c r="X23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23" s="109">
        <f t="shared" si="2"/>
        <v>62</v>
      </c>
      <c r="AA23" s="59">
        <v>45491</v>
      </c>
      <c r="AB23" t="str">
        <v>danram</v>
      </c>
      <c r="AC23" s="3">
        <v>2.2000000000000002</v>
      </c>
      <c r="AD23" s="3">
        <v>1.1661903789690602</v>
      </c>
      <c r="AE23" t="str">
        <v>Otro Atardecer</v>
      </c>
      <c r="AF23" t="str">
        <v>Bad Bunny, The Marias</v>
      </c>
      <c r="AG23" s="100">
        <f t="shared" si="1"/>
        <v>33</v>
      </c>
      <c r="AI23" s="114">
        <f>SotY_2024[[#This Row],[Max Seed]]/2 + 1</f>
        <v>17</v>
      </c>
      <c r="AJ23" s="105" t="str">
        <f ca="1">IF(SotY_2024[[#This Row],[Num]]&gt;=$A$1, "-", IF(SotY_2024[[#This Row],[Score 1]]&gt;=3, SotY_2024[[#This Row],[Song 2]], IF(SotY_2024[[#This Row],[Score 2]]&gt;=3, SotY_2024[[#This Row],[Song 1]], "TBD")))</f>
        <v>Homecoming</v>
      </c>
      <c r="AK23" s="115">
        <f ca="1">IFERROR(VLOOKUP(SotY_2024_Results[[#This Row],[Song Title]], $AE$2:$AG$111, 3, FALSE)-SotY_2024_Results[[#This Row],[Result]], "TBD")</f>
        <v>16</v>
      </c>
      <c r="AL23" s="112" t="str">
        <f ca="1">IF(SotY_2024_Results[[#This Row],[Diff]]&lt;0,"↓",IF(SotY_2024_Results[[#This Row],[Diff]]=0,"-","↑"))</f>
        <v>↑</v>
      </c>
    </row>
    <row r="24" spans="1:38">
      <c r="A24" s="197" t="str">
        <f>_xlfn.CONCAT("Seed ", SotY_2024[[#This Row],[Top Seed]], " vs ", SotY_2024[[#This Row],[Low Seed]])</f>
        <v>Seed 10 vs 23</v>
      </c>
      <c r="B24" s="115">
        <v>22</v>
      </c>
      <c r="C24" s="115">
        <f>FLOOR(LOG(SotY_2024[[#This Row],[Num]], 2), 1)</f>
        <v>4</v>
      </c>
      <c r="D24" s="115">
        <f>2^(SotY_2024[[#This Row],[Round]]+1)</f>
        <v>32</v>
      </c>
      <c r="E24" s="115">
        <f>SotY_2024[[#This Row],[Max Seed]]-SotY_2024[[#This Row],[Num]]</f>
        <v>10</v>
      </c>
      <c r="F24" s="115">
        <f>SotY_2024[[#This Row],[Max Seed]]-SotY_2024[[#This Row],[Top Seed]]+1</f>
        <v>23</v>
      </c>
      <c r="G24" s="115" t="b">
        <f>IF(SotY_2024[[#This Row],[Round]]=$C$1, TRUE(), IF(SotY_2024[[#This Row],[Round]]=$B$1, SotY_2024[[#This Row],[Top Seed]]&lt;=2*SotY_2024[[#This Row],[Max Seed]]-$A$1, FALSE()))</f>
        <v>0</v>
      </c>
      <c r="H24" s="115" t="b">
        <f>IF(SotY_2024[[#This Row],[Round]]=$C$1, TRUE(), IF(SotY_2024[[#This Row],[Round]]=$B$1, SotY_2024[[#This Row],[Low Seed]]&lt;=2*SotY_2024[[#This Row],[Max Seed]]-$A$1, FALSE()))</f>
        <v>0</v>
      </c>
      <c r="I24" s="187" t="s">
        <v>4191</v>
      </c>
      <c r="J24" s="188" t="s">
        <v>4191</v>
      </c>
      <c r="K24" s="189" t="s">
        <v>4191</v>
      </c>
      <c r="L24" s="190"/>
      <c r="M24" s="191"/>
      <c r="N24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P.Y.T.(Pretty Young Thing)</v>
      </c>
      <c r="O24" s="105">
        <f>COUNTIF(SotY_2024[[#This Row],[J]:[H]],"x")</f>
        <v>3</v>
      </c>
      <c r="P24" s="115" t="str">
        <f ca="1">IF(SotY_2024[[#This Row],[Num]]&gt;=$A$1, "-", IF(SotY_2024[[#This Row],[Score 1]]&gt;=3, SotY_2024[[#This Row],[Song 1]], IF(SotY_2024[[#This Row],[Score 2]]&gt;=3, SotY_2024[[#This Row],[Song 2]], "TBD")))</f>
        <v>P.Y.T.(Pretty Young Thing)</v>
      </c>
      <c r="Q24" s="193">
        <f>COUNTIF(SotY_2024[[#This Row],[H ]:[J ]],"x")</f>
        <v>2</v>
      </c>
      <c r="R24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Bring Me To Life</v>
      </c>
      <c r="S24" s="191" t="s">
        <v>4191</v>
      </c>
      <c r="T24" s="190" t="s">
        <v>4191</v>
      </c>
      <c r="U24" s="189"/>
      <c r="V24" s="188"/>
      <c r="W24" s="198"/>
      <c r="X24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24" s="109">
        <f t="shared" si="2"/>
        <v>77</v>
      </c>
      <c r="AA24" s="59">
        <v>45495</v>
      </c>
      <c r="AB24" t="str">
        <v>loganworsdell</v>
      </c>
      <c r="AC24" s="3">
        <v>2.4</v>
      </c>
      <c r="AD24" s="3">
        <v>0.8</v>
      </c>
      <c r="AE24" t="str">
        <v>princess peach</v>
      </c>
      <c r="AF24" t="str">
        <v>Young Miko</v>
      </c>
      <c r="AG24" s="100">
        <f t="shared" si="1"/>
        <v>65</v>
      </c>
      <c r="AI24" s="114">
        <f>SotY_2024[[#This Row],[Max Seed]]/2 + 1</f>
        <v>17</v>
      </c>
      <c r="AJ24" s="105" t="str">
        <f ca="1">IF(SotY_2024[[#This Row],[Num]]&gt;=$A$1, "-", IF(SotY_2024[[#This Row],[Score 1]]&gt;=3, SotY_2024[[#This Row],[Song 2]], IF(SotY_2024[[#This Row],[Score 2]]&gt;=3, SotY_2024[[#This Row],[Song 1]], "TBD")))</f>
        <v>Bring Me To Life</v>
      </c>
      <c r="AK24" s="115">
        <f ca="1">IFERROR(VLOOKUP(SotY_2024_Results[[#This Row],[Song Title]], $AE$2:$AG$111, 3, FALSE)-SotY_2024_Results[[#This Row],[Result]], "TBD")</f>
        <v>16</v>
      </c>
      <c r="AL24" s="112" t="str">
        <f ca="1">IF(SotY_2024_Results[[#This Row],[Diff]]&lt;0,"↓",IF(SotY_2024_Results[[#This Row],[Diff]]=0,"-","↑"))</f>
        <v>↑</v>
      </c>
    </row>
    <row r="25" spans="1:38">
      <c r="A25" s="197" t="str">
        <f>_xlfn.CONCAT("Seed ", SotY_2024[[#This Row],[Top Seed]], " vs ", SotY_2024[[#This Row],[Low Seed]])</f>
        <v>Seed 9 vs 24</v>
      </c>
      <c r="B25" s="115">
        <v>23</v>
      </c>
      <c r="C25" s="115">
        <f>FLOOR(LOG(SotY_2024[[#This Row],[Num]], 2), 1)</f>
        <v>4</v>
      </c>
      <c r="D25" s="115">
        <f>2^(SotY_2024[[#This Row],[Round]]+1)</f>
        <v>32</v>
      </c>
      <c r="E25" s="115">
        <f>SotY_2024[[#This Row],[Max Seed]]-SotY_2024[[#This Row],[Num]]</f>
        <v>9</v>
      </c>
      <c r="F25" s="115">
        <f>SotY_2024[[#This Row],[Max Seed]]-SotY_2024[[#This Row],[Top Seed]]+1</f>
        <v>24</v>
      </c>
      <c r="G25" s="115" t="b">
        <f>IF(SotY_2024[[#This Row],[Round]]=$C$1, TRUE(), IF(SotY_2024[[#This Row],[Round]]=$B$1, SotY_2024[[#This Row],[Top Seed]]&lt;=2*SotY_2024[[#This Row],[Max Seed]]-$A$1, FALSE()))</f>
        <v>0</v>
      </c>
      <c r="H25" s="115" t="b">
        <f>IF(SotY_2024[[#This Row],[Round]]=$C$1, TRUE(), IF(SotY_2024[[#This Row],[Round]]=$B$1, SotY_2024[[#This Row],[Low Seed]]&lt;=2*SotY_2024[[#This Row],[Max Seed]]-$A$1, FALSE()))</f>
        <v>0</v>
      </c>
      <c r="I25" s="187"/>
      <c r="J25" s="188" t="s">
        <v>4191</v>
      </c>
      <c r="K25" s="189" t="s">
        <v>4191</v>
      </c>
      <c r="L25" s="190"/>
      <c r="M25" s="191"/>
      <c r="N25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Last Christmas</v>
      </c>
      <c r="O25" s="105">
        <f>COUNTIF(SotY_2024[[#This Row],[J]:[H]],"x")</f>
        <v>2</v>
      </c>
      <c r="P25" s="115" t="str">
        <f ca="1">IF(SotY_2024[[#This Row],[Num]]&gt;=$A$1, "-", IF(SotY_2024[[#This Row],[Score 1]]&gt;=3, SotY_2024[[#This Row],[Song 1]], IF(SotY_2024[[#This Row],[Score 2]]&gt;=3, SotY_2024[[#This Row],[Song 2]], "TBD")))</f>
        <v>Lady Writer</v>
      </c>
      <c r="Q25" s="193">
        <f>COUNTIF(SotY_2024[[#This Row],[H ]:[J ]],"x")</f>
        <v>3</v>
      </c>
      <c r="R25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Lady Writer</v>
      </c>
      <c r="S25" s="191" t="s">
        <v>4191</v>
      </c>
      <c r="T25" s="190" t="s">
        <v>4191</v>
      </c>
      <c r="U25" s="189"/>
      <c r="V25" s="188"/>
      <c r="W25" s="198" t="s">
        <v>4191</v>
      </c>
      <c r="X25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25" s="109">
        <f t="shared" si="2"/>
        <v>47</v>
      </c>
      <c r="AA25" s="59">
        <v>45496</v>
      </c>
      <c r="AB25" t="str">
        <v>currydestroyer27</v>
      </c>
      <c r="AC25" s="3">
        <v>2</v>
      </c>
      <c r="AD25" s="3">
        <v>1.2649110640673518</v>
      </c>
      <c r="AE25" t="str">
        <v>Boulevard of Broken Dreams</v>
      </c>
      <c r="AF25" t="str">
        <v>Green Day</v>
      </c>
      <c r="AG25" s="100">
        <f t="shared" si="1"/>
        <v>33</v>
      </c>
      <c r="AI25" s="114">
        <f>SotY_2024[[#This Row],[Max Seed]]/2 + 1</f>
        <v>17</v>
      </c>
      <c r="AJ25" s="105" t="str">
        <f ca="1">IF(SotY_2024[[#This Row],[Num]]&gt;=$A$1, "-", IF(SotY_2024[[#This Row],[Score 1]]&gt;=3, SotY_2024[[#This Row],[Song 2]], IF(SotY_2024[[#This Row],[Score 2]]&gt;=3, SotY_2024[[#This Row],[Song 1]], "TBD")))</f>
        <v>Last Christmas</v>
      </c>
      <c r="AK25" s="115">
        <f ca="1">IFERROR(VLOOKUP(SotY_2024_Results[[#This Row],[Song Title]], $AE$2:$AG$111, 3, FALSE)-SotY_2024_Results[[#This Row],[Result]], "TBD")</f>
        <v>-8</v>
      </c>
      <c r="AL25" s="112" t="str">
        <f ca="1">IF(SotY_2024_Results[[#This Row],[Diff]]&lt;0,"↓",IF(SotY_2024_Results[[#This Row],[Diff]]=0,"-","↑"))</f>
        <v>↓</v>
      </c>
    </row>
    <row r="26" spans="1:38">
      <c r="A26" s="197" t="str">
        <f>_xlfn.CONCAT("Seed ", SotY_2024[[#This Row],[Top Seed]], " vs ", SotY_2024[[#This Row],[Low Seed]])</f>
        <v>Seed 8 vs 25</v>
      </c>
      <c r="B26" s="115">
        <v>24</v>
      </c>
      <c r="C26" s="115">
        <f>FLOOR(LOG(SotY_2024[[#This Row],[Num]], 2), 1)</f>
        <v>4</v>
      </c>
      <c r="D26" s="115">
        <f>2^(SotY_2024[[#This Row],[Round]]+1)</f>
        <v>32</v>
      </c>
      <c r="E26" s="115">
        <f>SotY_2024[[#This Row],[Max Seed]]-SotY_2024[[#This Row],[Num]]</f>
        <v>8</v>
      </c>
      <c r="F26" s="115">
        <f>SotY_2024[[#This Row],[Max Seed]]-SotY_2024[[#This Row],[Top Seed]]+1</f>
        <v>25</v>
      </c>
      <c r="G26" s="115" t="b">
        <f>IF(SotY_2024[[#This Row],[Round]]=$C$1, TRUE(), IF(SotY_2024[[#This Row],[Round]]=$B$1, SotY_2024[[#This Row],[Top Seed]]&lt;=2*SotY_2024[[#This Row],[Max Seed]]-$A$1, FALSE()))</f>
        <v>0</v>
      </c>
      <c r="H26" s="115" t="b">
        <f>IF(SotY_2024[[#This Row],[Round]]=$C$1, TRUE(), IF(SotY_2024[[#This Row],[Round]]=$B$1, SotY_2024[[#This Row],[Low Seed]]&lt;=2*SotY_2024[[#This Row],[Max Seed]]-$A$1, FALSE()))</f>
        <v>0</v>
      </c>
      <c r="I26" s="187" t="s">
        <v>4191</v>
      </c>
      <c r="J26" s="188"/>
      <c r="K26" s="189"/>
      <c r="L26" s="190"/>
      <c r="M26" s="191"/>
      <c r="N26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Disco Ulysses (Instrumental)</v>
      </c>
      <c r="O26" s="105">
        <f>COUNTIF(SotY_2024[[#This Row],[J]:[H]],"x")</f>
        <v>1</v>
      </c>
      <c r="P26" s="115" t="str">
        <f ca="1">IF(SotY_2024[[#This Row],[Num]]&gt;=$A$1, "-", IF(SotY_2024[[#This Row],[Score 1]]&gt;=3, SotY_2024[[#This Row],[Song 1]], IF(SotY_2024[[#This Row],[Score 2]]&gt;=3, SotY_2024[[#This Row],[Song 2]], "TBD")))</f>
        <v>In Bloom</v>
      </c>
      <c r="Q26" s="193">
        <f>COUNTIF(SotY_2024[[#This Row],[H ]:[J ]],"x")</f>
        <v>4</v>
      </c>
      <c r="R26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In Bloom</v>
      </c>
      <c r="S26" s="191" t="s">
        <v>4191</v>
      </c>
      <c r="T26" s="190" t="s">
        <v>4191</v>
      </c>
      <c r="U26" s="189" t="s">
        <v>4191</v>
      </c>
      <c r="V26" s="188" t="s">
        <v>4191</v>
      </c>
      <c r="W26" s="198"/>
      <c r="X26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26" s="109">
        <f t="shared" si="2"/>
        <v>79</v>
      </c>
      <c r="AA26" s="59">
        <v>45497</v>
      </c>
      <c r="AB26" t="str">
        <v>samuelbattista</v>
      </c>
      <c r="AC26" s="3">
        <v>2.4</v>
      </c>
      <c r="AD26" s="3">
        <v>1.019803902718557</v>
      </c>
      <c r="AE26" t="str">
        <v>Granite</v>
      </c>
      <c r="AF26" t="str">
        <v>Sleep Token</v>
      </c>
      <c r="AG26" s="100">
        <f t="shared" si="1"/>
        <v>65</v>
      </c>
      <c r="AI26" s="114">
        <f>SotY_2024[[#This Row],[Max Seed]]/2 + 1</f>
        <v>17</v>
      </c>
      <c r="AJ26" s="105" t="str">
        <f ca="1">IF(SotY_2024[[#This Row],[Num]]&gt;=$A$1, "-", IF(SotY_2024[[#This Row],[Score 1]]&gt;=3, SotY_2024[[#This Row],[Song 2]], IF(SotY_2024[[#This Row],[Score 2]]&gt;=3, SotY_2024[[#This Row],[Song 1]], "TBD")))</f>
        <v>Disco Ulysses (Instrumental)</v>
      </c>
      <c r="AK26" s="115">
        <f ca="1">IFERROR(VLOOKUP(SotY_2024_Results[[#This Row],[Song Title]], $AE$2:$AG$111, 3, FALSE)-SotY_2024_Results[[#This Row],[Result]], "TBD")</f>
        <v>-12</v>
      </c>
      <c r="AL26" s="112" t="str">
        <f ca="1">IF(SotY_2024_Results[[#This Row],[Diff]]&lt;0,"↓",IF(SotY_2024_Results[[#This Row],[Diff]]=0,"-","↑"))</f>
        <v>↓</v>
      </c>
    </row>
    <row r="27" spans="1:38">
      <c r="A27" s="197" t="str">
        <f>_xlfn.CONCAT("Seed ", SotY_2024[[#This Row],[Top Seed]], " vs ", SotY_2024[[#This Row],[Low Seed]])</f>
        <v>Seed 7 vs 26</v>
      </c>
      <c r="B27" s="115">
        <v>25</v>
      </c>
      <c r="C27" s="115">
        <f>FLOOR(LOG(SotY_2024[[#This Row],[Num]], 2), 1)</f>
        <v>4</v>
      </c>
      <c r="D27" s="115">
        <f>2^(SotY_2024[[#This Row],[Round]]+1)</f>
        <v>32</v>
      </c>
      <c r="E27" s="115">
        <f>SotY_2024[[#This Row],[Max Seed]]-SotY_2024[[#This Row],[Num]]</f>
        <v>7</v>
      </c>
      <c r="F27" s="115">
        <f>SotY_2024[[#This Row],[Max Seed]]-SotY_2024[[#This Row],[Top Seed]]+1</f>
        <v>26</v>
      </c>
      <c r="G27" s="115" t="b">
        <f>IF(SotY_2024[[#This Row],[Round]]=$C$1, TRUE(), IF(SotY_2024[[#This Row],[Round]]=$B$1, SotY_2024[[#This Row],[Top Seed]]&lt;=2*SotY_2024[[#This Row],[Max Seed]]-$A$1, FALSE()))</f>
        <v>0</v>
      </c>
      <c r="H27" s="115" t="b">
        <f>IF(SotY_2024[[#This Row],[Round]]=$C$1, TRUE(), IF(SotY_2024[[#This Row],[Round]]=$B$1, SotY_2024[[#This Row],[Low Seed]]&lt;=2*SotY_2024[[#This Row],[Max Seed]]-$A$1, FALSE()))</f>
        <v>0</v>
      </c>
      <c r="I27" s="187"/>
      <c r="J27" s="188" t="s">
        <v>4191</v>
      </c>
      <c r="K27" s="189" t="s">
        <v>4191</v>
      </c>
      <c r="L27" s="190" t="s">
        <v>4191</v>
      </c>
      <c r="M27" s="191" t="s">
        <v>4191</v>
      </c>
      <c r="N27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Feel It</v>
      </c>
      <c r="O27" s="105">
        <f>COUNTIF(SotY_2024[[#This Row],[J]:[H]],"x")</f>
        <v>4</v>
      </c>
      <c r="P27" s="115" t="str">
        <f ca="1">IF(SotY_2024[[#This Row],[Num]]&gt;=$A$1, "-", IF(SotY_2024[[#This Row],[Score 1]]&gt;=3, SotY_2024[[#This Row],[Song 1]], IF(SotY_2024[[#This Row],[Score 2]]&gt;=3, SotY_2024[[#This Row],[Song 2]], "TBD")))</f>
        <v>Feel It</v>
      </c>
      <c r="Q27" s="193">
        <f>COUNTIF(SotY_2024[[#This Row],[H ]:[J ]],"x")</f>
        <v>1</v>
      </c>
      <c r="R27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KICK BACK</v>
      </c>
      <c r="S27" s="191"/>
      <c r="T27" s="190"/>
      <c r="U27" s="189"/>
      <c r="V27" s="188"/>
      <c r="W27" s="198" t="s">
        <v>4191</v>
      </c>
      <c r="X27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27" s="109">
        <f t="shared" si="2"/>
        <v>57</v>
      </c>
      <c r="AA27" s="59">
        <v>45498</v>
      </c>
      <c r="AB27" t="str">
        <v>danram</v>
      </c>
      <c r="AC27" s="3">
        <v>2.2000000000000002</v>
      </c>
      <c r="AD27" s="3">
        <v>0.9797958971132712</v>
      </c>
      <c r="AE27" t="str">
        <v>Don't Speak</v>
      </c>
      <c r="AF27" t="str">
        <v>VoicePlay, Hannah Juliano</v>
      </c>
      <c r="AG27" s="100">
        <f t="shared" si="1"/>
        <v>33</v>
      </c>
      <c r="AI27" s="114">
        <f>SotY_2024[[#This Row],[Max Seed]]/2 + 1</f>
        <v>17</v>
      </c>
      <c r="AJ27" s="105" t="str">
        <f ca="1">IF(SotY_2024[[#This Row],[Num]]&gt;=$A$1, "-", IF(SotY_2024[[#This Row],[Score 1]]&gt;=3, SotY_2024[[#This Row],[Song 2]], IF(SotY_2024[[#This Row],[Score 2]]&gt;=3, SotY_2024[[#This Row],[Song 1]], "TBD")))</f>
        <v>KICK BACK</v>
      </c>
      <c r="AK27" s="115">
        <f ca="1">IFERROR(VLOOKUP(SotY_2024_Results[[#This Row],[Song Title]], $AE$2:$AG$111, 3, FALSE)-SotY_2024_Results[[#This Row],[Result]], "TBD")</f>
        <v>48</v>
      </c>
      <c r="AL27" s="112" t="str">
        <f ca="1">IF(SotY_2024_Results[[#This Row],[Diff]]&lt;0,"↓",IF(SotY_2024_Results[[#This Row],[Diff]]=0,"-","↑"))</f>
        <v>↑</v>
      </c>
    </row>
    <row r="28" spans="1:38">
      <c r="A28" s="197" t="str">
        <f>_xlfn.CONCAT("Seed ", SotY_2024[[#This Row],[Top Seed]], " vs ", SotY_2024[[#This Row],[Low Seed]])</f>
        <v>Seed 6 vs 27</v>
      </c>
      <c r="B28" s="115">
        <v>26</v>
      </c>
      <c r="C28" s="115">
        <f>FLOOR(LOG(SotY_2024[[#This Row],[Num]], 2), 1)</f>
        <v>4</v>
      </c>
      <c r="D28" s="115">
        <f>2^(SotY_2024[[#This Row],[Round]]+1)</f>
        <v>32</v>
      </c>
      <c r="E28" s="115">
        <f>SotY_2024[[#This Row],[Max Seed]]-SotY_2024[[#This Row],[Num]]</f>
        <v>6</v>
      </c>
      <c r="F28" s="115">
        <f>SotY_2024[[#This Row],[Max Seed]]-SotY_2024[[#This Row],[Top Seed]]+1</f>
        <v>27</v>
      </c>
      <c r="G28" s="115" t="b">
        <f>IF(SotY_2024[[#This Row],[Round]]=$C$1, TRUE(), IF(SotY_2024[[#This Row],[Round]]=$B$1, SotY_2024[[#This Row],[Top Seed]]&lt;=2*SotY_2024[[#This Row],[Max Seed]]-$A$1, FALSE()))</f>
        <v>0</v>
      </c>
      <c r="H28" s="115" t="b">
        <f>IF(SotY_2024[[#This Row],[Round]]=$C$1, TRUE(), IF(SotY_2024[[#This Row],[Round]]=$B$1, SotY_2024[[#This Row],[Low Seed]]&lt;=2*SotY_2024[[#This Row],[Max Seed]]-$A$1, FALSE()))</f>
        <v>0</v>
      </c>
      <c r="I28" s="187" t="s">
        <v>4191</v>
      </c>
      <c r="J28" s="188"/>
      <c r="K28" s="189" t="s">
        <v>4191</v>
      </c>
      <c r="L28" s="190"/>
      <c r="M28" s="191" t="s">
        <v>4191</v>
      </c>
      <c r="N28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ETA</v>
      </c>
      <c r="O28" s="105">
        <f>COUNTIF(SotY_2024[[#This Row],[J]:[H]],"x")</f>
        <v>3</v>
      </c>
      <c r="P28" s="115" t="str">
        <f ca="1">IF(SotY_2024[[#This Row],[Num]]&gt;=$A$1, "-", IF(SotY_2024[[#This Row],[Score 1]]&gt;=3, SotY_2024[[#This Row],[Song 1]], IF(SotY_2024[[#This Row],[Score 2]]&gt;=3, SotY_2024[[#This Row],[Song 2]], "TBD")))</f>
        <v>ETA</v>
      </c>
      <c r="Q28" s="193">
        <f>COUNTIF(SotY_2024[[#This Row],[H ]:[J ]],"x")</f>
        <v>2</v>
      </c>
      <c r="R28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Seventh Heaven</v>
      </c>
      <c r="S28" s="191"/>
      <c r="T28" s="190" t="s">
        <v>4191</v>
      </c>
      <c r="U28" s="189"/>
      <c r="V28" s="188" t="s">
        <v>4191</v>
      </c>
      <c r="W28" s="198"/>
      <c r="X28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28" s="109">
        <f t="shared" si="2"/>
        <v>11</v>
      </c>
      <c r="AA28" s="59">
        <v>45502</v>
      </c>
      <c r="AB28" t="str">
        <v>loganworsdell</v>
      </c>
      <c r="AC28" s="3">
        <v>1.6</v>
      </c>
      <c r="AD28" s="3">
        <v>1.2</v>
      </c>
      <c r="AE28" t="str">
        <v>Closer</v>
      </c>
      <c r="AF28" t="str">
        <v>vaultboy, salem ilese</v>
      </c>
      <c r="AG28" s="100">
        <f t="shared" si="1"/>
        <v>9</v>
      </c>
      <c r="AI28" s="114">
        <f>SotY_2024[[#This Row],[Max Seed]]/2 + 1</f>
        <v>17</v>
      </c>
      <c r="AJ28" s="105" t="str">
        <f ca="1">IF(SotY_2024[[#This Row],[Num]]&gt;=$A$1, "-", IF(SotY_2024[[#This Row],[Score 1]]&gt;=3, SotY_2024[[#This Row],[Song 2]], IF(SotY_2024[[#This Row],[Score 2]]&gt;=3, SotY_2024[[#This Row],[Song 1]], "TBD")))</f>
        <v>Seventh Heaven</v>
      </c>
      <c r="AK28" s="115">
        <f ca="1">IFERROR(VLOOKUP(SotY_2024_Results[[#This Row],[Song Title]], $AE$2:$AG$111, 3, FALSE)-SotY_2024_Results[[#This Row],[Result]], "TBD")</f>
        <v>48</v>
      </c>
      <c r="AL28" s="112" t="str">
        <f ca="1">IF(SotY_2024_Results[[#This Row],[Diff]]&lt;0,"↓",IF(SotY_2024_Results[[#This Row],[Diff]]=0,"-","↑"))</f>
        <v>↑</v>
      </c>
    </row>
    <row r="29" spans="1:38">
      <c r="A29" s="197" t="str">
        <f>_xlfn.CONCAT("Seed ", SotY_2024[[#This Row],[Top Seed]], " vs ", SotY_2024[[#This Row],[Low Seed]])</f>
        <v>Seed 5 vs 28</v>
      </c>
      <c r="B29" s="115">
        <v>27</v>
      </c>
      <c r="C29" s="115">
        <f>FLOOR(LOG(SotY_2024[[#This Row],[Num]], 2), 1)</f>
        <v>4</v>
      </c>
      <c r="D29" s="115">
        <f>2^(SotY_2024[[#This Row],[Round]]+1)</f>
        <v>32</v>
      </c>
      <c r="E29" s="115">
        <f>SotY_2024[[#This Row],[Max Seed]]-SotY_2024[[#This Row],[Num]]</f>
        <v>5</v>
      </c>
      <c r="F29" s="115">
        <f>SotY_2024[[#This Row],[Max Seed]]-SotY_2024[[#This Row],[Top Seed]]+1</f>
        <v>28</v>
      </c>
      <c r="G29" s="115" t="b">
        <f>IF(SotY_2024[[#This Row],[Round]]=$C$1, TRUE(), IF(SotY_2024[[#This Row],[Round]]=$B$1, SotY_2024[[#This Row],[Top Seed]]&lt;=2*SotY_2024[[#This Row],[Max Seed]]-$A$1, FALSE()))</f>
        <v>0</v>
      </c>
      <c r="H29" s="115" t="b">
        <f>IF(SotY_2024[[#This Row],[Round]]=$C$1, TRUE(), IF(SotY_2024[[#This Row],[Round]]=$B$1, SotY_2024[[#This Row],[Low Seed]]&lt;=2*SotY_2024[[#This Row],[Max Seed]]-$A$1, FALSE()))</f>
        <v>0</v>
      </c>
      <c r="I29" s="187" t="s">
        <v>4191</v>
      </c>
      <c r="J29" s="188"/>
      <c r="K29" s="189" t="s">
        <v>4191</v>
      </c>
      <c r="L29" s="190" t="s">
        <v>4191</v>
      </c>
      <c r="M29" s="191" t="s">
        <v>4191</v>
      </c>
      <c r="N29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3005</v>
      </c>
      <c r="O29" s="105">
        <f>COUNTIF(SotY_2024[[#This Row],[J]:[H]],"x")</f>
        <v>4</v>
      </c>
      <c r="P29" s="115" t="str">
        <f ca="1">IF(SotY_2024[[#This Row],[Num]]&gt;=$A$1, "-", IF(SotY_2024[[#This Row],[Score 1]]&gt;=3, SotY_2024[[#This Row],[Song 1]], IF(SotY_2024[[#This Row],[Score 2]]&gt;=3, SotY_2024[[#This Row],[Song 2]], "TBD")))</f>
        <v>3005</v>
      </c>
      <c r="Q29" s="193">
        <f>COUNTIF(SotY_2024[[#This Row],[H ]:[J ]],"x")</f>
        <v>1</v>
      </c>
      <c r="R29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FAMJAM40000</v>
      </c>
      <c r="S29" s="191"/>
      <c r="T29" s="190"/>
      <c r="U29" s="189"/>
      <c r="V29" s="188" t="s">
        <v>4191</v>
      </c>
      <c r="W29" s="198"/>
      <c r="X29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29" s="109">
        <f t="shared" si="2"/>
        <v>19</v>
      </c>
      <c r="AA29" s="59">
        <v>45503</v>
      </c>
      <c r="AB29" t="str">
        <v>loganworsdell</v>
      </c>
      <c r="AC29" s="3">
        <v>1.8</v>
      </c>
      <c r="AD29" s="3">
        <v>0.74833147735478833</v>
      </c>
      <c r="AE29" t="str">
        <v>Bossa No Sé</v>
      </c>
      <c r="AF29" t="str">
        <v>Cuco, Jean Carter</v>
      </c>
      <c r="AG29" s="100">
        <f t="shared" si="1"/>
        <v>17</v>
      </c>
      <c r="AI29" s="114">
        <f>SotY_2024[[#This Row],[Max Seed]]/2 + 1</f>
        <v>17</v>
      </c>
      <c r="AJ29" s="105" t="str">
        <f ca="1">IF(SotY_2024[[#This Row],[Num]]&gt;=$A$1, "-", IF(SotY_2024[[#This Row],[Score 1]]&gt;=3, SotY_2024[[#This Row],[Song 2]], IF(SotY_2024[[#This Row],[Score 2]]&gt;=3, SotY_2024[[#This Row],[Song 1]], "TBD")))</f>
        <v>FAMJAM40000</v>
      </c>
      <c r="AK29" s="115">
        <f ca="1">IFERROR(VLOOKUP(SotY_2024_Results[[#This Row],[Song Title]], $AE$2:$AG$111, 3, FALSE)-SotY_2024_Results[[#This Row],[Result]], "TBD")</f>
        <v>0</v>
      </c>
      <c r="AL29" s="112" t="str">
        <f ca="1">IF(SotY_2024_Results[[#This Row],[Diff]]&lt;0,"↓",IF(SotY_2024_Results[[#This Row],[Diff]]=0,"-","↑"))</f>
        <v>-</v>
      </c>
    </row>
    <row r="30" spans="1:38">
      <c r="A30" s="197" t="str">
        <f>_xlfn.CONCAT("Seed ", SotY_2024[[#This Row],[Top Seed]], " vs ", SotY_2024[[#This Row],[Low Seed]])</f>
        <v>Seed 4 vs 29</v>
      </c>
      <c r="B30" s="115">
        <v>28</v>
      </c>
      <c r="C30" s="115">
        <f>FLOOR(LOG(SotY_2024[[#This Row],[Num]], 2), 1)</f>
        <v>4</v>
      </c>
      <c r="D30" s="115">
        <f>2^(SotY_2024[[#This Row],[Round]]+1)</f>
        <v>32</v>
      </c>
      <c r="E30" s="115">
        <f>SotY_2024[[#This Row],[Max Seed]]-SotY_2024[[#This Row],[Num]]</f>
        <v>4</v>
      </c>
      <c r="F30" s="115">
        <f>SotY_2024[[#This Row],[Max Seed]]-SotY_2024[[#This Row],[Top Seed]]+1</f>
        <v>29</v>
      </c>
      <c r="G30" s="115" t="b">
        <f>IF(SotY_2024[[#This Row],[Round]]=$C$1, TRUE(), IF(SotY_2024[[#This Row],[Round]]=$B$1, SotY_2024[[#This Row],[Top Seed]]&lt;=2*SotY_2024[[#This Row],[Max Seed]]-$A$1, FALSE()))</f>
        <v>0</v>
      </c>
      <c r="H30" s="115" t="b">
        <f>IF(SotY_2024[[#This Row],[Round]]=$C$1, TRUE(), IF(SotY_2024[[#This Row],[Round]]=$B$1, SotY_2024[[#This Row],[Low Seed]]&lt;=2*SotY_2024[[#This Row],[Max Seed]]-$A$1, FALSE()))</f>
        <v>0</v>
      </c>
      <c r="I30" s="187" t="s">
        <v>4191</v>
      </c>
      <c r="J30" s="188" t="s">
        <v>4191</v>
      </c>
      <c r="K30" s="189"/>
      <c r="L30" s="190" t="s">
        <v>4191</v>
      </c>
      <c r="M30" s="191" t="s">
        <v>4191</v>
      </c>
      <c r="N30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Plastic Love</v>
      </c>
      <c r="O30" s="105">
        <f>COUNTIF(SotY_2024[[#This Row],[J]:[H]],"x")</f>
        <v>4</v>
      </c>
      <c r="P30" s="115" t="str">
        <f ca="1">IF(SotY_2024[[#This Row],[Num]]&gt;=$A$1, "-", IF(SotY_2024[[#This Row],[Score 1]]&gt;=3, SotY_2024[[#This Row],[Song 1]], IF(SotY_2024[[#This Row],[Score 2]]&gt;=3, SotY_2024[[#This Row],[Song 2]], "TBD")))</f>
        <v>Plastic Love</v>
      </c>
      <c r="Q30" s="193">
        <f>COUNTIF(SotY_2024[[#This Row],[H ]:[J ]],"x")</f>
        <v>1</v>
      </c>
      <c r="R30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KLINK</v>
      </c>
      <c r="S30" s="191"/>
      <c r="T30" s="190"/>
      <c r="U30" s="189" t="s">
        <v>4191</v>
      </c>
      <c r="V30" s="188"/>
      <c r="W30" s="198"/>
      <c r="X30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30" s="109">
        <f t="shared" si="2"/>
        <v>84</v>
      </c>
      <c r="AA30" s="59">
        <v>45504</v>
      </c>
      <c r="AB30" t="str">
        <v>alappatjoe</v>
      </c>
      <c r="AC30" s="3">
        <v>2.4</v>
      </c>
      <c r="AD30" s="3">
        <v>1.3564659966250536</v>
      </c>
      <c r="AE30" t="str">
        <v>Deja Vu</v>
      </c>
      <c r="AF30" t="str">
        <v>Beyoncé, Jay-Z</v>
      </c>
      <c r="AG30" s="100">
        <f t="shared" si="1"/>
        <v>65</v>
      </c>
      <c r="AI30" s="114">
        <f>SotY_2024[[#This Row],[Max Seed]]/2 + 1</f>
        <v>17</v>
      </c>
      <c r="AJ30" s="105" t="str">
        <f ca="1">IF(SotY_2024[[#This Row],[Num]]&gt;=$A$1, "-", IF(SotY_2024[[#This Row],[Score 1]]&gt;=3, SotY_2024[[#This Row],[Song 2]], IF(SotY_2024[[#This Row],[Score 2]]&gt;=3, SotY_2024[[#This Row],[Song 1]], "TBD")))</f>
        <v>KLINK</v>
      </c>
      <c r="AK30" s="115">
        <f ca="1">IFERROR(VLOOKUP(SotY_2024_Results[[#This Row],[Song Title]], $AE$2:$AG$111, 3, FALSE)-SotY_2024_Results[[#This Row],[Result]], "TBD")</f>
        <v>16</v>
      </c>
      <c r="AL30" s="112" t="str">
        <f ca="1">IF(SotY_2024_Results[[#This Row],[Diff]]&lt;0,"↓",IF(SotY_2024_Results[[#This Row],[Diff]]=0,"-","↑"))</f>
        <v>↑</v>
      </c>
    </row>
    <row r="31" spans="1:38">
      <c r="A31" s="197" t="str">
        <f>_xlfn.CONCAT("Seed ", SotY_2024[[#This Row],[Top Seed]], " vs ", SotY_2024[[#This Row],[Low Seed]])</f>
        <v>Seed 3 vs 30</v>
      </c>
      <c r="B31" s="115">
        <v>29</v>
      </c>
      <c r="C31" s="115">
        <f>FLOOR(LOG(SotY_2024[[#This Row],[Num]], 2), 1)</f>
        <v>4</v>
      </c>
      <c r="D31" s="115">
        <f>2^(SotY_2024[[#This Row],[Round]]+1)</f>
        <v>32</v>
      </c>
      <c r="E31" s="115">
        <f>SotY_2024[[#This Row],[Max Seed]]-SotY_2024[[#This Row],[Num]]</f>
        <v>3</v>
      </c>
      <c r="F31" s="115">
        <f>SotY_2024[[#This Row],[Max Seed]]-SotY_2024[[#This Row],[Top Seed]]+1</f>
        <v>30</v>
      </c>
      <c r="G31" s="115" t="b">
        <f>IF(SotY_2024[[#This Row],[Round]]=$C$1, TRUE(), IF(SotY_2024[[#This Row],[Round]]=$B$1, SotY_2024[[#This Row],[Top Seed]]&lt;=2*SotY_2024[[#This Row],[Max Seed]]-$A$1, FALSE()))</f>
        <v>0</v>
      </c>
      <c r="H31" s="115" t="b">
        <f>IF(SotY_2024[[#This Row],[Round]]=$C$1, TRUE(), IF(SotY_2024[[#This Row],[Round]]=$B$1, SotY_2024[[#This Row],[Low Seed]]&lt;=2*SotY_2024[[#This Row],[Max Seed]]-$A$1, FALSE()))</f>
        <v>0</v>
      </c>
      <c r="I31" s="187"/>
      <c r="J31" s="188" t="s">
        <v>4191</v>
      </c>
      <c r="K31" s="189" t="s">
        <v>4191</v>
      </c>
      <c r="L31" s="190" t="s">
        <v>4191</v>
      </c>
      <c r="M31" s="191" t="s">
        <v>4191</v>
      </c>
      <c r="N31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Stop Signs are Merely Suggestions</v>
      </c>
      <c r="O31" s="105">
        <f>COUNTIF(SotY_2024[[#This Row],[J]:[H]],"x")</f>
        <v>4</v>
      </c>
      <c r="P31" s="115" t="str">
        <f ca="1">IF(SotY_2024[[#This Row],[Num]]&gt;=$A$1, "-", IF(SotY_2024[[#This Row],[Score 1]]&gt;=3, SotY_2024[[#This Row],[Song 1]], IF(SotY_2024[[#This Row],[Score 2]]&gt;=3, SotY_2024[[#This Row],[Song 2]], "TBD")))</f>
        <v>Stop Signs are Merely Suggestions</v>
      </c>
      <c r="Q31" s="193">
        <f>COUNTIF(SotY_2024[[#This Row],[H ]:[J ]],"x")</f>
        <v>1</v>
      </c>
      <c r="R31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Mayonaka no Door / Stay With Me</v>
      </c>
      <c r="S31" s="191"/>
      <c r="T31" s="190"/>
      <c r="U31" s="189"/>
      <c r="V31" s="188"/>
      <c r="W31" s="198" t="s">
        <v>4191</v>
      </c>
      <c r="X31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31" s="109">
        <f t="shared" si="2"/>
        <v>3</v>
      </c>
      <c r="AA31" s="59">
        <v>45505</v>
      </c>
      <c r="AB31" t="str">
        <v>currydestroyer27</v>
      </c>
      <c r="AC31" s="3">
        <v>1.4</v>
      </c>
      <c r="AD31" s="3">
        <v>0.4898979485566356</v>
      </c>
      <c r="AE31" t="str">
        <v>Only Girl (In The World)</v>
      </c>
      <c r="AF31" t="str">
        <v>Rihanna</v>
      </c>
      <c r="AG31" s="100">
        <f t="shared" si="1"/>
        <v>3</v>
      </c>
      <c r="AI31" s="114">
        <f>SotY_2024[[#This Row],[Max Seed]]/2 + 1</f>
        <v>17</v>
      </c>
      <c r="AJ31" s="105" t="str">
        <f ca="1">IF(SotY_2024[[#This Row],[Num]]&gt;=$A$1, "-", IF(SotY_2024[[#This Row],[Score 1]]&gt;=3, SotY_2024[[#This Row],[Song 2]], IF(SotY_2024[[#This Row],[Score 2]]&gt;=3, SotY_2024[[#This Row],[Song 1]], "TBD")))</f>
        <v>Mayonaka no Door / Stay With Me</v>
      </c>
      <c r="AK31" s="115">
        <f ca="1">IFERROR(VLOOKUP(SotY_2024_Results[[#This Row],[Song Title]], $AE$2:$AG$111, 3, FALSE)-SotY_2024_Results[[#This Row],[Result]], "TBD")</f>
        <v>16</v>
      </c>
      <c r="AL31" s="112" t="str">
        <f ca="1">IF(SotY_2024_Results[[#This Row],[Diff]]&lt;0,"↓",IF(SotY_2024_Results[[#This Row],[Diff]]=0,"-","↑"))</f>
        <v>↑</v>
      </c>
    </row>
    <row r="32" spans="1:38">
      <c r="A32" s="197" t="str">
        <f>_xlfn.CONCAT("Seed ", SotY_2024[[#This Row],[Top Seed]], " vs ", SotY_2024[[#This Row],[Low Seed]])</f>
        <v>Seed 2 vs 31</v>
      </c>
      <c r="B32" s="115">
        <v>30</v>
      </c>
      <c r="C32" s="115">
        <f>FLOOR(LOG(SotY_2024[[#This Row],[Num]], 2), 1)</f>
        <v>4</v>
      </c>
      <c r="D32" s="115">
        <f>2^(SotY_2024[[#This Row],[Round]]+1)</f>
        <v>32</v>
      </c>
      <c r="E32" s="115">
        <f>SotY_2024[[#This Row],[Max Seed]]-SotY_2024[[#This Row],[Num]]</f>
        <v>2</v>
      </c>
      <c r="F32" s="115">
        <f>SotY_2024[[#This Row],[Max Seed]]-SotY_2024[[#This Row],[Top Seed]]+1</f>
        <v>31</v>
      </c>
      <c r="G32" s="115" t="b">
        <f>IF(SotY_2024[[#This Row],[Round]]=$C$1, TRUE(), IF(SotY_2024[[#This Row],[Round]]=$B$1, SotY_2024[[#This Row],[Top Seed]]&lt;=2*SotY_2024[[#This Row],[Max Seed]]-$A$1, FALSE()))</f>
        <v>0</v>
      </c>
      <c r="H32" s="115" t="b">
        <f>IF(SotY_2024[[#This Row],[Round]]=$C$1, TRUE(), IF(SotY_2024[[#This Row],[Round]]=$B$1, SotY_2024[[#This Row],[Low Seed]]&lt;=2*SotY_2024[[#This Row],[Max Seed]]-$A$1, FALSE()))</f>
        <v>0</v>
      </c>
      <c r="I32" s="187"/>
      <c r="J32" s="188"/>
      <c r="K32" s="189" t="s">
        <v>4191</v>
      </c>
      <c r="L32" s="190" t="s">
        <v>4191</v>
      </c>
      <c r="M32" s="191"/>
      <c r="N32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Life 2</v>
      </c>
      <c r="O32" s="105">
        <f>COUNTIF(SotY_2024[[#This Row],[J]:[H]],"x")</f>
        <v>2</v>
      </c>
      <c r="P32" s="115" t="str">
        <f ca="1">IF(SotY_2024[[#This Row],[Num]]&gt;=$A$1, "-", IF(SotY_2024[[#This Row],[Score 1]]&gt;=3, SotY_2024[[#This Row],[Song 1]], IF(SotY_2024[[#This Row],[Score 2]]&gt;=3, SotY_2024[[#This Row],[Song 2]], "TBD")))</f>
        <v>Alchemy</v>
      </c>
      <c r="Q32" s="193">
        <f>COUNTIF(SotY_2024[[#This Row],[H ]:[J ]],"x")</f>
        <v>3</v>
      </c>
      <c r="R32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Alchemy</v>
      </c>
      <c r="S32" s="191" t="s">
        <v>4191</v>
      </c>
      <c r="T32" s="190"/>
      <c r="U32" s="189"/>
      <c r="V32" s="188" t="s">
        <v>4191</v>
      </c>
      <c r="W32" s="198" t="s">
        <v>4191</v>
      </c>
      <c r="X32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32" s="109">
        <f t="shared" si="2"/>
        <v>41</v>
      </c>
      <c r="AA32" s="59">
        <v>45509</v>
      </c>
      <c r="AB32" t="str">
        <v>loganworsdell</v>
      </c>
      <c r="AC32" s="3">
        <v>2</v>
      </c>
      <c r="AD32" s="3">
        <v>1.0954451150103321</v>
      </c>
      <c r="AE32" t="str">
        <v>Please Don't Fall In Love With Me</v>
      </c>
      <c r="AF32" t="str">
        <v>Khalid</v>
      </c>
      <c r="AG32" s="100">
        <f t="shared" si="1"/>
        <v>33</v>
      </c>
      <c r="AI32" s="114">
        <f>SotY_2024[[#This Row],[Max Seed]]/2 + 1</f>
        <v>17</v>
      </c>
      <c r="AJ32" s="105" t="str">
        <f ca="1">IF(SotY_2024[[#This Row],[Num]]&gt;=$A$1, "-", IF(SotY_2024[[#This Row],[Score 1]]&gt;=3, SotY_2024[[#This Row],[Song 2]], IF(SotY_2024[[#This Row],[Score 2]]&gt;=3, SotY_2024[[#This Row],[Song 1]], "TBD")))</f>
        <v>Life 2</v>
      </c>
      <c r="AK32" s="115">
        <f ca="1">IFERROR(VLOOKUP(SotY_2024_Results[[#This Row],[Song Title]], $AE$2:$AG$111, 3, FALSE)-SotY_2024_Results[[#This Row],[Result]], "TBD")</f>
        <v>48</v>
      </c>
      <c r="AL32" s="112" t="str">
        <f ca="1">IF(SotY_2024_Results[[#This Row],[Diff]]&lt;0,"↓",IF(SotY_2024_Results[[#This Row],[Diff]]=0,"-","↑"))</f>
        <v>↑</v>
      </c>
    </row>
    <row r="33" spans="1:38">
      <c r="A33" s="197" t="str">
        <f>_xlfn.CONCAT("Seed ", SotY_2024[[#This Row],[Top Seed]], " vs ", SotY_2024[[#This Row],[Low Seed]])</f>
        <v>Seed 1 vs 32</v>
      </c>
      <c r="B33" s="115">
        <v>31</v>
      </c>
      <c r="C33" s="115">
        <f>FLOOR(LOG(SotY_2024[[#This Row],[Num]], 2), 1)</f>
        <v>4</v>
      </c>
      <c r="D33" s="115">
        <f>2^(SotY_2024[[#This Row],[Round]]+1)</f>
        <v>32</v>
      </c>
      <c r="E33" s="115">
        <f>SotY_2024[[#This Row],[Max Seed]]-SotY_2024[[#This Row],[Num]]</f>
        <v>1</v>
      </c>
      <c r="F33" s="115">
        <f>SotY_2024[[#This Row],[Max Seed]]-SotY_2024[[#This Row],[Top Seed]]+1</f>
        <v>32</v>
      </c>
      <c r="G33" s="115" t="b">
        <f>IF(SotY_2024[[#This Row],[Round]]=$C$1, TRUE(), IF(SotY_2024[[#This Row],[Round]]=$B$1, SotY_2024[[#This Row],[Top Seed]]&lt;=2*SotY_2024[[#This Row],[Max Seed]]-$A$1, FALSE()))</f>
        <v>0</v>
      </c>
      <c r="H33" s="115" t="b">
        <f>IF(SotY_2024[[#This Row],[Round]]=$C$1, TRUE(), IF(SotY_2024[[#This Row],[Round]]=$B$1, SotY_2024[[#This Row],[Low Seed]]&lt;=2*SotY_2024[[#This Row],[Max Seed]]-$A$1, FALSE()))</f>
        <v>0</v>
      </c>
      <c r="I33" s="187" t="s">
        <v>4191</v>
      </c>
      <c r="J33" s="188" t="s">
        <v>4191</v>
      </c>
      <c r="K33" s="189"/>
      <c r="L33" s="190"/>
      <c r="M33" s="191"/>
      <c r="N33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A Little Respect</v>
      </c>
      <c r="O33" s="105">
        <f>COUNTIF(SotY_2024[[#This Row],[J]:[H]],"x")</f>
        <v>2</v>
      </c>
      <c r="P33" s="115" t="str">
        <f ca="1">IF(SotY_2024[[#This Row],[Num]]&gt;=$A$1, "-", IF(SotY_2024[[#This Row],[Score 1]]&gt;=3, SotY_2024[[#This Row],[Song 1]], IF(SotY_2024[[#This Row],[Score 2]]&gt;=3, SotY_2024[[#This Row],[Song 2]], "TBD")))</f>
        <v>Leave Before You Love Me</v>
      </c>
      <c r="Q33" s="193">
        <f>COUNTIF(SotY_2024[[#This Row],[H ]:[J ]],"x")</f>
        <v>3</v>
      </c>
      <c r="R33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Leave Before You Love Me</v>
      </c>
      <c r="S33" s="191" t="s">
        <v>4191</v>
      </c>
      <c r="T33" s="190" t="s">
        <v>4191</v>
      </c>
      <c r="U33" s="189" t="s">
        <v>4191</v>
      </c>
      <c r="V33" s="188"/>
      <c r="W33" s="198"/>
      <c r="X33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33" s="109">
        <f t="shared" si="2"/>
        <v>37</v>
      </c>
      <c r="AA33" s="59">
        <v>45510</v>
      </c>
      <c r="AB33" t="str">
        <v>danram</v>
      </c>
      <c r="AC33" s="3">
        <v>2</v>
      </c>
      <c r="AD33" s="3">
        <v>0.89442719099991586</v>
      </c>
      <c r="AE33" t="str">
        <v>Scar Tissue</v>
      </c>
      <c r="AF33" t="str">
        <v>Red Hot Chili Peppers</v>
      </c>
      <c r="AG33" s="100">
        <f t="shared" si="1"/>
        <v>33</v>
      </c>
      <c r="AI33" s="114">
        <f>SotY_2024[[#This Row],[Max Seed]]/2 + 1</f>
        <v>17</v>
      </c>
      <c r="AJ33" s="105" t="str">
        <f ca="1">IF(SotY_2024[[#This Row],[Num]]&gt;=$A$1, "-", IF(SotY_2024[[#This Row],[Score 1]]&gt;=3, SotY_2024[[#This Row],[Song 2]], IF(SotY_2024[[#This Row],[Score 2]]&gt;=3, SotY_2024[[#This Row],[Song 1]], "TBD")))</f>
        <v>A Little Respect</v>
      </c>
      <c r="AK33" s="115">
        <f ca="1">IFERROR(VLOOKUP(SotY_2024_Results[[#This Row],[Song Title]], $AE$2:$AG$111, 3, FALSE)-SotY_2024_Results[[#This Row],[Result]], "TBD")</f>
        <v>48</v>
      </c>
      <c r="AL33" s="112" t="str">
        <f ca="1">IF(SotY_2024_Results[[#This Row],[Diff]]&lt;0,"↓",IF(SotY_2024_Results[[#This Row],[Diff]]=0,"-","↑"))</f>
        <v>↑</v>
      </c>
    </row>
    <row r="34" spans="1:38">
      <c r="A34" s="197" t="str">
        <f>_xlfn.CONCAT("Seed ", SotY_2024[[#This Row],[Top Seed]], " vs ", SotY_2024[[#This Row],[Low Seed]])</f>
        <v>Seed 32 vs 33</v>
      </c>
      <c r="B34" s="115">
        <v>32</v>
      </c>
      <c r="C34" s="115">
        <f>FLOOR(LOG(SotY_2024[[#This Row],[Num]], 2), 1)</f>
        <v>5</v>
      </c>
      <c r="D34" s="115">
        <f>2^(SotY_2024[[#This Row],[Round]]+1)</f>
        <v>64</v>
      </c>
      <c r="E34" s="115">
        <f>SotY_2024[[#This Row],[Max Seed]]-SotY_2024[[#This Row],[Num]]</f>
        <v>32</v>
      </c>
      <c r="F34" s="115">
        <f>SotY_2024[[#This Row],[Max Seed]]-SotY_2024[[#This Row],[Top Seed]]+1</f>
        <v>33</v>
      </c>
      <c r="G34" s="115" t="b">
        <f>IF(SotY_2024[[#This Row],[Round]]=$C$1, TRUE(), IF(SotY_2024[[#This Row],[Round]]=$B$1, SotY_2024[[#This Row],[Top Seed]]&lt;=2*SotY_2024[[#This Row],[Max Seed]]-$A$1, FALSE()))</f>
        <v>0</v>
      </c>
      <c r="H34" s="115" t="b">
        <f>IF(SotY_2024[[#This Row],[Round]]=$C$1, TRUE(), IF(SotY_2024[[#This Row],[Round]]=$B$1, SotY_2024[[#This Row],[Low Seed]]&lt;=2*SotY_2024[[#This Row],[Max Seed]]-$A$1, FALSE()))</f>
        <v>0</v>
      </c>
      <c r="I34" s="187"/>
      <c r="J34" s="188" t="s">
        <v>4191</v>
      </c>
      <c r="K34" s="189" t="s">
        <v>4191</v>
      </c>
      <c r="L34" s="190" t="s">
        <v>4191</v>
      </c>
      <c r="M34" s="191" t="s">
        <v>4191</v>
      </c>
      <c r="N34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Leave Before You Love Me</v>
      </c>
      <c r="O34" s="105">
        <f>COUNTIF(SotY_2024[[#This Row],[J]:[H]],"x")</f>
        <v>4</v>
      </c>
      <c r="P34" s="115" t="str">
        <f ca="1">IF(SotY_2024[[#This Row],[Num]]&gt;=$A$1, "-", IF(SotY_2024[[#This Row],[Score 1]]&gt;=3, SotY_2024[[#This Row],[Song 1]], IF(SotY_2024[[#This Row],[Score 2]]&gt;=3, SotY_2024[[#This Row],[Song 2]], "TBD")))</f>
        <v>Leave Before You Love Me</v>
      </c>
      <c r="Q34" s="193">
        <f>COUNTIF(SotY_2024[[#This Row],[H ]:[J ]],"x")</f>
        <v>1</v>
      </c>
      <c r="R34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places to be</v>
      </c>
      <c r="S34" s="191"/>
      <c r="T34" s="190"/>
      <c r="U34" s="189"/>
      <c r="V34" s="188"/>
      <c r="W34" s="198" t="s">
        <v>4191</v>
      </c>
      <c r="X34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34" s="109">
        <f t="shared" si="2"/>
        <v>38</v>
      </c>
      <c r="AA34" s="59">
        <v>45511</v>
      </c>
      <c r="AB34" t="str">
        <v>loganworsdell</v>
      </c>
      <c r="AC34" s="3">
        <v>2</v>
      </c>
      <c r="AD34" s="3">
        <v>0.89442719099991586</v>
      </c>
      <c r="AE34" t="str">
        <v>shy girl</v>
      </c>
      <c r="AF34" t="str">
        <v>wilo wilde</v>
      </c>
      <c r="AG34" s="100">
        <f t="shared" si="1"/>
        <v>33</v>
      </c>
      <c r="AI34" s="114">
        <f>SotY_2024[[#This Row],[Max Seed]]/2 + 1</f>
        <v>33</v>
      </c>
      <c r="AJ34" s="105" t="str">
        <f ca="1">IF(SotY_2024[[#This Row],[Num]]&gt;=$A$1, "-", IF(SotY_2024[[#This Row],[Score 1]]&gt;=3, SotY_2024[[#This Row],[Song 2]], IF(SotY_2024[[#This Row],[Score 2]]&gt;=3, SotY_2024[[#This Row],[Song 1]], "TBD")))</f>
        <v>places to be</v>
      </c>
      <c r="AK34" s="115">
        <f ca="1">IFERROR(VLOOKUP(SotY_2024_Results[[#This Row],[Song Title]], $AE$2:$AG$111, 3, FALSE)-SotY_2024_Results[[#This Row],[Result]], "TBD")</f>
        <v>0</v>
      </c>
      <c r="AL34" s="112" t="str">
        <f ca="1">IF(SotY_2024_Results[[#This Row],[Diff]]&lt;0,"↓",IF(SotY_2024_Results[[#This Row],[Diff]]=0,"-","↑"))</f>
        <v>-</v>
      </c>
    </row>
    <row r="35" spans="1:38">
      <c r="A35" s="197" t="str">
        <f>_xlfn.CONCAT("Seed ", SotY_2024[[#This Row],[Top Seed]], " vs ", SotY_2024[[#This Row],[Low Seed]])</f>
        <v>Seed 31 vs 34</v>
      </c>
      <c r="B35" s="115">
        <v>33</v>
      </c>
      <c r="C35" s="115">
        <f>FLOOR(LOG(SotY_2024[[#This Row],[Num]], 2), 1)</f>
        <v>5</v>
      </c>
      <c r="D35" s="115">
        <f>2^(SotY_2024[[#This Row],[Round]]+1)</f>
        <v>64</v>
      </c>
      <c r="E35" s="115">
        <f>SotY_2024[[#This Row],[Max Seed]]-SotY_2024[[#This Row],[Num]]</f>
        <v>31</v>
      </c>
      <c r="F35" s="115">
        <f>SotY_2024[[#This Row],[Max Seed]]-SotY_2024[[#This Row],[Top Seed]]+1</f>
        <v>34</v>
      </c>
      <c r="G35" s="115" t="b">
        <f>IF(SotY_2024[[#This Row],[Round]]=$C$1, TRUE(), IF(SotY_2024[[#This Row],[Round]]=$B$1, SotY_2024[[#This Row],[Top Seed]]&lt;=2*SotY_2024[[#This Row],[Max Seed]]-$A$1, FALSE()))</f>
        <v>0</v>
      </c>
      <c r="H35" s="115" t="b">
        <f>IF(SotY_2024[[#This Row],[Round]]=$C$1, TRUE(), IF(SotY_2024[[#This Row],[Round]]=$B$1, SotY_2024[[#This Row],[Low Seed]]&lt;=2*SotY_2024[[#This Row],[Max Seed]]-$A$1, FALSE()))</f>
        <v>0</v>
      </c>
      <c r="I35" s="187" t="s">
        <v>4191</v>
      </c>
      <c r="J35" s="188" t="s">
        <v>4191</v>
      </c>
      <c r="K35" s="189"/>
      <c r="L35" s="190"/>
      <c r="M35" s="191" t="s">
        <v>4191</v>
      </c>
      <c r="N35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Alchemy</v>
      </c>
      <c r="O35" s="105">
        <f>COUNTIF(SotY_2024[[#This Row],[J]:[H]],"x")</f>
        <v>3</v>
      </c>
      <c r="P35" s="115" t="str">
        <f ca="1">IF(SotY_2024[[#This Row],[Num]]&gt;=$A$1, "-", IF(SotY_2024[[#This Row],[Score 1]]&gt;=3, SotY_2024[[#This Row],[Song 1]], IF(SotY_2024[[#This Row],[Score 2]]&gt;=3, SotY_2024[[#This Row],[Song 2]], "TBD")))</f>
        <v>Alchemy</v>
      </c>
      <c r="Q35" s="193">
        <f>COUNTIF(SotY_2024[[#This Row],[H ]:[J ]],"x")</f>
        <v>2</v>
      </c>
      <c r="R35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Lotus Flower Bomb</v>
      </c>
      <c r="S35" s="191"/>
      <c r="T35" s="190" t="s">
        <v>4191</v>
      </c>
      <c r="U35" s="189" t="s">
        <v>4191</v>
      </c>
      <c r="V35" s="188"/>
      <c r="W35" s="198"/>
      <c r="X35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35" s="109">
        <f t="shared" si="2"/>
        <v>108</v>
      </c>
      <c r="AA35" s="59">
        <v>45512</v>
      </c>
      <c r="AB35" t="str">
        <v>danram</v>
      </c>
      <c r="AC35" s="3">
        <v>2.8</v>
      </c>
      <c r="AD35" s="3">
        <v>1.3266499161421599</v>
      </c>
      <c r="AE35" t="str">
        <v>The Woven Web</v>
      </c>
      <c r="AF35" t="str">
        <v>Animals As Leaders</v>
      </c>
      <c r="AG35" s="100">
        <f t="shared" si="1"/>
        <v>65</v>
      </c>
      <c r="AI35" s="114">
        <f>SotY_2024[[#This Row],[Max Seed]]/2 + 1</f>
        <v>33</v>
      </c>
      <c r="AJ35" s="105" t="str">
        <f ca="1">IF(SotY_2024[[#This Row],[Num]]&gt;=$A$1, "-", IF(SotY_2024[[#This Row],[Score 1]]&gt;=3, SotY_2024[[#This Row],[Song 2]], IF(SotY_2024[[#This Row],[Score 2]]&gt;=3, SotY_2024[[#This Row],[Song 1]], "TBD")))</f>
        <v>Lotus Flower Bomb</v>
      </c>
      <c r="AK35" s="115">
        <f ca="1">IFERROR(VLOOKUP(SotY_2024_Results[[#This Row],[Song Title]], $AE$2:$AG$111, 3, FALSE)-SotY_2024_Results[[#This Row],[Result]], "TBD")</f>
        <v>32</v>
      </c>
      <c r="AL35" s="112" t="str">
        <f ca="1">IF(SotY_2024_Results[[#This Row],[Diff]]&lt;0,"↓",IF(SotY_2024_Results[[#This Row],[Diff]]=0,"-","↑"))</f>
        <v>↑</v>
      </c>
    </row>
    <row r="36" spans="1:38">
      <c r="A36" s="197" t="str">
        <f>_xlfn.CONCAT("Seed ", SotY_2024[[#This Row],[Top Seed]], " vs ", SotY_2024[[#This Row],[Low Seed]])</f>
        <v>Seed 30 vs 35</v>
      </c>
      <c r="B36" s="115">
        <v>34</v>
      </c>
      <c r="C36" s="115">
        <f>FLOOR(LOG(SotY_2024[[#This Row],[Num]], 2), 1)</f>
        <v>5</v>
      </c>
      <c r="D36" s="115">
        <f>2^(SotY_2024[[#This Row],[Round]]+1)</f>
        <v>64</v>
      </c>
      <c r="E36" s="115">
        <f>SotY_2024[[#This Row],[Max Seed]]-SotY_2024[[#This Row],[Num]]</f>
        <v>30</v>
      </c>
      <c r="F36" s="115">
        <f>SotY_2024[[#This Row],[Max Seed]]-SotY_2024[[#This Row],[Top Seed]]+1</f>
        <v>35</v>
      </c>
      <c r="G36" s="115" t="b">
        <f>IF(SotY_2024[[#This Row],[Round]]=$C$1, TRUE(), IF(SotY_2024[[#This Row],[Round]]=$B$1, SotY_2024[[#This Row],[Top Seed]]&lt;=2*SotY_2024[[#This Row],[Max Seed]]-$A$1, FALSE()))</f>
        <v>0</v>
      </c>
      <c r="H36" s="115" t="b">
        <f>IF(SotY_2024[[#This Row],[Round]]=$C$1, TRUE(), IF(SotY_2024[[#This Row],[Round]]=$B$1, SotY_2024[[#This Row],[Low Seed]]&lt;=2*SotY_2024[[#This Row],[Max Seed]]-$A$1, FALSE()))</f>
        <v>0</v>
      </c>
      <c r="I36" s="187"/>
      <c r="J36" s="188"/>
      <c r="K36" s="189" t="s">
        <v>4191</v>
      </c>
      <c r="L36" s="190"/>
      <c r="M36" s="191" t="s">
        <v>4191</v>
      </c>
      <c r="N36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It's Going Down Now</v>
      </c>
      <c r="O36" s="105">
        <f>COUNTIF(SotY_2024[[#This Row],[J]:[H]],"x")</f>
        <v>2</v>
      </c>
      <c r="P36" s="115" t="str">
        <f ca="1">IF(SotY_2024[[#This Row],[Num]]&gt;=$A$1, "-", IF(SotY_2024[[#This Row],[Score 1]]&gt;=3, SotY_2024[[#This Row],[Song 1]], IF(SotY_2024[[#This Row],[Score 2]]&gt;=3, SotY_2024[[#This Row],[Song 2]], "TBD")))</f>
        <v>Mayonaka no Door / Stay With Me</v>
      </c>
      <c r="Q36" s="193">
        <f>COUNTIF(SotY_2024[[#This Row],[H ]:[J ]],"x")</f>
        <v>3</v>
      </c>
      <c r="R36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Mayonaka no Door / Stay With Me</v>
      </c>
      <c r="S36" s="191"/>
      <c r="T36" s="190" t="s">
        <v>4191</v>
      </c>
      <c r="U36" s="189"/>
      <c r="V36" s="188" t="s">
        <v>4191</v>
      </c>
      <c r="W36" s="198" t="s">
        <v>4191</v>
      </c>
      <c r="X36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36" s="109">
        <f t="shared" si="2"/>
        <v>39</v>
      </c>
      <c r="AA36" s="59">
        <v>45516</v>
      </c>
      <c r="AB36" t="str">
        <v>danram</v>
      </c>
      <c r="AC36" s="3">
        <v>2</v>
      </c>
      <c r="AD36" s="3">
        <v>0.89442719099991586</v>
      </c>
      <c r="AE36">
        <v>360</v>
      </c>
      <c r="AF36" t="str">
        <v>Charli xcx</v>
      </c>
      <c r="AG36" s="100">
        <f t="shared" si="1"/>
        <v>33</v>
      </c>
      <c r="AI36" s="114">
        <f>SotY_2024[[#This Row],[Max Seed]]/2 + 1</f>
        <v>33</v>
      </c>
      <c r="AJ36" s="105" t="str">
        <f ca="1">IF(SotY_2024[[#This Row],[Num]]&gt;=$A$1, "-", IF(SotY_2024[[#This Row],[Score 1]]&gt;=3, SotY_2024[[#This Row],[Song 2]], IF(SotY_2024[[#This Row],[Score 2]]&gt;=3, SotY_2024[[#This Row],[Song 1]], "TBD")))</f>
        <v>It's Going Down Now</v>
      </c>
      <c r="AK36" s="115">
        <f ca="1">IFERROR(VLOOKUP(SotY_2024_Results[[#This Row],[Song Title]], $AE$2:$AG$111, 3, FALSE)-SotY_2024_Results[[#This Row],[Result]], "TBD")</f>
        <v>32</v>
      </c>
      <c r="AL36" s="112" t="str">
        <f ca="1">IF(SotY_2024_Results[[#This Row],[Diff]]&lt;0,"↓",IF(SotY_2024_Results[[#This Row],[Diff]]=0,"-","↑"))</f>
        <v>↑</v>
      </c>
    </row>
    <row r="37" spans="1:38">
      <c r="A37" s="197" t="str">
        <f>_xlfn.CONCAT("Seed ", SotY_2024[[#This Row],[Top Seed]], " vs ", SotY_2024[[#This Row],[Low Seed]])</f>
        <v>Seed 29 vs 36</v>
      </c>
      <c r="B37" s="115">
        <v>35</v>
      </c>
      <c r="C37" s="115">
        <f>FLOOR(LOG(SotY_2024[[#This Row],[Num]], 2), 1)</f>
        <v>5</v>
      </c>
      <c r="D37" s="115">
        <f>2^(SotY_2024[[#This Row],[Round]]+1)</f>
        <v>64</v>
      </c>
      <c r="E37" s="115">
        <f>SotY_2024[[#This Row],[Max Seed]]-SotY_2024[[#This Row],[Num]]</f>
        <v>29</v>
      </c>
      <c r="F37" s="115">
        <f>SotY_2024[[#This Row],[Max Seed]]-SotY_2024[[#This Row],[Top Seed]]+1</f>
        <v>36</v>
      </c>
      <c r="G37" s="115" t="b">
        <f>IF(SotY_2024[[#This Row],[Round]]=$C$1, TRUE(), IF(SotY_2024[[#This Row],[Round]]=$B$1, SotY_2024[[#This Row],[Top Seed]]&lt;=2*SotY_2024[[#This Row],[Max Seed]]-$A$1, FALSE()))</f>
        <v>0</v>
      </c>
      <c r="H37" s="115" t="b">
        <f>IF(SotY_2024[[#This Row],[Round]]=$C$1, TRUE(), IF(SotY_2024[[#This Row],[Round]]=$B$1, SotY_2024[[#This Row],[Low Seed]]&lt;=2*SotY_2024[[#This Row],[Max Seed]]-$A$1, FALSE()))</f>
        <v>0</v>
      </c>
      <c r="I37" s="187" t="s">
        <v>4191</v>
      </c>
      <c r="J37" s="188"/>
      <c r="K37" s="189"/>
      <c r="L37" s="190"/>
      <c r="M37" s="191"/>
      <c r="N37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Ping Pong Phase</v>
      </c>
      <c r="O37" s="105">
        <f>COUNTIF(SotY_2024[[#This Row],[J]:[H]],"x")</f>
        <v>1</v>
      </c>
      <c r="P37" s="115" t="str">
        <f ca="1">IF(SotY_2024[[#This Row],[Num]]&gt;=$A$1, "-", IF(SotY_2024[[#This Row],[Score 1]]&gt;=3, SotY_2024[[#This Row],[Song 1]], IF(SotY_2024[[#This Row],[Score 2]]&gt;=3, SotY_2024[[#This Row],[Song 2]], "TBD")))</f>
        <v>KLINK</v>
      </c>
      <c r="Q37" s="193">
        <f>COUNTIF(SotY_2024[[#This Row],[H ]:[J ]],"x")</f>
        <v>4</v>
      </c>
      <c r="R37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KLINK</v>
      </c>
      <c r="S37" s="191" t="s">
        <v>4191</v>
      </c>
      <c r="T37" s="190" t="s">
        <v>4191</v>
      </c>
      <c r="U37" s="189" t="s">
        <v>4191</v>
      </c>
      <c r="V37" s="188" t="s">
        <v>4191</v>
      </c>
      <c r="W37" s="198"/>
      <c r="X37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37" s="109">
        <f t="shared" si="2"/>
        <v>14</v>
      </c>
      <c r="AA37" s="59">
        <v>45517</v>
      </c>
      <c r="AB37" t="str">
        <v>alappatjoe</v>
      </c>
      <c r="AC37" s="3">
        <v>1.8</v>
      </c>
      <c r="AD37" s="3">
        <v>0.4</v>
      </c>
      <c r="AE37" t="str">
        <v>Greedy</v>
      </c>
      <c r="AF37" t="str">
        <v>Ariana Grande</v>
      </c>
      <c r="AG37" s="100">
        <f t="shared" si="1"/>
        <v>9</v>
      </c>
      <c r="AI37" s="114">
        <f>SotY_2024[[#This Row],[Max Seed]]/2 + 1</f>
        <v>33</v>
      </c>
      <c r="AJ37" s="105" t="str">
        <f ca="1">IF(SotY_2024[[#This Row],[Num]]&gt;=$A$1, "-", IF(SotY_2024[[#This Row],[Score 1]]&gt;=3, SotY_2024[[#This Row],[Song 2]], IF(SotY_2024[[#This Row],[Score 2]]&gt;=3, SotY_2024[[#This Row],[Song 1]], "TBD")))</f>
        <v>Ping Pong Phase</v>
      </c>
      <c r="AK37" s="115">
        <f ca="1">IFERROR(VLOOKUP(SotY_2024_Results[[#This Row],[Song Title]], $AE$2:$AG$111, 3, FALSE)-SotY_2024_Results[[#This Row],[Result]], "TBD")</f>
        <v>-16</v>
      </c>
      <c r="AL37" s="112" t="str">
        <f ca="1">IF(SotY_2024_Results[[#This Row],[Diff]]&lt;0,"↓",IF(SotY_2024_Results[[#This Row],[Diff]]=0,"-","↑"))</f>
        <v>↓</v>
      </c>
    </row>
    <row r="38" spans="1:38">
      <c r="A38" s="197" t="str">
        <f>_xlfn.CONCAT("Seed ", SotY_2024[[#This Row],[Top Seed]], " vs ", SotY_2024[[#This Row],[Low Seed]])</f>
        <v>Seed 28 vs 37</v>
      </c>
      <c r="B38" s="115">
        <v>36</v>
      </c>
      <c r="C38" s="115">
        <f>FLOOR(LOG(SotY_2024[[#This Row],[Num]], 2), 1)</f>
        <v>5</v>
      </c>
      <c r="D38" s="115">
        <f>2^(SotY_2024[[#This Row],[Round]]+1)</f>
        <v>64</v>
      </c>
      <c r="E38" s="115">
        <f>SotY_2024[[#This Row],[Max Seed]]-SotY_2024[[#This Row],[Num]]</f>
        <v>28</v>
      </c>
      <c r="F38" s="115">
        <f>SotY_2024[[#This Row],[Max Seed]]-SotY_2024[[#This Row],[Top Seed]]+1</f>
        <v>37</v>
      </c>
      <c r="G38" s="115" t="b">
        <f>IF(SotY_2024[[#This Row],[Round]]=$C$1, TRUE(), IF(SotY_2024[[#This Row],[Round]]=$B$1, SotY_2024[[#This Row],[Top Seed]]&lt;=2*SotY_2024[[#This Row],[Max Seed]]-$A$1, FALSE()))</f>
        <v>0</v>
      </c>
      <c r="H38" s="115" t="b">
        <f>IF(SotY_2024[[#This Row],[Round]]=$C$1, TRUE(), IF(SotY_2024[[#This Row],[Round]]=$B$1, SotY_2024[[#This Row],[Low Seed]]&lt;=2*SotY_2024[[#This Row],[Max Seed]]-$A$1, FALSE()))</f>
        <v>0</v>
      </c>
      <c r="I38" s="187" t="s">
        <v>4191</v>
      </c>
      <c r="J38" s="188" t="s">
        <v>4191</v>
      </c>
      <c r="K38" s="189" t="s">
        <v>4191</v>
      </c>
      <c r="L38" s="190" t="s">
        <v>4191</v>
      </c>
      <c r="M38" s="191" t="s">
        <v>4191</v>
      </c>
      <c r="N38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FAMJAM40000</v>
      </c>
      <c r="O38" s="105">
        <f>COUNTIF(SotY_2024[[#This Row],[J]:[H]],"x")</f>
        <v>5</v>
      </c>
      <c r="P38" s="115" t="str">
        <f ca="1">IF(SotY_2024[[#This Row],[Num]]&gt;=$A$1, "-", IF(SotY_2024[[#This Row],[Score 1]]&gt;=3, SotY_2024[[#This Row],[Song 1]], IF(SotY_2024[[#This Row],[Score 2]]&gt;=3, SotY_2024[[#This Row],[Song 2]], "TBD")))</f>
        <v>FAMJAM40000</v>
      </c>
      <c r="Q38" s="193">
        <f>COUNTIF(SotY_2024[[#This Row],[H ]:[J ]],"x")</f>
        <v>0</v>
      </c>
      <c r="R38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Scar Tissue</v>
      </c>
      <c r="S38" s="191"/>
      <c r="T38" s="190"/>
      <c r="U38" s="189"/>
      <c r="V38" s="188"/>
      <c r="W38" s="198"/>
      <c r="X38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38" s="109">
        <f t="shared" si="2"/>
        <v>31</v>
      </c>
      <c r="AA38" s="59">
        <v>45518</v>
      </c>
      <c r="AB38" t="str">
        <v>alappatjoe</v>
      </c>
      <c r="AC38" s="3">
        <v>2</v>
      </c>
      <c r="AD38" s="3">
        <v>0.63245553203367588</v>
      </c>
      <c r="AE38" t="str">
        <v>Alchemy</v>
      </c>
      <c r="AF38" t="str">
        <v>Jake Kaufman, Dale North</v>
      </c>
      <c r="AG38" s="100">
        <f t="shared" si="1"/>
        <v>17</v>
      </c>
      <c r="AI38" s="114">
        <f>SotY_2024[[#This Row],[Max Seed]]/2 + 1</f>
        <v>33</v>
      </c>
      <c r="AJ38" s="105" t="str">
        <f ca="1">IF(SotY_2024[[#This Row],[Num]]&gt;=$A$1, "-", IF(SotY_2024[[#This Row],[Score 1]]&gt;=3, SotY_2024[[#This Row],[Song 2]], IF(SotY_2024[[#This Row],[Score 2]]&gt;=3, SotY_2024[[#This Row],[Song 1]], "TBD")))</f>
        <v>Scar Tissue</v>
      </c>
      <c r="AK38" s="115">
        <f ca="1">IFERROR(VLOOKUP(SotY_2024_Results[[#This Row],[Song Title]], $AE$2:$AG$111, 3, FALSE)-SotY_2024_Results[[#This Row],[Result]], "TBD")</f>
        <v>0</v>
      </c>
      <c r="AL38" s="112" t="str">
        <f ca="1">IF(SotY_2024_Results[[#This Row],[Diff]]&lt;0,"↓",IF(SotY_2024_Results[[#This Row],[Diff]]=0,"-","↑"))</f>
        <v>-</v>
      </c>
    </row>
    <row r="39" spans="1:38">
      <c r="A39" s="197" t="str">
        <f>_xlfn.CONCAT("Seed ", SotY_2024[[#This Row],[Top Seed]], " vs ", SotY_2024[[#This Row],[Low Seed]])</f>
        <v>Seed 27 vs 38</v>
      </c>
      <c r="B39" s="115">
        <v>37</v>
      </c>
      <c r="C39" s="115">
        <f>FLOOR(LOG(SotY_2024[[#This Row],[Num]], 2), 1)</f>
        <v>5</v>
      </c>
      <c r="D39" s="115">
        <f>2^(SotY_2024[[#This Row],[Round]]+1)</f>
        <v>64</v>
      </c>
      <c r="E39" s="115">
        <f>SotY_2024[[#This Row],[Max Seed]]-SotY_2024[[#This Row],[Num]]</f>
        <v>27</v>
      </c>
      <c r="F39" s="115">
        <f>SotY_2024[[#This Row],[Max Seed]]-SotY_2024[[#This Row],[Top Seed]]+1</f>
        <v>38</v>
      </c>
      <c r="G39" s="115" t="b">
        <f>IF(SotY_2024[[#This Row],[Round]]=$C$1, TRUE(), IF(SotY_2024[[#This Row],[Round]]=$B$1, SotY_2024[[#This Row],[Top Seed]]&lt;=2*SotY_2024[[#This Row],[Max Seed]]-$A$1, FALSE()))</f>
        <v>0</v>
      </c>
      <c r="H39" s="115" t="b">
        <f>IF(SotY_2024[[#This Row],[Round]]=$C$1, TRUE(), IF(SotY_2024[[#This Row],[Round]]=$B$1, SotY_2024[[#This Row],[Low Seed]]&lt;=2*SotY_2024[[#This Row],[Max Seed]]-$A$1, FALSE()))</f>
        <v>0</v>
      </c>
      <c r="I39" s="187"/>
      <c r="J39" s="188"/>
      <c r="K39" s="189" t="s">
        <v>4191</v>
      </c>
      <c r="L39" s="190" t="s">
        <v>4191</v>
      </c>
      <c r="M39" s="191"/>
      <c r="N39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In the Party</v>
      </c>
      <c r="O39" s="105">
        <f>COUNTIF(SotY_2024[[#This Row],[J]:[H]],"x")</f>
        <v>2</v>
      </c>
      <c r="P39" s="115" t="str">
        <f ca="1">IF(SotY_2024[[#This Row],[Num]]&gt;=$A$1, "-", IF(SotY_2024[[#This Row],[Score 1]]&gt;=3, SotY_2024[[#This Row],[Song 1]], IF(SotY_2024[[#This Row],[Score 2]]&gt;=3, SotY_2024[[#This Row],[Song 2]], "TBD")))</f>
        <v>Seventh Heaven</v>
      </c>
      <c r="Q39" s="193">
        <f>COUNTIF(SotY_2024[[#This Row],[H ]:[J ]],"x")</f>
        <v>3</v>
      </c>
      <c r="R39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Seventh Heaven</v>
      </c>
      <c r="S39" s="191" t="s">
        <v>4191</v>
      </c>
      <c r="T39" s="190"/>
      <c r="U39" s="189"/>
      <c r="V39" s="188" t="s">
        <v>4191</v>
      </c>
      <c r="W39" s="198" t="s">
        <v>4191</v>
      </c>
      <c r="X39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39" s="109">
        <f t="shared" si="2"/>
        <v>110</v>
      </c>
      <c r="AA39" s="59">
        <v>45519</v>
      </c>
      <c r="AB39" t="str">
        <v>danram</v>
      </c>
      <c r="AC39" s="3">
        <v>4.4000000000000004</v>
      </c>
      <c r="AD39" s="3">
        <v>0.8</v>
      </c>
      <c r="AE39" t="str">
        <v>Put The Money In The Bag</v>
      </c>
      <c r="AF39" t="str">
        <v>Yuno Miles</v>
      </c>
      <c r="AG39" s="100">
        <f t="shared" si="1"/>
        <v>65</v>
      </c>
      <c r="AI39" s="114">
        <f>SotY_2024[[#This Row],[Max Seed]]/2 + 1</f>
        <v>33</v>
      </c>
      <c r="AJ39" s="105" t="str">
        <f ca="1">IF(SotY_2024[[#This Row],[Num]]&gt;=$A$1, "-", IF(SotY_2024[[#This Row],[Score 1]]&gt;=3, SotY_2024[[#This Row],[Song 2]], IF(SotY_2024[[#This Row],[Score 2]]&gt;=3, SotY_2024[[#This Row],[Song 1]], "TBD")))</f>
        <v>In the Party</v>
      </c>
      <c r="AK39" s="115">
        <f ca="1">IFERROR(VLOOKUP(SotY_2024_Results[[#This Row],[Song Title]], $AE$2:$AG$111, 3, FALSE)-SotY_2024_Results[[#This Row],[Result]], "TBD")</f>
        <v>-16</v>
      </c>
      <c r="AL39" s="112" t="str">
        <f ca="1">IF(SotY_2024_Results[[#This Row],[Diff]]&lt;0,"↓",IF(SotY_2024_Results[[#This Row],[Diff]]=0,"-","↑"))</f>
        <v>↓</v>
      </c>
    </row>
    <row r="40" spans="1:38">
      <c r="A40" s="197" t="str">
        <f>_xlfn.CONCAT("Seed ", SotY_2024[[#This Row],[Top Seed]], " vs ", SotY_2024[[#This Row],[Low Seed]])</f>
        <v>Seed 26 vs 39</v>
      </c>
      <c r="B40" s="115">
        <v>38</v>
      </c>
      <c r="C40" s="115">
        <f>FLOOR(LOG(SotY_2024[[#This Row],[Num]], 2), 1)</f>
        <v>5</v>
      </c>
      <c r="D40" s="115">
        <f>2^(SotY_2024[[#This Row],[Round]]+1)</f>
        <v>64</v>
      </c>
      <c r="E40" s="115">
        <f>SotY_2024[[#This Row],[Max Seed]]-SotY_2024[[#This Row],[Num]]</f>
        <v>26</v>
      </c>
      <c r="F40" s="115">
        <f>SotY_2024[[#This Row],[Max Seed]]-SotY_2024[[#This Row],[Top Seed]]+1</f>
        <v>39</v>
      </c>
      <c r="G40" s="115" t="b">
        <f>IF(SotY_2024[[#This Row],[Round]]=$C$1, TRUE(), IF(SotY_2024[[#This Row],[Round]]=$B$1, SotY_2024[[#This Row],[Top Seed]]&lt;=2*SotY_2024[[#This Row],[Max Seed]]-$A$1, FALSE()))</f>
        <v>0</v>
      </c>
      <c r="H40" s="115" t="b">
        <f>IF(SotY_2024[[#This Row],[Round]]=$C$1, TRUE(), IF(SotY_2024[[#This Row],[Round]]=$B$1, SotY_2024[[#This Row],[Low Seed]]&lt;=2*SotY_2024[[#This Row],[Max Seed]]-$A$1, FALSE()))</f>
        <v>0</v>
      </c>
      <c r="I40" s="187"/>
      <c r="J40" s="188"/>
      <c r="K40" s="189" t="s">
        <v>4191</v>
      </c>
      <c r="L40" s="190" t="s">
        <v>4191</v>
      </c>
      <c r="M40" s="191"/>
      <c r="N40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夜に駆ける</v>
      </c>
      <c r="O40" s="105">
        <f>COUNTIF(SotY_2024[[#This Row],[J]:[H]],"x")</f>
        <v>2</v>
      </c>
      <c r="P40" s="115" t="str">
        <f ca="1">IF(SotY_2024[[#This Row],[Num]]&gt;=$A$1, "-", IF(SotY_2024[[#This Row],[Score 1]]&gt;=3, SotY_2024[[#This Row],[Song 1]], IF(SotY_2024[[#This Row],[Score 2]]&gt;=3, SotY_2024[[#This Row],[Song 2]], "TBD")))</f>
        <v>KICK BACK</v>
      </c>
      <c r="Q40" s="193">
        <f>COUNTIF(SotY_2024[[#This Row],[H ]:[J ]],"x")</f>
        <v>3</v>
      </c>
      <c r="R40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KICK BACK</v>
      </c>
      <c r="S40" s="191" t="s">
        <v>4191</v>
      </c>
      <c r="T40" s="190"/>
      <c r="U40" s="189"/>
      <c r="V40" s="188" t="s">
        <v>4191</v>
      </c>
      <c r="W40" s="198" t="s">
        <v>4191</v>
      </c>
      <c r="X40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40" s="109">
        <f t="shared" si="2"/>
        <v>51</v>
      </c>
      <c r="AA40" s="59">
        <v>45523</v>
      </c>
      <c r="AB40" t="str">
        <v>currydestroyer27</v>
      </c>
      <c r="AC40" s="3">
        <v>2.2000000000000002</v>
      </c>
      <c r="AD40" s="3">
        <v>0.74833147735478833</v>
      </c>
      <c r="AE40" t="str">
        <v>Mystery Lady</v>
      </c>
      <c r="AF40" t="str">
        <v>Masego, Don Toliver</v>
      </c>
      <c r="AG40" s="100">
        <f t="shared" si="1"/>
        <v>33</v>
      </c>
      <c r="AI40" s="114">
        <f>SotY_2024[[#This Row],[Max Seed]]/2 + 1</f>
        <v>33</v>
      </c>
      <c r="AJ40" s="105" t="str">
        <f ca="1">IF(SotY_2024[[#This Row],[Num]]&gt;=$A$1, "-", IF(SotY_2024[[#This Row],[Score 1]]&gt;=3, SotY_2024[[#This Row],[Song 2]], IF(SotY_2024[[#This Row],[Score 2]]&gt;=3, SotY_2024[[#This Row],[Song 1]], "TBD")))</f>
        <v>夜に駆ける</v>
      </c>
      <c r="AK40" s="115">
        <f ca="1">IFERROR(VLOOKUP(SotY_2024_Results[[#This Row],[Song Title]], $AE$2:$AG$111, 3, FALSE)-SotY_2024_Results[[#This Row],[Result]], "TBD")</f>
        <v>-16</v>
      </c>
      <c r="AL40" s="112" t="str">
        <f ca="1">IF(SotY_2024_Results[[#This Row],[Diff]]&lt;0,"↓",IF(SotY_2024_Results[[#This Row],[Diff]]=0,"-","↑"))</f>
        <v>↓</v>
      </c>
    </row>
    <row r="41" spans="1:38">
      <c r="A41" s="197" t="str">
        <f>_xlfn.CONCAT("Seed ", SotY_2024[[#This Row],[Top Seed]], " vs ", SotY_2024[[#This Row],[Low Seed]])</f>
        <v>Seed 25 vs 40</v>
      </c>
      <c r="B41" s="115">
        <v>39</v>
      </c>
      <c r="C41" s="115">
        <f>FLOOR(LOG(SotY_2024[[#This Row],[Num]], 2), 1)</f>
        <v>5</v>
      </c>
      <c r="D41" s="115">
        <f>2^(SotY_2024[[#This Row],[Round]]+1)</f>
        <v>64</v>
      </c>
      <c r="E41" s="115">
        <f>SotY_2024[[#This Row],[Max Seed]]-SotY_2024[[#This Row],[Num]]</f>
        <v>25</v>
      </c>
      <c r="F41" s="115">
        <f>SotY_2024[[#This Row],[Max Seed]]-SotY_2024[[#This Row],[Top Seed]]+1</f>
        <v>40</v>
      </c>
      <c r="G41" s="115" t="b">
        <f>IF(SotY_2024[[#This Row],[Round]]=$C$1, TRUE(), IF(SotY_2024[[#This Row],[Round]]=$B$1, SotY_2024[[#This Row],[Top Seed]]&lt;=2*SotY_2024[[#This Row],[Max Seed]]-$A$1, FALSE()))</f>
        <v>0</v>
      </c>
      <c r="H41" s="115" t="b">
        <f>IF(SotY_2024[[#This Row],[Round]]=$C$1, TRUE(), IF(SotY_2024[[#This Row],[Round]]=$B$1, SotY_2024[[#This Row],[Low Seed]]&lt;=2*SotY_2024[[#This Row],[Max Seed]]-$A$1, FALSE()))</f>
        <v>0</v>
      </c>
      <c r="I41" s="187" t="s">
        <v>4191</v>
      </c>
      <c r="J41" s="188"/>
      <c r="K41" s="189"/>
      <c r="L41" s="190"/>
      <c r="M41" s="191" t="s">
        <v>4191</v>
      </c>
      <c r="N41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Right Now</v>
      </c>
      <c r="O41" s="105">
        <f>COUNTIF(SotY_2024[[#This Row],[J]:[H]],"x")</f>
        <v>2</v>
      </c>
      <c r="P41" s="115" t="str">
        <f ca="1">IF(SotY_2024[[#This Row],[Num]]&gt;=$A$1, "-", IF(SotY_2024[[#This Row],[Score 1]]&gt;=3, SotY_2024[[#This Row],[Song 1]], IF(SotY_2024[[#This Row],[Score 2]]&gt;=3, SotY_2024[[#This Row],[Song 2]], "TBD")))</f>
        <v>In Bloom</v>
      </c>
      <c r="Q41" s="193">
        <f>COUNTIF(SotY_2024[[#This Row],[H ]:[J ]],"x")</f>
        <v>3</v>
      </c>
      <c r="R41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In Bloom</v>
      </c>
      <c r="S41" s="191"/>
      <c r="T41" s="190" t="s">
        <v>4191</v>
      </c>
      <c r="U41" s="189" t="s">
        <v>4191</v>
      </c>
      <c r="V41" s="188" t="s">
        <v>4191</v>
      </c>
      <c r="W41" s="198"/>
      <c r="X41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41" s="109">
        <f t="shared" si="2"/>
        <v>95</v>
      </c>
      <c r="AA41" s="59">
        <v>45524</v>
      </c>
      <c r="AB41" t="str">
        <v>loganworsdell</v>
      </c>
      <c r="AC41" s="3">
        <v>2.6</v>
      </c>
      <c r="AD41" s="3">
        <v>1.019803902718557</v>
      </c>
      <c r="AE41" t="str">
        <v>Lotus Flower Bomb</v>
      </c>
      <c r="AF41" t="str">
        <v>Wale, Miguel</v>
      </c>
      <c r="AG41" s="100">
        <f t="shared" si="1"/>
        <v>65</v>
      </c>
      <c r="AI41" s="114">
        <f>SotY_2024[[#This Row],[Max Seed]]/2 + 1</f>
        <v>33</v>
      </c>
      <c r="AJ41" s="105" t="str">
        <f ca="1">IF(SotY_2024[[#This Row],[Num]]&gt;=$A$1, "-", IF(SotY_2024[[#This Row],[Score 1]]&gt;=3, SotY_2024[[#This Row],[Song 2]], IF(SotY_2024[[#This Row],[Score 2]]&gt;=3, SotY_2024[[#This Row],[Song 1]], "TBD")))</f>
        <v>Right Now</v>
      </c>
      <c r="AK41" s="115">
        <f ca="1">IFERROR(VLOOKUP(SotY_2024_Results[[#This Row],[Song Title]], $AE$2:$AG$111, 3, FALSE)-SotY_2024_Results[[#This Row],[Result]], "TBD")</f>
        <v>32</v>
      </c>
      <c r="AL41" s="112" t="str">
        <f ca="1">IF(SotY_2024_Results[[#This Row],[Diff]]&lt;0,"↓",IF(SotY_2024_Results[[#This Row],[Diff]]=0,"-","↑"))</f>
        <v>↑</v>
      </c>
    </row>
    <row r="42" spans="1:38">
      <c r="A42" s="197" t="str">
        <f>_xlfn.CONCAT("Seed ", SotY_2024[[#This Row],[Top Seed]], " vs ", SotY_2024[[#This Row],[Low Seed]])</f>
        <v>Seed 24 vs 41</v>
      </c>
      <c r="B42" s="115">
        <v>40</v>
      </c>
      <c r="C42" s="115">
        <f>FLOOR(LOG(SotY_2024[[#This Row],[Num]], 2), 1)</f>
        <v>5</v>
      </c>
      <c r="D42" s="115">
        <f>2^(SotY_2024[[#This Row],[Round]]+1)</f>
        <v>64</v>
      </c>
      <c r="E42" s="115">
        <f>SotY_2024[[#This Row],[Max Seed]]-SotY_2024[[#This Row],[Num]]</f>
        <v>24</v>
      </c>
      <c r="F42" s="115">
        <f>SotY_2024[[#This Row],[Max Seed]]-SotY_2024[[#This Row],[Top Seed]]+1</f>
        <v>41</v>
      </c>
      <c r="G42" s="115" t="b">
        <f>IF(SotY_2024[[#This Row],[Round]]=$C$1, TRUE(), IF(SotY_2024[[#This Row],[Round]]=$B$1, SotY_2024[[#This Row],[Top Seed]]&lt;=2*SotY_2024[[#This Row],[Max Seed]]-$A$1, FALSE()))</f>
        <v>0</v>
      </c>
      <c r="H42" s="115" t="b">
        <f>IF(SotY_2024[[#This Row],[Round]]=$C$1, TRUE(), IF(SotY_2024[[#This Row],[Round]]=$B$1, SotY_2024[[#This Row],[Low Seed]]&lt;=2*SotY_2024[[#This Row],[Max Seed]]-$A$1, FALSE()))</f>
        <v>0</v>
      </c>
      <c r="I42" s="187"/>
      <c r="J42" s="188" t="s">
        <v>4191</v>
      </c>
      <c r="K42" s="189" t="s">
        <v>4191</v>
      </c>
      <c r="L42" s="190"/>
      <c r="M42" s="191"/>
      <c r="N42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Next Exit</v>
      </c>
      <c r="O42" s="105">
        <f>COUNTIF(SotY_2024[[#This Row],[J]:[H]],"x")</f>
        <v>2</v>
      </c>
      <c r="P42" s="115" t="str">
        <f ca="1">IF(SotY_2024[[#This Row],[Num]]&gt;=$A$1, "-", IF(SotY_2024[[#This Row],[Score 1]]&gt;=3, SotY_2024[[#This Row],[Song 1]], IF(SotY_2024[[#This Row],[Score 2]]&gt;=3, SotY_2024[[#This Row],[Song 2]], "TBD")))</f>
        <v>Lady Writer</v>
      </c>
      <c r="Q42" s="193">
        <f>COUNTIF(SotY_2024[[#This Row],[H ]:[J ]],"x")</f>
        <v>3</v>
      </c>
      <c r="R42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Lady Writer</v>
      </c>
      <c r="S42" s="191" t="s">
        <v>4191</v>
      </c>
      <c r="T42" s="190" t="s">
        <v>4191</v>
      </c>
      <c r="U42" s="189"/>
      <c r="V42" s="188"/>
      <c r="W42" s="198" t="s">
        <v>4191</v>
      </c>
      <c r="X42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42" s="109">
        <f t="shared" si="2"/>
        <v>28</v>
      </c>
      <c r="AA42" s="59">
        <v>45525</v>
      </c>
      <c r="AB42" t="str">
        <v>danram</v>
      </c>
      <c r="AC42" s="3">
        <v>1.8</v>
      </c>
      <c r="AD42" s="3">
        <v>1.1661903789690602</v>
      </c>
      <c r="AE42" t="str">
        <v>FAMJAM40000</v>
      </c>
      <c r="AF42" t="str">
        <v>Jordan Ward</v>
      </c>
      <c r="AG42" s="100">
        <f t="shared" si="1"/>
        <v>17</v>
      </c>
      <c r="AI42" s="114">
        <f>SotY_2024[[#This Row],[Max Seed]]/2 + 1</f>
        <v>33</v>
      </c>
      <c r="AJ42" s="105" t="str">
        <f ca="1">IF(SotY_2024[[#This Row],[Num]]&gt;=$A$1, "-", IF(SotY_2024[[#This Row],[Score 1]]&gt;=3, SotY_2024[[#This Row],[Song 2]], IF(SotY_2024[[#This Row],[Score 2]]&gt;=3, SotY_2024[[#This Row],[Song 1]], "TBD")))</f>
        <v>Next Exit</v>
      </c>
      <c r="AK42" s="115">
        <f ca="1">IFERROR(VLOOKUP(SotY_2024_Results[[#This Row],[Song Title]], $AE$2:$AG$111, 3, FALSE)-SotY_2024_Results[[#This Row],[Result]], "TBD")</f>
        <v>-16</v>
      </c>
      <c r="AL42" s="112" t="str">
        <f ca="1">IF(SotY_2024_Results[[#This Row],[Diff]]&lt;0,"↓",IF(SotY_2024_Results[[#This Row],[Diff]]=0,"-","↑"))</f>
        <v>↓</v>
      </c>
    </row>
    <row r="43" spans="1:38">
      <c r="A43" s="197" t="str">
        <f>_xlfn.CONCAT("Seed ", SotY_2024[[#This Row],[Top Seed]], " vs ", SotY_2024[[#This Row],[Low Seed]])</f>
        <v>Seed 23 vs 42</v>
      </c>
      <c r="B43" s="115">
        <v>41</v>
      </c>
      <c r="C43" s="115">
        <f>FLOOR(LOG(SotY_2024[[#This Row],[Num]], 2), 1)</f>
        <v>5</v>
      </c>
      <c r="D43" s="115">
        <f>2^(SotY_2024[[#This Row],[Round]]+1)</f>
        <v>64</v>
      </c>
      <c r="E43" s="115">
        <f>SotY_2024[[#This Row],[Max Seed]]-SotY_2024[[#This Row],[Num]]</f>
        <v>23</v>
      </c>
      <c r="F43" s="115">
        <f>SotY_2024[[#This Row],[Max Seed]]-SotY_2024[[#This Row],[Top Seed]]+1</f>
        <v>42</v>
      </c>
      <c r="G43" s="115" t="b">
        <f>IF(SotY_2024[[#This Row],[Round]]=$C$1, TRUE(), IF(SotY_2024[[#This Row],[Round]]=$B$1, SotY_2024[[#This Row],[Top Seed]]&lt;=2*SotY_2024[[#This Row],[Max Seed]]-$A$1, FALSE()))</f>
        <v>0</v>
      </c>
      <c r="H43" s="115" t="b">
        <f>IF(SotY_2024[[#This Row],[Round]]=$C$1, TRUE(), IF(SotY_2024[[#This Row],[Round]]=$B$1, SotY_2024[[#This Row],[Low Seed]]&lt;=2*SotY_2024[[#This Row],[Max Seed]]-$A$1, FALSE()))</f>
        <v>0</v>
      </c>
      <c r="I43" s="187" t="s">
        <v>4191</v>
      </c>
      <c r="J43" s="188" t="s">
        <v>4191</v>
      </c>
      <c r="K43" s="189"/>
      <c r="L43" s="190"/>
      <c r="M43" s="191"/>
      <c r="N43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QUE RICO CH**GAMOS</v>
      </c>
      <c r="O43" s="105">
        <f>COUNTIF(SotY_2024[[#This Row],[J]:[H]],"x")</f>
        <v>2</v>
      </c>
      <c r="P43" s="115" t="str">
        <f ca="1">IF(SotY_2024[[#This Row],[Num]]&gt;=$A$1, "-", IF(SotY_2024[[#This Row],[Score 1]]&gt;=3, SotY_2024[[#This Row],[Song 1]], IF(SotY_2024[[#This Row],[Score 2]]&gt;=3, SotY_2024[[#This Row],[Song 2]], "TBD")))</f>
        <v>Bring Me To Life</v>
      </c>
      <c r="Q43" s="193">
        <f>COUNTIF(SotY_2024[[#This Row],[H ]:[J ]],"x")</f>
        <v>3</v>
      </c>
      <c r="R43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Bring Me To Life</v>
      </c>
      <c r="S43" s="191" t="s">
        <v>4191</v>
      </c>
      <c r="T43" s="190" t="s">
        <v>4191</v>
      </c>
      <c r="U43" s="189" t="s">
        <v>4191</v>
      </c>
      <c r="V43" s="188"/>
      <c r="W43" s="198"/>
      <c r="X43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43" s="109">
        <f t="shared" si="2"/>
        <v>109</v>
      </c>
      <c r="AA43" s="59">
        <v>45526</v>
      </c>
      <c r="AB43" t="str">
        <v>currydestroyer27</v>
      </c>
      <c r="AC43" s="3">
        <v>3.2</v>
      </c>
      <c r="AD43" s="3">
        <v>1.833030277982336</v>
      </c>
      <c r="AE43" t="str">
        <v>STYX HELIX</v>
      </c>
      <c r="AF43" t="str">
        <v>MYTH &amp; ROID</v>
      </c>
      <c r="AG43" s="100">
        <f t="shared" si="1"/>
        <v>65</v>
      </c>
      <c r="AI43" s="114">
        <f>SotY_2024[[#This Row],[Max Seed]]/2 + 1</f>
        <v>33</v>
      </c>
      <c r="AJ43" s="105" t="str">
        <f ca="1">IF(SotY_2024[[#This Row],[Num]]&gt;=$A$1, "-", IF(SotY_2024[[#This Row],[Score 1]]&gt;=3, SotY_2024[[#This Row],[Song 2]], IF(SotY_2024[[#This Row],[Score 2]]&gt;=3, SotY_2024[[#This Row],[Song 1]], "TBD")))</f>
        <v>QUE RICO CH**GAMOS</v>
      </c>
      <c r="AK43" s="115">
        <f ca="1">IFERROR(VLOOKUP(SotY_2024_Results[[#This Row],[Song Title]], $AE$2:$AG$111, 3, FALSE)-SotY_2024_Results[[#This Row],[Result]], "TBD")</f>
        <v>-16</v>
      </c>
      <c r="AL43" s="112" t="str">
        <f ca="1">IF(SotY_2024_Results[[#This Row],[Diff]]&lt;0,"↓",IF(SotY_2024_Results[[#This Row],[Diff]]=0,"-","↑"))</f>
        <v>↓</v>
      </c>
    </row>
    <row r="44" spans="1:38">
      <c r="A44" s="197" t="str">
        <f>_xlfn.CONCAT("Seed ", SotY_2024[[#This Row],[Top Seed]], " vs ", SotY_2024[[#This Row],[Low Seed]])</f>
        <v>Seed 22 vs 43</v>
      </c>
      <c r="B44" s="115">
        <v>42</v>
      </c>
      <c r="C44" s="115">
        <f>FLOOR(LOG(SotY_2024[[#This Row],[Num]], 2), 1)</f>
        <v>5</v>
      </c>
      <c r="D44" s="115">
        <f>2^(SotY_2024[[#This Row],[Round]]+1)</f>
        <v>64</v>
      </c>
      <c r="E44" s="115">
        <f>SotY_2024[[#This Row],[Max Seed]]-SotY_2024[[#This Row],[Num]]</f>
        <v>22</v>
      </c>
      <c r="F44" s="115">
        <f>SotY_2024[[#This Row],[Max Seed]]-SotY_2024[[#This Row],[Top Seed]]+1</f>
        <v>43</v>
      </c>
      <c r="G44" s="115" t="b">
        <f>IF(SotY_2024[[#This Row],[Round]]=$C$1, TRUE(), IF(SotY_2024[[#This Row],[Round]]=$B$1, SotY_2024[[#This Row],[Top Seed]]&lt;=2*SotY_2024[[#This Row],[Max Seed]]-$A$1, FALSE()))</f>
        <v>0</v>
      </c>
      <c r="H44" s="115" t="b">
        <f>IF(SotY_2024[[#This Row],[Round]]=$C$1, TRUE(), IF(SotY_2024[[#This Row],[Round]]=$B$1, SotY_2024[[#This Row],[Low Seed]]&lt;=2*SotY_2024[[#This Row],[Max Seed]]-$A$1, FALSE()))</f>
        <v>0</v>
      </c>
      <c r="I44" s="187"/>
      <c r="J44" s="188"/>
      <c r="K44" s="189" t="s">
        <v>4191</v>
      </c>
      <c r="L44" s="190"/>
      <c r="M44" s="191" t="s">
        <v>4191</v>
      </c>
      <c r="N44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cloud 11</v>
      </c>
      <c r="O44" s="105">
        <f>COUNTIF(SotY_2024[[#This Row],[J]:[H]],"x")</f>
        <v>2</v>
      </c>
      <c r="P44" s="115" t="str">
        <f ca="1">IF(SotY_2024[[#This Row],[Num]]&gt;=$A$1, "-", IF(SotY_2024[[#This Row],[Score 1]]&gt;=3, SotY_2024[[#This Row],[Song 1]], IF(SotY_2024[[#This Row],[Score 2]]&gt;=3, SotY_2024[[#This Row],[Song 2]], "TBD")))</f>
        <v>Homecoming</v>
      </c>
      <c r="Q44" s="193">
        <f>COUNTIF(SotY_2024[[#This Row],[H ]:[J ]],"x")</f>
        <v>3</v>
      </c>
      <c r="R44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Homecoming</v>
      </c>
      <c r="S44" s="191"/>
      <c r="T44" s="190" t="s">
        <v>4191</v>
      </c>
      <c r="U44" s="189"/>
      <c r="V44" s="188" t="s">
        <v>4191</v>
      </c>
      <c r="W44" s="198" t="s">
        <v>4191</v>
      </c>
      <c r="X44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44" s="109">
        <f t="shared" si="2"/>
        <v>63</v>
      </c>
      <c r="AA44" s="59">
        <v>45530</v>
      </c>
      <c r="AB44" t="str">
        <v>currydestroyer27</v>
      </c>
      <c r="AC44" s="3">
        <v>2.2000000000000002</v>
      </c>
      <c r="AD44" s="3">
        <v>1.1661903789690602</v>
      </c>
      <c r="AE44" t="str">
        <v>The Walker</v>
      </c>
      <c r="AF44" t="str">
        <v>Fitz and The Tantrums</v>
      </c>
      <c r="AG44" s="100">
        <f t="shared" si="1"/>
        <v>33</v>
      </c>
      <c r="AI44" s="114">
        <f>SotY_2024[[#This Row],[Max Seed]]/2 + 1</f>
        <v>33</v>
      </c>
      <c r="AJ44" s="105" t="str">
        <f ca="1">IF(SotY_2024[[#This Row],[Num]]&gt;=$A$1, "-", IF(SotY_2024[[#This Row],[Score 1]]&gt;=3, SotY_2024[[#This Row],[Song 2]], IF(SotY_2024[[#This Row],[Score 2]]&gt;=3, SotY_2024[[#This Row],[Song 1]], "TBD")))</f>
        <v>cloud 11</v>
      </c>
      <c r="AK44" s="115">
        <f ca="1">IFERROR(VLOOKUP(SotY_2024_Results[[#This Row],[Song Title]], $AE$2:$AG$111, 3, FALSE)-SotY_2024_Results[[#This Row],[Result]], "TBD")</f>
        <v>32</v>
      </c>
      <c r="AL44" s="112" t="str">
        <f ca="1">IF(SotY_2024_Results[[#This Row],[Diff]]&lt;0,"↓",IF(SotY_2024_Results[[#This Row],[Diff]]=0,"-","↑"))</f>
        <v>↑</v>
      </c>
    </row>
    <row r="45" spans="1:38">
      <c r="A45" s="197" t="str">
        <f>_xlfn.CONCAT("Seed ", SotY_2024[[#This Row],[Top Seed]], " vs ", SotY_2024[[#This Row],[Low Seed]])</f>
        <v>Seed 21 vs 44</v>
      </c>
      <c r="B45" s="115">
        <v>43</v>
      </c>
      <c r="C45" s="115">
        <f>FLOOR(LOG(SotY_2024[[#This Row],[Num]], 2), 1)</f>
        <v>5</v>
      </c>
      <c r="D45" s="115">
        <f>2^(SotY_2024[[#This Row],[Round]]+1)</f>
        <v>64</v>
      </c>
      <c r="E45" s="115">
        <f>SotY_2024[[#This Row],[Max Seed]]-SotY_2024[[#This Row],[Num]]</f>
        <v>21</v>
      </c>
      <c r="F45" s="115">
        <f>SotY_2024[[#This Row],[Max Seed]]-SotY_2024[[#This Row],[Top Seed]]+1</f>
        <v>44</v>
      </c>
      <c r="G45" s="115" t="b">
        <f>IF(SotY_2024[[#This Row],[Round]]=$C$1, TRUE(), IF(SotY_2024[[#This Row],[Round]]=$B$1, SotY_2024[[#This Row],[Top Seed]]&lt;=2*SotY_2024[[#This Row],[Max Seed]]-$A$1, FALSE()))</f>
        <v>0</v>
      </c>
      <c r="H45" s="115" t="b">
        <f>IF(SotY_2024[[#This Row],[Round]]=$C$1, TRUE(), IF(SotY_2024[[#This Row],[Round]]=$B$1, SotY_2024[[#This Row],[Low Seed]]&lt;=2*SotY_2024[[#This Row],[Max Seed]]-$A$1, FALSE()))</f>
        <v>0</v>
      </c>
      <c r="I45" s="187"/>
      <c r="J45" s="188"/>
      <c r="K45" s="189" t="s">
        <v>4191</v>
      </c>
      <c r="L45" s="190"/>
      <c r="M45" s="191" t="s">
        <v>4191</v>
      </c>
      <c r="N45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What You Know</v>
      </c>
      <c r="O45" s="105">
        <f>COUNTIF(SotY_2024[[#This Row],[J]:[H]],"x")</f>
        <v>2</v>
      </c>
      <c r="P45" s="115" t="str">
        <f ca="1">IF(SotY_2024[[#This Row],[Num]]&gt;=$A$1, "-", IF(SotY_2024[[#This Row],[Score 1]]&gt;=3, SotY_2024[[#This Row],[Song 1]], IF(SotY_2024[[#This Row],[Score 2]]&gt;=3, SotY_2024[[#This Row],[Song 2]], "TBD")))</f>
        <v>Free Bird</v>
      </c>
      <c r="Q45" s="193">
        <f>COUNTIF(SotY_2024[[#This Row],[H ]:[J ]],"x")</f>
        <v>3</v>
      </c>
      <c r="R45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Free Bird</v>
      </c>
      <c r="S45" s="191"/>
      <c r="T45" s="190" t="s">
        <v>4191</v>
      </c>
      <c r="U45" s="189"/>
      <c r="V45" s="188" t="s">
        <v>4191</v>
      </c>
      <c r="W45" s="198" t="s">
        <v>4191</v>
      </c>
      <c r="X45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45" s="109">
        <f t="shared" si="2"/>
        <v>69</v>
      </c>
      <c r="AA45" s="59">
        <v>45531</v>
      </c>
      <c r="AB45" t="str">
        <v>currydestroyer27</v>
      </c>
      <c r="AC45" s="3">
        <v>2.2000000000000002</v>
      </c>
      <c r="AD45" s="3">
        <v>1.4696938456699069</v>
      </c>
      <c r="AE45" t="str">
        <v>3005</v>
      </c>
      <c r="AF45" t="str">
        <v>Childish Gambino</v>
      </c>
      <c r="AG45" s="100">
        <f t="shared" si="1"/>
        <v>65</v>
      </c>
      <c r="AI45" s="114">
        <f>SotY_2024[[#This Row],[Max Seed]]/2 + 1</f>
        <v>33</v>
      </c>
      <c r="AJ45" s="105" t="str">
        <f ca="1">IF(SotY_2024[[#This Row],[Num]]&gt;=$A$1, "-", IF(SotY_2024[[#This Row],[Score 1]]&gt;=3, SotY_2024[[#This Row],[Song 2]], IF(SotY_2024[[#This Row],[Score 2]]&gt;=3, SotY_2024[[#This Row],[Song 1]], "TBD")))</f>
        <v>What You Know</v>
      </c>
      <c r="AK45" s="115">
        <f ca="1">IFERROR(VLOOKUP(SotY_2024_Results[[#This Row],[Song Title]], $AE$2:$AG$111, 3, FALSE)-SotY_2024_Results[[#This Row],[Result]], "TBD")</f>
        <v>-16</v>
      </c>
      <c r="AL45" s="112" t="str">
        <f ca="1">IF(SotY_2024_Results[[#This Row],[Diff]]&lt;0,"↓",IF(SotY_2024_Results[[#This Row],[Diff]]=0,"-","↑"))</f>
        <v>↓</v>
      </c>
    </row>
    <row r="46" spans="1:38">
      <c r="A46" s="197" t="str">
        <f>_xlfn.CONCAT("Seed ", SotY_2024[[#This Row],[Top Seed]], " vs ", SotY_2024[[#This Row],[Low Seed]])</f>
        <v>Seed 20 vs 45</v>
      </c>
      <c r="B46" s="115">
        <v>44</v>
      </c>
      <c r="C46" s="115">
        <f>FLOOR(LOG(SotY_2024[[#This Row],[Num]], 2), 1)</f>
        <v>5</v>
      </c>
      <c r="D46" s="115">
        <f>2^(SotY_2024[[#This Row],[Round]]+1)</f>
        <v>64</v>
      </c>
      <c r="E46" s="115">
        <f>SotY_2024[[#This Row],[Max Seed]]-SotY_2024[[#This Row],[Num]]</f>
        <v>20</v>
      </c>
      <c r="F46" s="115">
        <f>SotY_2024[[#This Row],[Max Seed]]-SotY_2024[[#This Row],[Top Seed]]+1</f>
        <v>45</v>
      </c>
      <c r="G46" s="115" t="b">
        <f>IF(SotY_2024[[#This Row],[Round]]=$C$1, TRUE(), IF(SotY_2024[[#This Row],[Round]]=$B$1, SotY_2024[[#This Row],[Top Seed]]&lt;=2*SotY_2024[[#This Row],[Max Seed]]-$A$1, FALSE()))</f>
        <v>0</v>
      </c>
      <c r="H46" s="115" t="b">
        <f>IF(SotY_2024[[#This Row],[Round]]=$C$1, TRUE(), IF(SotY_2024[[#This Row],[Round]]=$B$1, SotY_2024[[#This Row],[Low Seed]]&lt;=2*SotY_2024[[#This Row],[Max Seed]]-$A$1, FALSE()))</f>
        <v>0</v>
      </c>
      <c r="I46" s="187"/>
      <c r="J46" s="188"/>
      <c r="K46" s="189" t="s">
        <v>4191</v>
      </c>
      <c r="L46" s="190" t="s">
        <v>4191</v>
      </c>
      <c r="M46" s="191" t="s">
        <v>4191</v>
      </c>
      <c r="N46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Edge of Seventeen</v>
      </c>
      <c r="O46" s="105">
        <f>COUNTIF(SotY_2024[[#This Row],[J]:[H]],"x")</f>
        <v>3</v>
      </c>
      <c r="P46" s="115" t="str">
        <f ca="1">IF(SotY_2024[[#This Row],[Num]]&gt;=$A$1, "-", IF(SotY_2024[[#This Row],[Score 1]]&gt;=3, SotY_2024[[#This Row],[Song 1]], IF(SotY_2024[[#This Row],[Score 2]]&gt;=3, SotY_2024[[#This Row],[Song 2]], "TBD")))</f>
        <v>Edge of Seventeen</v>
      </c>
      <c r="Q46" s="193">
        <f>COUNTIF(SotY_2024[[#This Row],[H ]:[J ]],"x")</f>
        <v>2</v>
      </c>
      <c r="R46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Fragile</v>
      </c>
      <c r="S46" s="191"/>
      <c r="T46" s="190"/>
      <c r="U46" s="189"/>
      <c r="V46" s="188" t="s">
        <v>4191</v>
      </c>
      <c r="W46" s="198" t="s">
        <v>4191</v>
      </c>
      <c r="X46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46" s="109">
        <f t="shared" si="2"/>
        <v>48</v>
      </c>
      <c r="AA46" s="59">
        <v>45532</v>
      </c>
      <c r="AB46" t="str">
        <v>samuelbattista</v>
      </c>
      <c r="AC46" s="3">
        <v>2.2000000000000002</v>
      </c>
      <c r="AD46" s="3">
        <v>0.4</v>
      </c>
      <c r="AE46" t="str">
        <v>Blinding Lights</v>
      </c>
      <c r="AF46" t="str">
        <v>The Weekend</v>
      </c>
      <c r="AG46" s="100">
        <f t="shared" si="1"/>
        <v>33</v>
      </c>
      <c r="AI46" s="114">
        <f>SotY_2024[[#This Row],[Max Seed]]/2 + 1</f>
        <v>33</v>
      </c>
      <c r="AJ46" s="105" t="str">
        <f ca="1">IF(SotY_2024[[#This Row],[Num]]&gt;=$A$1, "-", IF(SotY_2024[[#This Row],[Score 1]]&gt;=3, SotY_2024[[#This Row],[Song 2]], IF(SotY_2024[[#This Row],[Score 2]]&gt;=3, SotY_2024[[#This Row],[Song 1]], "TBD")))</f>
        <v>Fragile</v>
      </c>
      <c r="AK46" s="115">
        <f ca="1">IFERROR(VLOOKUP(SotY_2024_Results[[#This Row],[Song Title]], $AE$2:$AG$111, 3, FALSE)-SotY_2024_Results[[#This Row],[Result]], "TBD")</f>
        <v>0</v>
      </c>
      <c r="AL46" s="112" t="str">
        <f ca="1">IF(SotY_2024_Results[[#This Row],[Diff]]&lt;0,"↓",IF(SotY_2024_Results[[#This Row],[Diff]]=0,"-","↑"))</f>
        <v>-</v>
      </c>
    </row>
    <row r="47" spans="1:38">
      <c r="A47" s="197" t="str">
        <f>_xlfn.CONCAT("Seed ", SotY_2024[[#This Row],[Top Seed]], " vs ", SotY_2024[[#This Row],[Low Seed]])</f>
        <v>Seed 19 vs 46</v>
      </c>
      <c r="B47" s="115">
        <v>45</v>
      </c>
      <c r="C47" s="115">
        <f>FLOOR(LOG(SotY_2024[[#This Row],[Num]], 2), 1)</f>
        <v>5</v>
      </c>
      <c r="D47" s="115">
        <f>2^(SotY_2024[[#This Row],[Round]]+1)</f>
        <v>64</v>
      </c>
      <c r="E47" s="115">
        <f>SotY_2024[[#This Row],[Max Seed]]-SotY_2024[[#This Row],[Num]]</f>
        <v>19</v>
      </c>
      <c r="F47" s="115">
        <f>SotY_2024[[#This Row],[Max Seed]]-SotY_2024[[#This Row],[Top Seed]]+1</f>
        <v>46</v>
      </c>
      <c r="G47" s="115" t="b">
        <f>IF(SotY_2024[[#This Row],[Round]]=$C$1, TRUE(), IF(SotY_2024[[#This Row],[Round]]=$B$1, SotY_2024[[#This Row],[Top Seed]]&lt;=2*SotY_2024[[#This Row],[Max Seed]]-$A$1, FALSE()))</f>
        <v>0</v>
      </c>
      <c r="H47" s="115" t="b">
        <f>IF(SotY_2024[[#This Row],[Round]]=$C$1, TRUE(), IF(SotY_2024[[#This Row],[Round]]=$B$1, SotY_2024[[#This Row],[Low Seed]]&lt;=2*SotY_2024[[#This Row],[Max Seed]]-$A$1, FALSE()))</f>
        <v>0</v>
      </c>
      <c r="I47" s="187"/>
      <c r="J47" s="188"/>
      <c r="K47" s="189"/>
      <c r="L47" s="190" t="s">
        <v>4191</v>
      </c>
      <c r="M47" s="191"/>
      <c r="N47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Bossa No Sé</v>
      </c>
      <c r="O47" s="105">
        <f>COUNTIF(SotY_2024[[#This Row],[J]:[H]],"x")</f>
        <v>1</v>
      </c>
      <c r="P47" s="115" t="str">
        <f ca="1">IF(SotY_2024[[#This Row],[Num]]&gt;=$A$1, "-", IF(SotY_2024[[#This Row],[Score 1]]&gt;=3, SotY_2024[[#This Row],[Song 1]], IF(SotY_2024[[#This Row],[Score 2]]&gt;=3, SotY_2024[[#This Row],[Song 2]], "TBD")))</f>
        <v>Chasing The Sun</v>
      </c>
      <c r="Q47" s="193">
        <f>COUNTIF(SotY_2024[[#This Row],[H ]:[J ]],"x")</f>
        <v>4</v>
      </c>
      <c r="R47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Chasing The Sun</v>
      </c>
      <c r="S47" s="191" t="s">
        <v>4191</v>
      </c>
      <c r="T47" s="190"/>
      <c r="U47" s="189" t="s">
        <v>4191</v>
      </c>
      <c r="V47" s="188" t="s">
        <v>4191</v>
      </c>
      <c r="W47" s="198" t="s">
        <v>4191</v>
      </c>
      <c r="X47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47" s="109">
        <f t="shared" si="2"/>
        <v>64</v>
      </c>
      <c r="AA47" s="59">
        <v>45533</v>
      </c>
      <c r="AB47" t="str">
        <v>alappatjoe</v>
      </c>
      <c r="AC47" s="3">
        <v>2.2000000000000002</v>
      </c>
      <c r="AD47" s="3">
        <v>1.1661903789690602</v>
      </c>
      <c r="AE47" t="str">
        <v>Go-Getters</v>
      </c>
      <c r="AF47" t="str">
        <v>Mori Calliope</v>
      </c>
      <c r="AG47" s="100">
        <f t="shared" si="1"/>
        <v>33</v>
      </c>
      <c r="AI47" s="114">
        <f>SotY_2024[[#This Row],[Max Seed]]/2 + 1</f>
        <v>33</v>
      </c>
      <c r="AJ47" s="105" t="str">
        <f ca="1">IF(SotY_2024[[#This Row],[Num]]&gt;=$A$1, "-", IF(SotY_2024[[#This Row],[Score 1]]&gt;=3, SotY_2024[[#This Row],[Song 2]], IF(SotY_2024[[#This Row],[Score 2]]&gt;=3, SotY_2024[[#This Row],[Song 1]], "TBD")))</f>
        <v>Bossa No Sé</v>
      </c>
      <c r="AK47" s="115">
        <f ca="1">IFERROR(VLOOKUP(SotY_2024_Results[[#This Row],[Song Title]], $AE$2:$AG$111, 3, FALSE)-SotY_2024_Results[[#This Row],[Result]], "TBD")</f>
        <v>-16</v>
      </c>
      <c r="AL47" s="112" t="str">
        <f ca="1">IF(SotY_2024_Results[[#This Row],[Diff]]&lt;0,"↓",IF(SotY_2024_Results[[#This Row],[Diff]]=0,"-","↑"))</f>
        <v>↓</v>
      </c>
    </row>
    <row r="48" spans="1:38">
      <c r="A48" s="197" t="str">
        <f>_xlfn.CONCAT("Seed ", SotY_2024[[#This Row],[Top Seed]], " vs ", SotY_2024[[#This Row],[Low Seed]])</f>
        <v>Seed 18 vs 47</v>
      </c>
      <c r="B48" s="115">
        <v>46</v>
      </c>
      <c r="C48" s="115">
        <f>FLOOR(LOG(SotY_2024[[#This Row],[Num]], 2), 1)</f>
        <v>5</v>
      </c>
      <c r="D48" s="115">
        <f>2^(SotY_2024[[#This Row],[Round]]+1)</f>
        <v>64</v>
      </c>
      <c r="E48" s="115">
        <f>SotY_2024[[#This Row],[Max Seed]]-SotY_2024[[#This Row],[Num]]</f>
        <v>18</v>
      </c>
      <c r="F48" s="115">
        <f>SotY_2024[[#This Row],[Max Seed]]-SotY_2024[[#This Row],[Top Seed]]+1</f>
        <v>47</v>
      </c>
      <c r="G48" s="115" t="b">
        <f>IF(SotY_2024[[#This Row],[Round]]=$C$1, TRUE(), IF(SotY_2024[[#This Row],[Round]]=$B$1, SotY_2024[[#This Row],[Top Seed]]&lt;=2*SotY_2024[[#This Row],[Max Seed]]-$A$1, FALSE()))</f>
        <v>1</v>
      </c>
      <c r="H48" s="115" t="b">
        <f>IF(SotY_2024[[#This Row],[Round]]=$C$1, TRUE(), IF(SotY_2024[[#This Row],[Round]]=$B$1, SotY_2024[[#This Row],[Low Seed]]&lt;=2*SotY_2024[[#This Row],[Max Seed]]-$A$1, FALSE()))</f>
        <v>0</v>
      </c>
      <c r="I48" s="187" t="s">
        <v>4191</v>
      </c>
      <c r="J48" s="188" t="s">
        <v>4191</v>
      </c>
      <c r="K48" s="189"/>
      <c r="L48" s="190" t="s">
        <v>4191</v>
      </c>
      <c r="M48" s="191" t="s">
        <v>4191</v>
      </c>
      <c r="N48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Great Escape</v>
      </c>
      <c r="O48" s="105">
        <f>COUNTIF(SotY_2024[[#This Row],[J]:[H]],"x")</f>
        <v>4</v>
      </c>
      <c r="P48" s="115" t="str">
        <f ca="1">IF(SotY_2024[[#This Row],[Num]]&gt;=$A$1, "-", IF(SotY_2024[[#This Row],[Score 1]]&gt;=3, SotY_2024[[#This Row],[Song 1]], IF(SotY_2024[[#This Row],[Score 2]]&gt;=3, SotY_2024[[#This Row],[Song 2]], "TBD")))</f>
        <v>Great Escape</v>
      </c>
      <c r="Q48" s="193">
        <f>COUNTIF(SotY_2024[[#This Row],[H ]:[J ]],"x")</f>
        <v>1</v>
      </c>
      <c r="R48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Boulevard of Broken Dreams</v>
      </c>
      <c r="S48" s="191"/>
      <c r="T48" s="190"/>
      <c r="U48" s="189" t="s">
        <v>4191</v>
      </c>
      <c r="V48" s="188"/>
      <c r="W48" s="198"/>
      <c r="X48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48" s="109">
        <f t="shared" si="2"/>
        <v>75</v>
      </c>
      <c r="AA48" s="59">
        <v>45537</v>
      </c>
      <c r="AB48" t="str">
        <v>loganworsdell</v>
      </c>
      <c r="AC48" s="3">
        <v>2.4</v>
      </c>
      <c r="AD48" s="3">
        <v>0.4898979485566356</v>
      </c>
      <c r="AE48" t="str">
        <v>Single Again</v>
      </c>
      <c r="AF48" t="str">
        <v>Big Sean</v>
      </c>
      <c r="AG48" s="100">
        <f t="shared" si="1"/>
        <v>65</v>
      </c>
      <c r="AI48" s="114">
        <f>SotY_2024[[#This Row],[Max Seed]]/2 + 1</f>
        <v>33</v>
      </c>
      <c r="AJ48" s="105" t="str">
        <f ca="1">IF(SotY_2024[[#This Row],[Num]]&gt;=$A$1, "-", IF(SotY_2024[[#This Row],[Score 1]]&gt;=3, SotY_2024[[#This Row],[Song 2]], IF(SotY_2024[[#This Row],[Score 2]]&gt;=3, SotY_2024[[#This Row],[Song 1]], "TBD")))</f>
        <v>Boulevard of Broken Dreams</v>
      </c>
      <c r="AK48" s="115">
        <f ca="1">IFERROR(VLOOKUP(SotY_2024_Results[[#This Row],[Song Title]], $AE$2:$AG$111, 3, FALSE)-SotY_2024_Results[[#This Row],[Result]], "TBD")</f>
        <v>0</v>
      </c>
      <c r="AL48" s="112" t="str">
        <f ca="1">IF(SotY_2024_Results[[#This Row],[Diff]]&lt;0,"↓",IF(SotY_2024_Results[[#This Row],[Diff]]=0,"-","↑"))</f>
        <v>-</v>
      </c>
    </row>
    <row r="49" spans="1:38">
      <c r="A49" s="197" t="str">
        <f>_xlfn.CONCAT("Seed ", SotY_2024[[#This Row],[Top Seed]], " vs ", SotY_2024[[#This Row],[Low Seed]])</f>
        <v>Seed 17 vs 48</v>
      </c>
      <c r="B49" s="115">
        <v>47</v>
      </c>
      <c r="C49" s="115">
        <f>FLOOR(LOG(SotY_2024[[#This Row],[Num]], 2), 1)</f>
        <v>5</v>
      </c>
      <c r="D49" s="115">
        <f>2^(SotY_2024[[#This Row],[Round]]+1)</f>
        <v>64</v>
      </c>
      <c r="E49" s="115">
        <f>SotY_2024[[#This Row],[Max Seed]]-SotY_2024[[#This Row],[Num]]</f>
        <v>17</v>
      </c>
      <c r="F49" s="115">
        <f>SotY_2024[[#This Row],[Max Seed]]-SotY_2024[[#This Row],[Top Seed]]+1</f>
        <v>48</v>
      </c>
      <c r="G49" s="115" t="b">
        <f>IF(SotY_2024[[#This Row],[Round]]=$C$1, TRUE(), IF(SotY_2024[[#This Row],[Round]]=$B$1, SotY_2024[[#This Row],[Top Seed]]&lt;=2*SotY_2024[[#This Row],[Max Seed]]-$A$1, FALSE()))</f>
        <v>1</v>
      </c>
      <c r="H49" s="115" t="b">
        <f>IF(SotY_2024[[#This Row],[Round]]=$C$1, TRUE(), IF(SotY_2024[[#This Row],[Round]]=$B$1, SotY_2024[[#This Row],[Low Seed]]&lt;=2*SotY_2024[[#This Row],[Max Seed]]-$A$1, FALSE()))</f>
        <v>0</v>
      </c>
      <c r="I49" s="187" t="s">
        <v>4191</v>
      </c>
      <c r="J49" s="188" t="s">
        <v>4191</v>
      </c>
      <c r="K49" s="189" t="s">
        <v>4191</v>
      </c>
      <c r="L49" s="190" t="s">
        <v>4191</v>
      </c>
      <c r="M49" s="191"/>
      <c r="N49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Candle Flame</v>
      </c>
      <c r="O49" s="105">
        <f>COUNTIF(SotY_2024[[#This Row],[J]:[H]],"x")</f>
        <v>4</v>
      </c>
      <c r="P49" s="115" t="str">
        <f ca="1">IF(SotY_2024[[#This Row],[Num]]&gt;=$A$1, "-", IF(SotY_2024[[#This Row],[Score 1]]&gt;=3, SotY_2024[[#This Row],[Song 1]], IF(SotY_2024[[#This Row],[Score 2]]&gt;=3, SotY_2024[[#This Row],[Song 2]], "TBD")))</f>
        <v>Candle Flame</v>
      </c>
      <c r="Q49" s="193">
        <f>COUNTIF(SotY_2024[[#This Row],[H ]:[J ]],"x")</f>
        <v>1</v>
      </c>
      <c r="R49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Blinding Lights</v>
      </c>
      <c r="S49" s="191" t="s">
        <v>4191</v>
      </c>
      <c r="T49" s="190"/>
      <c r="U49" s="189"/>
      <c r="V49" s="188"/>
      <c r="W49" s="198"/>
      <c r="X49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49" s="109">
        <f t="shared" si="2"/>
        <v>88</v>
      </c>
      <c r="AA49" s="59">
        <v>45538</v>
      </c>
      <c r="AB49" t="str">
        <v>alappatjoe</v>
      </c>
      <c r="AC49" s="3">
        <v>2.4</v>
      </c>
      <c r="AD49" s="3">
        <v>1.4966629547095767</v>
      </c>
      <c r="AE49" t="str">
        <v>Lady Writer</v>
      </c>
      <c r="AF49" t="str">
        <v>Dire Straits</v>
      </c>
      <c r="AG49" s="100">
        <f t="shared" si="1"/>
        <v>65</v>
      </c>
      <c r="AI49" s="114">
        <f>SotY_2024[[#This Row],[Max Seed]]/2 + 1</f>
        <v>33</v>
      </c>
      <c r="AJ49" s="105" t="str">
        <f ca="1">IF(SotY_2024[[#This Row],[Num]]&gt;=$A$1, "-", IF(SotY_2024[[#This Row],[Score 1]]&gt;=3, SotY_2024[[#This Row],[Song 2]], IF(SotY_2024[[#This Row],[Score 2]]&gt;=3, SotY_2024[[#This Row],[Song 1]], "TBD")))</f>
        <v>Blinding Lights</v>
      </c>
      <c r="AK49" s="115">
        <f ca="1">IFERROR(VLOOKUP(SotY_2024_Results[[#This Row],[Song Title]], $AE$2:$AG$111, 3, FALSE)-SotY_2024_Results[[#This Row],[Result]], "TBD")</f>
        <v>0</v>
      </c>
      <c r="AL49" s="112" t="str">
        <f ca="1">IF(SotY_2024_Results[[#This Row],[Diff]]&lt;0,"↓",IF(SotY_2024_Results[[#This Row],[Diff]]=0,"-","↑"))</f>
        <v>-</v>
      </c>
    </row>
    <row r="50" spans="1:38">
      <c r="A50" s="197" t="str">
        <f>_xlfn.CONCAT("Seed ", SotY_2024[[#This Row],[Top Seed]], " vs ", SotY_2024[[#This Row],[Low Seed]])</f>
        <v>Seed 16 vs 49</v>
      </c>
      <c r="B50" s="115">
        <v>48</v>
      </c>
      <c r="C50" s="115">
        <f>FLOOR(LOG(SotY_2024[[#This Row],[Num]], 2), 1)</f>
        <v>5</v>
      </c>
      <c r="D50" s="115">
        <f>2^(SotY_2024[[#This Row],[Round]]+1)</f>
        <v>64</v>
      </c>
      <c r="E50" s="115">
        <f>SotY_2024[[#This Row],[Max Seed]]-SotY_2024[[#This Row],[Num]]</f>
        <v>16</v>
      </c>
      <c r="F50" s="115">
        <f>SotY_2024[[#This Row],[Max Seed]]-SotY_2024[[#This Row],[Top Seed]]+1</f>
        <v>49</v>
      </c>
      <c r="G50" s="115" t="b">
        <f>IF(SotY_2024[[#This Row],[Round]]=$C$1, TRUE(), IF(SotY_2024[[#This Row],[Round]]=$B$1, SotY_2024[[#This Row],[Top Seed]]&lt;=2*SotY_2024[[#This Row],[Max Seed]]-$A$1, FALSE()))</f>
        <v>1</v>
      </c>
      <c r="H50" s="115" t="b">
        <f>IF(SotY_2024[[#This Row],[Round]]=$C$1, TRUE(), IF(SotY_2024[[#This Row],[Round]]=$B$1, SotY_2024[[#This Row],[Low Seed]]&lt;=2*SotY_2024[[#This Row],[Max Seed]]-$A$1, FALSE()))</f>
        <v>0</v>
      </c>
      <c r="I50" s="187"/>
      <c r="J50" s="188" t="s">
        <v>4191</v>
      </c>
      <c r="K50" s="189" t="s">
        <v>4191</v>
      </c>
      <c r="L50" s="190" t="s">
        <v>4191</v>
      </c>
      <c r="M50" s="191"/>
      <c r="N50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The Number You Have Dialed Is Not in Service</v>
      </c>
      <c r="O50" s="105">
        <f>COUNTIF(SotY_2024[[#This Row],[J]:[H]],"x")</f>
        <v>3</v>
      </c>
      <c r="P50" s="115" t="str">
        <f ca="1">IF(SotY_2024[[#This Row],[Num]]&gt;=$A$1, "-", IF(SotY_2024[[#This Row],[Score 1]]&gt;=3, SotY_2024[[#This Row],[Song 1]], IF(SotY_2024[[#This Row],[Score 2]]&gt;=3, SotY_2024[[#This Row],[Song 2]], "TBD")))</f>
        <v>The Number You Have Dialed Is Not in Service</v>
      </c>
      <c r="Q50" s="193">
        <f>COUNTIF(SotY_2024[[#This Row],[H ]:[J ]],"x")</f>
        <v>2</v>
      </c>
      <c r="R50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Party Monster</v>
      </c>
      <c r="S50" s="191" t="s">
        <v>4191</v>
      </c>
      <c r="T50" s="190"/>
      <c r="U50" s="189"/>
      <c r="V50" s="188"/>
      <c r="W50" s="198" t="s">
        <v>4191</v>
      </c>
      <c r="X50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50" s="109">
        <f t="shared" si="2"/>
        <v>96</v>
      </c>
      <c r="AA50" s="59">
        <v>45539</v>
      </c>
      <c r="AB50" t="str">
        <v>samuelbattista</v>
      </c>
      <c r="AC50" s="3">
        <v>2.6</v>
      </c>
      <c r="AD50" s="3">
        <v>1.019803902718557</v>
      </c>
      <c r="AE50" t="str">
        <v>Real Love Baby</v>
      </c>
      <c r="AF50" t="str">
        <v>Father John Misty</v>
      </c>
      <c r="AG50" s="100">
        <f t="shared" si="1"/>
        <v>65</v>
      </c>
      <c r="AI50" s="114">
        <f>SotY_2024[[#This Row],[Max Seed]]/2 + 1</f>
        <v>33</v>
      </c>
      <c r="AJ50" s="105" t="str">
        <f ca="1">IF(SotY_2024[[#This Row],[Num]]&gt;=$A$1, "-", IF(SotY_2024[[#This Row],[Score 1]]&gt;=3, SotY_2024[[#This Row],[Song 2]], IF(SotY_2024[[#This Row],[Score 2]]&gt;=3, SotY_2024[[#This Row],[Song 1]], "TBD")))</f>
        <v>Party Monster</v>
      </c>
      <c r="AK50" s="115">
        <f ca="1">IFERROR(VLOOKUP(SotY_2024_Results[[#This Row],[Song Title]], $AE$2:$AG$111, 3, FALSE)-SotY_2024_Results[[#This Row],[Result]], "TBD")</f>
        <v>32</v>
      </c>
      <c r="AL50" s="112" t="str">
        <f ca="1">IF(SotY_2024_Results[[#This Row],[Diff]]&lt;0,"↓",IF(SotY_2024_Results[[#This Row],[Diff]]=0,"-","↑"))</f>
        <v>↑</v>
      </c>
    </row>
    <row r="51" spans="1:38">
      <c r="A51" s="197" t="str">
        <f>_xlfn.CONCAT("Seed ", SotY_2024[[#This Row],[Top Seed]], " vs ", SotY_2024[[#This Row],[Low Seed]])</f>
        <v>Seed 15 vs 50</v>
      </c>
      <c r="B51" s="115">
        <v>49</v>
      </c>
      <c r="C51" s="115">
        <f>FLOOR(LOG(SotY_2024[[#This Row],[Num]], 2), 1)</f>
        <v>5</v>
      </c>
      <c r="D51" s="115">
        <f>2^(SotY_2024[[#This Row],[Round]]+1)</f>
        <v>64</v>
      </c>
      <c r="E51" s="115">
        <f>SotY_2024[[#This Row],[Max Seed]]-SotY_2024[[#This Row],[Num]]</f>
        <v>15</v>
      </c>
      <c r="F51" s="115">
        <f>SotY_2024[[#This Row],[Max Seed]]-SotY_2024[[#This Row],[Top Seed]]+1</f>
        <v>50</v>
      </c>
      <c r="G51" s="115" t="b">
        <f>IF(SotY_2024[[#This Row],[Round]]=$C$1, TRUE(), IF(SotY_2024[[#This Row],[Round]]=$B$1, SotY_2024[[#This Row],[Top Seed]]&lt;=2*SotY_2024[[#This Row],[Max Seed]]-$A$1, FALSE()))</f>
        <v>1</v>
      </c>
      <c r="H51" s="115" t="b">
        <f>IF(SotY_2024[[#This Row],[Round]]=$C$1, TRUE(), IF(SotY_2024[[#This Row],[Round]]=$B$1, SotY_2024[[#This Row],[Low Seed]]&lt;=2*SotY_2024[[#This Row],[Max Seed]]-$A$1, FALSE()))</f>
        <v>0</v>
      </c>
      <c r="I51" s="187" t="s">
        <v>4191</v>
      </c>
      <c r="J51" s="188" t="s">
        <v>4191</v>
      </c>
      <c r="K51" s="189"/>
      <c r="L51" s="190"/>
      <c r="M51" s="191" t="s">
        <v>4191</v>
      </c>
      <c r="N51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Kiss Me Thru The Phone</v>
      </c>
      <c r="O51" s="105">
        <f>COUNTIF(SotY_2024[[#This Row],[J]:[H]],"x")</f>
        <v>3</v>
      </c>
      <c r="P51" s="115" t="str">
        <f ca="1">IF(SotY_2024[[#This Row],[Num]]&gt;=$A$1, "-", IF(SotY_2024[[#This Row],[Score 1]]&gt;=3, SotY_2024[[#This Row],[Song 1]], IF(SotY_2024[[#This Row],[Score 2]]&gt;=3, SotY_2024[[#This Row],[Song 2]], "TBD")))</f>
        <v>Kiss Me Thru The Phone</v>
      </c>
      <c r="Q51" s="193">
        <f>COUNTIF(SotY_2024[[#This Row],[H ]:[J ]],"x")</f>
        <v>2</v>
      </c>
      <c r="R51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Granite</v>
      </c>
      <c r="S51" s="191"/>
      <c r="T51" s="190" t="s">
        <v>4191</v>
      </c>
      <c r="U51" s="189" t="s">
        <v>4191</v>
      </c>
      <c r="V51" s="188"/>
      <c r="W51" s="198"/>
      <c r="X51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51" s="109">
        <f t="shared" si="2"/>
        <v>78</v>
      </c>
      <c r="AA51" s="59">
        <v>45540</v>
      </c>
      <c r="AB51" t="str">
        <v>currydestroyer27</v>
      </c>
      <c r="AC51" s="3">
        <v>2.4</v>
      </c>
      <c r="AD51" s="3">
        <v>0.8</v>
      </c>
      <c r="AE51" t="str">
        <v>Don't Stop The Music</v>
      </c>
      <c r="AF51" t="str">
        <v>Rihanna</v>
      </c>
      <c r="AG51" s="100">
        <f t="shared" si="1"/>
        <v>65</v>
      </c>
      <c r="AI51" s="114">
        <f>SotY_2024[[#This Row],[Max Seed]]/2 + 1</f>
        <v>33</v>
      </c>
      <c r="AJ51" s="105" t="str">
        <f ca="1">IF(SotY_2024[[#This Row],[Num]]&gt;=$A$1, "-", IF(SotY_2024[[#This Row],[Score 1]]&gt;=3, SotY_2024[[#This Row],[Song 2]], IF(SotY_2024[[#This Row],[Score 2]]&gt;=3, SotY_2024[[#This Row],[Song 1]], "TBD")))</f>
        <v>Granite</v>
      </c>
      <c r="AK51" s="115">
        <f ca="1">IFERROR(VLOOKUP(SotY_2024_Results[[#This Row],[Song Title]], $AE$2:$AG$111, 3, FALSE)-SotY_2024_Results[[#This Row],[Result]], "TBD")</f>
        <v>32</v>
      </c>
      <c r="AL51" s="112" t="str">
        <f ca="1">IF(SotY_2024_Results[[#This Row],[Diff]]&lt;0,"↓",IF(SotY_2024_Results[[#This Row],[Diff]]=0,"-","↑"))</f>
        <v>↑</v>
      </c>
    </row>
    <row r="52" spans="1:38">
      <c r="A52" s="197" t="str">
        <f>_xlfn.CONCAT("Seed ", SotY_2024[[#This Row],[Top Seed]], " vs ", SotY_2024[[#This Row],[Low Seed]])</f>
        <v>Seed 14 vs 51</v>
      </c>
      <c r="B52" s="115">
        <v>50</v>
      </c>
      <c r="C52" s="115">
        <f>FLOOR(LOG(SotY_2024[[#This Row],[Num]], 2), 1)</f>
        <v>5</v>
      </c>
      <c r="D52" s="115">
        <f>2^(SotY_2024[[#This Row],[Round]]+1)</f>
        <v>64</v>
      </c>
      <c r="E52" s="115">
        <f>SotY_2024[[#This Row],[Max Seed]]-SotY_2024[[#This Row],[Num]]</f>
        <v>14</v>
      </c>
      <c r="F52" s="115">
        <f>SotY_2024[[#This Row],[Max Seed]]-SotY_2024[[#This Row],[Top Seed]]+1</f>
        <v>51</v>
      </c>
      <c r="G52" s="115" t="b">
        <f>IF(SotY_2024[[#This Row],[Round]]=$C$1, TRUE(), IF(SotY_2024[[#This Row],[Round]]=$B$1, SotY_2024[[#This Row],[Top Seed]]&lt;=2*SotY_2024[[#This Row],[Max Seed]]-$A$1, FALSE()))</f>
        <v>1</v>
      </c>
      <c r="H52" s="115" t="b">
        <f>IF(SotY_2024[[#This Row],[Round]]=$C$1, TRUE(), IF(SotY_2024[[#This Row],[Round]]=$B$1, SotY_2024[[#This Row],[Low Seed]]&lt;=2*SotY_2024[[#This Row],[Max Seed]]-$A$1, FALSE()))</f>
        <v>0</v>
      </c>
      <c r="I52" s="187" t="s">
        <v>4191</v>
      </c>
      <c r="J52" s="188"/>
      <c r="K52" s="189"/>
      <c r="L52" s="190"/>
      <c r="M52" s="191"/>
      <c r="N52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Greedy</v>
      </c>
      <c r="O52" s="105">
        <f>COUNTIF(SotY_2024[[#This Row],[J]:[H]],"x")</f>
        <v>1</v>
      </c>
      <c r="P52" s="115" t="str">
        <f ca="1">IF(SotY_2024[[#This Row],[Num]]&gt;=$A$1, "-", IF(SotY_2024[[#This Row],[Score 1]]&gt;=3, SotY_2024[[#This Row],[Song 1]], IF(SotY_2024[[#This Row],[Score 2]]&gt;=3, SotY_2024[[#This Row],[Song 2]], "TBD")))</f>
        <v>Mystery Lady</v>
      </c>
      <c r="Q52" s="193">
        <f>COUNTIF(SotY_2024[[#This Row],[H ]:[J ]],"x")</f>
        <v>4</v>
      </c>
      <c r="R52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Mystery Lady</v>
      </c>
      <c r="S52" s="191" t="s">
        <v>4191</v>
      </c>
      <c r="T52" s="190" t="s">
        <v>4191</v>
      </c>
      <c r="U52" s="189" t="s">
        <v>4191</v>
      </c>
      <c r="V52" s="188" t="s">
        <v>4191</v>
      </c>
      <c r="W52" s="198"/>
      <c r="X52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52" s="109">
        <f t="shared" si="2"/>
        <v>91</v>
      </c>
      <c r="AA52" s="59">
        <v>45544</v>
      </c>
      <c r="AB52" t="str">
        <v>samuelbattista</v>
      </c>
      <c r="AC52" s="3">
        <v>2.6</v>
      </c>
      <c r="AD52" s="3">
        <v>0.8</v>
      </c>
      <c r="AE52" t="str">
        <v>Seventh Heaven</v>
      </c>
      <c r="AF52" t="str">
        <v>INOHA</v>
      </c>
      <c r="AG52" s="100">
        <f t="shared" si="1"/>
        <v>65</v>
      </c>
      <c r="AI52" s="114">
        <f>SotY_2024[[#This Row],[Max Seed]]/2 + 1</f>
        <v>33</v>
      </c>
      <c r="AJ52" s="105" t="str">
        <f ca="1">IF(SotY_2024[[#This Row],[Num]]&gt;=$A$1, "-", IF(SotY_2024[[#This Row],[Score 1]]&gt;=3, SotY_2024[[#This Row],[Song 2]], IF(SotY_2024[[#This Row],[Score 2]]&gt;=3, SotY_2024[[#This Row],[Song 1]], "TBD")))</f>
        <v>Greedy</v>
      </c>
      <c r="AK52" s="115">
        <f ca="1">IFERROR(VLOOKUP(SotY_2024_Results[[#This Row],[Song Title]], $AE$2:$AG$111, 3, FALSE)-SotY_2024_Results[[#This Row],[Result]], "TBD")</f>
        <v>-24</v>
      </c>
      <c r="AL52" s="112" t="str">
        <f ca="1">IF(SotY_2024_Results[[#This Row],[Diff]]&lt;0,"↓",IF(SotY_2024_Results[[#This Row],[Diff]]=0,"-","↑"))</f>
        <v>↓</v>
      </c>
    </row>
    <row r="53" spans="1:38">
      <c r="A53" s="197" t="str">
        <f>_xlfn.CONCAT("Seed ", SotY_2024[[#This Row],[Top Seed]], " vs ", SotY_2024[[#This Row],[Low Seed]])</f>
        <v>Seed 13 vs 52</v>
      </c>
      <c r="B53" s="115">
        <v>51</v>
      </c>
      <c r="C53" s="115">
        <f>FLOOR(LOG(SotY_2024[[#This Row],[Num]], 2), 1)</f>
        <v>5</v>
      </c>
      <c r="D53" s="115">
        <f>2^(SotY_2024[[#This Row],[Round]]+1)</f>
        <v>64</v>
      </c>
      <c r="E53" s="115">
        <f>SotY_2024[[#This Row],[Max Seed]]-SotY_2024[[#This Row],[Num]]</f>
        <v>13</v>
      </c>
      <c r="F53" s="115">
        <f>SotY_2024[[#This Row],[Max Seed]]-SotY_2024[[#This Row],[Top Seed]]+1</f>
        <v>52</v>
      </c>
      <c r="G53" s="115" t="b">
        <f>IF(SotY_2024[[#This Row],[Round]]=$C$1, TRUE(), IF(SotY_2024[[#This Row],[Round]]=$B$1, SotY_2024[[#This Row],[Top Seed]]&lt;=2*SotY_2024[[#This Row],[Max Seed]]-$A$1, FALSE()))</f>
        <v>1</v>
      </c>
      <c r="H53" s="115" t="b">
        <f>IF(SotY_2024[[#This Row],[Round]]=$C$1, TRUE(), IF(SotY_2024[[#This Row],[Round]]=$B$1, SotY_2024[[#This Row],[Low Seed]]&lt;=2*SotY_2024[[#This Row],[Max Seed]]-$A$1, FALSE()))</f>
        <v>0</v>
      </c>
      <c r="I53" s="187"/>
      <c r="J53" s="188"/>
      <c r="K53" s="189"/>
      <c r="L53" s="190" t="s">
        <v>4191</v>
      </c>
      <c r="M53" s="191" t="s">
        <v>4191</v>
      </c>
      <c r="N53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Annihilate</v>
      </c>
      <c r="O53" s="105">
        <f>COUNTIF(SotY_2024[[#This Row],[J]:[H]],"x")</f>
        <v>2</v>
      </c>
      <c r="P53" s="115" t="str">
        <f ca="1">IF(SotY_2024[[#This Row],[Num]]&gt;=$A$1, "-", IF(SotY_2024[[#This Row],[Score 1]]&gt;=3, SotY_2024[[#This Row],[Song 1]], IF(SotY_2024[[#This Row],[Score 2]]&gt;=3, SotY_2024[[#This Row],[Song 2]], "TBD")))</f>
        <v>princess peach</v>
      </c>
      <c r="Q53" s="193">
        <f>COUNTIF(SotY_2024[[#This Row],[H ]:[J ]],"x")</f>
        <v>3</v>
      </c>
      <c r="R53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princess peach</v>
      </c>
      <c r="S53" s="191"/>
      <c r="T53" s="190"/>
      <c r="U53" s="189" t="s">
        <v>4191</v>
      </c>
      <c r="V53" s="188" t="s">
        <v>4191</v>
      </c>
      <c r="W53" s="198" t="s">
        <v>4191</v>
      </c>
      <c r="X53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53" s="109">
        <f t="shared" si="2"/>
        <v>25</v>
      </c>
      <c r="AA53" s="59">
        <v>45545</v>
      </c>
      <c r="AB53" t="str">
        <v>danram</v>
      </c>
      <c r="AC53" s="3">
        <v>1.8</v>
      </c>
      <c r="AD53" s="3">
        <v>0.9797958971132712</v>
      </c>
      <c r="AE53" t="str">
        <v>Feel the Fiyaaaaah</v>
      </c>
      <c r="AF53" t="str">
        <v>Metro Boomin, A$AP Rocky, Takeoff</v>
      </c>
      <c r="AG53" s="100">
        <f t="shared" si="1"/>
        <v>17</v>
      </c>
      <c r="AI53" s="114">
        <f>SotY_2024[[#This Row],[Max Seed]]/2 + 1</f>
        <v>33</v>
      </c>
      <c r="AJ53" s="105" t="str">
        <f ca="1">IF(SotY_2024[[#This Row],[Num]]&gt;=$A$1, "-", IF(SotY_2024[[#This Row],[Score 1]]&gt;=3, SotY_2024[[#This Row],[Song 2]], IF(SotY_2024[[#This Row],[Score 2]]&gt;=3, SotY_2024[[#This Row],[Song 1]], "TBD")))</f>
        <v>Annihilate</v>
      </c>
      <c r="AK53" s="115">
        <f ca="1">IFERROR(VLOOKUP(SotY_2024_Results[[#This Row],[Song Title]], $AE$2:$AG$111, 3, FALSE)-SotY_2024_Results[[#This Row],[Result]], "TBD")</f>
        <v>-24</v>
      </c>
      <c r="AL53" s="112" t="str">
        <f ca="1">IF(SotY_2024_Results[[#This Row],[Diff]]&lt;0,"↓",IF(SotY_2024_Results[[#This Row],[Diff]]=0,"-","↑"))</f>
        <v>↓</v>
      </c>
    </row>
    <row r="54" spans="1:38">
      <c r="A54" s="197" t="str">
        <f>_xlfn.CONCAT("Seed ", SotY_2024[[#This Row],[Top Seed]], " vs ", SotY_2024[[#This Row],[Low Seed]])</f>
        <v>Seed 12 vs 53</v>
      </c>
      <c r="B54" s="115">
        <v>52</v>
      </c>
      <c r="C54" s="115">
        <f>FLOOR(LOG(SotY_2024[[#This Row],[Num]], 2), 1)</f>
        <v>5</v>
      </c>
      <c r="D54" s="115">
        <f>2^(SotY_2024[[#This Row],[Round]]+1)</f>
        <v>64</v>
      </c>
      <c r="E54" s="115">
        <f>SotY_2024[[#This Row],[Max Seed]]-SotY_2024[[#This Row],[Num]]</f>
        <v>12</v>
      </c>
      <c r="F54" s="115">
        <f>SotY_2024[[#This Row],[Max Seed]]-SotY_2024[[#This Row],[Top Seed]]+1</f>
        <v>53</v>
      </c>
      <c r="G54" s="115" t="b">
        <f>IF(SotY_2024[[#This Row],[Round]]=$C$1, TRUE(), IF(SotY_2024[[#This Row],[Round]]=$B$1, SotY_2024[[#This Row],[Top Seed]]&lt;=2*SotY_2024[[#This Row],[Max Seed]]-$A$1, FALSE()))</f>
        <v>1</v>
      </c>
      <c r="H54" s="115" t="b">
        <f>IF(SotY_2024[[#This Row],[Round]]=$C$1, TRUE(), IF(SotY_2024[[#This Row],[Round]]=$B$1, SotY_2024[[#This Row],[Low Seed]]&lt;=2*SotY_2024[[#This Row],[Max Seed]]-$A$1, FALSE()))</f>
        <v>0</v>
      </c>
      <c r="I54" s="187" t="s">
        <v>4191</v>
      </c>
      <c r="J54" s="188" t="s">
        <v>4191</v>
      </c>
      <c r="K54" s="189" t="s">
        <v>4191</v>
      </c>
      <c r="L54" s="190" t="s">
        <v>4191</v>
      </c>
      <c r="M54" s="191"/>
      <c r="N54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Espresso</v>
      </c>
      <c r="O54" s="105">
        <f>COUNTIF(SotY_2024[[#This Row],[J]:[H]],"x")</f>
        <v>4</v>
      </c>
      <c r="P54" s="115" t="str">
        <f ca="1">IF(SotY_2024[[#This Row],[Num]]&gt;=$A$1, "-", IF(SotY_2024[[#This Row],[Score 1]]&gt;=3, SotY_2024[[#This Row],[Song 1]], IF(SotY_2024[[#This Row],[Score 2]]&gt;=3, SotY_2024[[#This Row],[Song 2]], "TBD")))</f>
        <v>Espresso</v>
      </c>
      <c r="Q54" s="193">
        <f>COUNTIF(SotY_2024[[#This Row],[H ]:[J ]],"x")</f>
        <v>1</v>
      </c>
      <c r="R54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Otaku Hot Girl</v>
      </c>
      <c r="S54" s="191" t="s">
        <v>4191</v>
      </c>
      <c r="T54" s="190"/>
      <c r="U54" s="189"/>
      <c r="V54" s="188"/>
      <c r="W54" s="198"/>
      <c r="X54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54" s="109">
        <f t="shared" si="2"/>
        <v>26</v>
      </c>
      <c r="AA54" s="59">
        <v>45546</v>
      </c>
      <c r="AB54" t="str">
        <v>danram</v>
      </c>
      <c r="AC54" s="3">
        <v>1.8</v>
      </c>
      <c r="AD54" s="3">
        <v>0.9797958971132712</v>
      </c>
      <c r="AE54" t="str">
        <v>夜に駆ける</v>
      </c>
      <c r="AF54" t="str">
        <v>Yoasobi</v>
      </c>
      <c r="AG54" s="100">
        <f t="shared" si="1"/>
        <v>17</v>
      </c>
      <c r="AI54" s="114">
        <f>SotY_2024[[#This Row],[Max Seed]]/2 + 1</f>
        <v>33</v>
      </c>
      <c r="AJ54" s="105" t="str">
        <f ca="1">IF(SotY_2024[[#This Row],[Num]]&gt;=$A$1, "-", IF(SotY_2024[[#This Row],[Score 1]]&gt;=3, SotY_2024[[#This Row],[Song 2]], IF(SotY_2024[[#This Row],[Score 2]]&gt;=3, SotY_2024[[#This Row],[Song 1]], "TBD")))</f>
        <v>Otaku Hot Girl</v>
      </c>
      <c r="AK54" s="115">
        <f ca="1">IFERROR(VLOOKUP(SotY_2024_Results[[#This Row],[Song Title]], $AE$2:$AG$111, 3, FALSE)-SotY_2024_Results[[#This Row],[Result]], "TBD")</f>
        <v>32</v>
      </c>
      <c r="AL54" s="112" t="str">
        <f ca="1">IF(SotY_2024_Results[[#This Row],[Diff]]&lt;0,"↓",IF(SotY_2024_Results[[#This Row],[Diff]]=0,"-","↑"))</f>
        <v>↑</v>
      </c>
    </row>
    <row r="55" spans="1:38">
      <c r="A55" s="197" t="str">
        <f>_xlfn.CONCAT("Seed ", SotY_2024[[#This Row],[Top Seed]], " vs ", SotY_2024[[#This Row],[Low Seed]])</f>
        <v>Seed 11 vs 54</v>
      </c>
      <c r="B55" s="115">
        <v>53</v>
      </c>
      <c r="C55" s="115">
        <f>FLOOR(LOG(SotY_2024[[#This Row],[Num]], 2), 1)</f>
        <v>5</v>
      </c>
      <c r="D55" s="115">
        <f>2^(SotY_2024[[#This Row],[Round]]+1)</f>
        <v>64</v>
      </c>
      <c r="E55" s="115">
        <f>SotY_2024[[#This Row],[Max Seed]]-SotY_2024[[#This Row],[Num]]</f>
        <v>11</v>
      </c>
      <c r="F55" s="115">
        <f>SotY_2024[[#This Row],[Max Seed]]-SotY_2024[[#This Row],[Top Seed]]+1</f>
        <v>54</v>
      </c>
      <c r="G55" s="115" t="b">
        <f>IF(SotY_2024[[#This Row],[Round]]=$C$1, TRUE(), IF(SotY_2024[[#This Row],[Round]]=$B$1, SotY_2024[[#This Row],[Top Seed]]&lt;=2*SotY_2024[[#This Row],[Max Seed]]-$A$1, FALSE()))</f>
        <v>1</v>
      </c>
      <c r="H55" s="115" t="b">
        <f>IF(SotY_2024[[#This Row],[Round]]=$C$1, TRUE(), IF(SotY_2024[[#This Row],[Round]]=$B$1, SotY_2024[[#This Row],[Low Seed]]&lt;=2*SotY_2024[[#This Row],[Max Seed]]-$A$1, FALSE()))</f>
        <v>0</v>
      </c>
      <c r="I55" s="187" t="s">
        <v>4191</v>
      </c>
      <c r="J55" s="188" t="s">
        <v>4191</v>
      </c>
      <c r="K55" s="189" t="s">
        <v>4191</v>
      </c>
      <c r="L55" s="190" t="s">
        <v>4191</v>
      </c>
      <c r="M55" s="191" t="s">
        <v>4191</v>
      </c>
      <c r="N55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Closer</v>
      </c>
      <c r="O55" s="105">
        <f>COUNTIF(SotY_2024[[#This Row],[J]:[H]],"x")</f>
        <v>5</v>
      </c>
      <c r="P55" s="115" t="str">
        <f ca="1">IF(SotY_2024[[#This Row],[Num]]&gt;=$A$1, "-", IF(SotY_2024[[#This Row],[Score 1]]&gt;=3, SotY_2024[[#This Row],[Song 1]], IF(SotY_2024[[#This Row],[Score 2]]&gt;=3, SotY_2024[[#This Row],[Song 2]], "TBD")))</f>
        <v>Closer</v>
      </c>
      <c r="Q55" s="193">
        <f>COUNTIF(SotY_2024[[#This Row],[H ]:[J ]],"x")</f>
        <v>0</v>
      </c>
      <c r="R55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Mon Amour - Remix</v>
      </c>
      <c r="S55" s="191"/>
      <c r="T55" s="190"/>
      <c r="U55" s="189"/>
      <c r="V55" s="188"/>
      <c r="W55" s="198"/>
      <c r="X55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55" s="109">
        <f t="shared" si="2"/>
        <v>4</v>
      </c>
      <c r="AA55" s="59">
        <v>45547</v>
      </c>
      <c r="AB55" t="str">
        <v>samuelbattista</v>
      </c>
      <c r="AC55" s="3">
        <v>1.4</v>
      </c>
      <c r="AD55" s="3">
        <v>0.4898979485566356</v>
      </c>
      <c r="AE55" t="str">
        <v>Sprinter</v>
      </c>
      <c r="AF55" t="str">
        <v>Dave, Central Cee</v>
      </c>
      <c r="AG55" s="100">
        <f t="shared" si="1"/>
        <v>3</v>
      </c>
      <c r="AI55" s="114">
        <f>SotY_2024[[#This Row],[Max Seed]]/2 + 1</f>
        <v>33</v>
      </c>
      <c r="AJ55" s="105" t="str">
        <f ca="1">IF(SotY_2024[[#This Row],[Num]]&gt;=$A$1, "-", IF(SotY_2024[[#This Row],[Score 1]]&gt;=3, SotY_2024[[#This Row],[Song 2]], IF(SotY_2024[[#This Row],[Score 2]]&gt;=3, SotY_2024[[#This Row],[Song 1]], "TBD")))</f>
        <v>Mon Amour - Remix</v>
      </c>
      <c r="AK55" s="115">
        <f ca="1">IFERROR(VLOOKUP(SotY_2024_Results[[#This Row],[Song Title]], $AE$2:$AG$111, 3, FALSE)-SotY_2024_Results[[#This Row],[Result]], "TBD")</f>
        <v>0</v>
      </c>
      <c r="AL55" s="112" t="str">
        <f ca="1">IF(SotY_2024_Results[[#This Row],[Diff]]&lt;0,"↓",IF(SotY_2024_Results[[#This Row],[Diff]]=0,"-","↑"))</f>
        <v>-</v>
      </c>
    </row>
    <row r="56" spans="1:38">
      <c r="A56" s="197" t="str">
        <f>_xlfn.CONCAT("Seed ", SotY_2024[[#This Row],[Top Seed]], " vs ", SotY_2024[[#This Row],[Low Seed]])</f>
        <v>Seed 10 vs 55</v>
      </c>
      <c r="B56" s="115">
        <v>54</v>
      </c>
      <c r="C56" s="115">
        <f>FLOOR(LOG(SotY_2024[[#This Row],[Num]], 2), 1)</f>
        <v>5</v>
      </c>
      <c r="D56" s="115">
        <f>2^(SotY_2024[[#This Row],[Round]]+1)</f>
        <v>64</v>
      </c>
      <c r="E56" s="115">
        <f>SotY_2024[[#This Row],[Max Seed]]-SotY_2024[[#This Row],[Num]]</f>
        <v>10</v>
      </c>
      <c r="F56" s="115">
        <f>SotY_2024[[#This Row],[Max Seed]]-SotY_2024[[#This Row],[Top Seed]]+1</f>
        <v>55</v>
      </c>
      <c r="G56" s="115" t="b">
        <f>IF(SotY_2024[[#This Row],[Round]]=$C$1, TRUE(), IF(SotY_2024[[#This Row],[Round]]=$B$1, SotY_2024[[#This Row],[Top Seed]]&lt;=2*SotY_2024[[#This Row],[Max Seed]]-$A$1, FALSE()))</f>
        <v>1</v>
      </c>
      <c r="H56" s="115" t="b">
        <f>IF(SotY_2024[[#This Row],[Round]]=$C$1, TRUE(), IF(SotY_2024[[#This Row],[Round]]=$B$1, SotY_2024[[#This Row],[Low Seed]]&lt;=2*SotY_2024[[#This Row],[Max Seed]]-$A$1, FALSE()))</f>
        <v>0</v>
      </c>
      <c r="I56" s="187" t="s">
        <v>4191</v>
      </c>
      <c r="J56" s="188" t="s">
        <v>4191</v>
      </c>
      <c r="K56" s="189" t="s">
        <v>4191</v>
      </c>
      <c r="L56" s="190"/>
      <c r="M56" s="191" t="s">
        <v>4191</v>
      </c>
      <c r="N56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P.Y.T.(Pretty Young Thing)</v>
      </c>
      <c r="O56" s="105">
        <f>COUNTIF(SotY_2024[[#This Row],[J]:[H]],"x")</f>
        <v>4</v>
      </c>
      <c r="P56" s="115" t="str">
        <f ca="1">IF(SotY_2024[[#This Row],[Num]]&gt;=$A$1, "-", IF(SotY_2024[[#This Row],[Score 1]]&gt;=3, SotY_2024[[#This Row],[Song 1]], IF(SotY_2024[[#This Row],[Score 2]]&gt;=3, SotY_2024[[#This Row],[Song 2]], "TBD")))</f>
        <v>P.Y.T.(Pretty Young Thing)</v>
      </c>
      <c r="Q56" s="193">
        <f>COUNTIF(SotY_2024[[#This Row],[H ]:[J ]],"x")</f>
        <v>1</v>
      </c>
      <c r="R56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Teenage Dirtbag</v>
      </c>
      <c r="S56" s="191"/>
      <c r="T56" s="190" t="s">
        <v>4191</v>
      </c>
      <c r="U56" s="189"/>
      <c r="V56" s="188"/>
      <c r="W56" s="198"/>
      <c r="X56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56" s="109">
        <f t="shared" si="2"/>
        <v>52</v>
      </c>
      <c r="AA56" s="59">
        <v>45551</v>
      </c>
      <c r="AB56" t="str">
        <v>currydestroyer27</v>
      </c>
      <c r="AC56" s="3">
        <v>2.2000000000000002</v>
      </c>
      <c r="AD56" s="3">
        <v>0.74833147735478833</v>
      </c>
      <c r="AE56" t="str">
        <v>Raindrops</v>
      </c>
      <c r="AF56" t="str">
        <v>Metro Boomin, Travis Scott</v>
      </c>
      <c r="AG56" s="100">
        <f t="shared" si="1"/>
        <v>33</v>
      </c>
      <c r="AI56" s="114">
        <f>SotY_2024[[#This Row],[Max Seed]]/2 + 1</f>
        <v>33</v>
      </c>
      <c r="AJ56" s="105" t="str">
        <f ca="1">IF(SotY_2024[[#This Row],[Num]]&gt;=$A$1, "-", IF(SotY_2024[[#This Row],[Score 1]]&gt;=3, SotY_2024[[#This Row],[Song 2]], IF(SotY_2024[[#This Row],[Score 2]]&gt;=3, SotY_2024[[#This Row],[Song 1]], "TBD")))</f>
        <v>Teenage Dirtbag</v>
      </c>
      <c r="AK56" s="115">
        <f ca="1">IFERROR(VLOOKUP(SotY_2024_Results[[#This Row],[Song Title]], $AE$2:$AG$111, 3, FALSE)-SotY_2024_Results[[#This Row],[Result]], "TBD")</f>
        <v>32</v>
      </c>
      <c r="AL56" s="112" t="str">
        <f ca="1">IF(SotY_2024_Results[[#This Row],[Diff]]&lt;0,"↓",IF(SotY_2024_Results[[#This Row],[Diff]]=0,"-","↑"))</f>
        <v>↑</v>
      </c>
    </row>
    <row r="57" spans="1:38">
      <c r="A57" s="197" t="str">
        <f>_xlfn.CONCAT("Seed ", SotY_2024[[#This Row],[Top Seed]], " vs ", SotY_2024[[#This Row],[Low Seed]])</f>
        <v>Seed 9 vs 56</v>
      </c>
      <c r="B57" s="115">
        <v>55</v>
      </c>
      <c r="C57" s="115">
        <f>FLOOR(LOG(SotY_2024[[#This Row],[Num]], 2), 1)</f>
        <v>5</v>
      </c>
      <c r="D57" s="115">
        <f>2^(SotY_2024[[#This Row],[Round]]+1)</f>
        <v>64</v>
      </c>
      <c r="E57" s="115">
        <f>SotY_2024[[#This Row],[Max Seed]]-SotY_2024[[#This Row],[Num]]</f>
        <v>9</v>
      </c>
      <c r="F57" s="115">
        <f>SotY_2024[[#This Row],[Max Seed]]-SotY_2024[[#This Row],[Top Seed]]+1</f>
        <v>56</v>
      </c>
      <c r="G57" s="115" t="b">
        <f>IF(SotY_2024[[#This Row],[Round]]=$C$1, TRUE(), IF(SotY_2024[[#This Row],[Round]]=$B$1, SotY_2024[[#This Row],[Top Seed]]&lt;=2*SotY_2024[[#This Row],[Max Seed]]-$A$1, FALSE()))</f>
        <v>1</v>
      </c>
      <c r="H57" s="115" t="b">
        <f>IF(SotY_2024[[#This Row],[Round]]=$C$1, TRUE(), IF(SotY_2024[[#This Row],[Round]]=$B$1, SotY_2024[[#This Row],[Low Seed]]&lt;=2*SotY_2024[[#This Row],[Max Seed]]-$A$1, FALSE()))</f>
        <v>0</v>
      </c>
      <c r="I57" s="187"/>
      <c r="J57" s="188" t="s">
        <v>4191</v>
      </c>
      <c r="K57" s="189" t="s">
        <v>4191</v>
      </c>
      <c r="L57" s="190"/>
      <c r="M57" s="191" t="s">
        <v>4191</v>
      </c>
      <c r="N57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Last Christmas</v>
      </c>
      <c r="O57" s="105">
        <f>COUNTIF(SotY_2024[[#This Row],[J]:[H]],"x")</f>
        <v>3</v>
      </c>
      <c r="P57" s="115" t="str">
        <f ca="1">IF(SotY_2024[[#This Row],[Num]]&gt;=$A$1, "-", IF(SotY_2024[[#This Row],[Score 1]]&gt;=3, SotY_2024[[#This Row],[Song 1]], IF(SotY_2024[[#This Row],[Score 2]]&gt;=3, SotY_2024[[#This Row],[Song 2]], "TBD")))</f>
        <v>Last Christmas</v>
      </c>
      <c r="Q57" s="193">
        <f>COUNTIF(SotY_2024[[#This Row],[H ]:[J ]],"x")</f>
        <v>2</v>
      </c>
      <c r="R57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BIRDS OF A FEATHER</v>
      </c>
      <c r="S57" s="191"/>
      <c r="T57" s="190" t="s">
        <v>4191</v>
      </c>
      <c r="U57" s="189"/>
      <c r="V57" s="188"/>
      <c r="W57" s="198" t="s">
        <v>4191</v>
      </c>
      <c r="X57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57" s="109">
        <f t="shared" si="2"/>
        <v>20</v>
      </c>
      <c r="AA57" s="59">
        <v>45552</v>
      </c>
      <c r="AB57" t="str">
        <v>samuelbattista</v>
      </c>
      <c r="AC57" s="3">
        <v>1.8</v>
      </c>
      <c r="AD57" s="3">
        <v>0.74833147735478833</v>
      </c>
      <c r="AE57" t="str">
        <v>Edge of Seventeen</v>
      </c>
      <c r="AF57" t="str">
        <v>Stevie Nicks</v>
      </c>
      <c r="AG57" s="100">
        <f t="shared" si="1"/>
        <v>17</v>
      </c>
      <c r="AI57" s="114">
        <f>SotY_2024[[#This Row],[Max Seed]]/2 + 1</f>
        <v>33</v>
      </c>
      <c r="AJ57" s="105" t="str">
        <f ca="1">IF(SotY_2024[[#This Row],[Num]]&gt;=$A$1, "-", IF(SotY_2024[[#This Row],[Score 1]]&gt;=3, SotY_2024[[#This Row],[Song 2]], IF(SotY_2024[[#This Row],[Score 2]]&gt;=3, SotY_2024[[#This Row],[Song 1]], "TBD")))</f>
        <v>BIRDS OF A FEATHER</v>
      </c>
      <c r="AK57" s="115">
        <f ca="1">IFERROR(VLOOKUP(SotY_2024_Results[[#This Row],[Song Title]], $AE$2:$AG$111, 3, FALSE)-SotY_2024_Results[[#This Row],[Result]], "TBD")</f>
        <v>0</v>
      </c>
      <c r="AL57" s="112" t="str">
        <f ca="1">IF(SotY_2024_Results[[#This Row],[Diff]]&lt;0,"↓",IF(SotY_2024_Results[[#This Row],[Diff]]=0,"-","↑"))</f>
        <v>-</v>
      </c>
    </row>
    <row r="58" spans="1:38">
      <c r="A58" s="197" t="str">
        <f>_xlfn.CONCAT("Seed ", SotY_2024[[#This Row],[Top Seed]], " vs ", SotY_2024[[#This Row],[Low Seed]])</f>
        <v>Seed 8 vs 57</v>
      </c>
      <c r="B58" s="115">
        <v>56</v>
      </c>
      <c r="C58" s="115">
        <f>FLOOR(LOG(SotY_2024[[#This Row],[Num]], 2), 1)</f>
        <v>5</v>
      </c>
      <c r="D58" s="115">
        <f>2^(SotY_2024[[#This Row],[Round]]+1)</f>
        <v>64</v>
      </c>
      <c r="E58" s="115">
        <f>SotY_2024[[#This Row],[Max Seed]]-SotY_2024[[#This Row],[Num]]</f>
        <v>8</v>
      </c>
      <c r="F58" s="115">
        <f>SotY_2024[[#This Row],[Max Seed]]-SotY_2024[[#This Row],[Top Seed]]+1</f>
        <v>57</v>
      </c>
      <c r="G58" s="115" t="b">
        <f>IF(SotY_2024[[#This Row],[Round]]=$C$1, TRUE(), IF(SotY_2024[[#This Row],[Round]]=$B$1, SotY_2024[[#This Row],[Top Seed]]&lt;=2*SotY_2024[[#This Row],[Max Seed]]-$A$1, FALSE()))</f>
        <v>1</v>
      </c>
      <c r="H58" s="115" t="b">
        <f>IF(SotY_2024[[#This Row],[Round]]=$C$1, TRUE(), IF(SotY_2024[[#This Row],[Round]]=$B$1, SotY_2024[[#This Row],[Low Seed]]&lt;=2*SotY_2024[[#This Row],[Max Seed]]-$A$1, FALSE()))</f>
        <v>0</v>
      </c>
      <c r="I58" s="187" t="s">
        <v>4191</v>
      </c>
      <c r="J58" s="188" t="s">
        <v>4191</v>
      </c>
      <c r="K58" s="189" t="s">
        <v>4191</v>
      </c>
      <c r="L58" s="190" t="s">
        <v>4191</v>
      </c>
      <c r="M58" s="191" t="s">
        <v>4191</v>
      </c>
      <c r="N58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Disco Ulysses (Instrumental)</v>
      </c>
      <c r="O58" s="105">
        <f>COUNTIF(SotY_2024[[#This Row],[J]:[H]],"x")</f>
        <v>5</v>
      </c>
      <c r="P58" s="115" t="str">
        <f ca="1">IF(SotY_2024[[#This Row],[Num]]&gt;=$A$1, "-", IF(SotY_2024[[#This Row],[Score 1]]&gt;=3, SotY_2024[[#This Row],[Song 1]], IF(SotY_2024[[#This Row],[Score 2]]&gt;=3, SotY_2024[[#This Row],[Song 2]], "TBD")))</f>
        <v>Disco Ulysses (Instrumental)</v>
      </c>
      <c r="Q58" s="193">
        <f>COUNTIF(SotY_2024[[#This Row],[H ]:[J ]],"x")</f>
        <v>0</v>
      </c>
      <c r="R58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\ \ \</v>
      </c>
      <c r="S58" s="191"/>
      <c r="T58" s="190"/>
      <c r="U58" s="189"/>
      <c r="V58" s="188"/>
      <c r="W58" s="198"/>
      <c r="X58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58" s="109">
        <f t="shared" si="2"/>
        <v>80</v>
      </c>
      <c r="AA58" s="59">
        <v>45553</v>
      </c>
      <c r="AB58" t="str">
        <v>currydestroyer27</v>
      </c>
      <c r="AC58" s="3">
        <v>2.4</v>
      </c>
      <c r="AD58" s="3">
        <v>1.019803902718557</v>
      </c>
      <c r="AE58" t="str">
        <v>Party Monster</v>
      </c>
      <c r="AF58" t="str">
        <v>The Weeknd</v>
      </c>
      <c r="AG58" s="100">
        <f t="shared" si="1"/>
        <v>65</v>
      </c>
      <c r="AI58" s="114">
        <f>SotY_2024[[#This Row],[Max Seed]]/2 + 1</f>
        <v>33</v>
      </c>
      <c r="AJ58" s="105" t="str">
        <f ca="1">IF(SotY_2024[[#This Row],[Num]]&gt;=$A$1, "-", IF(SotY_2024[[#This Row],[Score 1]]&gt;=3, SotY_2024[[#This Row],[Song 2]], IF(SotY_2024[[#This Row],[Score 2]]&gt;=3, SotY_2024[[#This Row],[Song 1]], "TBD")))</f>
        <v>\ \ \</v>
      </c>
      <c r="AK58" s="115">
        <f ca="1">IFERROR(VLOOKUP(SotY_2024_Results[[#This Row],[Song Title]], $AE$2:$AG$111, 3, FALSE)-SotY_2024_Results[[#This Row],[Result]], "TBD")</f>
        <v>32</v>
      </c>
      <c r="AL58" s="112" t="str">
        <f ca="1">IF(SotY_2024_Results[[#This Row],[Diff]]&lt;0,"↓",IF(SotY_2024_Results[[#This Row],[Diff]]=0,"-","↑"))</f>
        <v>↑</v>
      </c>
    </row>
    <row r="59" spans="1:38">
      <c r="A59" s="197" t="str">
        <f>_xlfn.CONCAT("Seed ", SotY_2024[[#This Row],[Top Seed]], " vs ", SotY_2024[[#This Row],[Low Seed]])</f>
        <v>Seed 7 vs 58</v>
      </c>
      <c r="B59" s="115">
        <v>57</v>
      </c>
      <c r="C59" s="115">
        <f>FLOOR(LOG(SotY_2024[[#This Row],[Num]], 2), 1)</f>
        <v>5</v>
      </c>
      <c r="D59" s="115">
        <f>2^(SotY_2024[[#This Row],[Round]]+1)</f>
        <v>64</v>
      </c>
      <c r="E59" s="115">
        <f>SotY_2024[[#This Row],[Max Seed]]-SotY_2024[[#This Row],[Num]]</f>
        <v>7</v>
      </c>
      <c r="F59" s="115">
        <f>SotY_2024[[#This Row],[Max Seed]]-SotY_2024[[#This Row],[Top Seed]]+1</f>
        <v>58</v>
      </c>
      <c r="G59" s="115" t="b">
        <f>IF(SotY_2024[[#This Row],[Round]]=$C$1, TRUE(), IF(SotY_2024[[#This Row],[Round]]=$B$1, SotY_2024[[#This Row],[Top Seed]]&lt;=2*SotY_2024[[#This Row],[Max Seed]]-$A$1, FALSE()))</f>
        <v>1</v>
      </c>
      <c r="H59" s="115" t="b">
        <f>IF(SotY_2024[[#This Row],[Round]]=$C$1, TRUE(), IF(SotY_2024[[#This Row],[Round]]=$B$1, SotY_2024[[#This Row],[Low Seed]]&lt;=2*SotY_2024[[#This Row],[Max Seed]]-$A$1, FALSE()))</f>
        <v>0</v>
      </c>
      <c r="I59" s="187" t="s">
        <v>4191</v>
      </c>
      <c r="J59" s="188" t="s">
        <v>4191</v>
      </c>
      <c r="K59" s="189" t="s">
        <v>4191</v>
      </c>
      <c r="L59" s="190" t="s">
        <v>4191</v>
      </c>
      <c r="M59" s="191" t="s">
        <v>4191</v>
      </c>
      <c r="N59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Feel It</v>
      </c>
      <c r="O59" s="105">
        <f>COUNTIF(SotY_2024[[#This Row],[J]:[H]],"x")</f>
        <v>5</v>
      </c>
      <c r="P59" s="115" t="str">
        <f ca="1">IF(SotY_2024[[#This Row],[Num]]&gt;=$A$1, "-", IF(SotY_2024[[#This Row],[Score 1]]&gt;=3, SotY_2024[[#This Row],[Song 1]], IF(SotY_2024[[#This Row],[Score 2]]&gt;=3, SotY_2024[[#This Row],[Song 2]], "TBD")))</f>
        <v>Feel It</v>
      </c>
      <c r="Q59" s="193">
        <f>COUNTIF(SotY_2024[[#This Row],[H ]:[J ]],"x")</f>
        <v>0</v>
      </c>
      <c r="R59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Zombie</v>
      </c>
      <c r="S59" s="191"/>
      <c r="T59" s="190"/>
      <c r="U59" s="189"/>
      <c r="V59" s="188"/>
      <c r="W59" s="198"/>
      <c r="X59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59" s="109">
        <f t="shared" si="2"/>
        <v>29</v>
      </c>
      <c r="AA59" s="59">
        <v>45554</v>
      </c>
      <c r="AB59" t="str">
        <v>alappatjoe</v>
      </c>
      <c r="AC59" s="3">
        <v>1.8</v>
      </c>
      <c r="AD59" s="3">
        <v>1.1661903789690602</v>
      </c>
      <c r="AE59" t="str">
        <v>Ping Pong Phase</v>
      </c>
      <c r="AF59" t="str">
        <v>Kensuke Ushio</v>
      </c>
      <c r="AG59" s="100">
        <f t="shared" si="1"/>
        <v>17</v>
      </c>
      <c r="AI59" s="114">
        <f>SotY_2024[[#This Row],[Max Seed]]/2 + 1</f>
        <v>33</v>
      </c>
      <c r="AJ59" s="105" t="str">
        <f ca="1">IF(SotY_2024[[#This Row],[Num]]&gt;=$A$1, "-", IF(SotY_2024[[#This Row],[Score 1]]&gt;=3, SotY_2024[[#This Row],[Song 2]], IF(SotY_2024[[#This Row],[Score 2]]&gt;=3, SotY_2024[[#This Row],[Song 1]], "TBD")))</f>
        <v>Zombie</v>
      </c>
      <c r="AK59" s="115">
        <f ca="1">IFERROR(VLOOKUP(SotY_2024_Results[[#This Row],[Song Title]], $AE$2:$AG$111, 3, FALSE)-SotY_2024_Results[[#This Row],[Result]], "TBD")</f>
        <v>32</v>
      </c>
      <c r="AL59" s="112" t="str">
        <f ca="1">IF(SotY_2024_Results[[#This Row],[Diff]]&lt;0,"↓",IF(SotY_2024_Results[[#This Row],[Diff]]=0,"-","↑"))</f>
        <v>↑</v>
      </c>
    </row>
    <row r="60" spans="1:38">
      <c r="A60" s="197" t="str">
        <f>_xlfn.CONCAT("Seed ", SotY_2024[[#This Row],[Top Seed]], " vs ", SotY_2024[[#This Row],[Low Seed]])</f>
        <v>Seed 6 vs 59</v>
      </c>
      <c r="B60" s="115">
        <v>58</v>
      </c>
      <c r="C60" s="115">
        <f>FLOOR(LOG(SotY_2024[[#This Row],[Num]], 2), 1)</f>
        <v>5</v>
      </c>
      <c r="D60" s="115">
        <f>2^(SotY_2024[[#This Row],[Round]]+1)</f>
        <v>64</v>
      </c>
      <c r="E60" s="115">
        <f>SotY_2024[[#This Row],[Max Seed]]-SotY_2024[[#This Row],[Num]]</f>
        <v>6</v>
      </c>
      <c r="F60" s="115">
        <f>SotY_2024[[#This Row],[Max Seed]]-SotY_2024[[#This Row],[Top Seed]]+1</f>
        <v>59</v>
      </c>
      <c r="G60" s="115" t="b">
        <f>IF(SotY_2024[[#This Row],[Round]]=$C$1, TRUE(), IF(SotY_2024[[#This Row],[Round]]=$B$1, SotY_2024[[#This Row],[Top Seed]]&lt;=2*SotY_2024[[#This Row],[Max Seed]]-$A$1, FALSE()))</f>
        <v>1</v>
      </c>
      <c r="H60" s="115" t="b">
        <f>IF(SotY_2024[[#This Row],[Round]]=$C$1, TRUE(), IF(SotY_2024[[#This Row],[Round]]=$B$1, SotY_2024[[#This Row],[Low Seed]]&lt;=2*SotY_2024[[#This Row],[Max Seed]]-$A$1, FALSE()))</f>
        <v>0</v>
      </c>
      <c r="I60" s="187"/>
      <c r="J60" s="188" t="s">
        <v>4191</v>
      </c>
      <c r="K60" s="189" t="s">
        <v>4191</v>
      </c>
      <c r="L60" s="190"/>
      <c r="M60" s="191" t="s">
        <v>4191</v>
      </c>
      <c r="N60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ETA</v>
      </c>
      <c r="O60" s="105">
        <f>COUNTIF(SotY_2024[[#This Row],[J]:[H]],"x")</f>
        <v>3</v>
      </c>
      <c r="P60" s="115" t="str">
        <f ca="1">IF(SotY_2024[[#This Row],[Num]]&gt;=$A$1, "-", IF(SotY_2024[[#This Row],[Score 1]]&gt;=3, SotY_2024[[#This Row],[Song 1]], IF(SotY_2024[[#This Row],[Score 2]]&gt;=3, SotY_2024[[#This Row],[Song 2]], "TBD")))</f>
        <v>ETA</v>
      </c>
      <c r="Q60" s="193">
        <f>COUNTIF(SotY_2024[[#This Row],[H ]:[J ]],"x")</f>
        <v>2</v>
      </c>
      <c r="R60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Juna</v>
      </c>
      <c r="S60" s="191"/>
      <c r="T60" s="190" t="s">
        <v>4191</v>
      </c>
      <c r="U60" s="189"/>
      <c r="V60" s="188"/>
      <c r="W60" s="198" t="s">
        <v>4191</v>
      </c>
      <c r="X60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60" s="109">
        <f t="shared" si="2"/>
        <v>5</v>
      </c>
      <c r="AA60" s="59">
        <v>45558</v>
      </c>
      <c r="AB60" t="str">
        <v>samuelbattista</v>
      </c>
      <c r="AC60" s="3">
        <v>1.4</v>
      </c>
      <c r="AD60" s="3">
        <v>0.4898979485566356</v>
      </c>
      <c r="AE60" t="str">
        <v xml:space="preserve">Sunday Morning </v>
      </c>
      <c r="AF60" t="str">
        <v>Maroon 5</v>
      </c>
      <c r="AG60" s="100">
        <f t="shared" si="1"/>
        <v>5</v>
      </c>
      <c r="AI60" s="114">
        <f>SotY_2024[[#This Row],[Max Seed]]/2 + 1</f>
        <v>33</v>
      </c>
      <c r="AJ60" s="105" t="str">
        <f ca="1">IF(SotY_2024[[#This Row],[Num]]&gt;=$A$1, "-", IF(SotY_2024[[#This Row],[Score 1]]&gt;=3, SotY_2024[[#This Row],[Song 2]], IF(SotY_2024[[#This Row],[Score 2]]&gt;=3, SotY_2024[[#This Row],[Song 1]], "TBD")))</f>
        <v>Juna</v>
      </c>
      <c r="AK60" s="115">
        <f ca="1">IFERROR(VLOOKUP(SotY_2024_Results[[#This Row],[Song Title]], $AE$2:$AG$111, 3, FALSE)-SotY_2024_Results[[#This Row],[Result]], "TBD")</f>
        <v>32</v>
      </c>
      <c r="AL60" s="112" t="str">
        <f ca="1">IF(SotY_2024_Results[[#This Row],[Diff]]&lt;0,"↓",IF(SotY_2024_Results[[#This Row],[Diff]]=0,"-","↑"))</f>
        <v>↑</v>
      </c>
    </row>
    <row r="61" spans="1:38">
      <c r="A61" s="197" t="str">
        <f>_xlfn.CONCAT("Seed ", SotY_2024[[#This Row],[Top Seed]], " vs ", SotY_2024[[#This Row],[Low Seed]])</f>
        <v>Seed 5 vs 60</v>
      </c>
      <c r="B61" s="115">
        <v>59</v>
      </c>
      <c r="C61" s="115">
        <f>FLOOR(LOG(SotY_2024[[#This Row],[Num]], 2), 1)</f>
        <v>5</v>
      </c>
      <c r="D61" s="115">
        <f>2^(SotY_2024[[#This Row],[Round]]+1)</f>
        <v>64</v>
      </c>
      <c r="E61" s="115">
        <f>SotY_2024[[#This Row],[Max Seed]]-SotY_2024[[#This Row],[Num]]</f>
        <v>5</v>
      </c>
      <c r="F61" s="115">
        <f>SotY_2024[[#This Row],[Max Seed]]-SotY_2024[[#This Row],[Top Seed]]+1</f>
        <v>60</v>
      </c>
      <c r="G61" s="115" t="b">
        <f>IF(SotY_2024[[#This Row],[Round]]=$C$1, TRUE(), IF(SotY_2024[[#This Row],[Round]]=$B$1, SotY_2024[[#This Row],[Top Seed]]&lt;=2*SotY_2024[[#This Row],[Max Seed]]-$A$1, FALSE()))</f>
        <v>1</v>
      </c>
      <c r="H61" s="115" t="b">
        <f>IF(SotY_2024[[#This Row],[Round]]=$C$1, TRUE(), IF(SotY_2024[[#This Row],[Round]]=$B$1, SotY_2024[[#This Row],[Low Seed]]&lt;=2*SotY_2024[[#This Row],[Max Seed]]-$A$1, FALSE()))</f>
        <v>0</v>
      </c>
      <c r="I61" s="187"/>
      <c r="J61" s="188"/>
      <c r="K61" s="189"/>
      <c r="L61" s="190" t="s">
        <v>4191</v>
      </c>
      <c r="M61" s="191"/>
      <c r="N61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 xml:space="preserve">Sunday Morning </v>
      </c>
      <c r="O61" s="105">
        <f>COUNTIF(SotY_2024[[#This Row],[J]:[H]],"x")</f>
        <v>1</v>
      </c>
      <c r="P61" s="115" t="str">
        <f ca="1">IF(SotY_2024[[#This Row],[Num]]&gt;=$A$1, "-", IF(SotY_2024[[#This Row],[Score 1]]&gt;=3, SotY_2024[[#This Row],[Song 1]], IF(SotY_2024[[#This Row],[Score 2]]&gt;=3, SotY_2024[[#This Row],[Song 2]], "TBD")))</f>
        <v>3005</v>
      </c>
      <c r="Q61" s="193">
        <f>COUNTIF(SotY_2024[[#This Row],[H ]:[J ]],"x")</f>
        <v>4</v>
      </c>
      <c r="R61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3005</v>
      </c>
      <c r="S61" s="191" t="s">
        <v>4191</v>
      </c>
      <c r="T61" s="190"/>
      <c r="U61" s="189" t="s">
        <v>4191</v>
      </c>
      <c r="V61" s="188" t="s">
        <v>4191</v>
      </c>
      <c r="W61" s="198" t="s">
        <v>4191</v>
      </c>
      <c r="X61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61" s="109">
        <f t="shared" si="2"/>
        <v>40</v>
      </c>
      <c r="AA61" s="59">
        <v>45559</v>
      </c>
      <c r="AB61" t="str">
        <v>samuelbattista</v>
      </c>
      <c r="AC61" s="3">
        <v>2</v>
      </c>
      <c r="AD61" s="3">
        <v>0.89442719099991586</v>
      </c>
      <c r="AE61" t="str">
        <v>Alright</v>
      </c>
      <c r="AF61" t="str">
        <v>Kendrick Lamar</v>
      </c>
      <c r="AG61" s="100">
        <f t="shared" si="1"/>
        <v>33</v>
      </c>
      <c r="AI61" s="114">
        <f>SotY_2024[[#This Row],[Max Seed]]/2 + 1</f>
        <v>33</v>
      </c>
      <c r="AJ61" s="105" t="str">
        <f ca="1">IF(SotY_2024[[#This Row],[Num]]&gt;=$A$1, "-", IF(SotY_2024[[#This Row],[Score 1]]&gt;=3, SotY_2024[[#This Row],[Song 2]], IF(SotY_2024[[#This Row],[Score 2]]&gt;=3, SotY_2024[[#This Row],[Song 1]], "TBD")))</f>
        <v xml:space="preserve">Sunday Morning </v>
      </c>
      <c r="AK61" s="115">
        <f ca="1">IFERROR(VLOOKUP(SotY_2024_Results[[#This Row],[Song Title]], $AE$2:$AG$111, 3, FALSE)-SotY_2024_Results[[#This Row],[Result]], "TBD")</f>
        <v>-28</v>
      </c>
      <c r="AL61" s="112" t="str">
        <f ca="1">IF(SotY_2024_Results[[#This Row],[Diff]]&lt;0,"↓",IF(SotY_2024_Results[[#This Row],[Diff]]=0,"-","↑"))</f>
        <v>↓</v>
      </c>
    </row>
    <row r="62" spans="1:38">
      <c r="A62" s="197" t="str">
        <f>_xlfn.CONCAT("Seed ", SotY_2024[[#This Row],[Top Seed]], " vs ", SotY_2024[[#This Row],[Low Seed]])</f>
        <v>Seed 4 vs 61</v>
      </c>
      <c r="B62" s="115">
        <v>60</v>
      </c>
      <c r="C62" s="115">
        <f>FLOOR(LOG(SotY_2024[[#This Row],[Num]], 2), 1)</f>
        <v>5</v>
      </c>
      <c r="D62" s="115">
        <f>2^(SotY_2024[[#This Row],[Round]]+1)</f>
        <v>64</v>
      </c>
      <c r="E62" s="115">
        <f>SotY_2024[[#This Row],[Max Seed]]-SotY_2024[[#This Row],[Num]]</f>
        <v>4</v>
      </c>
      <c r="F62" s="115">
        <f>SotY_2024[[#This Row],[Max Seed]]-SotY_2024[[#This Row],[Top Seed]]+1</f>
        <v>61</v>
      </c>
      <c r="G62" s="115" t="b">
        <f>IF(SotY_2024[[#This Row],[Round]]=$C$1, TRUE(), IF(SotY_2024[[#This Row],[Round]]=$B$1, SotY_2024[[#This Row],[Top Seed]]&lt;=2*SotY_2024[[#This Row],[Max Seed]]-$A$1, FALSE()))</f>
        <v>1</v>
      </c>
      <c r="H62" s="115" t="b">
        <f>IF(SotY_2024[[#This Row],[Round]]=$C$1, TRUE(), IF(SotY_2024[[#This Row],[Round]]=$B$1, SotY_2024[[#This Row],[Low Seed]]&lt;=2*SotY_2024[[#This Row],[Max Seed]]-$A$1, FALSE()))</f>
        <v>0</v>
      </c>
      <c r="I62" s="187"/>
      <c r="J62" s="188"/>
      <c r="K62" s="189" t="s">
        <v>4191</v>
      </c>
      <c r="L62" s="190"/>
      <c r="M62" s="191"/>
      <c r="N62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Sprinter</v>
      </c>
      <c r="O62" s="105">
        <f>COUNTIF(SotY_2024[[#This Row],[J]:[H]],"x")</f>
        <v>1</v>
      </c>
      <c r="P62" s="115" t="str">
        <f ca="1">IF(SotY_2024[[#This Row],[Num]]&gt;=$A$1, "-", IF(SotY_2024[[#This Row],[Score 1]]&gt;=3, SotY_2024[[#This Row],[Song 1]], IF(SotY_2024[[#This Row],[Score 2]]&gt;=3, SotY_2024[[#This Row],[Song 2]], "TBD")))</f>
        <v>Plastic Love</v>
      </c>
      <c r="Q62" s="193">
        <f>COUNTIF(SotY_2024[[#This Row],[H ]:[J ]],"x")</f>
        <v>4</v>
      </c>
      <c r="R62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Plastic Love</v>
      </c>
      <c r="S62" s="191" t="s">
        <v>4191</v>
      </c>
      <c r="T62" s="190" t="s">
        <v>4191</v>
      </c>
      <c r="U62" s="189"/>
      <c r="V62" s="188" t="s">
        <v>4191</v>
      </c>
      <c r="W62" s="198" t="s">
        <v>4191</v>
      </c>
      <c r="X62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62" s="109">
        <f t="shared" si="2"/>
        <v>32</v>
      </c>
      <c r="AA62" s="59">
        <v>45560</v>
      </c>
      <c r="AB62" t="str">
        <v>danram</v>
      </c>
      <c r="AC62" s="3">
        <v>2</v>
      </c>
      <c r="AD62" s="3">
        <v>0.63245553203367588</v>
      </c>
      <c r="AE62" t="str">
        <v>Leave Before You Love Me</v>
      </c>
      <c r="AF62" t="str">
        <v>Marshmello, Jonas Brothers</v>
      </c>
      <c r="AG62" s="100">
        <f t="shared" si="1"/>
        <v>17</v>
      </c>
      <c r="AI62" s="114">
        <f>SotY_2024[[#This Row],[Max Seed]]/2 + 1</f>
        <v>33</v>
      </c>
      <c r="AJ62" s="105" t="str">
        <f ca="1">IF(SotY_2024[[#This Row],[Num]]&gt;=$A$1, "-", IF(SotY_2024[[#This Row],[Score 1]]&gt;=3, SotY_2024[[#This Row],[Song 2]], IF(SotY_2024[[#This Row],[Score 2]]&gt;=3, SotY_2024[[#This Row],[Song 1]], "TBD")))</f>
        <v>Sprinter</v>
      </c>
      <c r="AK62" s="115">
        <f ca="1">IFERROR(VLOOKUP(SotY_2024_Results[[#This Row],[Song Title]], $AE$2:$AG$111, 3, FALSE)-SotY_2024_Results[[#This Row],[Result]], "TBD")</f>
        <v>-30</v>
      </c>
      <c r="AL62" s="112" t="str">
        <f ca="1">IF(SotY_2024_Results[[#This Row],[Diff]]&lt;0,"↓",IF(SotY_2024_Results[[#This Row],[Diff]]=0,"-","↑"))</f>
        <v>↓</v>
      </c>
    </row>
    <row r="63" spans="1:38">
      <c r="A63" s="197" t="str">
        <f>_xlfn.CONCAT("Seed ", SotY_2024[[#This Row],[Top Seed]], " vs ", SotY_2024[[#This Row],[Low Seed]])</f>
        <v>Seed 3 vs 62</v>
      </c>
      <c r="B63" s="115">
        <v>61</v>
      </c>
      <c r="C63" s="115">
        <f>FLOOR(LOG(SotY_2024[[#This Row],[Num]], 2), 1)</f>
        <v>5</v>
      </c>
      <c r="D63" s="115">
        <f>2^(SotY_2024[[#This Row],[Round]]+1)</f>
        <v>64</v>
      </c>
      <c r="E63" s="115">
        <f>SotY_2024[[#This Row],[Max Seed]]-SotY_2024[[#This Row],[Num]]</f>
        <v>3</v>
      </c>
      <c r="F63" s="115">
        <f>SotY_2024[[#This Row],[Max Seed]]-SotY_2024[[#This Row],[Top Seed]]+1</f>
        <v>62</v>
      </c>
      <c r="G63" s="115" t="b">
        <f>IF(SotY_2024[[#This Row],[Round]]=$C$1, TRUE(), IF(SotY_2024[[#This Row],[Round]]=$B$1, SotY_2024[[#This Row],[Top Seed]]&lt;=2*SotY_2024[[#This Row],[Max Seed]]-$A$1, FALSE()))</f>
        <v>1</v>
      </c>
      <c r="H63" s="115" t="b">
        <f>IF(SotY_2024[[#This Row],[Round]]=$C$1, TRUE(), IF(SotY_2024[[#This Row],[Round]]=$B$1, SotY_2024[[#This Row],[Low Seed]]&lt;=2*SotY_2024[[#This Row],[Max Seed]]-$A$1, FALSE()))</f>
        <v>0</v>
      </c>
      <c r="I63" s="187" t="s">
        <v>4191</v>
      </c>
      <c r="J63" s="188"/>
      <c r="K63" s="189"/>
      <c r="L63" s="190"/>
      <c r="M63" s="191" t="s">
        <v>4191</v>
      </c>
      <c r="N63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Only Girl (In The World)</v>
      </c>
      <c r="O63" s="105">
        <f>COUNTIF(SotY_2024[[#This Row],[J]:[H]],"x")</f>
        <v>2</v>
      </c>
      <c r="P63" s="115" t="str">
        <f ca="1">IF(SotY_2024[[#This Row],[Num]]&gt;=$A$1, "-", IF(SotY_2024[[#This Row],[Score 1]]&gt;=3, SotY_2024[[#This Row],[Song 1]], IF(SotY_2024[[#This Row],[Score 2]]&gt;=3, SotY_2024[[#This Row],[Song 2]], "TBD")))</f>
        <v>Stop Signs are Merely Suggestions</v>
      </c>
      <c r="Q63" s="193">
        <f>COUNTIF(SotY_2024[[#This Row],[H ]:[J ]],"x")</f>
        <v>3</v>
      </c>
      <c r="R63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Stop Signs are Merely Suggestions</v>
      </c>
      <c r="S63" s="191"/>
      <c r="T63" s="190" t="s">
        <v>4191</v>
      </c>
      <c r="U63" s="189" t="s">
        <v>4191</v>
      </c>
      <c r="V63" s="188" t="s">
        <v>4191</v>
      </c>
      <c r="W63" s="198"/>
      <c r="X63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63" s="109">
        <f t="shared" si="2"/>
        <v>58</v>
      </c>
      <c r="AA63" s="59">
        <v>45561</v>
      </c>
      <c r="AB63" t="str">
        <v>alappatjoe</v>
      </c>
      <c r="AC63" s="3">
        <v>2.2000000000000002</v>
      </c>
      <c r="AD63" s="3">
        <v>0.9797958971132712</v>
      </c>
      <c r="AE63" t="str">
        <v>Nobody's Business</v>
      </c>
      <c r="AF63" t="str">
        <v>Rihanna, Chris Brown</v>
      </c>
      <c r="AG63" s="100">
        <f t="shared" si="1"/>
        <v>33</v>
      </c>
      <c r="AI63" s="114">
        <f>SotY_2024[[#This Row],[Max Seed]]/2 + 1</f>
        <v>33</v>
      </c>
      <c r="AJ63" s="105" t="str">
        <f ca="1">IF(SotY_2024[[#This Row],[Num]]&gt;=$A$1, "-", IF(SotY_2024[[#This Row],[Score 1]]&gt;=3, SotY_2024[[#This Row],[Song 2]], IF(SotY_2024[[#This Row],[Score 2]]&gt;=3, SotY_2024[[#This Row],[Song 1]], "TBD")))</f>
        <v>Only Girl (In The World)</v>
      </c>
      <c r="AK63" s="115">
        <f ca="1">IFERROR(VLOOKUP(SotY_2024_Results[[#This Row],[Song Title]], $AE$2:$AG$111, 3, FALSE)-SotY_2024_Results[[#This Row],[Result]], "TBD")</f>
        <v>-30</v>
      </c>
      <c r="AL63" s="112" t="str">
        <f ca="1">IF(SotY_2024_Results[[#This Row],[Diff]]&lt;0,"↓",IF(SotY_2024_Results[[#This Row],[Diff]]=0,"-","↑"))</f>
        <v>↓</v>
      </c>
    </row>
    <row r="64" spans="1:38">
      <c r="A64" s="197" t="str">
        <f>_xlfn.CONCAT("Seed ", SotY_2024[[#This Row],[Top Seed]], " vs ", SotY_2024[[#This Row],[Low Seed]])</f>
        <v>Seed 2 vs 63</v>
      </c>
      <c r="B64" s="115">
        <v>62</v>
      </c>
      <c r="C64" s="115">
        <f>FLOOR(LOG(SotY_2024[[#This Row],[Num]], 2), 1)</f>
        <v>5</v>
      </c>
      <c r="D64" s="115">
        <f>2^(SotY_2024[[#This Row],[Round]]+1)</f>
        <v>64</v>
      </c>
      <c r="E64" s="115">
        <f>SotY_2024[[#This Row],[Max Seed]]-SotY_2024[[#This Row],[Num]]</f>
        <v>2</v>
      </c>
      <c r="F64" s="115">
        <f>SotY_2024[[#This Row],[Max Seed]]-SotY_2024[[#This Row],[Top Seed]]+1</f>
        <v>63</v>
      </c>
      <c r="G64" s="115" t="b">
        <f>IF(SotY_2024[[#This Row],[Round]]=$C$1, TRUE(), IF(SotY_2024[[#This Row],[Round]]=$B$1, SotY_2024[[#This Row],[Top Seed]]&lt;=2*SotY_2024[[#This Row],[Max Seed]]-$A$1, FALSE()))</f>
        <v>1</v>
      </c>
      <c r="H64" s="115" t="b">
        <f>IF(SotY_2024[[#This Row],[Round]]=$C$1, TRUE(), IF(SotY_2024[[#This Row],[Round]]=$B$1, SotY_2024[[#This Row],[Low Seed]]&lt;=2*SotY_2024[[#This Row],[Max Seed]]-$A$1, FALSE()))</f>
        <v>0</v>
      </c>
      <c r="I64" s="187" t="s">
        <v>4191</v>
      </c>
      <c r="J64" s="188"/>
      <c r="K64" s="189"/>
      <c r="L64" s="190"/>
      <c r="M64" s="191" t="s">
        <v>4191</v>
      </c>
      <c r="N64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specialist</v>
      </c>
      <c r="O64" s="105">
        <f>COUNTIF(SotY_2024[[#This Row],[J]:[H]],"x")</f>
        <v>2</v>
      </c>
      <c r="P64" s="115" t="str">
        <f ca="1">IF(SotY_2024[[#This Row],[Num]]&gt;=$A$1, "-", IF(SotY_2024[[#This Row],[Score 1]]&gt;=3, SotY_2024[[#This Row],[Song 1]], IF(SotY_2024[[#This Row],[Score 2]]&gt;=3, SotY_2024[[#This Row],[Song 2]], "TBD")))</f>
        <v>Life 2</v>
      </c>
      <c r="Q64" s="193">
        <f>COUNTIF(SotY_2024[[#This Row],[H ]:[J ]],"x")</f>
        <v>3</v>
      </c>
      <c r="R64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Life 2</v>
      </c>
      <c r="S64" s="191"/>
      <c r="T64" s="190" t="s">
        <v>4191</v>
      </c>
      <c r="U64" s="189" t="s">
        <v>4191</v>
      </c>
      <c r="V64" s="188" t="s">
        <v>4191</v>
      </c>
      <c r="W64" s="198"/>
      <c r="X64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64" s="109">
        <f t="shared" si="2"/>
        <v>107</v>
      </c>
      <c r="AA64" s="59">
        <v>45565</v>
      </c>
      <c r="AB64" t="str">
        <v>loganworsdell</v>
      </c>
      <c r="AC64" s="3">
        <v>2.8</v>
      </c>
      <c r="AD64" s="3">
        <v>1.1661903789690602</v>
      </c>
      <c r="AE64" t="str">
        <v>cloud 11</v>
      </c>
      <c r="AF64" t="str">
        <v>thủy</v>
      </c>
      <c r="AG64" s="100">
        <f t="shared" si="1"/>
        <v>65</v>
      </c>
      <c r="AI64" s="114">
        <f>SotY_2024[[#This Row],[Max Seed]]/2 + 1</f>
        <v>33</v>
      </c>
      <c r="AJ64" s="105" t="str">
        <f ca="1">IF(SotY_2024[[#This Row],[Num]]&gt;=$A$1, "-", IF(SotY_2024[[#This Row],[Score 1]]&gt;=3, SotY_2024[[#This Row],[Song 2]], IF(SotY_2024[[#This Row],[Score 2]]&gt;=3, SotY_2024[[#This Row],[Song 1]], "TBD")))</f>
        <v>specialist</v>
      </c>
      <c r="AK64" s="115">
        <f ca="1">IFERROR(VLOOKUP(SotY_2024_Results[[#This Row],[Song Title]], $AE$2:$AG$111, 3, FALSE)-SotY_2024_Results[[#This Row],[Result]], "TBD")</f>
        <v>-31</v>
      </c>
      <c r="AL64" s="112" t="str">
        <f ca="1">IF(SotY_2024_Results[[#This Row],[Diff]]&lt;0,"↓",IF(SotY_2024_Results[[#This Row],[Diff]]=0,"-","↑"))</f>
        <v>↓</v>
      </c>
    </row>
    <row r="65" spans="1:38">
      <c r="A65" s="197" t="str">
        <f>_xlfn.CONCAT("Seed ", SotY_2024[[#This Row],[Top Seed]], " vs ", SotY_2024[[#This Row],[Low Seed]])</f>
        <v>Seed 1 vs 64</v>
      </c>
      <c r="B65" s="115">
        <v>63</v>
      </c>
      <c r="C65" s="115">
        <f>FLOOR(LOG(SotY_2024[[#This Row],[Num]], 2), 1)</f>
        <v>5</v>
      </c>
      <c r="D65" s="115">
        <f>2^(SotY_2024[[#This Row],[Round]]+1)</f>
        <v>64</v>
      </c>
      <c r="E65" s="115">
        <f>SotY_2024[[#This Row],[Max Seed]]-SotY_2024[[#This Row],[Num]]</f>
        <v>1</v>
      </c>
      <c r="F65" s="115">
        <f>SotY_2024[[#This Row],[Max Seed]]-SotY_2024[[#This Row],[Top Seed]]+1</f>
        <v>64</v>
      </c>
      <c r="G65" s="115" t="b">
        <f>IF(SotY_2024[[#This Row],[Round]]=$C$1, TRUE(), IF(SotY_2024[[#This Row],[Round]]=$B$1, SotY_2024[[#This Row],[Top Seed]]&lt;=2*SotY_2024[[#This Row],[Max Seed]]-$A$1, FALSE()))</f>
        <v>1</v>
      </c>
      <c r="H65" s="115" t="b">
        <f>IF(SotY_2024[[#This Row],[Round]]=$C$1, TRUE(), IF(SotY_2024[[#This Row],[Round]]=$B$1, SotY_2024[[#This Row],[Low Seed]]&lt;=2*SotY_2024[[#This Row],[Max Seed]]-$A$1, FALSE()))</f>
        <v>0</v>
      </c>
      <c r="I65" s="187" t="s">
        <v>4191</v>
      </c>
      <c r="J65" s="188"/>
      <c r="K65" s="189"/>
      <c r="L65" s="190"/>
      <c r="M65" s="191" t="s">
        <v>4191</v>
      </c>
      <c r="N65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Holdin Out for a Hero</v>
      </c>
      <c r="O65" s="105">
        <f>COUNTIF(SotY_2024[[#This Row],[J]:[H]],"x")</f>
        <v>2</v>
      </c>
      <c r="P65" s="115" t="str">
        <f ca="1">IF(SotY_2024[[#This Row],[Num]]&gt;=$A$1, "-", IF(SotY_2024[[#This Row],[Score 1]]&gt;=3, SotY_2024[[#This Row],[Song 1]], IF(SotY_2024[[#This Row],[Score 2]]&gt;=3, SotY_2024[[#This Row],[Song 2]], "TBD")))</f>
        <v>A Little Respect</v>
      </c>
      <c r="Q65" s="193">
        <f>COUNTIF(SotY_2024[[#This Row],[H ]:[J ]],"x")</f>
        <v>3</v>
      </c>
      <c r="R65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A Little Respect</v>
      </c>
      <c r="S65" s="191"/>
      <c r="T65" s="190" t="s">
        <v>4191</v>
      </c>
      <c r="U65" s="189" t="s">
        <v>4191</v>
      </c>
      <c r="V65" s="188" t="s">
        <v>4191</v>
      </c>
      <c r="W65" s="198"/>
      <c r="X65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65" s="109">
        <f t="shared" si="2"/>
        <v>74</v>
      </c>
      <c r="AA65" s="59">
        <v>45566</v>
      </c>
      <c r="AB65" t="str">
        <v>samuelbattista</v>
      </c>
      <c r="AC65" s="3">
        <v>2.2000000000000002</v>
      </c>
      <c r="AD65" s="3">
        <v>1.6</v>
      </c>
      <c r="AE65" t="str">
        <v>Teenage Dirtbag</v>
      </c>
      <c r="AF65" t="str">
        <v>Wheatus</v>
      </c>
      <c r="AG65" s="100">
        <f t="shared" si="1"/>
        <v>65</v>
      </c>
      <c r="AI65" s="114">
        <f>SotY_2024[[#This Row],[Max Seed]]/2 + 1</f>
        <v>33</v>
      </c>
      <c r="AJ65" s="105" t="str">
        <f ca="1">IF(SotY_2024[[#This Row],[Num]]&gt;=$A$1, "-", IF(SotY_2024[[#This Row],[Score 1]]&gt;=3, SotY_2024[[#This Row],[Song 2]], IF(SotY_2024[[#This Row],[Score 2]]&gt;=3, SotY_2024[[#This Row],[Song 1]], "TBD")))</f>
        <v>Holdin Out for a Hero</v>
      </c>
      <c r="AK65" s="115">
        <f ca="1">IFERROR(VLOOKUP(SotY_2024_Results[[#This Row],[Song Title]], $AE$2:$AG$111, 3, FALSE)-SotY_2024_Results[[#This Row],[Result]], "TBD")</f>
        <v>-32</v>
      </c>
      <c r="AL65" s="112" t="str">
        <f ca="1">IF(SotY_2024_Results[[#This Row],[Diff]]&lt;0,"↓",IF(SotY_2024_Results[[#This Row],[Diff]]=0,"-","↑"))</f>
        <v>↓</v>
      </c>
    </row>
    <row r="66" spans="1:38">
      <c r="A66" s="197" t="str">
        <f>_xlfn.CONCAT("Seed ", SotY_2024[[#This Row],[Top Seed]], " vs ", SotY_2024[[#This Row],[Low Seed]])</f>
        <v>Seed 64 vs 65</v>
      </c>
      <c r="B66" s="115">
        <v>64</v>
      </c>
      <c r="C66" s="115">
        <f>FLOOR(LOG(SotY_2024[[#This Row],[Num]], 2), 1)</f>
        <v>6</v>
      </c>
      <c r="D66" s="115">
        <f>2^(SotY_2024[[#This Row],[Round]]+1)</f>
        <v>128</v>
      </c>
      <c r="E66" s="115">
        <f>SotY_2024[[#This Row],[Max Seed]]-SotY_2024[[#This Row],[Num]]</f>
        <v>64</v>
      </c>
      <c r="F66" s="115">
        <f>SotY_2024[[#This Row],[Max Seed]]-SotY_2024[[#This Row],[Top Seed]]+1</f>
        <v>65</v>
      </c>
      <c r="G66" s="115" t="b">
        <f>IF(SotY_2024[[#This Row],[Round]]=$C$1, TRUE(), IF(SotY_2024[[#This Row],[Round]]=$B$1, SotY_2024[[#This Row],[Top Seed]]&lt;=2*SotY_2024[[#This Row],[Max Seed]]-$A$1, FALSE()))</f>
        <v>1</v>
      </c>
      <c r="H66" s="115" t="b">
        <f>IF(SotY_2024[[#This Row],[Round]]=$C$1, TRUE(), IF(SotY_2024[[#This Row],[Round]]=$B$1, SotY_2024[[#This Row],[Low Seed]]&lt;=2*SotY_2024[[#This Row],[Max Seed]]-$A$1, FALSE()))</f>
        <v>1</v>
      </c>
      <c r="I66" s="187" t="s">
        <v>4191</v>
      </c>
      <c r="J66" s="188"/>
      <c r="K66" s="189"/>
      <c r="L66" s="190"/>
      <c r="M66" s="191" t="s">
        <v>4191</v>
      </c>
      <c r="N66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Go-Getters</v>
      </c>
      <c r="O66" s="105">
        <f>COUNTIF(SotY_2024[[#This Row],[J]:[H]],"x")</f>
        <v>2</v>
      </c>
      <c r="P66" s="115" t="str">
        <f ca="1">IF(SotY_2024[[#This Row],[Num]]&gt;=$A$1, "-", IF(SotY_2024[[#This Row],[Score 1]]&gt;=3, SotY_2024[[#This Row],[Song 1]], IF(SotY_2024[[#This Row],[Score 2]]&gt;=3, SotY_2024[[#This Row],[Song 2]], "TBD")))</f>
        <v>A Little Respect</v>
      </c>
      <c r="Q66" s="193">
        <f>COUNTIF(SotY_2024[[#This Row],[H ]:[J ]],"x")</f>
        <v>3</v>
      </c>
      <c r="R66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A Little Respect</v>
      </c>
      <c r="S66" s="191"/>
      <c r="T66" s="190" t="s">
        <v>4191</v>
      </c>
      <c r="U66" s="189" t="s">
        <v>4191</v>
      </c>
      <c r="V66" s="188" t="s">
        <v>4191</v>
      </c>
      <c r="W66" s="198"/>
      <c r="X66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66" s="109">
        <f t="shared" si="2"/>
        <v>70</v>
      </c>
      <c r="AA66" s="59">
        <v>45567</v>
      </c>
      <c r="AB66" t="str">
        <v>samuelbattista</v>
      </c>
      <c r="AC66" s="3">
        <v>2.2000000000000002</v>
      </c>
      <c r="AD66" s="3">
        <v>1.4696938456699069</v>
      </c>
      <c r="AE66" t="str">
        <v>Juna</v>
      </c>
      <c r="AF66" t="str">
        <v>Clairo</v>
      </c>
      <c r="AG66" s="100">
        <f t="shared" si="1"/>
        <v>65</v>
      </c>
      <c r="AI66" s="114">
        <f>SotY_2024[[#This Row],[Max Seed]]/2 + 1</f>
        <v>65</v>
      </c>
      <c r="AJ66" s="105" t="str">
        <f ca="1">IF(SotY_2024[[#This Row],[Num]]&gt;=$A$1, "-", IF(SotY_2024[[#This Row],[Score 1]]&gt;=3, SotY_2024[[#This Row],[Song 2]], IF(SotY_2024[[#This Row],[Score 2]]&gt;=3, SotY_2024[[#This Row],[Song 1]], "TBD")))</f>
        <v>Go-Getters</v>
      </c>
      <c r="AK66" s="115">
        <f ca="1">IFERROR(VLOOKUP(SotY_2024_Results[[#This Row],[Song Title]], $AE$2:$AG$111, 3, FALSE)-SotY_2024_Results[[#This Row],[Result]], "TBD")</f>
        <v>-32</v>
      </c>
      <c r="AL66" s="112" t="str">
        <f ca="1">IF(SotY_2024_Results[[#This Row],[Diff]]&lt;0,"↓",IF(SotY_2024_Results[[#This Row],[Diff]]=0,"-","↑"))</f>
        <v>↓</v>
      </c>
    </row>
    <row r="67" spans="1:38">
      <c r="A67" s="197" t="str">
        <f>_xlfn.CONCAT("Seed ", SotY_2024[[#This Row],[Top Seed]], " vs ", SotY_2024[[#This Row],[Low Seed]])</f>
        <v>Seed 63 vs 66</v>
      </c>
      <c r="B67" s="115">
        <v>65</v>
      </c>
      <c r="C67" s="115">
        <f>FLOOR(LOG(SotY_2024[[#This Row],[Num]], 2), 1)</f>
        <v>6</v>
      </c>
      <c r="D67" s="115">
        <f>2^(SotY_2024[[#This Row],[Round]]+1)</f>
        <v>128</v>
      </c>
      <c r="E67" s="115">
        <f>SotY_2024[[#This Row],[Max Seed]]-SotY_2024[[#This Row],[Num]]</f>
        <v>63</v>
      </c>
      <c r="F67" s="115">
        <f>SotY_2024[[#This Row],[Max Seed]]-SotY_2024[[#This Row],[Top Seed]]+1</f>
        <v>66</v>
      </c>
      <c r="G67" s="115" t="b">
        <f>IF(SotY_2024[[#This Row],[Round]]=$C$1, TRUE(), IF(SotY_2024[[#This Row],[Round]]=$B$1, SotY_2024[[#This Row],[Top Seed]]&lt;=2*SotY_2024[[#This Row],[Max Seed]]-$A$1, FALSE()))</f>
        <v>1</v>
      </c>
      <c r="H67" s="115" t="b">
        <f>IF(SotY_2024[[#This Row],[Round]]=$C$1, TRUE(), IF(SotY_2024[[#This Row],[Round]]=$B$1, SotY_2024[[#This Row],[Low Seed]]&lt;=2*SotY_2024[[#This Row],[Max Seed]]-$A$1, FALSE()))</f>
        <v>1</v>
      </c>
      <c r="I67" s="187"/>
      <c r="J67" s="188"/>
      <c r="K67" s="189"/>
      <c r="L67" s="190"/>
      <c r="M67" s="191"/>
      <c r="N67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The Walker</v>
      </c>
      <c r="O67" s="105">
        <f>COUNTIF(SotY_2024[[#This Row],[J]:[H]],"x")</f>
        <v>0</v>
      </c>
      <c r="P67" s="115" t="str">
        <f ca="1">IF(SotY_2024[[#This Row],[Num]]&gt;=$A$1, "-", IF(SotY_2024[[#This Row],[Score 1]]&gt;=3, SotY_2024[[#This Row],[Song 1]], IF(SotY_2024[[#This Row],[Score 2]]&gt;=3, SotY_2024[[#This Row],[Song 2]], "TBD")))</f>
        <v>Life 2</v>
      </c>
      <c r="Q67" s="193">
        <f>COUNTIF(SotY_2024[[#This Row],[H ]:[J ]],"x")</f>
        <v>5</v>
      </c>
      <c r="R67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Life 2</v>
      </c>
      <c r="S67" s="191" t="s">
        <v>4191</v>
      </c>
      <c r="T67" s="190" t="s">
        <v>4191</v>
      </c>
      <c r="U67" s="189" t="s">
        <v>4191</v>
      </c>
      <c r="V67" s="188" t="s">
        <v>4191</v>
      </c>
      <c r="W67" s="198" t="s">
        <v>4191</v>
      </c>
      <c r="X67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67" s="109">
        <f t="shared" ref="Z67:Z111" si="3">IF(AC67&gt;0, COUNTIF(AC$2:AC$111, "&lt;"&amp;AC67) + COUNTIFS(AC$2:AC$111, AC67, AD$2:AD$111, "&lt;"&amp;AD67) + COUNTIFS(AC$2:AC$111, AC67, AD$2:AD$111, AD67, AA$2:AA$111, "&lt;"&amp;AA67) + 1, "TBD")</f>
        <v>15</v>
      </c>
      <c r="AA67" s="59">
        <v>45568</v>
      </c>
      <c r="AB67" t="str">
        <v>currydestroyer27</v>
      </c>
      <c r="AC67" s="3">
        <v>1.8</v>
      </c>
      <c r="AD67" s="3">
        <v>0.4</v>
      </c>
      <c r="AE67" t="str">
        <v>Kiss Me Thru The Phone</v>
      </c>
      <c r="AF67" t="str">
        <v>Soulja Boy, Sammie</v>
      </c>
      <c r="AG67" s="100">
        <f t="shared" ref="AG67:AG111" si="4">IFERROR(IF(Z67&gt;1, 2^(FLOOR(LOG(Z67-1,2),1))+1, 1), "TBD")</f>
        <v>9</v>
      </c>
      <c r="AI67" s="114">
        <f>SotY_2024[[#This Row],[Max Seed]]/2 + 1</f>
        <v>65</v>
      </c>
      <c r="AJ67" s="105" t="str">
        <f ca="1">IF(SotY_2024[[#This Row],[Num]]&gt;=$A$1, "-", IF(SotY_2024[[#This Row],[Score 1]]&gt;=3, SotY_2024[[#This Row],[Song 2]], IF(SotY_2024[[#This Row],[Score 2]]&gt;=3, SotY_2024[[#This Row],[Song 1]], "TBD")))</f>
        <v>The Walker</v>
      </c>
      <c r="AK67" s="115">
        <f ca="1">IFERROR(VLOOKUP(SotY_2024_Results[[#This Row],[Song Title]], $AE$2:$AG$111, 3, FALSE)-SotY_2024_Results[[#This Row],[Result]], "TBD")</f>
        <v>-32</v>
      </c>
      <c r="AL67" s="112" t="str">
        <f ca="1">IF(SotY_2024_Results[[#This Row],[Diff]]&lt;0,"↓",IF(SotY_2024_Results[[#This Row],[Diff]]=0,"-","↑"))</f>
        <v>↓</v>
      </c>
    </row>
    <row r="68" spans="1:38">
      <c r="A68" s="197" t="str">
        <f>_xlfn.CONCAT("Seed ", SotY_2024[[#This Row],[Top Seed]], " vs ", SotY_2024[[#This Row],[Low Seed]])</f>
        <v>Seed 62 vs 67</v>
      </c>
      <c r="B68" s="115">
        <v>66</v>
      </c>
      <c r="C68" s="115">
        <f>FLOOR(LOG(SotY_2024[[#This Row],[Num]], 2), 1)</f>
        <v>6</v>
      </c>
      <c r="D68" s="115">
        <f>2^(SotY_2024[[#This Row],[Round]]+1)</f>
        <v>128</v>
      </c>
      <c r="E68" s="115">
        <f>SotY_2024[[#This Row],[Max Seed]]-SotY_2024[[#This Row],[Num]]</f>
        <v>62</v>
      </c>
      <c r="F68" s="115">
        <f>SotY_2024[[#This Row],[Max Seed]]-SotY_2024[[#This Row],[Top Seed]]+1</f>
        <v>67</v>
      </c>
      <c r="G68" s="115" t="b">
        <f>IF(SotY_2024[[#This Row],[Round]]=$C$1, TRUE(), IF(SotY_2024[[#This Row],[Round]]=$B$1, SotY_2024[[#This Row],[Top Seed]]&lt;=2*SotY_2024[[#This Row],[Max Seed]]-$A$1, FALSE()))</f>
        <v>1</v>
      </c>
      <c r="H68" s="115" t="b">
        <f>IF(SotY_2024[[#This Row],[Round]]=$C$1, TRUE(), IF(SotY_2024[[#This Row],[Round]]=$B$1, SotY_2024[[#This Row],[Low Seed]]&lt;=2*SotY_2024[[#This Row],[Max Seed]]-$A$1, FALSE()))</f>
        <v>1</v>
      </c>
      <c r="I68" s="187" t="s">
        <v>4191</v>
      </c>
      <c r="J68" s="188" t="s">
        <v>4191</v>
      </c>
      <c r="K68" s="189"/>
      <c r="L68" s="190"/>
      <c r="M68" s="191"/>
      <c r="N68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Otro Atardecer</v>
      </c>
      <c r="O68" s="105">
        <f>COUNTIF(SotY_2024[[#This Row],[J]:[H]],"x")</f>
        <v>2</v>
      </c>
      <c r="P68" s="115" t="str">
        <f ca="1">IF(SotY_2024[[#This Row],[Num]]&gt;=$A$1, "-", IF(SotY_2024[[#This Row],[Score 1]]&gt;=3, SotY_2024[[#This Row],[Song 1]], IF(SotY_2024[[#This Row],[Score 2]]&gt;=3, SotY_2024[[#This Row],[Song 2]], "TBD")))</f>
        <v>Stop Signs are Merely Suggestions</v>
      </c>
      <c r="Q68" s="193">
        <f>COUNTIF(SotY_2024[[#This Row],[H ]:[J ]],"x")</f>
        <v>3</v>
      </c>
      <c r="R68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Stop Signs are Merely Suggestions</v>
      </c>
      <c r="S68" s="191" t="s">
        <v>4191</v>
      </c>
      <c r="T68" s="190" t="s">
        <v>4191</v>
      </c>
      <c r="U68" s="189" t="s">
        <v>4191</v>
      </c>
      <c r="V68" s="188"/>
      <c r="W68" s="198"/>
      <c r="X68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68" s="109">
        <f t="shared" si="3"/>
        <v>53</v>
      </c>
      <c r="AA68" s="59">
        <v>45572</v>
      </c>
      <c r="AB68" t="str">
        <v>danram</v>
      </c>
      <c r="AC68" s="3">
        <v>2.2000000000000002</v>
      </c>
      <c r="AD68" s="3">
        <v>0.74833147735478833</v>
      </c>
      <c r="AE68" t="str">
        <v>Someday</v>
      </c>
      <c r="AF68" t="str">
        <v>The Strokes</v>
      </c>
      <c r="AG68" s="100">
        <f t="shared" si="4"/>
        <v>33</v>
      </c>
      <c r="AI68" s="114">
        <f>SotY_2024[[#This Row],[Max Seed]]/2 + 1</f>
        <v>65</v>
      </c>
      <c r="AJ68" s="105" t="str">
        <f ca="1">IF(SotY_2024[[#This Row],[Num]]&gt;=$A$1, "-", IF(SotY_2024[[#This Row],[Score 1]]&gt;=3, SotY_2024[[#This Row],[Song 2]], IF(SotY_2024[[#This Row],[Score 2]]&gt;=3, SotY_2024[[#This Row],[Song 1]], "TBD")))</f>
        <v>Otro Atardecer</v>
      </c>
      <c r="AK68" s="115">
        <f ca="1">IFERROR(VLOOKUP(SotY_2024_Results[[#This Row],[Song Title]], $AE$2:$AG$111, 3, FALSE)-SotY_2024_Results[[#This Row],[Result]], "TBD")</f>
        <v>-32</v>
      </c>
      <c r="AL68" s="112" t="str">
        <f ca="1">IF(SotY_2024_Results[[#This Row],[Diff]]&lt;0,"↓",IF(SotY_2024_Results[[#This Row],[Diff]]=0,"-","↑"))</f>
        <v>↓</v>
      </c>
    </row>
    <row r="69" spans="1:38">
      <c r="A69" s="197" t="str">
        <f>_xlfn.CONCAT("Seed ", SotY_2024[[#This Row],[Top Seed]], " vs ", SotY_2024[[#This Row],[Low Seed]])</f>
        <v>Seed 61 vs 68</v>
      </c>
      <c r="B69" s="115">
        <v>67</v>
      </c>
      <c r="C69" s="115">
        <f>FLOOR(LOG(SotY_2024[[#This Row],[Num]], 2), 1)</f>
        <v>6</v>
      </c>
      <c r="D69" s="115">
        <f>2^(SotY_2024[[#This Row],[Round]]+1)</f>
        <v>128</v>
      </c>
      <c r="E69" s="115">
        <f>SotY_2024[[#This Row],[Max Seed]]-SotY_2024[[#This Row],[Num]]</f>
        <v>61</v>
      </c>
      <c r="F69" s="115">
        <f>SotY_2024[[#This Row],[Max Seed]]-SotY_2024[[#This Row],[Top Seed]]+1</f>
        <v>68</v>
      </c>
      <c r="G69" s="115" t="b">
        <f>IF(SotY_2024[[#This Row],[Round]]=$C$1, TRUE(), IF(SotY_2024[[#This Row],[Round]]=$B$1, SotY_2024[[#This Row],[Top Seed]]&lt;=2*SotY_2024[[#This Row],[Max Seed]]-$A$1, FALSE()))</f>
        <v>1</v>
      </c>
      <c r="H69" s="115" t="b">
        <f>IF(SotY_2024[[#This Row],[Round]]=$C$1, TRUE(), IF(SotY_2024[[#This Row],[Round]]=$B$1, SotY_2024[[#This Row],[Low Seed]]&lt;=2*SotY_2024[[#This Row],[Max Seed]]-$A$1, FALSE()))</f>
        <v>1</v>
      </c>
      <c r="I69" s="187" t="s">
        <v>4191</v>
      </c>
      <c r="J69" s="188"/>
      <c r="K69" s="189"/>
      <c r="L69" s="190" t="s">
        <v>4191</v>
      </c>
      <c r="M69" s="191" t="s">
        <v>4191</v>
      </c>
      <c r="N69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Plastic Love</v>
      </c>
      <c r="O69" s="105">
        <f>COUNTIF(SotY_2024[[#This Row],[J]:[H]],"x")</f>
        <v>3</v>
      </c>
      <c r="P69" s="115" t="str">
        <f ca="1">IF(SotY_2024[[#This Row],[Num]]&gt;=$A$1, "-", IF(SotY_2024[[#This Row],[Score 1]]&gt;=3, SotY_2024[[#This Row],[Song 1]], IF(SotY_2024[[#This Row],[Score 2]]&gt;=3, SotY_2024[[#This Row],[Song 2]], "TBD")))</f>
        <v>Plastic Love</v>
      </c>
      <c r="Q69" s="193">
        <f>COUNTIF(SotY_2024[[#This Row],[H ]:[J ]],"x")</f>
        <v>2</v>
      </c>
      <c r="R69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Congratulations</v>
      </c>
      <c r="S69" s="191"/>
      <c r="T69" s="190"/>
      <c r="U69" s="189" t="s">
        <v>4191</v>
      </c>
      <c r="V69" s="188" t="s">
        <v>4191</v>
      </c>
      <c r="W69" s="198"/>
      <c r="X69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69" s="109">
        <f t="shared" si="3"/>
        <v>21</v>
      </c>
      <c r="AA69" s="59">
        <v>45573</v>
      </c>
      <c r="AB69" t="str">
        <v>currydestroyer27</v>
      </c>
      <c r="AC69" s="3">
        <v>1.8</v>
      </c>
      <c r="AD69" s="3">
        <v>0.74833147735478833</v>
      </c>
      <c r="AE69" t="str">
        <v>What You Know</v>
      </c>
      <c r="AF69" t="str">
        <v>Two Door Cinema Club</v>
      </c>
      <c r="AG69" s="100">
        <f t="shared" si="4"/>
        <v>17</v>
      </c>
      <c r="AI69" s="114">
        <f>SotY_2024[[#This Row],[Max Seed]]/2 + 1</f>
        <v>65</v>
      </c>
      <c r="AJ69" s="105" t="str">
        <f ca="1">IF(SotY_2024[[#This Row],[Num]]&gt;=$A$1, "-", IF(SotY_2024[[#This Row],[Score 1]]&gt;=3, SotY_2024[[#This Row],[Song 2]], IF(SotY_2024[[#This Row],[Score 2]]&gt;=3, SotY_2024[[#This Row],[Song 1]], "TBD")))</f>
        <v>Congratulations</v>
      </c>
      <c r="AK69" s="115">
        <f ca="1">IFERROR(VLOOKUP(SotY_2024_Results[[#This Row],[Song Title]], $AE$2:$AG$111, 3, FALSE)-SotY_2024_Results[[#This Row],[Result]], "TBD")</f>
        <v>0</v>
      </c>
      <c r="AL69" s="112" t="str">
        <f ca="1">IF(SotY_2024_Results[[#This Row],[Diff]]&lt;0,"↓",IF(SotY_2024_Results[[#This Row],[Diff]]=0,"-","↑"))</f>
        <v>-</v>
      </c>
    </row>
    <row r="70" spans="1:38">
      <c r="A70" s="197" t="str">
        <f>_xlfn.CONCAT("Seed ", SotY_2024[[#This Row],[Top Seed]], " vs ", SotY_2024[[#This Row],[Low Seed]])</f>
        <v>Seed 60 vs 69</v>
      </c>
      <c r="B70" s="115">
        <v>68</v>
      </c>
      <c r="C70" s="115">
        <f>FLOOR(LOG(SotY_2024[[#This Row],[Num]], 2), 1)</f>
        <v>6</v>
      </c>
      <c r="D70" s="115">
        <f>2^(SotY_2024[[#This Row],[Round]]+1)</f>
        <v>128</v>
      </c>
      <c r="E70" s="115">
        <f>SotY_2024[[#This Row],[Max Seed]]-SotY_2024[[#This Row],[Num]]</f>
        <v>60</v>
      </c>
      <c r="F70" s="115">
        <f>SotY_2024[[#This Row],[Max Seed]]-SotY_2024[[#This Row],[Top Seed]]+1</f>
        <v>69</v>
      </c>
      <c r="G70" s="115" t="b">
        <f>IF(SotY_2024[[#This Row],[Round]]=$C$1, TRUE(), IF(SotY_2024[[#This Row],[Round]]=$B$1, SotY_2024[[#This Row],[Top Seed]]&lt;=2*SotY_2024[[#This Row],[Max Seed]]-$A$1, FALSE()))</f>
        <v>1</v>
      </c>
      <c r="H70" s="115" t="b">
        <f>IF(SotY_2024[[#This Row],[Round]]=$C$1, TRUE(), IF(SotY_2024[[#This Row],[Round]]=$B$1, SotY_2024[[#This Row],[Low Seed]]&lt;=2*SotY_2024[[#This Row],[Max Seed]]-$A$1, FALSE()))</f>
        <v>1</v>
      </c>
      <c r="I70" s="187"/>
      <c r="J70" s="188" t="s">
        <v>4191</v>
      </c>
      <c r="K70" s="189"/>
      <c r="L70" s="190"/>
      <c r="M70" s="191"/>
      <c r="N70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The Loneliest Time</v>
      </c>
      <c r="O70" s="105">
        <f>COUNTIF(SotY_2024[[#This Row],[J]:[H]],"x")</f>
        <v>1</v>
      </c>
      <c r="P70" s="115" t="str">
        <f ca="1">IF(SotY_2024[[#This Row],[Num]]&gt;=$A$1, "-", IF(SotY_2024[[#This Row],[Score 1]]&gt;=3, SotY_2024[[#This Row],[Song 1]], IF(SotY_2024[[#This Row],[Score 2]]&gt;=3, SotY_2024[[#This Row],[Song 2]], "TBD")))</f>
        <v>3005</v>
      </c>
      <c r="Q70" s="193">
        <f>COUNTIF(SotY_2024[[#This Row],[H ]:[J ]],"x")</f>
        <v>4</v>
      </c>
      <c r="R70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3005</v>
      </c>
      <c r="S70" s="191" t="s">
        <v>4191</v>
      </c>
      <c r="T70" s="190" t="s">
        <v>4191</v>
      </c>
      <c r="U70" s="189" t="s">
        <v>4191</v>
      </c>
      <c r="V70" s="188"/>
      <c r="W70" s="198" t="s">
        <v>4191</v>
      </c>
      <c r="X70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70" s="109">
        <f t="shared" si="3"/>
        <v>22</v>
      </c>
      <c r="AA70" s="59">
        <v>45574</v>
      </c>
      <c r="AB70" t="str">
        <v>danram</v>
      </c>
      <c r="AC70" s="3">
        <v>1.8</v>
      </c>
      <c r="AD70" s="3">
        <v>0.74833147735478833</v>
      </c>
      <c r="AE70" t="str">
        <v>遙か彼方</v>
      </c>
      <c r="AF70" t="str">
        <v>Asian Kung-Fu Generation</v>
      </c>
      <c r="AG70" s="100">
        <f t="shared" si="4"/>
        <v>17</v>
      </c>
      <c r="AI70" s="114">
        <f>SotY_2024[[#This Row],[Max Seed]]/2 + 1</f>
        <v>65</v>
      </c>
      <c r="AJ70" s="105" t="str">
        <f ca="1">IF(SotY_2024[[#This Row],[Num]]&gt;=$A$1, "-", IF(SotY_2024[[#This Row],[Score 1]]&gt;=3, SotY_2024[[#This Row],[Song 2]], IF(SotY_2024[[#This Row],[Score 2]]&gt;=3, SotY_2024[[#This Row],[Song 1]], "TBD")))</f>
        <v>The Loneliest Time</v>
      </c>
      <c r="AK70" s="115">
        <f ca="1">IFERROR(VLOOKUP(SotY_2024_Results[[#This Row],[Song Title]], $AE$2:$AG$111, 3, FALSE)-SotY_2024_Results[[#This Row],[Result]], "TBD")</f>
        <v>-32</v>
      </c>
      <c r="AL70" s="112" t="str">
        <f ca="1">IF(SotY_2024_Results[[#This Row],[Diff]]&lt;0,"↓",IF(SotY_2024_Results[[#This Row],[Diff]]=0,"-","↑"))</f>
        <v>↓</v>
      </c>
    </row>
    <row r="71" spans="1:38">
      <c r="A71" s="197" t="str">
        <f>_xlfn.CONCAT("Seed ", SotY_2024[[#This Row],[Top Seed]], " vs ", SotY_2024[[#This Row],[Low Seed]])</f>
        <v>Seed 59 vs 70</v>
      </c>
      <c r="B71" s="115">
        <v>69</v>
      </c>
      <c r="C71" s="115">
        <f>FLOOR(LOG(SotY_2024[[#This Row],[Num]], 2), 1)</f>
        <v>6</v>
      </c>
      <c r="D71" s="115">
        <f>2^(SotY_2024[[#This Row],[Round]]+1)</f>
        <v>128</v>
      </c>
      <c r="E71" s="115">
        <f>SotY_2024[[#This Row],[Max Seed]]-SotY_2024[[#This Row],[Num]]</f>
        <v>59</v>
      </c>
      <c r="F71" s="115">
        <f>SotY_2024[[#This Row],[Max Seed]]-SotY_2024[[#This Row],[Top Seed]]+1</f>
        <v>70</v>
      </c>
      <c r="G71" s="115" t="b">
        <f>IF(SotY_2024[[#This Row],[Round]]=$C$1, TRUE(), IF(SotY_2024[[#This Row],[Round]]=$B$1, SotY_2024[[#This Row],[Top Seed]]&lt;=2*SotY_2024[[#This Row],[Max Seed]]-$A$1, FALSE()))</f>
        <v>1</v>
      </c>
      <c r="H71" s="115" t="b">
        <f>IF(SotY_2024[[#This Row],[Round]]=$C$1, TRUE(), IF(SotY_2024[[#This Row],[Round]]=$B$1, SotY_2024[[#This Row],[Low Seed]]&lt;=2*SotY_2024[[#This Row],[Max Seed]]-$A$1, FALSE()))</f>
        <v>1</v>
      </c>
      <c r="I71" s="187"/>
      <c r="J71" s="188"/>
      <c r="K71" s="189" t="s">
        <v>4191</v>
      </c>
      <c r="L71" s="190"/>
      <c r="M71" s="191" t="s">
        <v>4191</v>
      </c>
      <c r="N71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WOKE UP</v>
      </c>
      <c r="O71" s="105">
        <f>COUNTIF(SotY_2024[[#This Row],[J]:[H]],"x")</f>
        <v>2</v>
      </c>
      <c r="P71" s="115" t="str">
        <f ca="1">IF(SotY_2024[[#This Row],[Num]]&gt;=$A$1, "-", IF(SotY_2024[[#This Row],[Score 1]]&gt;=3, SotY_2024[[#This Row],[Song 1]], IF(SotY_2024[[#This Row],[Score 2]]&gt;=3, SotY_2024[[#This Row],[Song 2]], "TBD")))</f>
        <v>Juna</v>
      </c>
      <c r="Q71" s="193">
        <f>COUNTIF(SotY_2024[[#This Row],[H ]:[J ]],"x")</f>
        <v>3</v>
      </c>
      <c r="R71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Juna</v>
      </c>
      <c r="S71" s="191"/>
      <c r="T71" s="190" t="s">
        <v>4191</v>
      </c>
      <c r="U71" s="189"/>
      <c r="V71" s="188" t="s">
        <v>4191</v>
      </c>
      <c r="W71" s="198" t="s">
        <v>4191</v>
      </c>
      <c r="X71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71" s="109">
        <f t="shared" si="3"/>
        <v>97</v>
      </c>
      <c r="AA71" s="59">
        <v>45575</v>
      </c>
      <c r="AB71" t="str">
        <v>samuelbattista</v>
      </c>
      <c r="AC71" s="3">
        <v>2.6</v>
      </c>
      <c r="AD71" s="3">
        <v>1.3564659966250536</v>
      </c>
      <c r="AE71" t="str">
        <v>Noddin'</v>
      </c>
      <c r="AF71" t="str">
        <v>Millennial Trash</v>
      </c>
      <c r="AG71" s="100">
        <f t="shared" si="4"/>
        <v>65</v>
      </c>
      <c r="AI71" s="114">
        <f>SotY_2024[[#This Row],[Max Seed]]/2 + 1</f>
        <v>65</v>
      </c>
      <c r="AJ71" s="105" t="str">
        <f ca="1">IF(SotY_2024[[#This Row],[Num]]&gt;=$A$1, "-", IF(SotY_2024[[#This Row],[Score 1]]&gt;=3, SotY_2024[[#This Row],[Song 2]], IF(SotY_2024[[#This Row],[Score 2]]&gt;=3, SotY_2024[[#This Row],[Song 1]], "TBD")))</f>
        <v>WOKE UP</v>
      </c>
      <c r="AK71" s="115">
        <f ca="1">IFERROR(VLOOKUP(SotY_2024_Results[[#This Row],[Song Title]], $AE$2:$AG$111, 3, FALSE)-SotY_2024_Results[[#This Row],[Result]], "TBD")</f>
        <v>-32</v>
      </c>
      <c r="AL71" s="112" t="str">
        <f ca="1">IF(SotY_2024_Results[[#This Row],[Diff]]&lt;0,"↓",IF(SotY_2024_Results[[#This Row],[Diff]]=0,"-","↑"))</f>
        <v>↓</v>
      </c>
    </row>
    <row r="72" spans="1:38">
      <c r="A72" s="197" t="str">
        <f>_xlfn.CONCAT("Seed ", SotY_2024[[#This Row],[Top Seed]], " vs ", SotY_2024[[#This Row],[Low Seed]])</f>
        <v>Seed 58 vs 71</v>
      </c>
      <c r="B72" s="115">
        <v>70</v>
      </c>
      <c r="C72" s="115">
        <f>FLOOR(LOG(SotY_2024[[#This Row],[Num]], 2), 1)</f>
        <v>6</v>
      </c>
      <c r="D72" s="115">
        <f>2^(SotY_2024[[#This Row],[Round]]+1)</f>
        <v>128</v>
      </c>
      <c r="E72" s="115">
        <f>SotY_2024[[#This Row],[Max Seed]]-SotY_2024[[#This Row],[Num]]</f>
        <v>58</v>
      </c>
      <c r="F72" s="115">
        <f>SotY_2024[[#This Row],[Max Seed]]-SotY_2024[[#This Row],[Top Seed]]+1</f>
        <v>71</v>
      </c>
      <c r="G72" s="115" t="b">
        <f>IF(SotY_2024[[#This Row],[Round]]=$C$1, TRUE(), IF(SotY_2024[[#This Row],[Round]]=$B$1, SotY_2024[[#This Row],[Top Seed]]&lt;=2*SotY_2024[[#This Row],[Max Seed]]-$A$1, FALSE()))</f>
        <v>1</v>
      </c>
      <c r="H72" s="115" t="b">
        <f>IF(SotY_2024[[#This Row],[Round]]=$C$1, TRUE(), IF(SotY_2024[[#This Row],[Round]]=$B$1, SotY_2024[[#This Row],[Low Seed]]&lt;=2*SotY_2024[[#This Row],[Max Seed]]-$A$1, FALSE()))</f>
        <v>1</v>
      </c>
      <c r="I72" s="187" t="s">
        <v>4191</v>
      </c>
      <c r="J72" s="188"/>
      <c r="K72" s="189"/>
      <c r="L72" s="190"/>
      <c r="M72" s="191"/>
      <c r="N72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Nobody's Business</v>
      </c>
      <c r="O72" s="105">
        <f>COUNTIF(SotY_2024[[#This Row],[J]:[H]],"x")</f>
        <v>1</v>
      </c>
      <c r="P72" s="115" t="str">
        <f ca="1">IF(SotY_2024[[#This Row],[Num]]&gt;=$A$1, "-", IF(SotY_2024[[#This Row],[Score 1]]&gt;=3, SotY_2024[[#This Row],[Song 1]], IF(SotY_2024[[#This Row],[Score 2]]&gt;=3, SotY_2024[[#This Row],[Song 2]], "TBD")))</f>
        <v>Zombie</v>
      </c>
      <c r="Q72" s="193">
        <f>COUNTIF(SotY_2024[[#This Row],[H ]:[J ]],"x")</f>
        <v>4</v>
      </c>
      <c r="R72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Zombie</v>
      </c>
      <c r="S72" s="191" t="s">
        <v>4191</v>
      </c>
      <c r="T72" s="190" t="s">
        <v>4191</v>
      </c>
      <c r="U72" s="189" t="s">
        <v>4191</v>
      </c>
      <c r="V72" s="188" t="s">
        <v>4191</v>
      </c>
      <c r="W72" s="198"/>
      <c r="X72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72" s="109">
        <f t="shared" si="3"/>
        <v>16</v>
      </c>
      <c r="AA72" s="59">
        <v>45579</v>
      </c>
      <c r="AB72" t="str">
        <v>loganworsdell</v>
      </c>
      <c r="AC72" s="3">
        <v>1.8</v>
      </c>
      <c r="AD72" s="3">
        <v>0.4</v>
      </c>
      <c r="AE72" t="str">
        <v>The Number You Have Dialed Is Not in Service</v>
      </c>
      <c r="AF72" t="str">
        <v>$uicideboy$</v>
      </c>
      <c r="AG72" s="100">
        <f t="shared" si="4"/>
        <v>9</v>
      </c>
      <c r="AI72" s="114">
        <f>SotY_2024[[#This Row],[Max Seed]]/2 + 1</f>
        <v>65</v>
      </c>
      <c r="AJ72" s="105" t="str">
        <f ca="1">IF(SotY_2024[[#This Row],[Num]]&gt;=$A$1, "-", IF(SotY_2024[[#This Row],[Score 1]]&gt;=3, SotY_2024[[#This Row],[Song 2]], IF(SotY_2024[[#This Row],[Score 2]]&gt;=3, SotY_2024[[#This Row],[Song 1]], "TBD")))</f>
        <v>Nobody's Business</v>
      </c>
      <c r="AK72" s="115">
        <f ca="1">IFERROR(VLOOKUP(SotY_2024_Results[[#This Row],[Song Title]], $AE$2:$AG$111, 3, FALSE)-SotY_2024_Results[[#This Row],[Result]], "TBD")</f>
        <v>-32</v>
      </c>
      <c r="AL72" s="112" t="str">
        <f ca="1">IF(SotY_2024_Results[[#This Row],[Diff]]&lt;0,"↓",IF(SotY_2024_Results[[#This Row],[Diff]]=0,"-","↑"))</f>
        <v>↓</v>
      </c>
    </row>
    <row r="73" spans="1:38">
      <c r="A73" s="197" t="str">
        <f>_xlfn.CONCAT("Seed ", SotY_2024[[#This Row],[Top Seed]], " vs ", SotY_2024[[#This Row],[Low Seed]])</f>
        <v>Seed 57 vs 72</v>
      </c>
      <c r="B73" s="115">
        <v>71</v>
      </c>
      <c r="C73" s="115">
        <f>FLOOR(LOG(SotY_2024[[#This Row],[Num]], 2), 1)</f>
        <v>6</v>
      </c>
      <c r="D73" s="115">
        <f>2^(SotY_2024[[#This Row],[Round]]+1)</f>
        <v>128</v>
      </c>
      <c r="E73" s="115">
        <f>SotY_2024[[#This Row],[Max Seed]]-SotY_2024[[#This Row],[Num]]</f>
        <v>57</v>
      </c>
      <c r="F73" s="115">
        <f>SotY_2024[[#This Row],[Max Seed]]-SotY_2024[[#This Row],[Top Seed]]+1</f>
        <v>72</v>
      </c>
      <c r="G73" s="115" t="b">
        <f>IF(SotY_2024[[#This Row],[Round]]=$C$1, TRUE(), IF(SotY_2024[[#This Row],[Round]]=$B$1, SotY_2024[[#This Row],[Top Seed]]&lt;=2*SotY_2024[[#This Row],[Max Seed]]-$A$1, FALSE()))</f>
        <v>1</v>
      </c>
      <c r="H73" s="115" t="b">
        <f>IF(SotY_2024[[#This Row],[Round]]=$C$1, TRUE(), IF(SotY_2024[[#This Row],[Round]]=$B$1, SotY_2024[[#This Row],[Low Seed]]&lt;=2*SotY_2024[[#This Row],[Max Seed]]-$A$1, FALSE()))</f>
        <v>1</v>
      </c>
      <c r="I73" s="187"/>
      <c r="J73" s="188" t="s">
        <v>4191</v>
      </c>
      <c r="K73" s="189"/>
      <c r="L73" s="190"/>
      <c r="M73" s="191" t="s">
        <v>4191</v>
      </c>
      <c r="N73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Don't Speak</v>
      </c>
      <c r="O73" s="105">
        <f>COUNTIF(SotY_2024[[#This Row],[J]:[H]],"x")</f>
        <v>2</v>
      </c>
      <c r="P73" s="115" t="str">
        <f ca="1">IF(SotY_2024[[#This Row],[Num]]&gt;=$A$1, "-", IF(SotY_2024[[#This Row],[Score 1]]&gt;=3, SotY_2024[[#This Row],[Song 1]], IF(SotY_2024[[#This Row],[Score 2]]&gt;=3, SotY_2024[[#This Row],[Song 2]], "TBD")))</f>
        <v>\ \ \</v>
      </c>
      <c r="Q73" s="193">
        <f>COUNTIF(SotY_2024[[#This Row],[H ]:[J ]],"x")</f>
        <v>3</v>
      </c>
      <c r="R73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\ \ \</v>
      </c>
      <c r="S73" s="191"/>
      <c r="T73" s="190" t="s">
        <v>4191</v>
      </c>
      <c r="U73" s="189" t="s">
        <v>4191</v>
      </c>
      <c r="V73" s="188"/>
      <c r="W73" s="198" t="s">
        <v>4191</v>
      </c>
      <c r="X73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73" s="109">
        <f t="shared" si="3"/>
        <v>65</v>
      </c>
      <c r="AA73" s="59">
        <v>45580</v>
      </c>
      <c r="AB73" t="str">
        <v>danram</v>
      </c>
      <c r="AC73" s="3">
        <v>2.2000000000000002</v>
      </c>
      <c r="AD73" s="3">
        <v>1.1661903789690602</v>
      </c>
      <c r="AE73" t="str">
        <v>A Little Respect</v>
      </c>
      <c r="AF73" t="str">
        <v>Erasure</v>
      </c>
      <c r="AG73" s="100">
        <f t="shared" si="4"/>
        <v>65</v>
      </c>
      <c r="AI73" s="114">
        <f>SotY_2024[[#This Row],[Max Seed]]/2 + 1</f>
        <v>65</v>
      </c>
      <c r="AJ73" s="105" t="str">
        <f ca="1">IF(SotY_2024[[#This Row],[Num]]&gt;=$A$1, "-", IF(SotY_2024[[#This Row],[Score 1]]&gt;=3, SotY_2024[[#This Row],[Song 2]], IF(SotY_2024[[#This Row],[Score 2]]&gt;=3, SotY_2024[[#This Row],[Song 1]], "TBD")))</f>
        <v>Don't Speak</v>
      </c>
      <c r="AK73" s="115">
        <f ca="1">IFERROR(VLOOKUP(SotY_2024_Results[[#This Row],[Song Title]], $AE$2:$AG$111, 3, FALSE)-SotY_2024_Results[[#This Row],[Result]], "TBD")</f>
        <v>-32</v>
      </c>
      <c r="AL73" s="112" t="str">
        <f ca="1">IF(SotY_2024_Results[[#This Row],[Diff]]&lt;0,"↓",IF(SotY_2024_Results[[#This Row],[Diff]]=0,"-","↑"))</f>
        <v>↓</v>
      </c>
    </row>
    <row r="74" spans="1:38">
      <c r="A74" s="197" t="str">
        <f>_xlfn.CONCAT("Seed ", SotY_2024[[#This Row],[Top Seed]], " vs ", SotY_2024[[#This Row],[Low Seed]])</f>
        <v>Seed 56 vs 73</v>
      </c>
      <c r="B74" s="115">
        <v>72</v>
      </c>
      <c r="C74" s="115">
        <f>FLOOR(LOG(SotY_2024[[#This Row],[Num]], 2), 1)</f>
        <v>6</v>
      </c>
      <c r="D74" s="115">
        <f>2^(SotY_2024[[#This Row],[Round]]+1)</f>
        <v>128</v>
      </c>
      <c r="E74" s="115">
        <f>SotY_2024[[#This Row],[Max Seed]]-SotY_2024[[#This Row],[Num]]</f>
        <v>56</v>
      </c>
      <c r="F74" s="115">
        <f>SotY_2024[[#This Row],[Max Seed]]-SotY_2024[[#This Row],[Top Seed]]+1</f>
        <v>73</v>
      </c>
      <c r="G74" s="115" t="b">
        <f>IF(SotY_2024[[#This Row],[Round]]=$C$1, TRUE(), IF(SotY_2024[[#This Row],[Round]]=$B$1, SotY_2024[[#This Row],[Top Seed]]&lt;=2*SotY_2024[[#This Row],[Max Seed]]-$A$1, FALSE()))</f>
        <v>1</v>
      </c>
      <c r="H74" s="115" t="b">
        <f>IF(SotY_2024[[#This Row],[Round]]=$C$1, TRUE(), IF(SotY_2024[[#This Row],[Round]]=$B$1, SotY_2024[[#This Row],[Low Seed]]&lt;=2*SotY_2024[[#This Row],[Max Seed]]-$A$1, FALSE()))</f>
        <v>1</v>
      </c>
      <c r="I74" s="187" t="s">
        <v>4191</v>
      </c>
      <c r="J74" s="188" t="s">
        <v>4191</v>
      </c>
      <c r="K74" s="189"/>
      <c r="L74" s="190" t="s">
        <v>4191</v>
      </c>
      <c r="M74" s="191" t="s">
        <v>4191</v>
      </c>
      <c r="N74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BIRDS OF A FEATHER</v>
      </c>
      <c r="O74" s="105">
        <f>COUNTIF(SotY_2024[[#This Row],[J]:[H]],"x")</f>
        <v>4</v>
      </c>
      <c r="P74" s="115" t="str">
        <f ca="1">IF(SotY_2024[[#This Row],[Num]]&gt;=$A$1, "-", IF(SotY_2024[[#This Row],[Score 1]]&gt;=3, SotY_2024[[#This Row],[Song 1]], IF(SotY_2024[[#This Row],[Score 2]]&gt;=3, SotY_2024[[#This Row],[Song 2]], "TBD")))</f>
        <v>BIRDS OF A FEATHER</v>
      </c>
      <c r="Q74" s="193">
        <f>COUNTIF(SotY_2024[[#This Row],[H ]:[J ]],"x")</f>
        <v>1</v>
      </c>
      <c r="R74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Everything Goes On</v>
      </c>
      <c r="S74" s="191"/>
      <c r="T74" s="190"/>
      <c r="U74" s="189" t="s">
        <v>4191</v>
      </c>
      <c r="V74" s="188"/>
      <c r="W74" s="198"/>
      <c r="X74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74" s="109">
        <f t="shared" si="3"/>
        <v>33</v>
      </c>
      <c r="AA74" s="59">
        <v>45581</v>
      </c>
      <c r="AB74" t="str">
        <v>loganworsdell</v>
      </c>
      <c r="AC74" s="3">
        <v>2</v>
      </c>
      <c r="AD74" s="3">
        <v>0.63245553203367588</v>
      </c>
      <c r="AE74" t="str">
        <v>places to be</v>
      </c>
      <c r="AF74" t="str">
        <v>Fred again.., Anderson. Paak, CHIKA</v>
      </c>
      <c r="AG74" s="100">
        <f t="shared" si="4"/>
        <v>33</v>
      </c>
      <c r="AI74" s="114">
        <f>SotY_2024[[#This Row],[Max Seed]]/2 + 1</f>
        <v>65</v>
      </c>
      <c r="AJ74" s="105" t="str">
        <f ca="1">IF(SotY_2024[[#This Row],[Num]]&gt;=$A$1, "-", IF(SotY_2024[[#This Row],[Score 1]]&gt;=3, SotY_2024[[#This Row],[Song 2]], IF(SotY_2024[[#This Row],[Score 2]]&gt;=3, SotY_2024[[#This Row],[Song 1]], "TBD")))</f>
        <v>Everything Goes On</v>
      </c>
      <c r="AK74" s="115">
        <f ca="1">IFERROR(VLOOKUP(SotY_2024_Results[[#This Row],[Song Title]], $AE$2:$AG$111, 3, FALSE)-SotY_2024_Results[[#This Row],[Result]], "TBD")</f>
        <v>0</v>
      </c>
      <c r="AL74" s="112" t="str">
        <f ca="1">IF(SotY_2024_Results[[#This Row],[Diff]]&lt;0,"↓",IF(SotY_2024_Results[[#This Row],[Diff]]=0,"-","↑"))</f>
        <v>-</v>
      </c>
    </row>
    <row r="75" spans="1:38">
      <c r="A75" s="197" t="str">
        <f>_xlfn.CONCAT("Seed ", SotY_2024[[#This Row],[Top Seed]], " vs ", SotY_2024[[#This Row],[Low Seed]])</f>
        <v>Seed 55 vs 74</v>
      </c>
      <c r="B75" s="115">
        <v>73</v>
      </c>
      <c r="C75" s="115">
        <f>FLOOR(LOG(SotY_2024[[#This Row],[Num]], 2), 1)</f>
        <v>6</v>
      </c>
      <c r="D75" s="115">
        <f>2^(SotY_2024[[#This Row],[Round]]+1)</f>
        <v>128</v>
      </c>
      <c r="E75" s="115">
        <f>SotY_2024[[#This Row],[Max Seed]]-SotY_2024[[#This Row],[Num]]</f>
        <v>55</v>
      </c>
      <c r="F75" s="115">
        <f>SotY_2024[[#This Row],[Max Seed]]-SotY_2024[[#This Row],[Top Seed]]+1</f>
        <v>74</v>
      </c>
      <c r="G75" s="115" t="b">
        <f>IF(SotY_2024[[#This Row],[Round]]=$C$1, TRUE(), IF(SotY_2024[[#This Row],[Round]]=$B$1, SotY_2024[[#This Row],[Top Seed]]&lt;=2*SotY_2024[[#This Row],[Max Seed]]-$A$1, FALSE()))</f>
        <v>1</v>
      </c>
      <c r="H75" s="115" t="b">
        <f>IF(SotY_2024[[#This Row],[Round]]=$C$1, TRUE(), IF(SotY_2024[[#This Row],[Round]]=$B$1, SotY_2024[[#This Row],[Low Seed]]&lt;=2*SotY_2024[[#This Row],[Max Seed]]-$A$1, FALSE()))</f>
        <v>1</v>
      </c>
      <c r="I75" s="187" t="s">
        <v>4191</v>
      </c>
      <c r="J75" s="188"/>
      <c r="K75" s="189"/>
      <c r="L75" s="190" t="s">
        <v>4191</v>
      </c>
      <c r="M75" s="191"/>
      <c r="N75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Working Man</v>
      </c>
      <c r="O75" s="105">
        <f>COUNTIF(SotY_2024[[#This Row],[J]:[H]],"x")</f>
        <v>2</v>
      </c>
      <c r="P75" s="115" t="str">
        <f ca="1">IF(SotY_2024[[#This Row],[Num]]&gt;=$A$1, "-", IF(SotY_2024[[#This Row],[Score 1]]&gt;=3, SotY_2024[[#This Row],[Song 1]], IF(SotY_2024[[#This Row],[Score 2]]&gt;=3, SotY_2024[[#This Row],[Song 2]], "TBD")))</f>
        <v>Teenage Dirtbag</v>
      </c>
      <c r="Q75" s="193">
        <f>COUNTIF(SotY_2024[[#This Row],[H ]:[J ]],"x")</f>
        <v>3</v>
      </c>
      <c r="R75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Teenage Dirtbag</v>
      </c>
      <c r="S75" s="191" t="s">
        <v>4191</v>
      </c>
      <c r="T75" s="190"/>
      <c r="U75" s="189" t="s">
        <v>4191</v>
      </c>
      <c r="V75" s="188" t="s">
        <v>4191</v>
      </c>
      <c r="W75" s="198"/>
      <c r="X75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75" s="109">
        <f t="shared" si="3"/>
        <v>54</v>
      </c>
      <c r="AA75" s="59">
        <v>45582</v>
      </c>
      <c r="AB75" t="str">
        <v>danram</v>
      </c>
      <c r="AC75" s="3">
        <v>2.2000000000000002</v>
      </c>
      <c r="AD75" s="3">
        <v>0.74833147735478833</v>
      </c>
      <c r="AE75" t="str">
        <v>Mon Amour - Remix</v>
      </c>
      <c r="AF75" t="str">
        <v>zzoilo, Aitana</v>
      </c>
      <c r="AG75" s="100">
        <f t="shared" si="4"/>
        <v>33</v>
      </c>
      <c r="AI75" s="114">
        <f>SotY_2024[[#This Row],[Max Seed]]/2 + 1</f>
        <v>65</v>
      </c>
      <c r="AJ75" s="105" t="str">
        <f ca="1">IF(SotY_2024[[#This Row],[Num]]&gt;=$A$1, "-", IF(SotY_2024[[#This Row],[Score 1]]&gt;=3, SotY_2024[[#This Row],[Song 2]], IF(SotY_2024[[#This Row],[Score 2]]&gt;=3, SotY_2024[[#This Row],[Song 1]], "TBD")))</f>
        <v>Working Man</v>
      </c>
      <c r="AK75" s="115">
        <f ca="1">IFERROR(VLOOKUP(SotY_2024_Results[[#This Row],[Song Title]], $AE$2:$AG$111, 3, FALSE)-SotY_2024_Results[[#This Row],[Result]], "TBD")</f>
        <v>-32</v>
      </c>
      <c r="AL75" s="112" t="str">
        <f ca="1">IF(SotY_2024_Results[[#This Row],[Diff]]&lt;0,"↓",IF(SotY_2024_Results[[#This Row],[Diff]]=0,"-","↑"))</f>
        <v>↓</v>
      </c>
    </row>
    <row r="76" spans="1:38">
      <c r="A76" s="197" t="str">
        <f>_xlfn.CONCAT("Seed ", SotY_2024[[#This Row],[Top Seed]], " vs ", SotY_2024[[#This Row],[Low Seed]])</f>
        <v>Seed 54 vs 75</v>
      </c>
      <c r="B76" s="115">
        <v>74</v>
      </c>
      <c r="C76" s="115">
        <f>FLOOR(LOG(SotY_2024[[#This Row],[Num]], 2), 1)</f>
        <v>6</v>
      </c>
      <c r="D76" s="115">
        <f>2^(SotY_2024[[#This Row],[Round]]+1)</f>
        <v>128</v>
      </c>
      <c r="E76" s="115">
        <f>SotY_2024[[#This Row],[Max Seed]]-SotY_2024[[#This Row],[Num]]</f>
        <v>54</v>
      </c>
      <c r="F76" s="115">
        <f>SotY_2024[[#This Row],[Max Seed]]-SotY_2024[[#This Row],[Top Seed]]+1</f>
        <v>75</v>
      </c>
      <c r="G76" s="115" t="b">
        <f>IF(SotY_2024[[#This Row],[Round]]=$C$1, TRUE(), IF(SotY_2024[[#This Row],[Round]]=$B$1, SotY_2024[[#This Row],[Top Seed]]&lt;=2*SotY_2024[[#This Row],[Max Seed]]-$A$1, FALSE()))</f>
        <v>1</v>
      </c>
      <c r="H76" s="115" t="b">
        <f>IF(SotY_2024[[#This Row],[Round]]=$C$1, TRUE(), IF(SotY_2024[[#This Row],[Round]]=$B$1, SotY_2024[[#This Row],[Low Seed]]&lt;=2*SotY_2024[[#This Row],[Max Seed]]-$A$1, FALSE()))</f>
        <v>1</v>
      </c>
      <c r="I76" s="187" t="s">
        <v>4191</v>
      </c>
      <c r="J76" s="188" t="s">
        <v>4191</v>
      </c>
      <c r="K76" s="189"/>
      <c r="L76" s="190" t="s">
        <v>4191</v>
      </c>
      <c r="M76" s="191" t="s">
        <v>4191</v>
      </c>
      <c r="N76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Mon Amour - Remix</v>
      </c>
      <c r="O76" s="105">
        <f>COUNTIF(SotY_2024[[#This Row],[J]:[H]],"x")</f>
        <v>4</v>
      </c>
      <c r="P76" s="115" t="str">
        <f ca="1">IF(SotY_2024[[#This Row],[Num]]&gt;=$A$1, "-", IF(SotY_2024[[#This Row],[Score 1]]&gt;=3, SotY_2024[[#This Row],[Song 1]], IF(SotY_2024[[#This Row],[Score 2]]&gt;=3, SotY_2024[[#This Row],[Song 2]], "TBD")))</f>
        <v>Mon Amour - Remix</v>
      </c>
      <c r="Q76" s="193">
        <f>COUNTIF(SotY_2024[[#This Row],[H ]:[J ]],"x")</f>
        <v>1</v>
      </c>
      <c r="R76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Single Again</v>
      </c>
      <c r="S76" s="191"/>
      <c r="T76" s="190"/>
      <c r="U76" s="189" t="s">
        <v>4191</v>
      </c>
      <c r="V76" s="188"/>
      <c r="W76" s="198"/>
      <c r="X76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76" s="109">
        <f t="shared" si="3"/>
        <v>23</v>
      </c>
      <c r="AA76" s="59">
        <v>45586</v>
      </c>
      <c r="AB76" t="str">
        <v>danram</v>
      </c>
      <c r="AC76" s="3">
        <v>1.8</v>
      </c>
      <c r="AD76" s="3">
        <v>0.74833147735478833</v>
      </c>
      <c r="AE76" t="str">
        <v>QUE RICO CH**GAMOS</v>
      </c>
      <c r="AF76" t="str">
        <v>Rauw Alejandro</v>
      </c>
      <c r="AG76" s="100">
        <f t="shared" si="4"/>
        <v>17</v>
      </c>
      <c r="AI76" s="114">
        <f>SotY_2024[[#This Row],[Max Seed]]/2 + 1</f>
        <v>65</v>
      </c>
      <c r="AJ76" s="105" t="str">
        <f ca="1">IF(SotY_2024[[#This Row],[Num]]&gt;=$A$1, "-", IF(SotY_2024[[#This Row],[Score 1]]&gt;=3, SotY_2024[[#This Row],[Song 2]], IF(SotY_2024[[#This Row],[Score 2]]&gt;=3, SotY_2024[[#This Row],[Song 1]], "TBD")))</f>
        <v>Single Again</v>
      </c>
      <c r="AK76" s="115">
        <f ca="1">IFERROR(VLOOKUP(SotY_2024_Results[[#This Row],[Song Title]], $AE$2:$AG$111, 3, FALSE)-SotY_2024_Results[[#This Row],[Result]], "TBD")</f>
        <v>0</v>
      </c>
      <c r="AL76" s="112" t="str">
        <f ca="1">IF(SotY_2024_Results[[#This Row],[Diff]]&lt;0,"↓",IF(SotY_2024_Results[[#This Row],[Diff]]=0,"-","↑"))</f>
        <v>-</v>
      </c>
    </row>
    <row r="77" spans="1:38">
      <c r="A77" s="197" t="str">
        <f>_xlfn.CONCAT("Seed ", SotY_2024[[#This Row],[Top Seed]], " vs ", SotY_2024[[#This Row],[Low Seed]])</f>
        <v>Seed 53 vs 76</v>
      </c>
      <c r="B77" s="115">
        <v>75</v>
      </c>
      <c r="C77" s="115">
        <f>FLOOR(LOG(SotY_2024[[#This Row],[Num]], 2), 1)</f>
        <v>6</v>
      </c>
      <c r="D77" s="115">
        <f>2^(SotY_2024[[#This Row],[Round]]+1)</f>
        <v>128</v>
      </c>
      <c r="E77" s="115">
        <f>SotY_2024[[#This Row],[Max Seed]]-SotY_2024[[#This Row],[Num]]</f>
        <v>53</v>
      </c>
      <c r="F77" s="115">
        <f>SotY_2024[[#This Row],[Max Seed]]-SotY_2024[[#This Row],[Top Seed]]+1</f>
        <v>76</v>
      </c>
      <c r="G77" s="115" t="b">
        <f>IF(SotY_2024[[#This Row],[Round]]=$C$1, TRUE(), IF(SotY_2024[[#This Row],[Round]]=$B$1, SotY_2024[[#This Row],[Top Seed]]&lt;=2*SotY_2024[[#This Row],[Max Seed]]-$A$1, FALSE()))</f>
        <v>1</v>
      </c>
      <c r="H77" s="115" t="b">
        <f>IF(SotY_2024[[#This Row],[Round]]=$C$1, TRUE(), IF(SotY_2024[[#This Row],[Round]]=$B$1, SotY_2024[[#This Row],[Low Seed]]&lt;=2*SotY_2024[[#This Row],[Max Seed]]-$A$1, FALSE()))</f>
        <v>1</v>
      </c>
      <c r="I77" s="187"/>
      <c r="J77" s="188" t="s">
        <v>4191</v>
      </c>
      <c r="K77" s="189"/>
      <c r="L77" s="190" t="s">
        <v>4191</v>
      </c>
      <c r="M77" s="191"/>
      <c r="N77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Someday</v>
      </c>
      <c r="O77" s="105">
        <f>COUNTIF(SotY_2024[[#This Row],[J]:[H]],"x")</f>
        <v>2</v>
      </c>
      <c r="P77" s="115" t="str">
        <f ca="1">IF(SotY_2024[[#This Row],[Num]]&gt;=$A$1, "-", IF(SotY_2024[[#This Row],[Score 1]]&gt;=3, SotY_2024[[#This Row],[Song 1]], IF(SotY_2024[[#This Row],[Score 2]]&gt;=3, SotY_2024[[#This Row],[Song 2]], "TBD")))</f>
        <v>Otaku Hot Girl</v>
      </c>
      <c r="Q77" s="193">
        <f>COUNTIF(SotY_2024[[#This Row],[H ]:[J ]],"x")</f>
        <v>3</v>
      </c>
      <c r="R77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Otaku Hot Girl</v>
      </c>
      <c r="S77" s="191" t="s">
        <v>4191</v>
      </c>
      <c r="T77" s="190"/>
      <c r="U77" s="189" t="s">
        <v>4191</v>
      </c>
      <c r="V77" s="188"/>
      <c r="W77" s="198" t="s">
        <v>4191</v>
      </c>
      <c r="X77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77" s="109">
        <f t="shared" si="3"/>
        <v>98</v>
      </c>
      <c r="AA77" s="59">
        <v>45587</v>
      </c>
      <c r="AB77" t="str">
        <v>loganworsdell</v>
      </c>
      <c r="AC77" s="3">
        <v>2.6</v>
      </c>
      <c r="AD77" s="3">
        <v>1.3564659966250536</v>
      </c>
      <c r="AE77" t="str">
        <v>Let's Groove</v>
      </c>
      <c r="AF77" t="str">
        <v>Earth, Wind &amp; Fire</v>
      </c>
      <c r="AG77" s="100">
        <f t="shared" si="4"/>
        <v>65</v>
      </c>
      <c r="AI77" s="114">
        <f>SotY_2024[[#This Row],[Max Seed]]/2 + 1</f>
        <v>65</v>
      </c>
      <c r="AJ77" s="105" t="str">
        <f ca="1">IF(SotY_2024[[#This Row],[Num]]&gt;=$A$1, "-", IF(SotY_2024[[#This Row],[Score 1]]&gt;=3, SotY_2024[[#This Row],[Song 2]], IF(SotY_2024[[#This Row],[Score 2]]&gt;=3, SotY_2024[[#This Row],[Song 1]], "TBD")))</f>
        <v>Someday</v>
      </c>
      <c r="AK77" s="115">
        <f ca="1">IFERROR(VLOOKUP(SotY_2024_Results[[#This Row],[Song Title]], $AE$2:$AG$111, 3, FALSE)-SotY_2024_Results[[#This Row],[Result]], "TBD")</f>
        <v>-32</v>
      </c>
      <c r="AL77" s="112" t="str">
        <f ca="1">IF(SotY_2024_Results[[#This Row],[Diff]]&lt;0,"↓",IF(SotY_2024_Results[[#This Row],[Diff]]=0,"-","↑"))</f>
        <v>↓</v>
      </c>
    </row>
    <row r="78" spans="1:38">
      <c r="A78" s="197" t="str">
        <f>_xlfn.CONCAT("Seed ", SotY_2024[[#This Row],[Top Seed]], " vs ", SotY_2024[[#This Row],[Low Seed]])</f>
        <v>Seed 52 vs 77</v>
      </c>
      <c r="B78" s="115">
        <v>76</v>
      </c>
      <c r="C78" s="115">
        <f>FLOOR(LOG(SotY_2024[[#This Row],[Num]], 2), 1)</f>
        <v>6</v>
      </c>
      <c r="D78" s="115">
        <f>2^(SotY_2024[[#This Row],[Round]]+1)</f>
        <v>128</v>
      </c>
      <c r="E78" s="115">
        <f>SotY_2024[[#This Row],[Max Seed]]-SotY_2024[[#This Row],[Num]]</f>
        <v>52</v>
      </c>
      <c r="F78" s="115">
        <f>SotY_2024[[#This Row],[Max Seed]]-SotY_2024[[#This Row],[Top Seed]]+1</f>
        <v>77</v>
      </c>
      <c r="G78" s="115" t="b">
        <f>IF(SotY_2024[[#This Row],[Round]]=$C$1, TRUE(), IF(SotY_2024[[#This Row],[Round]]=$B$1, SotY_2024[[#This Row],[Top Seed]]&lt;=2*SotY_2024[[#This Row],[Max Seed]]-$A$1, FALSE()))</f>
        <v>1</v>
      </c>
      <c r="H78" s="115" t="b">
        <f>IF(SotY_2024[[#This Row],[Round]]=$C$1, TRUE(), IF(SotY_2024[[#This Row],[Round]]=$B$1, SotY_2024[[#This Row],[Low Seed]]&lt;=2*SotY_2024[[#This Row],[Max Seed]]-$A$1, FALSE()))</f>
        <v>1</v>
      </c>
      <c r="I78" s="187" t="s">
        <v>4191</v>
      </c>
      <c r="J78" s="188"/>
      <c r="K78" s="189"/>
      <c r="L78" s="190"/>
      <c r="M78" s="191" t="s">
        <v>4191</v>
      </c>
      <c r="N78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Raindrops</v>
      </c>
      <c r="O78" s="105">
        <f>COUNTIF(SotY_2024[[#This Row],[J]:[H]],"x")</f>
        <v>2</v>
      </c>
      <c r="P78" s="115" t="str">
        <f ca="1">IF(SotY_2024[[#This Row],[Num]]&gt;=$A$1, "-", IF(SotY_2024[[#This Row],[Score 1]]&gt;=3, SotY_2024[[#This Row],[Song 1]], IF(SotY_2024[[#This Row],[Score 2]]&gt;=3, SotY_2024[[#This Row],[Song 2]], "TBD")))</f>
        <v>princess peach</v>
      </c>
      <c r="Q78" s="193">
        <f>COUNTIF(SotY_2024[[#This Row],[H ]:[J ]],"x")</f>
        <v>3</v>
      </c>
      <c r="R78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princess peach</v>
      </c>
      <c r="S78" s="191"/>
      <c r="T78" s="190" t="s">
        <v>4191</v>
      </c>
      <c r="U78" s="189" t="s">
        <v>4191</v>
      </c>
      <c r="V78" s="188" t="s">
        <v>4191</v>
      </c>
      <c r="W78" s="198"/>
      <c r="X78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78" s="109">
        <f t="shared" si="3"/>
        <v>42</v>
      </c>
      <c r="AA78" s="59">
        <v>45588</v>
      </c>
      <c r="AB78" t="str">
        <v>samuelbattista</v>
      </c>
      <c r="AC78" s="3">
        <v>2</v>
      </c>
      <c r="AD78" s="3">
        <v>1.0954451150103321</v>
      </c>
      <c r="AE78" t="str">
        <v>Bring Me To Life</v>
      </c>
      <c r="AF78" t="str">
        <v>Evanescence</v>
      </c>
      <c r="AG78" s="100">
        <f t="shared" si="4"/>
        <v>33</v>
      </c>
      <c r="AI78" s="114">
        <f>SotY_2024[[#This Row],[Max Seed]]/2 + 1</f>
        <v>65</v>
      </c>
      <c r="AJ78" s="105" t="str">
        <f ca="1">IF(SotY_2024[[#This Row],[Num]]&gt;=$A$1, "-", IF(SotY_2024[[#This Row],[Score 1]]&gt;=3, SotY_2024[[#This Row],[Song 2]], IF(SotY_2024[[#This Row],[Score 2]]&gt;=3, SotY_2024[[#This Row],[Song 1]], "TBD")))</f>
        <v>Raindrops</v>
      </c>
      <c r="AK78" s="115">
        <f ca="1">IFERROR(VLOOKUP(SotY_2024_Results[[#This Row],[Song Title]], $AE$2:$AG$111, 3, FALSE)-SotY_2024_Results[[#This Row],[Result]], "TBD")</f>
        <v>-32</v>
      </c>
      <c r="AL78" s="112" t="str">
        <f ca="1">IF(SotY_2024_Results[[#This Row],[Diff]]&lt;0,"↓",IF(SotY_2024_Results[[#This Row],[Diff]]=0,"-","↑"))</f>
        <v>↓</v>
      </c>
    </row>
    <row r="79" spans="1:38">
      <c r="A79" s="197" t="str">
        <f>_xlfn.CONCAT("Seed ", SotY_2024[[#This Row],[Top Seed]], " vs ", SotY_2024[[#This Row],[Low Seed]])</f>
        <v>Seed 51 vs 78</v>
      </c>
      <c r="B79" s="115">
        <v>77</v>
      </c>
      <c r="C79" s="115">
        <f>FLOOR(LOG(SotY_2024[[#This Row],[Num]], 2), 1)</f>
        <v>6</v>
      </c>
      <c r="D79" s="115">
        <f>2^(SotY_2024[[#This Row],[Round]]+1)</f>
        <v>128</v>
      </c>
      <c r="E79" s="115">
        <f>SotY_2024[[#This Row],[Max Seed]]-SotY_2024[[#This Row],[Num]]</f>
        <v>51</v>
      </c>
      <c r="F79" s="115">
        <f>SotY_2024[[#This Row],[Max Seed]]-SotY_2024[[#This Row],[Top Seed]]+1</f>
        <v>78</v>
      </c>
      <c r="G79" s="115" t="b">
        <f>IF(SotY_2024[[#This Row],[Round]]=$C$1, TRUE(), IF(SotY_2024[[#This Row],[Round]]=$B$1, SotY_2024[[#This Row],[Top Seed]]&lt;=2*SotY_2024[[#This Row],[Max Seed]]-$A$1, FALSE()))</f>
        <v>1</v>
      </c>
      <c r="H79" s="115" t="b">
        <f>IF(SotY_2024[[#This Row],[Round]]=$C$1, TRUE(), IF(SotY_2024[[#This Row],[Round]]=$B$1, SotY_2024[[#This Row],[Low Seed]]&lt;=2*SotY_2024[[#This Row],[Max Seed]]-$A$1, FALSE()))</f>
        <v>1</v>
      </c>
      <c r="I79" s="187" t="s">
        <v>4191</v>
      </c>
      <c r="J79" s="188" t="s">
        <v>4191</v>
      </c>
      <c r="K79" s="189" t="s">
        <v>4191</v>
      </c>
      <c r="L79" s="190" t="s">
        <v>4191</v>
      </c>
      <c r="M79" s="191" t="s">
        <v>4191</v>
      </c>
      <c r="N79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Mystery Lady</v>
      </c>
      <c r="O79" s="105">
        <f>COUNTIF(SotY_2024[[#This Row],[J]:[H]],"x")</f>
        <v>5</v>
      </c>
      <c r="P79" s="115" t="str">
        <f ca="1">IF(SotY_2024[[#This Row],[Num]]&gt;=$A$1, "-", IF(SotY_2024[[#This Row],[Score 1]]&gt;=3, SotY_2024[[#This Row],[Song 1]], IF(SotY_2024[[#This Row],[Score 2]]&gt;=3, SotY_2024[[#This Row],[Song 2]], "TBD")))</f>
        <v>Mystery Lady</v>
      </c>
      <c r="Q79" s="193">
        <f>COUNTIF(SotY_2024[[#This Row],[H ]:[J ]],"x")</f>
        <v>0</v>
      </c>
      <c r="R79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Don't Stop The Music</v>
      </c>
      <c r="S79" s="191"/>
      <c r="T79" s="190"/>
      <c r="U79" s="189"/>
      <c r="V79" s="188"/>
      <c r="W79" s="198"/>
      <c r="X79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79" s="109">
        <f t="shared" si="3"/>
        <v>10</v>
      </c>
      <c r="AA79" s="59">
        <v>45589</v>
      </c>
      <c r="AB79" t="str">
        <v>danram</v>
      </c>
      <c r="AC79" s="3">
        <v>1.6</v>
      </c>
      <c r="AD79" s="3">
        <v>0.8</v>
      </c>
      <c r="AE79" t="str">
        <v>P.Y.T.(Pretty Young Thing)</v>
      </c>
      <c r="AF79" t="str">
        <v>Michael Jackson</v>
      </c>
      <c r="AG79" s="100">
        <f t="shared" si="4"/>
        <v>9</v>
      </c>
      <c r="AI79" s="114">
        <f>SotY_2024[[#This Row],[Max Seed]]/2 + 1</f>
        <v>65</v>
      </c>
      <c r="AJ79" s="105" t="str">
        <f ca="1">IF(SotY_2024[[#This Row],[Num]]&gt;=$A$1, "-", IF(SotY_2024[[#This Row],[Score 1]]&gt;=3, SotY_2024[[#This Row],[Song 2]], IF(SotY_2024[[#This Row],[Score 2]]&gt;=3, SotY_2024[[#This Row],[Song 1]], "TBD")))</f>
        <v>Don't Stop The Music</v>
      </c>
      <c r="AK79" s="115">
        <f ca="1">IFERROR(VLOOKUP(SotY_2024_Results[[#This Row],[Song Title]], $AE$2:$AG$111, 3, FALSE)-SotY_2024_Results[[#This Row],[Result]], "TBD")</f>
        <v>0</v>
      </c>
      <c r="AL79" s="112" t="str">
        <f ca="1">IF(SotY_2024_Results[[#This Row],[Diff]]&lt;0,"↓",IF(SotY_2024_Results[[#This Row],[Diff]]=0,"-","↑"))</f>
        <v>-</v>
      </c>
    </row>
    <row r="80" spans="1:38">
      <c r="A80" s="197" t="str">
        <f>_xlfn.CONCAT("Seed ", SotY_2024[[#This Row],[Top Seed]], " vs ", SotY_2024[[#This Row],[Low Seed]])</f>
        <v>Seed 50 vs 79</v>
      </c>
      <c r="B80" s="115">
        <v>78</v>
      </c>
      <c r="C80" s="115">
        <f>FLOOR(LOG(SotY_2024[[#This Row],[Num]], 2), 1)</f>
        <v>6</v>
      </c>
      <c r="D80" s="115">
        <f>2^(SotY_2024[[#This Row],[Round]]+1)</f>
        <v>128</v>
      </c>
      <c r="E80" s="115">
        <f>SotY_2024[[#This Row],[Max Seed]]-SotY_2024[[#This Row],[Num]]</f>
        <v>50</v>
      </c>
      <c r="F80" s="115">
        <f>SotY_2024[[#This Row],[Max Seed]]-SotY_2024[[#This Row],[Top Seed]]+1</f>
        <v>79</v>
      </c>
      <c r="G80" s="115" t="b">
        <f>IF(SotY_2024[[#This Row],[Round]]=$C$1, TRUE(), IF(SotY_2024[[#This Row],[Round]]=$B$1, SotY_2024[[#This Row],[Top Seed]]&lt;=2*SotY_2024[[#This Row],[Max Seed]]-$A$1, FALSE()))</f>
        <v>1</v>
      </c>
      <c r="H80" s="115" t="b">
        <f>IF(SotY_2024[[#This Row],[Round]]=$C$1, TRUE(), IF(SotY_2024[[#This Row],[Round]]=$B$1, SotY_2024[[#This Row],[Low Seed]]&lt;=2*SotY_2024[[#This Row],[Max Seed]]-$A$1, FALSE()))</f>
        <v>1</v>
      </c>
      <c r="I80" s="187" t="s">
        <v>4191</v>
      </c>
      <c r="J80" s="188"/>
      <c r="K80" s="189"/>
      <c r="L80" s="190"/>
      <c r="M80" s="191" t="s">
        <v>4191</v>
      </c>
      <c r="N80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Illusion - Extended</v>
      </c>
      <c r="O80" s="105">
        <f>COUNTIF(SotY_2024[[#This Row],[J]:[H]],"x")</f>
        <v>2</v>
      </c>
      <c r="P80" s="115" t="str">
        <f ca="1">IF(SotY_2024[[#This Row],[Num]]&gt;=$A$1, "-", IF(SotY_2024[[#This Row],[Score 1]]&gt;=3, SotY_2024[[#This Row],[Song 1]], IF(SotY_2024[[#This Row],[Score 2]]&gt;=3, SotY_2024[[#This Row],[Song 2]], "TBD")))</f>
        <v>Granite</v>
      </c>
      <c r="Q80" s="193">
        <f>COUNTIF(SotY_2024[[#This Row],[H ]:[J ]],"x")</f>
        <v>3</v>
      </c>
      <c r="R80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Granite</v>
      </c>
      <c r="S80" s="191"/>
      <c r="T80" s="190" t="s">
        <v>4191</v>
      </c>
      <c r="U80" s="189" t="s">
        <v>4191</v>
      </c>
      <c r="V80" s="188" t="s">
        <v>4191</v>
      </c>
      <c r="W80" s="198"/>
      <c r="X80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80" s="109">
        <f t="shared" si="3"/>
        <v>43</v>
      </c>
      <c r="AA80" s="59">
        <v>45593</v>
      </c>
      <c r="AB80" t="str">
        <v>alappatjoe</v>
      </c>
      <c r="AC80" s="3">
        <v>2</v>
      </c>
      <c r="AD80" s="3">
        <v>1.0954451150103321</v>
      </c>
      <c r="AE80" t="str">
        <v>Homecoming</v>
      </c>
      <c r="AF80" t="str">
        <v>Kanye West</v>
      </c>
      <c r="AG80" s="100">
        <f t="shared" si="4"/>
        <v>33</v>
      </c>
      <c r="AI80" s="114">
        <f>SotY_2024[[#This Row],[Max Seed]]/2 + 1</f>
        <v>65</v>
      </c>
      <c r="AJ80" s="105" t="str">
        <f ca="1">IF(SotY_2024[[#This Row],[Num]]&gt;=$A$1, "-", IF(SotY_2024[[#This Row],[Score 1]]&gt;=3, SotY_2024[[#This Row],[Song 2]], IF(SotY_2024[[#This Row],[Score 2]]&gt;=3, SotY_2024[[#This Row],[Song 1]], "TBD")))</f>
        <v>Illusion - Extended</v>
      </c>
      <c r="AK80" s="115">
        <f ca="1">IFERROR(VLOOKUP(SotY_2024_Results[[#This Row],[Song Title]], $AE$2:$AG$111, 3, FALSE)-SotY_2024_Results[[#This Row],[Result]], "TBD")</f>
        <v>-32</v>
      </c>
      <c r="AL80" s="112" t="str">
        <f ca="1">IF(SotY_2024_Results[[#This Row],[Diff]]&lt;0,"↓",IF(SotY_2024_Results[[#This Row],[Diff]]=0,"-","↑"))</f>
        <v>↓</v>
      </c>
    </row>
    <row r="81" spans="1:38">
      <c r="A81" s="197" t="str">
        <f>_xlfn.CONCAT("Seed ", SotY_2024[[#This Row],[Top Seed]], " vs ", SotY_2024[[#This Row],[Low Seed]])</f>
        <v>Seed 49 vs 80</v>
      </c>
      <c r="B81" s="115">
        <v>79</v>
      </c>
      <c r="C81" s="115">
        <f>FLOOR(LOG(SotY_2024[[#This Row],[Num]], 2), 1)</f>
        <v>6</v>
      </c>
      <c r="D81" s="115">
        <f>2^(SotY_2024[[#This Row],[Round]]+1)</f>
        <v>128</v>
      </c>
      <c r="E81" s="115">
        <f>SotY_2024[[#This Row],[Max Seed]]-SotY_2024[[#This Row],[Num]]</f>
        <v>49</v>
      </c>
      <c r="F81" s="115">
        <f>SotY_2024[[#This Row],[Max Seed]]-SotY_2024[[#This Row],[Top Seed]]+1</f>
        <v>80</v>
      </c>
      <c r="G81" s="115" t="b">
        <f>IF(SotY_2024[[#This Row],[Round]]=$C$1, TRUE(), IF(SotY_2024[[#This Row],[Round]]=$B$1, SotY_2024[[#This Row],[Top Seed]]&lt;=2*SotY_2024[[#This Row],[Max Seed]]-$A$1, FALSE()))</f>
        <v>1</v>
      </c>
      <c r="H81" s="115" t="b">
        <f>IF(SotY_2024[[#This Row],[Round]]=$C$1, TRUE(), IF(SotY_2024[[#This Row],[Round]]=$B$1, SotY_2024[[#This Row],[Low Seed]]&lt;=2*SotY_2024[[#This Row],[Max Seed]]-$A$1, FALSE()))</f>
        <v>1</v>
      </c>
      <c r="I81" s="187"/>
      <c r="J81" s="188" t="s">
        <v>4191</v>
      </c>
      <c r="K81" s="189"/>
      <c r="L81" s="190"/>
      <c r="M81" s="191"/>
      <c r="N81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Mosquito</v>
      </c>
      <c r="O81" s="105">
        <f>COUNTIF(SotY_2024[[#This Row],[J]:[H]],"x")</f>
        <v>1</v>
      </c>
      <c r="P81" s="115" t="str">
        <f ca="1">IF(SotY_2024[[#This Row],[Num]]&gt;=$A$1, "-", IF(SotY_2024[[#This Row],[Score 1]]&gt;=3, SotY_2024[[#This Row],[Song 1]], IF(SotY_2024[[#This Row],[Score 2]]&gt;=3, SotY_2024[[#This Row],[Song 2]], "TBD")))</f>
        <v>Party Monster</v>
      </c>
      <c r="Q81" s="193">
        <f>COUNTIF(SotY_2024[[#This Row],[H ]:[J ]],"x")</f>
        <v>4</v>
      </c>
      <c r="R81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Party Monster</v>
      </c>
      <c r="S81" s="191" t="s">
        <v>4191</v>
      </c>
      <c r="T81" s="190" t="s">
        <v>4191</v>
      </c>
      <c r="U81" s="189" t="s">
        <v>4191</v>
      </c>
      <c r="V81" s="188"/>
      <c r="W81" s="198" t="s">
        <v>4191</v>
      </c>
      <c r="X81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81" s="109">
        <f t="shared" si="3"/>
        <v>99</v>
      </c>
      <c r="AA81" s="59">
        <v>45594</v>
      </c>
      <c r="AB81" t="str">
        <v>currydestroyer27</v>
      </c>
      <c r="AC81" s="3">
        <v>2.6</v>
      </c>
      <c r="AD81" s="3">
        <v>1.3564659966250536</v>
      </c>
      <c r="AE81" t="str">
        <v>It's Going Down Now</v>
      </c>
      <c r="AF81" t="str">
        <v>ATLUS GAME MUSIC, Lotus Juice,アトラスサウンドチーム, 高橋あず美</v>
      </c>
      <c r="AG81" s="100">
        <f t="shared" si="4"/>
        <v>65</v>
      </c>
      <c r="AI81" s="114">
        <f>SotY_2024[[#This Row],[Max Seed]]/2 + 1</f>
        <v>65</v>
      </c>
      <c r="AJ81" s="105" t="str">
        <f ca="1">IF(SotY_2024[[#This Row],[Num]]&gt;=$A$1, "-", IF(SotY_2024[[#This Row],[Score 1]]&gt;=3, SotY_2024[[#This Row],[Song 2]], IF(SotY_2024[[#This Row],[Score 2]]&gt;=3, SotY_2024[[#This Row],[Song 1]], "TBD")))</f>
        <v>Mosquito</v>
      </c>
      <c r="AK81" s="115">
        <f ca="1">IFERROR(VLOOKUP(SotY_2024_Results[[#This Row],[Song Title]], $AE$2:$AG$111, 3, FALSE)-SotY_2024_Results[[#This Row],[Result]], "TBD")</f>
        <v>-32</v>
      </c>
      <c r="AL81" s="112" t="str">
        <f ca="1">IF(SotY_2024_Results[[#This Row],[Diff]]&lt;0,"↓",IF(SotY_2024_Results[[#This Row],[Diff]]=0,"-","↑"))</f>
        <v>↓</v>
      </c>
    </row>
    <row r="82" spans="1:38">
      <c r="A82" s="197" t="str">
        <f>_xlfn.CONCAT("Seed ", SotY_2024[[#This Row],[Top Seed]], " vs ", SotY_2024[[#This Row],[Low Seed]])</f>
        <v>Seed 48 vs 81</v>
      </c>
      <c r="B82" s="115">
        <v>80</v>
      </c>
      <c r="C82" s="115">
        <f>FLOOR(LOG(SotY_2024[[#This Row],[Num]], 2), 1)</f>
        <v>6</v>
      </c>
      <c r="D82" s="115">
        <f>2^(SotY_2024[[#This Row],[Round]]+1)</f>
        <v>128</v>
      </c>
      <c r="E82" s="115">
        <f>SotY_2024[[#This Row],[Max Seed]]-SotY_2024[[#This Row],[Num]]</f>
        <v>48</v>
      </c>
      <c r="F82" s="115">
        <f>SotY_2024[[#This Row],[Max Seed]]-SotY_2024[[#This Row],[Top Seed]]+1</f>
        <v>81</v>
      </c>
      <c r="G82" s="115" t="b">
        <f>IF(SotY_2024[[#This Row],[Round]]=$C$1, TRUE(), IF(SotY_2024[[#This Row],[Round]]=$B$1, SotY_2024[[#This Row],[Top Seed]]&lt;=2*SotY_2024[[#This Row],[Max Seed]]-$A$1, FALSE()))</f>
        <v>1</v>
      </c>
      <c r="H82" s="115" t="b">
        <f>IF(SotY_2024[[#This Row],[Round]]=$C$1, TRUE(), IF(SotY_2024[[#This Row],[Round]]=$B$1, SotY_2024[[#This Row],[Low Seed]]&lt;=2*SotY_2024[[#This Row],[Max Seed]]-$A$1, FALSE()))</f>
        <v>1</v>
      </c>
      <c r="I82" s="187"/>
      <c r="J82" s="188" t="s">
        <v>4191</v>
      </c>
      <c r="K82" s="189" t="s">
        <v>4191</v>
      </c>
      <c r="L82" s="190" t="s">
        <v>4191</v>
      </c>
      <c r="M82" s="191" t="s">
        <v>4191</v>
      </c>
      <c r="N82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Blinding Lights</v>
      </c>
      <c r="O82" s="105">
        <f>COUNTIF(SotY_2024[[#This Row],[J]:[H]],"x")</f>
        <v>4</v>
      </c>
      <c r="P82" s="115" t="str">
        <f ca="1">IF(SotY_2024[[#This Row],[Num]]&gt;=$A$1, "-", IF(SotY_2024[[#This Row],[Score 1]]&gt;=3, SotY_2024[[#This Row],[Song 1]], IF(SotY_2024[[#This Row],[Score 2]]&gt;=3, SotY_2024[[#This Row],[Song 2]], "TBD")))</f>
        <v>Blinding Lights</v>
      </c>
      <c r="Q82" s="193">
        <f>COUNTIF(SotY_2024[[#This Row],[H ]:[J ]],"x")</f>
        <v>1</v>
      </c>
      <c r="R82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Coffee</v>
      </c>
      <c r="S82" s="191"/>
      <c r="T82" s="190"/>
      <c r="U82" s="189"/>
      <c r="V82" s="188"/>
      <c r="W82" s="198" t="s">
        <v>4191</v>
      </c>
      <c r="X82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82" s="109">
        <f t="shared" si="3"/>
        <v>34</v>
      </c>
      <c r="AA82" s="59">
        <v>45595</v>
      </c>
      <c r="AB82" t="str">
        <v>loganworsdell</v>
      </c>
      <c r="AC82" s="3">
        <v>2</v>
      </c>
      <c r="AD82" s="3">
        <v>0.63245553203367588</v>
      </c>
      <c r="AE82" t="str">
        <v>FEELING LUCKY</v>
      </c>
      <c r="AF82" t="str">
        <v>berryblue</v>
      </c>
      <c r="AG82" s="100">
        <f t="shared" si="4"/>
        <v>33</v>
      </c>
      <c r="AI82" s="114">
        <f>SotY_2024[[#This Row],[Max Seed]]/2 + 1</f>
        <v>65</v>
      </c>
      <c r="AJ82" s="105" t="str">
        <f ca="1">IF(SotY_2024[[#This Row],[Num]]&gt;=$A$1, "-", IF(SotY_2024[[#This Row],[Score 1]]&gt;=3, SotY_2024[[#This Row],[Song 2]], IF(SotY_2024[[#This Row],[Score 2]]&gt;=3, SotY_2024[[#This Row],[Song 1]], "TBD")))</f>
        <v>Coffee</v>
      </c>
      <c r="AK82" s="115">
        <f ca="1">IFERROR(VLOOKUP(SotY_2024_Results[[#This Row],[Song Title]], $AE$2:$AG$111, 3, FALSE)-SotY_2024_Results[[#This Row],[Result]], "TBD")</f>
        <v>0</v>
      </c>
      <c r="AL82" s="112" t="str">
        <f ca="1">IF(SotY_2024_Results[[#This Row],[Diff]]&lt;0,"↓",IF(SotY_2024_Results[[#This Row],[Diff]]=0,"-","↑"))</f>
        <v>-</v>
      </c>
    </row>
    <row r="83" spans="1:38">
      <c r="A83" s="197" t="str">
        <f>_xlfn.CONCAT("Seed ", SotY_2024[[#This Row],[Top Seed]], " vs ", SotY_2024[[#This Row],[Low Seed]])</f>
        <v>Seed 47 vs 82</v>
      </c>
      <c r="B83" s="115">
        <v>81</v>
      </c>
      <c r="C83" s="115">
        <f>FLOOR(LOG(SotY_2024[[#This Row],[Num]], 2), 1)</f>
        <v>6</v>
      </c>
      <c r="D83" s="115">
        <f>2^(SotY_2024[[#This Row],[Round]]+1)</f>
        <v>128</v>
      </c>
      <c r="E83" s="115">
        <f>SotY_2024[[#This Row],[Max Seed]]-SotY_2024[[#This Row],[Num]]</f>
        <v>47</v>
      </c>
      <c r="F83" s="115">
        <f>SotY_2024[[#This Row],[Max Seed]]-SotY_2024[[#This Row],[Top Seed]]+1</f>
        <v>82</v>
      </c>
      <c r="G83" s="115" t="b">
        <f>IF(SotY_2024[[#This Row],[Round]]=$C$1, TRUE(), IF(SotY_2024[[#This Row],[Round]]=$B$1, SotY_2024[[#This Row],[Top Seed]]&lt;=2*SotY_2024[[#This Row],[Max Seed]]-$A$1, FALSE()))</f>
        <v>1</v>
      </c>
      <c r="H83" s="115" t="b">
        <f>IF(SotY_2024[[#This Row],[Round]]=$C$1, TRUE(), IF(SotY_2024[[#This Row],[Round]]=$B$1, SotY_2024[[#This Row],[Low Seed]]&lt;=2*SotY_2024[[#This Row],[Max Seed]]-$A$1, FALSE()))</f>
        <v>1</v>
      </c>
      <c r="I83" s="187"/>
      <c r="J83" s="188"/>
      <c r="K83" s="189" t="s">
        <v>4191</v>
      </c>
      <c r="L83" s="190" t="s">
        <v>4191</v>
      </c>
      <c r="M83" s="191" t="s">
        <v>4191</v>
      </c>
      <c r="N83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Boulevard of Broken Dreams</v>
      </c>
      <c r="O83" s="105">
        <f>COUNTIF(SotY_2024[[#This Row],[J]:[H]],"x")</f>
        <v>3</v>
      </c>
      <c r="P83" s="115" t="str">
        <f ca="1">IF(SotY_2024[[#This Row],[Num]]&gt;=$A$1, "-", IF(SotY_2024[[#This Row],[Score 1]]&gt;=3, SotY_2024[[#This Row],[Song 1]], IF(SotY_2024[[#This Row],[Score 2]]&gt;=3, SotY_2024[[#This Row],[Song 2]], "TBD")))</f>
        <v>Boulevard of Broken Dreams</v>
      </c>
      <c r="Q83" s="193">
        <f>COUNTIF(SotY_2024[[#This Row],[H ]:[J ]],"x")</f>
        <v>2</v>
      </c>
      <c r="R83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Buttons</v>
      </c>
      <c r="S83" s="191"/>
      <c r="T83" s="190"/>
      <c r="U83" s="189"/>
      <c r="V83" s="188" t="s">
        <v>4191</v>
      </c>
      <c r="W83" s="198" t="s">
        <v>4191</v>
      </c>
      <c r="X83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83" s="109">
        <f t="shared" si="3"/>
        <v>100</v>
      </c>
      <c r="AA83" s="59">
        <v>45596</v>
      </c>
      <c r="AB83" t="str">
        <v>alappatjoe</v>
      </c>
      <c r="AC83" s="3">
        <v>2.6</v>
      </c>
      <c r="AD83" s="3">
        <v>1.3564659966250536</v>
      </c>
      <c r="AE83" t="str">
        <v>Spooky Scary Skeletons (Tombstone Remix)</v>
      </c>
      <c r="AF83" t="str">
        <v>Andrew Gold</v>
      </c>
      <c r="AG83" s="100">
        <f t="shared" si="4"/>
        <v>65</v>
      </c>
      <c r="AI83" s="114">
        <f>SotY_2024[[#This Row],[Max Seed]]/2 + 1</f>
        <v>65</v>
      </c>
      <c r="AJ83" s="105" t="str">
        <f ca="1">IF(SotY_2024[[#This Row],[Num]]&gt;=$A$1, "-", IF(SotY_2024[[#This Row],[Score 1]]&gt;=3, SotY_2024[[#This Row],[Song 2]], IF(SotY_2024[[#This Row],[Score 2]]&gt;=3, SotY_2024[[#This Row],[Song 1]], "TBD")))</f>
        <v>Buttons</v>
      </c>
      <c r="AK83" s="115">
        <f ca="1">IFERROR(VLOOKUP(SotY_2024_Results[[#This Row],[Song Title]], $AE$2:$AG$111, 3, FALSE)-SotY_2024_Results[[#This Row],[Result]], "TBD")</f>
        <v>0</v>
      </c>
      <c r="AL83" s="112" t="str">
        <f ca="1">IF(SotY_2024_Results[[#This Row],[Diff]]&lt;0,"↓",IF(SotY_2024_Results[[#This Row],[Diff]]=0,"-","↑"))</f>
        <v>-</v>
      </c>
    </row>
    <row r="84" spans="1:38">
      <c r="A84" s="197" t="str">
        <f>_xlfn.CONCAT("Seed ", SotY_2024[[#This Row],[Top Seed]], " vs ", SotY_2024[[#This Row],[Low Seed]])</f>
        <v>Seed 46 vs 83</v>
      </c>
      <c r="B84" s="115">
        <v>82</v>
      </c>
      <c r="C84" s="115">
        <f>FLOOR(LOG(SotY_2024[[#This Row],[Num]], 2), 1)</f>
        <v>6</v>
      </c>
      <c r="D84" s="115">
        <f>2^(SotY_2024[[#This Row],[Round]]+1)</f>
        <v>128</v>
      </c>
      <c r="E84" s="115">
        <f>SotY_2024[[#This Row],[Max Seed]]-SotY_2024[[#This Row],[Num]]</f>
        <v>46</v>
      </c>
      <c r="F84" s="115">
        <f>SotY_2024[[#This Row],[Max Seed]]-SotY_2024[[#This Row],[Top Seed]]+1</f>
        <v>83</v>
      </c>
      <c r="G84" s="115" t="b">
        <f>IF(SotY_2024[[#This Row],[Round]]=$C$1, TRUE(), IF(SotY_2024[[#This Row],[Round]]=$B$1, SotY_2024[[#This Row],[Top Seed]]&lt;=2*SotY_2024[[#This Row],[Max Seed]]-$A$1, FALSE()))</f>
        <v>1</v>
      </c>
      <c r="H84" s="115" t="b">
        <f>IF(SotY_2024[[#This Row],[Round]]=$C$1, TRUE(), IF(SotY_2024[[#This Row],[Round]]=$B$1, SotY_2024[[#This Row],[Low Seed]]&lt;=2*SotY_2024[[#This Row],[Max Seed]]-$A$1, FALSE()))</f>
        <v>1</v>
      </c>
      <c r="I84" s="187" t="s">
        <v>4191</v>
      </c>
      <c r="J84" s="188" t="s">
        <v>4191</v>
      </c>
      <c r="K84" s="189"/>
      <c r="L84" s="190"/>
      <c r="M84" s="191" t="s">
        <v>4191</v>
      </c>
      <c r="N84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Chasing The Sun</v>
      </c>
      <c r="O84" s="105">
        <f>COUNTIF(SotY_2024[[#This Row],[J]:[H]],"x")</f>
        <v>3</v>
      </c>
      <c r="P84" s="115" t="str">
        <f ca="1">IF(SotY_2024[[#This Row],[Num]]&gt;=$A$1, "-", IF(SotY_2024[[#This Row],[Score 1]]&gt;=3, SotY_2024[[#This Row],[Song 1]], IF(SotY_2024[[#This Row],[Score 2]]&gt;=3, SotY_2024[[#This Row],[Song 2]], "TBD")))</f>
        <v>Chasing The Sun</v>
      </c>
      <c r="Q84" s="193">
        <f>COUNTIF(SotY_2024[[#This Row],[H ]:[J ]],"x")</f>
        <v>2</v>
      </c>
      <c r="R84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Welcome to the Black Parade</v>
      </c>
      <c r="S84" s="191"/>
      <c r="T84" s="190" t="s">
        <v>4191</v>
      </c>
      <c r="U84" s="189" t="s">
        <v>4191</v>
      </c>
      <c r="V84" s="188"/>
      <c r="W84" s="198"/>
      <c r="X84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84" s="109">
        <f t="shared" si="3"/>
        <v>101</v>
      </c>
      <c r="AA84" s="59">
        <v>45600</v>
      </c>
      <c r="AB84" t="str">
        <v>samuelbattista</v>
      </c>
      <c r="AC84" s="3">
        <v>2.6</v>
      </c>
      <c r="AD84" s="3">
        <v>1.3564659966250536</v>
      </c>
      <c r="AE84" t="str">
        <v>Phantom Island</v>
      </c>
      <c r="AF84" t="str">
        <v>King Gizzard &amp; The Lizard Wizard</v>
      </c>
      <c r="AG84" s="100">
        <f t="shared" si="4"/>
        <v>65</v>
      </c>
      <c r="AI84" s="114">
        <f>SotY_2024[[#This Row],[Max Seed]]/2 + 1</f>
        <v>65</v>
      </c>
      <c r="AJ84" s="105" t="str">
        <f ca="1">IF(SotY_2024[[#This Row],[Num]]&gt;=$A$1, "-", IF(SotY_2024[[#This Row],[Score 1]]&gt;=3, SotY_2024[[#This Row],[Song 2]], IF(SotY_2024[[#This Row],[Score 2]]&gt;=3, SotY_2024[[#This Row],[Song 1]], "TBD")))</f>
        <v>Welcome to the Black Parade</v>
      </c>
      <c r="AK84" s="115">
        <f ca="1">IFERROR(VLOOKUP(SotY_2024_Results[[#This Row],[Song Title]], $AE$2:$AG$111, 3, FALSE)-SotY_2024_Results[[#This Row],[Result]], "TBD")</f>
        <v>0</v>
      </c>
      <c r="AL84" s="112" t="str">
        <f ca="1">IF(SotY_2024_Results[[#This Row],[Diff]]&lt;0,"↓",IF(SotY_2024_Results[[#This Row],[Diff]]=0,"-","↑"))</f>
        <v>-</v>
      </c>
    </row>
    <row r="85" spans="1:38">
      <c r="A85" s="197" t="str">
        <f>_xlfn.CONCAT("Seed ", SotY_2024[[#This Row],[Top Seed]], " vs ", SotY_2024[[#This Row],[Low Seed]])</f>
        <v>Seed 45 vs 84</v>
      </c>
      <c r="B85" s="115">
        <v>83</v>
      </c>
      <c r="C85" s="115">
        <f>FLOOR(LOG(SotY_2024[[#This Row],[Num]], 2), 1)</f>
        <v>6</v>
      </c>
      <c r="D85" s="115">
        <f>2^(SotY_2024[[#This Row],[Round]]+1)</f>
        <v>128</v>
      </c>
      <c r="E85" s="115">
        <f>SotY_2024[[#This Row],[Max Seed]]-SotY_2024[[#This Row],[Num]]</f>
        <v>45</v>
      </c>
      <c r="F85" s="115">
        <f>SotY_2024[[#This Row],[Max Seed]]-SotY_2024[[#This Row],[Top Seed]]+1</f>
        <v>84</v>
      </c>
      <c r="G85" s="115" t="b">
        <f>IF(SotY_2024[[#This Row],[Round]]=$C$1, TRUE(), IF(SotY_2024[[#This Row],[Round]]=$B$1, SotY_2024[[#This Row],[Top Seed]]&lt;=2*SotY_2024[[#This Row],[Max Seed]]-$A$1, FALSE()))</f>
        <v>1</v>
      </c>
      <c r="H85" s="115" t="b">
        <f>IF(SotY_2024[[#This Row],[Round]]=$C$1, TRUE(), IF(SotY_2024[[#This Row],[Round]]=$B$1, SotY_2024[[#This Row],[Low Seed]]&lt;=2*SotY_2024[[#This Row],[Max Seed]]-$A$1, FALSE()))</f>
        <v>1</v>
      </c>
      <c r="I85" s="187" t="s">
        <v>4191</v>
      </c>
      <c r="J85" s="188" t="s">
        <v>4191</v>
      </c>
      <c r="K85" s="189"/>
      <c r="L85" s="190" t="s">
        <v>4191</v>
      </c>
      <c r="M85" s="191"/>
      <c r="N85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Fragile</v>
      </c>
      <c r="O85" s="105">
        <f>COUNTIF(SotY_2024[[#This Row],[J]:[H]],"x")</f>
        <v>3</v>
      </c>
      <c r="P85" s="115" t="str">
        <f ca="1">IF(SotY_2024[[#This Row],[Num]]&gt;=$A$1, "-", IF(SotY_2024[[#This Row],[Score 1]]&gt;=3, SotY_2024[[#This Row],[Song 1]], IF(SotY_2024[[#This Row],[Score 2]]&gt;=3, SotY_2024[[#This Row],[Song 2]], "TBD")))</f>
        <v>Fragile</v>
      </c>
      <c r="Q85" s="193">
        <f>COUNTIF(SotY_2024[[#This Row],[H ]:[J ]],"x")</f>
        <v>2</v>
      </c>
      <c r="R85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Deja Vu</v>
      </c>
      <c r="S85" s="191" t="s">
        <v>4191</v>
      </c>
      <c r="T85" s="190"/>
      <c r="U85" s="189" t="s">
        <v>4191</v>
      </c>
      <c r="V85" s="188"/>
      <c r="W85" s="198"/>
      <c r="X85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85" s="109">
        <f t="shared" si="3"/>
        <v>27</v>
      </c>
      <c r="AA85" s="59">
        <v>45601</v>
      </c>
      <c r="AB85" t="str">
        <v>samuelbattista</v>
      </c>
      <c r="AC85" s="3">
        <v>1.8</v>
      </c>
      <c r="AD85" s="3">
        <v>0.9797958971132712</v>
      </c>
      <c r="AE85" t="str">
        <v>In the Party</v>
      </c>
      <c r="AF85" t="str">
        <v>Dev Lemons, Billy Lemos</v>
      </c>
      <c r="AG85" s="100">
        <f t="shared" si="4"/>
        <v>17</v>
      </c>
      <c r="AI85" s="114">
        <f>SotY_2024[[#This Row],[Max Seed]]/2 + 1</f>
        <v>65</v>
      </c>
      <c r="AJ85" s="105" t="str">
        <f ca="1">IF(SotY_2024[[#This Row],[Num]]&gt;=$A$1, "-", IF(SotY_2024[[#This Row],[Score 1]]&gt;=3, SotY_2024[[#This Row],[Song 2]], IF(SotY_2024[[#This Row],[Score 2]]&gt;=3, SotY_2024[[#This Row],[Song 1]], "TBD")))</f>
        <v>Deja Vu</v>
      </c>
      <c r="AK85" s="115">
        <f ca="1">IFERROR(VLOOKUP(SotY_2024_Results[[#This Row],[Song Title]], $AE$2:$AG$111, 3, FALSE)-SotY_2024_Results[[#This Row],[Result]], "TBD")</f>
        <v>0</v>
      </c>
      <c r="AL85" s="112" t="str">
        <f ca="1">IF(SotY_2024_Results[[#This Row],[Diff]]&lt;0,"↓",IF(SotY_2024_Results[[#This Row],[Diff]]=0,"-","↑"))</f>
        <v>-</v>
      </c>
    </row>
    <row r="86" spans="1:38">
      <c r="A86" s="197" t="str">
        <f>_xlfn.CONCAT("Seed ", SotY_2024[[#This Row],[Top Seed]], " vs ", SotY_2024[[#This Row],[Low Seed]])</f>
        <v>Seed 44 vs 85</v>
      </c>
      <c r="B86" s="115">
        <v>84</v>
      </c>
      <c r="C86" s="115">
        <f>FLOOR(LOG(SotY_2024[[#This Row],[Num]], 2), 1)</f>
        <v>6</v>
      </c>
      <c r="D86" s="115">
        <f>2^(SotY_2024[[#This Row],[Round]]+1)</f>
        <v>128</v>
      </c>
      <c r="E86" s="115">
        <f>SotY_2024[[#This Row],[Max Seed]]-SotY_2024[[#This Row],[Num]]</f>
        <v>44</v>
      </c>
      <c r="F86" s="115">
        <f>SotY_2024[[#This Row],[Max Seed]]-SotY_2024[[#This Row],[Top Seed]]+1</f>
        <v>85</v>
      </c>
      <c r="G86" s="115" t="b">
        <f>IF(SotY_2024[[#This Row],[Round]]=$C$1, TRUE(), IF(SotY_2024[[#This Row],[Round]]=$B$1, SotY_2024[[#This Row],[Top Seed]]&lt;=2*SotY_2024[[#This Row],[Max Seed]]-$A$1, FALSE()))</f>
        <v>1</v>
      </c>
      <c r="H86" s="115" t="b">
        <f>IF(SotY_2024[[#This Row],[Round]]=$C$1, TRUE(), IF(SotY_2024[[#This Row],[Round]]=$B$1, SotY_2024[[#This Row],[Low Seed]]&lt;=2*SotY_2024[[#This Row],[Max Seed]]-$A$1, FALSE()))</f>
        <v>1</v>
      </c>
      <c r="I86" s="187" t="s">
        <v>4191</v>
      </c>
      <c r="J86" s="188" t="s">
        <v>4191</v>
      </c>
      <c r="K86" s="189" t="s">
        <v>4191</v>
      </c>
      <c r="L86" s="190" t="s">
        <v>4191</v>
      </c>
      <c r="M86" s="191"/>
      <c r="N86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Free Bird</v>
      </c>
      <c r="O86" s="105">
        <f>COUNTIF(SotY_2024[[#This Row],[J]:[H]],"x")</f>
        <v>4</v>
      </c>
      <c r="P86" s="115" t="str">
        <f ca="1">IF(SotY_2024[[#This Row],[Num]]&gt;=$A$1, "-", IF(SotY_2024[[#This Row],[Score 1]]&gt;=3, SotY_2024[[#This Row],[Song 1]], IF(SotY_2024[[#This Row],[Score 2]]&gt;=3, SotY_2024[[#This Row],[Song 2]], "TBD")))</f>
        <v>Free Bird</v>
      </c>
      <c r="Q86" s="193">
        <f>COUNTIF(SotY_2024[[#This Row],[H ]:[J ]],"x")</f>
        <v>1</v>
      </c>
      <c r="R86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i KnOW itS LatE...♥︎(❀❛ ֊ ❛„)♡</v>
      </c>
      <c r="S86" s="191" t="s">
        <v>4191</v>
      </c>
      <c r="T86" s="190"/>
      <c r="U86" s="189"/>
      <c r="V86" s="188"/>
      <c r="W86" s="198"/>
      <c r="X86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86" s="109">
        <f t="shared" si="3"/>
        <v>24</v>
      </c>
      <c r="AA86" s="59">
        <v>45602</v>
      </c>
      <c r="AB86" t="str">
        <v>danram</v>
      </c>
      <c r="AC86" s="3">
        <v>1.8</v>
      </c>
      <c r="AD86" s="3">
        <v>0.74833147735478833</v>
      </c>
      <c r="AE86" t="str">
        <v>Next Exit</v>
      </c>
      <c r="AF86" t="str">
        <v>Vacations</v>
      </c>
      <c r="AG86" s="100">
        <f t="shared" si="4"/>
        <v>17</v>
      </c>
      <c r="AI86" s="114">
        <f>SotY_2024[[#This Row],[Max Seed]]/2 + 1</f>
        <v>65</v>
      </c>
      <c r="AJ86" s="105" t="str">
        <f ca="1">IF(SotY_2024[[#This Row],[Num]]&gt;=$A$1, "-", IF(SotY_2024[[#This Row],[Score 1]]&gt;=3, SotY_2024[[#This Row],[Song 2]], IF(SotY_2024[[#This Row],[Score 2]]&gt;=3, SotY_2024[[#This Row],[Song 1]], "TBD")))</f>
        <v>i KnOW itS LatE...♥︎(❀❛ ֊ ❛„)♡</v>
      </c>
      <c r="AK86" s="115">
        <f ca="1">IFERROR(VLOOKUP(SotY_2024_Results[[#This Row],[Song Title]], $AE$2:$AG$111, 3, FALSE)-SotY_2024_Results[[#This Row],[Result]], "TBD")</f>
        <v>0</v>
      </c>
      <c r="AL86" s="112" t="str">
        <f ca="1">IF(SotY_2024_Results[[#This Row],[Diff]]&lt;0,"↓",IF(SotY_2024_Results[[#This Row],[Diff]]=0,"-","↑"))</f>
        <v>-</v>
      </c>
    </row>
    <row r="87" spans="1:38">
      <c r="A87" s="197" t="str">
        <f>_xlfn.CONCAT("Seed ", SotY_2024[[#This Row],[Top Seed]], " vs ", SotY_2024[[#This Row],[Low Seed]])</f>
        <v>Seed 43 vs 86</v>
      </c>
      <c r="B87" s="115">
        <v>85</v>
      </c>
      <c r="C87" s="115">
        <f>FLOOR(LOG(SotY_2024[[#This Row],[Num]], 2), 1)</f>
        <v>6</v>
      </c>
      <c r="D87" s="115">
        <f>2^(SotY_2024[[#This Row],[Round]]+1)</f>
        <v>128</v>
      </c>
      <c r="E87" s="115">
        <f>SotY_2024[[#This Row],[Max Seed]]-SotY_2024[[#This Row],[Num]]</f>
        <v>43</v>
      </c>
      <c r="F87" s="115">
        <f>SotY_2024[[#This Row],[Max Seed]]-SotY_2024[[#This Row],[Top Seed]]+1</f>
        <v>86</v>
      </c>
      <c r="G87" s="115" t="b">
        <f>IF(SotY_2024[[#This Row],[Round]]=$C$1, TRUE(), IF(SotY_2024[[#This Row],[Round]]=$B$1, SotY_2024[[#This Row],[Top Seed]]&lt;=2*SotY_2024[[#This Row],[Max Seed]]-$A$1, FALSE()))</f>
        <v>1</v>
      </c>
      <c r="H87" s="115" t="b">
        <f>IF(SotY_2024[[#This Row],[Round]]=$C$1, TRUE(), IF(SotY_2024[[#This Row],[Round]]=$B$1, SotY_2024[[#This Row],[Low Seed]]&lt;=2*SotY_2024[[#This Row],[Max Seed]]-$A$1, FALSE()))</f>
        <v>1</v>
      </c>
      <c r="I87" s="187" t="s">
        <v>4191</v>
      </c>
      <c r="J87" s="188" t="s">
        <v>4191</v>
      </c>
      <c r="K87" s="189" t="s">
        <v>4191</v>
      </c>
      <c r="L87" s="190" t="s">
        <v>4191</v>
      </c>
      <c r="M87" s="191" t="s">
        <v>4191</v>
      </c>
      <c r="N87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Homecoming</v>
      </c>
      <c r="O87" s="105">
        <f>COUNTIF(SotY_2024[[#This Row],[J]:[H]],"x")</f>
        <v>5</v>
      </c>
      <c r="P87" s="115" t="str">
        <f ca="1">IF(SotY_2024[[#This Row],[Num]]&gt;=$A$1, "-", IF(SotY_2024[[#This Row],[Score 1]]&gt;=3, SotY_2024[[#This Row],[Song 1]], IF(SotY_2024[[#This Row],[Score 2]]&gt;=3, SotY_2024[[#This Row],[Song 2]], "TBD")))</f>
        <v>Homecoming</v>
      </c>
      <c r="Q87" s="193">
        <f>COUNTIF(SotY_2024[[#This Row],[H ]:[J ]],"x")</f>
        <v>0</v>
      </c>
      <c r="R87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cOoL WATeR foR thE nIGHT</v>
      </c>
      <c r="S87" s="191"/>
      <c r="T87" s="190"/>
      <c r="U87" s="189"/>
      <c r="V87" s="188"/>
      <c r="W87" s="198"/>
      <c r="X87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87" s="109">
        <f t="shared" si="3"/>
        <v>44</v>
      </c>
      <c r="AA87" s="59">
        <v>45603</v>
      </c>
      <c r="AB87" t="str">
        <v>danram</v>
      </c>
      <c r="AC87" s="3">
        <v>2</v>
      </c>
      <c r="AD87" s="3">
        <v>1.0954451150103321</v>
      </c>
      <c r="AE87" t="str">
        <v>Free Bird</v>
      </c>
      <c r="AF87" t="str">
        <v>Lynyrd Skynyrd</v>
      </c>
      <c r="AG87" s="100">
        <f t="shared" si="4"/>
        <v>33</v>
      </c>
      <c r="AI87" s="114">
        <f>SotY_2024[[#This Row],[Max Seed]]/2 + 1</f>
        <v>65</v>
      </c>
      <c r="AJ87" s="105" t="str">
        <f ca="1">IF(SotY_2024[[#This Row],[Num]]&gt;=$A$1, "-", IF(SotY_2024[[#This Row],[Score 1]]&gt;=3, SotY_2024[[#This Row],[Song 2]], IF(SotY_2024[[#This Row],[Score 2]]&gt;=3, SotY_2024[[#This Row],[Song 1]], "TBD")))</f>
        <v>cOoL WATeR foR thE nIGHT</v>
      </c>
      <c r="AK87" s="115">
        <f ca="1">IFERROR(VLOOKUP(SotY_2024_Results[[#This Row],[Song Title]], $AE$2:$AG$111, 3, FALSE)-SotY_2024_Results[[#This Row],[Result]], "TBD")</f>
        <v>0</v>
      </c>
      <c r="AL87" s="112" t="str">
        <f ca="1">IF(SotY_2024_Results[[#This Row],[Diff]]&lt;0,"↓",IF(SotY_2024_Results[[#This Row],[Diff]]=0,"-","↑"))</f>
        <v>-</v>
      </c>
    </row>
    <row r="88" spans="1:38">
      <c r="A88" s="197" t="str">
        <f>_xlfn.CONCAT("Seed ", SotY_2024[[#This Row],[Top Seed]], " vs ", SotY_2024[[#This Row],[Low Seed]])</f>
        <v>Seed 42 vs 87</v>
      </c>
      <c r="B88" s="115">
        <v>86</v>
      </c>
      <c r="C88" s="115">
        <f>FLOOR(LOG(SotY_2024[[#This Row],[Num]], 2), 1)</f>
        <v>6</v>
      </c>
      <c r="D88" s="115">
        <f>2^(SotY_2024[[#This Row],[Round]]+1)</f>
        <v>128</v>
      </c>
      <c r="E88" s="115">
        <f>SotY_2024[[#This Row],[Max Seed]]-SotY_2024[[#This Row],[Num]]</f>
        <v>42</v>
      </c>
      <c r="F88" s="115">
        <f>SotY_2024[[#This Row],[Max Seed]]-SotY_2024[[#This Row],[Top Seed]]+1</f>
        <v>87</v>
      </c>
      <c r="G88" s="115" t="b">
        <f>IF(SotY_2024[[#This Row],[Round]]=$C$1, TRUE(), IF(SotY_2024[[#This Row],[Round]]=$B$1, SotY_2024[[#This Row],[Top Seed]]&lt;=2*SotY_2024[[#This Row],[Max Seed]]-$A$1, FALSE()))</f>
        <v>1</v>
      </c>
      <c r="H88" s="115" t="b">
        <f>IF(SotY_2024[[#This Row],[Round]]=$C$1, TRUE(), IF(SotY_2024[[#This Row],[Round]]=$B$1, SotY_2024[[#This Row],[Low Seed]]&lt;=2*SotY_2024[[#This Row],[Max Seed]]-$A$1, FALSE()))</f>
        <v>1</v>
      </c>
      <c r="I88" s="187"/>
      <c r="J88" s="188"/>
      <c r="K88" s="189" t="s">
        <v>4191</v>
      </c>
      <c r="L88" s="190" t="s">
        <v>4191</v>
      </c>
      <c r="M88" s="191" t="s">
        <v>4191</v>
      </c>
      <c r="N88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Bring Me To Life</v>
      </c>
      <c r="O88" s="105">
        <f>COUNTIF(SotY_2024[[#This Row],[J]:[H]],"x")</f>
        <v>3</v>
      </c>
      <c r="P88" s="115" t="str">
        <f ca="1">IF(SotY_2024[[#This Row],[Num]]&gt;=$A$1, "-", IF(SotY_2024[[#This Row],[Score 1]]&gt;=3, SotY_2024[[#This Row],[Song 1]], IF(SotY_2024[[#This Row],[Score 2]]&gt;=3, SotY_2024[[#This Row],[Song 2]], "TBD")))</f>
        <v>Bring Me To Life</v>
      </c>
      <c r="Q88" s="193">
        <f>COUNTIF(SotY_2024[[#This Row],[H ]:[J ]],"x")</f>
        <v>2</v>
      </c>
      <c r="R88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DNA</v>
      </c>
      <c r="S88" s="191"/>
      <c r="T88" s="190"/>
      <c r="U88" s="189"/>
      <c r="V88" s="188" t="s">
        <v>4191</v>
      </c>
      <c r="W88" s="198" t="s">
        <v>4191</v>
      </c>
      <c r="X88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88" s="109">
        <f t="shared" si="3"/>
        <v>81</v>
      </c>
      <c r="AA88" s="59">
        <v>45607</v>
      </c>
      <c r="AB88" t="str">
        <v>alappatjoe</v>
      </c>
      <c r="AC88" s="3">
        <v>2.4</v>
      </c>
      <c r="AD88" s="3">
        <v>1.019803902718557</v>
      </c>
      <c r="AE88" t="str">
        <v>Coffee</v>
      </c>
      <c r="AF88" t="str">
        <v>a!ka</v>
      </c>
      <c r="AG88" s="100">
        <f t="shared" si="4"/>
        <v>65</v>
      </c>
      <c r="AI88" s="114">
        <f>SotY_2024[[#This Row],[Max Seed]]/2 + 1</f>
        <v>65</v>
      </c>
      <c r="AJ88" s="105" t="str">
        <f ca="1">IF(SotY_2024[[#This Row],[Num]]&gt;=$A$1, "-", IF(SotY_2024[[#This Row],[Score 1]]&gt;=3, SotY_2024[[#This Row],[Song 2]], IF(SotY_2024[[#This Row],[Score 2]]&gt;=3, SotY_2024[[#This Row],[Song 1]], "TBD")))</f>
        <v>DNA</v>
      </c>
      <c r="AK88" s="115">
        <f ca="1">IFERROR(VLOOKUP(SotY_2024_Results[[#This Row],[Song Title]], $AE$2:$AG$111, 3, FALSE)-SotY_2024_Results[[#This Row],[Result]], "TBD")</f>
        <v>0</v>
      </c>
      <c r="AL88" s="112" t="str">
        <f ca="1">IF(SotY_2024_Results[[#This Row],[Diff]]&lt;0,"↓",IF(SotY_2024_Results[[#This Row],[Diff]]=0,"-","↑"))</f>
        <v>-</v>
      </c>
    </row>
    <row r="89" spans="1:38">
      <c r="A89" s="197" t="str">
        <f>_xlfn.CONCAT("Seed ", SotY_2024[[#This Row],[Top Seed]], " vs ", SotY_2024[[#This Row],[Low Seed]])</f>
        <v>Seed 41 vs 88</v>
      </c>
      <c r="B89" s="115">
        <v>87</v>
      </c>
      <c r="C89" s="115">
        <f>FLOOR(LOG(SotY_2024[[#This Row],[Num]], 2), 1)</f>
        <v>6</v>
      </c>
      <c r="D89" s="115">
        <f>2^(SotY_2024[[#This Row],[Round]]+1)</f>
        <v>128</v>
      </c>
      <c r="E89" s="115">
        <f>SotY_2024[[#This Row],[Max Seed]]-SotY_2024[[#This Row],[Num]]</f>
        <v>41</v>
      </c>
      <c r="F89" s="115">
        <f>SotY_2024[[#This Row],[Max Seed]]-SotY_2024[[#This Row],[Top Seed]]+1</f>
        <v>88</v>
      </c>
      <c r="G89" s="115" t="b">
        <f>IF(SotY_2024[[#This Row],[Round]]=$C$1, TRUE(), IF(SotY_2024[[#This Row],[Round]]=$B$1, SotY_2024[[#This Row],[Top Seed]]&lt;=2*SotY_2024[[#This Row],[Max Seed]]-$A$1, FALSE()))</f>
        <v>1</v>
      </c>
      <c r="H89" s="115" t="b">
        <f>IF(SotY_2024[[#This Row],[Round]]=$C$1, TRUE(), IF(SotY_2024[[#This Row],[Round]]=$B$1, SotY_2024[[#This Row],[Low Seed]]&lt;=2*SotY_2024[[#This Row],[Max Seed]]-$A$1, FALSE()))</f>
        <v>1</v>
      </c>
      <c r="I89" s="187"/>
      <c r="J89" s="188" t="s">
        <v>4191</v>
      </c>
      <c r="K89" s="189" t="s">
        <v>4191</v>
      </c>
      <c r="L89" s="190"/>
      <c r="M89" s="191"/>
      <c r="N89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Please Don't Fall In Love With Me</v>
      </c>
      <c r="O89" s="105">
        <f>COUNTIF(SotY_2024[[#This Row],[J]:[H]],"x")</f>
        <v>2</v>
      </c>
      <c r="P89" s="115" t="str">
        <f ca="1">IF(SotY_2024[[#This Row],[Num]]&gt;=$A$1, "-", IF(SotY_2024[[#This Row],[Score 1]]&gt;=3, SotY_2024[[#This Row],[Song 1]], IF(SotY_2024[[#This Row],[Score 2]]&gt;=3, SotY_2024[[#This Row],[Song 2]], "TBD")))</f>
        <v>Lady Writer</v>
      </c>
      <c r="Q89" s="193">
        <f>COUNTIF(SotY_2024[[#This Row],[H ]:[J ]],"x")</f>
        <v>3</v>
      </c>
      <c r="R89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Lady Writer</v>
      </c>
      <c r="S89" s="191" t="s">
        <v>4191</v>
      </c>
      <c r="T89" s="190" t="s">
        <v>4191</v>
      </c>
      <c r="U89" s="189"/>
      <c r="V89" s="188"/>
      <c r="W89" s="198" t="s">
        <v>4191</v>
      </c>
      <c r="X89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89" s="109">
        <f t="shared" si="3"/>
        <v>82</v>
      </c>
      <c r="AA89" s="59">
        <v>45608</v>
      </c>
      <c r="AB89" t="str">
        <v>alappatjoe</v>
      </c>
      <c r="AC89" s="3">
        <v>2.4</v>
      </c>
      <c r="AD89" s="3">
        <v>1.019803902718557</v>
      </c>
      <c r="AE89" t="str">
        <v>Buttons</v>
      </c>
      <c r="AF89" t="str">
        <v>Lyn Lapid</v>
      </c>
      <c r="AG89" s="100">
        <f t="shared" si="4"/>
        <v>65</v>
      </c>
      <c r="AI89" s="114">
        <f>SotY_2024[[#This Row],[Max Seed]]/2 + 1</f>
        <v>65</v>
      </c>
      <c r="AJ89" s="105" t="str">
        <f ca="1">IF(SotY_2024[[#This Row],[Num]]&gt;=$A$1, "-", IF(SotY_2024[[#This Row],[Score 1]]&gt;=3, SotY_2024[[#This Row],[Song 2]], IF(SotY_2024[[#This Row],[Score 2]]&gt;=3, SotY_2024[[#This Row],[Song 1]], "TBD")))</f>
        <v>Please Don't Fall In Love With Me</v>
      </c>
      <c r="AK89" s="115">
        <f ca="1">IFERROR(VLOOKUP(SotY_2024_Results[[#This Row],[Song Title]], $AE$2:$AG$111, 3, FALSE)-SotY_2024_Results[[#This Row],[Result]], "TBD")</f>
        <v>-32</v>
      </c>
      <c r="AL89" s="112" t="str">
        <f ca="1">IF(SotY_2024_Results[[#This Row],[Diff]]&lt;0,"↓",IF(SotY_2024_Results[[#This Row],[Diff]]=0,"-","↑"))</f>
        <v>↓</v>
      </c>
    </row>
    <row r="90" spans="1:38">
      <c r="A90" s="197" t="str">
        <f>_xlfn.CONCAT("Seed ", SotY_2024[[#This Row],[Top Seed]], " vs ", SotY_2024[[#This Row],[Low Seed]])</f>
        <v>Seed 40 vs 89</v>
      </c>
      <c r="B90" s="115">
        <v>88</v>
      </c>
      <c r="C90" s="115">
        <f>FLOOR(LOG(SotY_2024[[#This Row],[Num]], 2), 1)</f>
        <v>6</v>
      </c>
      <c r="D90" s="115">
        <f>2^(SotY_2024[[#This Row],[Round]]+1)</f>
        <v>128</v>
      </c>
      <c r="E90" s="115">
        <f>SotY_2024[[#This Row],[Max Seed]]-SotY_2024[[#This Row],[Num]]</f>
        <v>40</v>
      </c>
      <c r="F90" s="115">
        <f>SotY_2024[[#This Row],[Max Seed]]-SotY_2024[[#This Row],[Top Seed]]+1</f>
        <v>89</v>
      </c>
      <c r="G90" s="115" t="b">
        <f>IF(SotY_2024[[#This Row],[Round]]=$C$1, TRUE(), IF(SotY_2024[[#This Row],[Round]]=$B$1, SotY_2024[[#This Row],[Top Seed]]&lt;=2*SotY_2024[[#This Row],[Max Seed]]-$A$1, FALSE()))</f>
        <v>1</v>
      </c>
      <c r="H90" s="115" t="b">
        <f>IF(SotY_2024[[#This Row],[Round]]=$C$1, TRUE(), IF(SotY_2024[[#This Row],[Round]]=$B$1, SotY_2024[[#This Row],[Low Seed]]&lt;=2*SotY_2024[[#This Row],[Max Seed]]-$A$1, FALSE()))</f>
        <v>1</v>
      </c>
      <c r="I90" s="187" t="s">
        <v>4191</v>
      </c>
      <c r="J90" s="188"/>
      <c r="K90" s="189" t="s">
        <v>4191</v>
      </c>
      <c r="L90" s="190"/>
      <c r="M90" s="191"/>
      <c r="N90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Alright</v>
      </c>
      <c r="O90" s="105">
        <f>COUNTIF(SotY_2024[[#This Row],[J]:[H]],"x")</f>
        <v>2</v>
      </c>
      <c r="P90" s="115" t="str">
        <f ca="1">IF(SotY_2024[[#This Row],[Num]]&gt;=$A$1, "-", IF(SotY_2024[[#This Row],[Score 1]]&gt;=3, SotY_2024[[#This Row],[Song 1]], IF(SotY_2024[[#This Row],[Score 2]]&gt;=3, SotY_2024[[#This Row],[Song 2]], "TBD")))</f>
        <v>In Bloom</v>
      </c>
      <c r="Q90" s="193">
        <f>COUNTIF(SotY_2024[[#This Row],[H ]:[J ]],"x")</f>
        <v>3</v>
      </c>
      <c r="R90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In Bloom</v>
      </c>
      <c r="S90" s="191" t="s">
        <v>4191</v>
      </c>
      <c r="T90" s="190" t="s">
        <v>4191</v>
      </c>
      <c r="U90" s="189"/>
      <c r="V90" s="188" t="s">
        <v>4191</v>
      </c>
      <c r="W90" s="198"/>
      <c r="X90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90" s="109">
        <f t="shared" si="3"/>
        <v>83</v>
      </c>
      <c r="AA90" s="59">
        <v>45609</v>
      </c>
      <c r="AB90" t="str">
        <v>samuelbattista</v>
      </c>
      <c r="AC90" s="3">
        <v>2.4</v>
      </c>
      <c r="AD90" s="3">
        <v>1.2</v>
      </c>
      <c r="AE90" t="str">
        <v>Welcome to the Black Parade</v>
      </c>
      <c r="AF90" t="str">
        <v>My Chemical Romance</v>
      </c>
      <c r="AG90" s="100">
        <f t="shared" si="4"/>
        <v>65</v>
      </c>
      <c r="AI90" s="114">
        <f>SotY_2024[[#This Row],[Max Seed]]/2 + 1</f>
        <v>65</v>
      </c>
      <c r="AJ90" s="105" t="str">
        <f ca="1">IF(SotY_2024[[#This Row],[Num]]&gt;=$A$1, "-", IF(SotY_2024[[#This Row],[Score 1]]&gt;=3, SotY_2024[[#This Row],[Song 2]], IF(SotY_2024[[#This Row],[Score 2]]&gt;=3, SotY_2024[[#This Row],[Song 1]], "TBD")))</f>
        <v>Alright</v>
      </c>
      <c r="AK90" s="115">
        <f ca="1">IFERROR(VLOOKUP(SotY_2024_Results[[#This Row],[Song Title]], $AE$2:$AG$111, 3, FALSE)-SotY_2024_Results[[#This Row],[Result]], "TBD")</f>
        <v>-32</v>
      </c>
      <c r="AL90" s="112" t="str">
        <f ca="1">IF(SotY_2024_Results[[#This Row],[Diff]]&lt;0,"↓",IF(SotY_2024_Results[[#This Row],[Diff]]=0,"-","↑"))</f>
        <v>↓</v>
      </c>
    </row>
    <row r="91" spans="1:38">
      <c r="A91" s="197" t="str">
        <f>_xlfn.CONCAT("Seed ", SotY_2024[[#This Row],[Top Seed]], " vs ", SotY_2024[[#This Row],[Low Seed]])</f>
        <v>Seed 39 vs 90</v>
      </c>
      <c r="B91" s="115">
        <v>89</v>
      </c>
      <c r="C91" s="115">
        <f>FLOOR(LOG(SotY_2024[[#This Row],[Num]], 2), 1)</f>
        <v>6</v>
      </c>
      <c r="D91" s="115">
        <f>2^(SotY_2024[[#This Row],[Round]]+1)</f>
        <v>128</v>
      </c>
      <c r="E91" s="115">
        <f>SotY_2024[[#This Row],[Max Seed]]-SotY_2024[[#This Row],[Num]]</f>
        <v>39</v>
      </c>
      <c r="F91" s="115">
        <f>SotY_2024[[#This Row],[Max Seed]]-SotY_2024[[#This Row],[Top Seed]]+1</f>
        <v>90</v>
      </c>
      <c r="G91" s="115" t="b">
        <f>IF(SotY_2024[[#This Row],[Round]]=$C$1, TRUE(), IF(SotY_2024[[#This Row],[Round]]=$B$1, SotY_2024[[#This Row],[Top Seed]]&lt;=2*SotY_2024[[#This Row],[Max Seed]]-$A$1, FALSE()))</f>
        <v>1</v>
      </c>
      <c r="H91" s="115" t="b">
        <f>IF(SotY_2024[[#This Row],[Round]]=$C$1, TRUE(), IF(SotY_2024[[#This Row],[Round]]=$B$1, SotY_2024[[#This Row],[Low Seed]]&lt;=2*SotY_2024[[#This Row],[Max Seed]]-$A$1, FALSE()))</f>
        <v>1</v>
      </c>
      <c r="I91" s="187"/>
      <c r="J91" s="188" t="s">
        <v>4191</v>
      </c>
      <c r="K91" s="189"/>
      <c r="L91" s="190" t="s">
        <v>4191</v>
      </c>
      <c r="M91" s="191"/>
      <c r="N91" s="192">
        <f ca="1">IF(SotY_2024[[#This Row],[Num]]&gt;=$A$1, "-", IF(SotY_2024[[#This Row],[Initial 1]], VLOOKUP(SotY_2024[[#This Row],[Top Seed]], $Z$2:$AE$111, 6, FALSE), OFFSET(SotY_2024[[#This Row],[Winner]], SotY_2024[[#This Row],[Max Seed]], 0)))</f>
        <v>360</v>
      </c>
      <c r="O91" s="105">
        <f>COUNTIF(SotY_2024[[#This Row],[J]:[H]],"x")</f>
        <v>2</v>
      </c>
      <c r="P91" s="115" t="str">
        <f ca="1">IF(SotY_2024[[#This Row],[Num]]&gt;=$A$1, "-", IF(SotY_2024[[#This Row],[Score 1]]&gt;=3, SotY_2024[[#This Row],[Song 1]], IF(SotY_2024[[#This Row],[Score 2]]&gt;=3, SotY_2024[[#This Row],[Song 2]], "TBD")))</f>
        <v>KICK BACK</v>
      </c>
      <c r="Q91" s="193">
        <f>COUNTIF(SotY_2024[[#This Row],[H ]:[J ]],"x")</f>
        <v>3</v>
      </c>
      <c r="R91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KICK BACK</v>
      </c>
      <c r="S91" s="191" t="s">
        <v>4191</v>
      </c>
      <c r="T91" s="190"/>
      <c r="U91" s="189" t="s">
        <v>4191</v>
      </c>
      <c r="V91" s="188"/>
      <c r="W91" s="198" t="s">
        <v>4191</v>
      </c>
      <c r="X91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91" s="109">
        <f t="shared" si="3"/>
        <v>71</v>
      </c>
      <c r="AA91" s="59">
        <v>45610</v>
      </c>
      <c r="AB91" t="str">
        <v>danram</v>
      </c>
      <c r="AC91" s="3">
        <v>2.2000000000000002</v>
      </c>
      <c r="AD91" s="3">
        <v>1.4696938456699069</v>
      </c>
      <c r="AE91" t="str">
        <v>Zombie</v>
      </c>
      <c r="AF91" t="str">
        <v>The Cranberries</v>
      </c>
      <c r="AG91" s="100">
        <f t="shared" si="4"/>
        <v>65</v>
      </c>
      <c r="AI91" s="114">
        <f>SotY_2024[[#This Row],[Max Seed]]/2 + 1</f>
        <v>65</v>
      </c>
      <c r="AJ91" s="105">
        <f ca="1">IF(SotY_2024[[#This Row],[Num]]&gt;=$A$1, "-", IF(SotY_2024[[#This Row],[Score 1]]&gt;=3, SotY_2024[[#This Row],[Song 2]], IF(SotY_2024[[#This Row],[Score 2]]&gt;=3, SotY_2024[[#This Row],[Song 1]], "TBD")))</f>
        <v>360</v>
      </c>
      <c r="AK91" s="115">
        <f ca="1">IFERROR(VLOOKUP(SotY_2024_Results[[#This Row],[Song Title]], $AE$2:$AG$111, 3, FALSE)-SotY_2024_Results[[#This Row],[Result]], "TBD")</f>
        <v>-32</v>
      </c>
      <c r="AL91" s="112" t="str">
        <f ca="1">IF(SotY_2024_Results[[#This Row],[Diff]]&lt;0,"↓",IF(SotY_2024_Results[[#This Row],[Diff]]=0,"-","↑"))</f>
        <v>↓</v>
      </c>
    </row>
    <row r="92" spans="1:38">
      <c r="A92" s="197" t="str">
        <f>_xlfn.CONCAT("Seed ", SotY_2024[[#This Row],[Top Seed]], " vs ", SotY_2024[[#This Row],[Low Seed]])</f>
        <v>Seed 38 vs 91</v>
      </c>
      <c r="B92" s="115">
        <v>90</v>
      </c>
      <c r="C92" s="115">
        <f>FLOOR(LOG(SotY_2024[[#This Row],[Num]], 2), 1)</f>
        <v>6</v>
      </c>
      <c r="D92" s="115">
        <f>2^(SotY_2024[[#This Row],[Round]]+1)</f>
        <v>128</v>
      </c>
      <c r="E92" s="115">
        <f>SotY_2024[[#This Row],[Max Seed]]-SotY_2024[[#This Row],[Num]]</f>
        <v>38</v>
      </c>
      <c r="F92" s="115">
        <f>SotY_2024[[#This Row],[Max Seed]]-SotY_2024[[#This Row],[Top Seed]]+1</f>
        <v>91</v>
      </c>
      <c r="G92" s="115" t="b">
        <f>IF(SotY_2024[[#This Row],[Round]]=$C$1, TRUE(), IF(SotY_2024[[#This Row],[Round]]=$B$1, SotY_2024[[#This Row],[Top Seed]]&lt;=2*SotY_2024[[#This Row],[Max Seed]]-$A$1, FALSE()))</f>
        <v>1</v>
      </c>
      <c r="H92" s="115" t="b">
        <f>IF(SotY_2024[[#This Row],[Round]]=$C$1, TRUE(), IF(SotY_2024[[#This Row],[Round]]=$B$1, SotY_2024[[#This Row],[Low Seed]]&lt;=2*SotY_2024[[#This Row],[Max Seed]]-$A$1, FALSE()))</f>
        <v>1</v>
      </c>
      <c r="I92" s="187"/>
      <c r="J92" s="188"/>
      <c r="K92" s="189" t="s">
        <v>4191</v>
      </c>
      <c r="L92" s="190"/>
      <c r="M92" s="191"/>
      <c r="N92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shy girl</v>
      </c>
      <c r="O92" s="105">
        <f>COUNTIF(SotY_2024[[#This Row],[J]:[H]],"x")</f>
        <v>1</v>
      </c>
      <c r="P92" s="115" t="str">
        <f ca="1">IF(SotY_2024[[#This Row],[Num]]&gt;=$A$1, "-", IF(SotY_2024[[#This Row],[Score 1]]&gt;=3, SotY_2024[[#This Row],[Song 1]], IF(SotY_2024[[#This Row],[Score 2]]&gt;=3, SotY_2024[[#This Row],[Song 2]], "TBD")))</f>
        <v>Seventh Heaven</v>
      </c>
      <c r="Q92" s="193">
        <f>COUNTIF(SotY_2024[[#This Row],[H ]:[J ]],"x")</f>
        <v>4</v>
      </c>
      <c r="R92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Seventh Heaven</v>
      </c>
      <c r="S92" s="191" t="s">
        <v>4191</v>
      </c>
      <c r="T92" s="190" t="s">
        <v>4191</v>
      </c>
      <c r="U92" s="189"/>
      <c r="V92" s="188" t="s">
        <v>4191</v>
      </c>
      <c r="W92" s="198" t="s">
        <v>4191</v>
      </c>
      <c r="X92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92" s="109">
        <f t="shared" si="3"/>
        <v>72</v>
      </c>
      <c r="AA92" s="59">
        <v>45614</v>
      </c>
      <c r="AB92" t="str">
        <v>loganworsdell</v>
      </c>
      <c r="AC92" s="3">
        <v>2.2000000000000002</v>
      </c>
      <c r="AD92" s="3">
        <v>1.4696938456699069</v>
      </c>
      <c r="AE92" t="str">
        <v>\ \ \</v>
      </c>
      <c r="AF92" t="str">
        <v>c678924</v>
      </c>
      <c r="AG92" s="100">
        <f t="shared" si="4"/>
        <v>65</v>
      </c>
      <c r="AI92" s="114">
        <f>SotY_2024[[#This Row],[Max Seed]]/2 + 1</f>
        <v>65</v>
      </c>
      <c r="AJ92" s="105" t="str">
        <f ca="1">IF(SotY_2024[[#This Row],[Num]]&gt;=$A$1, "-", IF(SotY_2024[[#This Row],[Score 1]]&gt;=3, SotY_2024[[#This Row],[Song 2]], IF(SotY_2024[[#This Row],[Score 2]]&gt;=3, SotY_2024[[#This Row],[Song 1]], "TBD")))</f>
        <v>shy girl</v>
      </c>
      <c r="AK92" s="115">
        <f ca="1">IFERROR(VLOOKUP(SotY_2024_Results[[#This Row],[Song Title]], $AE$2:$AG$111, 3, FALSE)-SotY_2024_Results[[#This Row],[Result]], "TBD")</f>
        <v>-32</v>
      </c>
      <c r="AL92" s="112" t="str">
        <f ca="1">IF(SotY_2024_Results[[#This Row],[Diff]]&lt;0,"↓",IF(SotY_2024_Results[[#This Row],[Diff]]=0,"-","↑"))</f>
        <v>↓</v>
      </c>
    </row>
    <row r="93" spans="1:38">
      <c r="A93" s="197" t="str">
        <f>_xlfn.CONCAT("Seed ", SotY_2024[[#This Row],[Top Seed]], " vs ", SotY_2024[[#This Row],[Low Seed]])</f>
        <v>Seed 37 vs 92</v>
      </c>
      <c r="B93" s="115">
        <v>91</v>
      </c>
      <c r="C93" s="115">
        <f>FLOOR(LOG(SotY_2024[[#This Row],[Num]], 2), 1)</f>
        <v>6</v>
      </c>
      <c r="D93" s="115">
        <f>2^(SotY_2024[[#This Row],[Round]]+1)</f>
        <v>128</v>
      </c>
      <c r="E93" s="115">
        <f>SotY_2024[[#This Row],[Max Seed]]-SotY_2024[[#This Row],[Num]]</f>
        <v>37</v>
      </c>
      <c r="F93" s="115">
        <f>SotY_2024[[#This Row],[Max Seed]]-SotY_2024[[#This Row],[Top Seed]]+1</f>
        <v>92</v>
      </c>
      <c r="G93" s="115" t="b">
        <f>IF(SotY_2024[[#This Row],[Round]]=$C$1, TRUE(), IF(SotY_2024[[#This Row],[Round]]=$B$1, SotY_2024[[#This Row],[Top Seed]]&lt;=2*SotY_2024[[#This Row],[Max Seed]]-$A$1, FALSE()))</f>
        <v>1</v>
      </c>
      <c r="H93" s="115" t="b">
        <f>IF(SotY_2024[[#This Row],[Round]]=$C$1, TRUE(), IF(SotY_2024[[#This Row],[Round]]=$B$1, SotY_2024[[#This Row],[Low Seed]]&lt;=2*SotY_2024[[#This Row],[Max Seed]]-$A$1, FALSE()))</f>
        <v>1</v>
      </c>
      <c r="I93" s="187"/>
      <c r="J93" s="188" t="s">
        <v>4191</v>
      </c>
      <c r="K93" s="189" t="s">
        <v>4191</v>
      </c>
      <c r="L93" s="190"/>
      <c r="M93" s="191" t="s">
        <v>4191</v>
      </c>
      <c r="N93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Scar Tissue</v>
      </c>
      <c r="O93" s="105">
        <f>COUNTIF(SotY_2024[[#This Row],[J]:[H]],"x")</f>
        <v>3</v>
      </c>
      <c r="P93" s="115" t="str">
        <f ca="1">IF(SotY_2024[[#This Row],[Num]]&gt;=$A$1, "-", IF(SotY_2024[[#This Row],[Score 1]]&gt;=3, SotY_2024[[#This Row],[Song 1]], IF(SotY_2024[[#This Row],[Score 2]]&gt;=3, SotY_2024[[#This Row],[Song 2]], "TBD")))</f>
        <v>Scar Tissue</v>
      </c>
      <c r="Q93" s="193">
        <f>COUNTIF(SotY_2024[[#This Row],[H ]:[J ]],"x")</f>
        <v>2</v>
      </c>
      <c r="R93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Never Gonna Be Alone</v>
      </c>
      <c r="S93" s="191"/>
      <c r="T93" s="190" t="s">
        <v>4191</v>
      </c>
      <c r="U93" s="189"/>
      <c r="V93" s="188"/>
      <c r="W93" s="198" t="s">
        <v>4191</v>
      </c>
      <c r="X93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93" s="109">
        <f t="shared" si="3"/>
        <v>102</v>
      </c>
      <c r="AA93" s="59">
        <v>45615</v>
      </c>
      <c r="AB93" t="str">
        <v>alappatjoe</v>
      </c>
      <c r="AC93" s="3">
        <v>2.6</v>
      </c>
      <c r="AD93" s="3">
        <v>1.3564659966250536</v>
      </c>
      <c r="AE93" t="str">
        <v>last night's mascara</v>
      </c>
      <c r="AF93" t="str">
        <v>Griff</v>
      </c>
      <c r="AG93" s="100">
        <f t="shared" si="4"/>
        <v>65</v>
      </c>
      <c r="AI93" s="114">
        <f>SotY_2024[[#This Row],[Max Seed]]/2 + 1</f>
        <v>65</v>
      </c>
      <c r="AJ93" s="105" t="str">
        <f ca="1">IF(SotY_2024[[#This Row],[Num]]&gt;=$A$1, "-", IF(SotY_2024[[#This Row],[Score 1]]&gt;=3, SotY_2024[[#This Row],[Song 2]], IF(SotY_2024[[#This Row],[Score 2]]&gt;=3, SotY_2024[[#This Row],[Song 1]], "TBD")))</f>
        <v>Never Gonna Be Alone</v>
      </c>
      <c r="AK93" s="115">
        <f ca="1">IFERROR(VLOOKUP(SotY_2024_Results[[#This Row],[Song Title]], $AE$2:$AG$111, 3, FALSE)-SotY_2024_Results[[#This Row],[Result]], "TBD")</f>
        <v>0</v>
      </c>
      <c r="AL93" s="112" t="str">
        <f ca="1">IF(SotY_2024_Results[[#This Row],[Diff]]&lt;0,"↓",IF(SotY_2024_Results[[#This Row],[Diff]]=0,"-","↑"))</f>
        <v>-</v>
      </c>
    </row>
    <row r="94" spans="1:38">
      <c r="A94" s="197" t="str">
        <f>_xlfn.CONCAT("Seed ", SotY_2024[[#This Row],[Top Seed]], " vs ", SotY_2024[[#This Row],[Low Seed]])</f>
        <v>Seed 36 vs 93</v>
      </c>
      <c r="B94" s="115">
        <v>92</v>
      </c>
      <c r="C94" s="115">
        <f>FLOOR(LOG(SotY_2024[[#This Row],[Num]], 2), 1)</f>
        <v>6</v>
      </c>
      <c r="D94" s="115">
        <f>2^(SotY_2024[[#This Row],[Round]]+1)</f>
        <v>128</v>
      </c>
      <c r="E94" s="115">
        <f>SotY_2024[[#This Row],[Max Seed]]-SotY_2024[[#This Row],[Num]]</f>
        <v>36</v>
      </c>
      <c r="F94" s="115">
        <f>SotY_2024[[#This Row],[Max Seed]]-SotY_2024[[#This Row],[Top Seed]]+1</f>
        <v>93</v>
      </c>
      <c r="G94" s="115" t="b">
        <f>IF(SotY_2024[[#This Row],[Round]]=$C$1, TRUE(), IF(SotY_2024[[#This Row],[Round]]=$B$1, SotY_2024[[#This Row],[Top Seed]]&lt;=2*SotY_2024[[#This Row],[Max Seed]]-$A$1, FALSE()))</f>
        <v>1</v>
      </c>
      <c r="H94" s="115" t="b">
        <f>IF(SotY_2024[[#This Row],[Round]]=$C$1, TRUE(), IF(SotY_2024[[#This Row],[Round]]=$B$1, SotY_2024[[#This Row],[Low Seed]]&lt;=2*SotY_2024[[#This Row],[Max Seed]]-$A$1, FALSE()))</f>
        <v>1</v>
      </c>
      <c r="I94" s="187"/>
      <c r="J94" s="188" t="s">
        <v>4191</v>
      </c>
      <c r="K94" s="189" t="s">
        <v>4191</v>
      </c>
      <c r="L94" s="190" t="s">
        <v>4191</v>
      </c>
      <c r="M94" s="191" t="s">
        <v>4191</v>
      </c>
      <c r="N94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KLINK</v>
      </c>
      <c r="O94" s="105">
        <f>COUNTIF(SotY_2024[[#This Row],[J]:[H]],"x")</f>
        <v>4</v>
      </c>
      <c r="P94" s="115" t="str">
        <f ca="1">IF(SotY_2024[[#This Row],[Num]]&gt;=$A$1, "-", IF(SotY_2024[[#This Row],[Score 1]]&gt;=3, SotY_2024[[#This Row],[Song 1]], IF(SotY_2024[[#This Row],[Score 2]]&gt;=3, SotY_2024[[#This Row],[Song 2]], "TBD")))</f>
        <v>KLINK</v>
      </c>
      <c r="Q94" s="193">
        <f>COUNTIF(SotY_2024[[#This Row],[H ]:[J ]],"x")</f>
        <v>1</v>
      </c>
      <c r="R94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Santa, Can't You Hear Me</v>
      </c>
      <c r="S94" s="191"/>
      <c r="T94" s="190"/>
      <c r="U94" s="189"/>
      <c r="V94" s="188"/>
      <c r="W94" s="198" t="s">
        <v>4191</v>
      </c>
      <c r="X94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94" s="109">
        <f t="shared" si="3"/>
        <v>35</v>
      </c>
      <c r="AA94" s="59">
        <v>45616</v>
      </c>
      <c r="AB94" t="str">
        <v>currydestroyer27</v>
      </c>
      <c r="AC94" s="3">
        <v>2</v>
      </c>
      <c r="AD94" s="3">
        <v>0.63245553203367588</v>
      </c>
      <c r="AE94" t="str">
        <v>Mayonaka no Door / Stay With Me</v>
      </c>
      <c r="AF94" t="str">
        <v>Miki Matsubara</v>
      </c>
      <c r="AG94" s="100">
        <f t="shared" si="4"/>
        <v>33</v>
      </c>
      <c r="AI94" s="114">
        <f>SotY_2024[[#This Row],[Max Seed]]/2 + 1</f>
        <v>65</v>
      </c>
      <c r="AJ94" s="105" t="str">
        <f ca="1">IF(SotY_2024[[#This Row],[Num]]&gt;=$A$1, "-", IF(SotY_2024[[#This Row],[Score 1]]&gt;=3, SotY_2024[[#This Row],[Song 2]], IF(SotY_2024[[#This Row],[Score 2]]&gt;=3, SotY_2024[[#This Row],[Song 1]], "TBD")))</f>
        <v>Santa, Can't You Hear Me</v>
      </c>
      <c r="AK94" s="115">
        <f ca="1">IFERROR(VLOOKUP(SotY_2024_Results[[#This Row],[Song Title]], $AE$2:$AG$111, 3, FALSE)-SotY_2024_Results[[#This Row],[Result]], "TBD")</f>
        <v>0</v>
      </c>
      <c r="AL94" s="112" t="str">
        <f ca="1">IF(SotY_2024_Results[[#This Row],[Diff]]&lt;0,"↓",IF(SotY_2024_Results[[#This Row],[Diff]]=0,"-","↑"))</f>
        <v>-</v>
      </c>
    </row>
    <row r="95" spans="1:38">
      <c r="A95" s="197" t="str">
        <f>_xlfn.CONCAT("Seed ", SotY_2024[[#This Row],[Top Seed]], " vs ", SotY_2024[[#This Row],[Low Seed]])</f>
        <v>Seed 35 vs 94</v>
      </c>
      <c r="B95" s="115">
        <v>93</v>
      </c>
      <c r="C95" s="115">
        <f>FLOOR(LOG(SotY_2024[[#This Row],[Num]], 2), 1)</f>
        <v>6</v>
      </c>
      <c r="D95" s="115">
        <f>2^(SotY_2024[[#This Row],[Round]]+1)</f>
        <v>128</v>
      </c>
      <c r="E95" s="115">
        <f>SotY_2024[[#This Row],[Max Seed]]-SotY_2024[[#This Row],[Num]]</f>
        <v>35</v>
      </c>
      <c r="F95" s="115">
        <f>SotY_2024[[#This Row],[Max Seed]]-SotY_2024[[#This Row],[Top Seed]]+1</f>
        <v>94</v>
      </c>
      <c r="G95" s="115" t="b">
        <f>IF(SotY_2024[[#This Row],[Round]]=$C$1, TRUE(), IF(SotY_2024[[#This Row],[Round]]=$B$1, SotY_2024[[#This Row],[Top Seed]]&lt;=2*SotY_2024[[#This Row],[Max Seed]]-$A$1, FALSE()))</f>
        <v>1</v>
      </c>
      <c r="H95" s="115" t="b">
        <f>IF(SotY_2024[[#This Row],[Round]]=$C$1, TRUE(), IF(SotY_2024[[#This Row],[Round]]=$B$1, SotY_2024[[#This Row],[Low Seed]]&lt;=2*SotY_2024[[#This Row],[Max Seed]]-$A$1, FALSE()))</f>
        <v>1</v>
      </c>
      <c r="I95" s="187" t="s">
        <v>4191</v>
      </c>
      <c r="J95" s="188" t="s">
        <v>4191</v>
      </c>
      <c r="K95" s="189" t="s">
        <v>4191</v>
      </c>
      <c r="L95" s="190"/>
      <c r="M95" s="191" t="s">
        <v>4191</v>
      </c>
      <c r="N95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Mayonaka no Door / Stay With Me</v>
      </c>
      <c r="O95" s="105">
        <f>COUNTIF(SotY_2024[[#This Row],[J]:[H]],"x")</f>
        <v>4</v>
      </c>
      <c r="P95" s="115" t="str">
        <f ca="1">IF(SotY_2024[[#This Row],[Num]]&gt;=$A$1, "-", IF(SotY_2024[[#This Row],[Score 1]]&gt;=3, SotY_2024[[#This Row],[Song 1]], IF(SotY_2024[[#This Row],[Score 2]]&gt;=3, SotY_2024[[#This Row],[Song 2]], "TBD")))</f>
        <v>Mayonaka no Door / Stay With Me</v>
      </c>
      <c r="Q95" s="193">
        <f>COUNTIF(SotY_2024[[#This Row],[H ]:[J ]],"x")</f>
        <v>1</v>
      </c>
      <c r="R95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Doritos &amp; Fritos</v>
      </c>
      <c r="S95" s="191"/>
      <c r="T95" s="190" t="s">
        <v>4191</v>
      </c>
      <c r="U95" s="189"/>
      <c r="V95" s="188"/>
      <c r="W95" s="198"/>
      <c r="X95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95" s="109">
        <f t="shared" si="3"/>
        <v>55</v>
      </c>
      <c r="AA95" s="59">
        <v>45617</v>
      </c>
      <c r="AB95" t="str">
        <v>samuelbattista</v>
      </c>
      <c r="AC95" s="3">
        <v>2.2000000000000002</v>
      </c>
      <c r="AD95" s="3">
        <v>0.74833147735478833</v>
      </c>
      <c r="AE95" t="str">
        <v>Working Man</v>
      </c>
      <c r="AF95" t="str">
        <v>Rush</v>
      </c>
      <c r="AG95" s="100">
        <f t="shared" si="4"/>
        <v>33</v>
      </c>
      <c r="AI95" s="114">
        <f>SotY_2024[[#This Row],[Max Seed]]/2 + 1</f>
        <v>65</v>
      </c>
      <c r="AJ95" s="105" t="str">
        <f ca="1">IF(SotY_2024[[#This Row],[Num]]&gt;=$A$1, "-", IF(SotY_2024[[#This Row],[Score 1]]&gt;=3, SotY_2024[[#This Row],[Song 2]], IF(SotY_2024[[#This Row],[Score 2]]&gt;=3, SotY_2024[[#This Row],[Song 1]], "TBD")))</f>
        <v>Doritos &amp; Fritos</v>
      </c>
      <c r="AK95" s="115">
        <f ca="1">IFERROR(VLOOKUP(SotY_2024_Results[[#This Row],[Song Title]], $AE$2:$AG$111, 3, FALSE)-SotY_2024_Results[[#This Row],[Result]], "TBD")</f>
        <v>0</v>
      </c>
      <c r="AL95" s="112" t="str">
        <f ca="1">IF(SotY_2024_Results[[#This Row],[Diff]]&lt;0,"↓",IF(SotY_2024_Results[[#This Row],[Diff]]=0,"-","↑"))</f>
        <v>-</v>
      </c>
    </row>
    <row r="96" spans="1:38">
      <c r="A96" s="197" t="str">
        <f>_xlfn.CONCAT("Seed ", SotY_2024[[#This Row],[Top Seed]], " vs ", SotY_2024[[#This Row],[Low Seed]])</f>
        <v>Seed 34 vs 95</v>
      </c>
      <c r="B96" s="115">
        <v>94</v>
      </c>
      <c r="C96" s="115">
        <f>FLOOR(LOG(SotY_2024[[#This Row],[Num]], 2), 1)</f>
        <v>6</v>
      </c>
      <c r="D96" s="115">
        <f>2^(SotY_2024[[#This Row],[Round]]+1)</f>
        <v>128</v>
      </c>
      <c r="E96" s="115">
        <f>SotY_2024[[#This Row],[Max Seed]]-SotY_2024[[#This Row],[Num]]</f>
        <v>34</v>
      </c>
      <c r="F96" s="115">
        <f>SotY_2024[[#This Row],[Max Seed]]-SotY_2024[[#This Row],[Top Seed]]+1</f>
        <v>95</v>
      </c>
      <c r="G96" s="115" t="b">
        <f>IF(SotY_2024[[#This Row],[Round]]=$C$1, TRUE(), IF(SotY_2024[[#This Row],[Round]]=$B$1, SotY_2024[[#This Row],[Top Seed]]&lt;=2*SotY_2024[[#This Row],[Max Seed]]-$A$1, FALSE()))</f>
        <v>1</v>
      </c>
      <c r="H96" s="115" t="b">
        <f>IF(SotY_2024[[#This Row],[Round]]=$C$1, TRUE(), IF(SotY_2024[[#This Row],[Round]]=$B$1, SotY_2024[[#This Row],[Low Seed]]&lt;=2*SotY_2024[[#This Row],[Max Seed]]-$A$1, FALSE()))</f>
        <v>1</v>
      </c>
      <c r="I96" s="187"/>
      <c r="J96" s="188"/>
      <c r="K96" s="189" t="s">
        <v>4191</v>
      </c>
      <c r="L96" s="190"/>
      <c r="M96" s="191" t="s">
        <v>4191</v>
      </c>
      <c r="N96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FEELING LUCKY</v>
      </c>
      <c r="O96" s="105">
        <f>COUNTIF(SotY_2024[[#This Row],[J]:[H]],"x")</f>
        <v>2</v>
      </c>
      <c r="P96" s="115" t="str">
        <f ca="1">IF(SotY_2024[[#This Row],[Num]]&gt;=$A$1, "-", IF(SotY_2024[[#This Row],[Score 1]]&gt;=3, SotY_2024[[#This Row],[Song 1]], IF(SotY_2024[[#This Row],[Score 2]]&gt;=3, SotY_2024[[#This Row],[Song 2]], "TBD")))</f>
        <v>Lotus Flower Bomb</v>
      </c>
      <c r="Q96" s="193">
        <f>COUNTIF(SotY_2024[[#This Row],[H ]:[J ]],"x")</f>
        <v>3</v>
      </c>
      <c r="R96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Lotus Flower Bomb</v>
      </c>
      <c r="S96" s="191"/>
      <c r="T96" s="190" t="s">
        <v>4191</v>
      </c>
      <c r="U96" s="189"/>
      <c r="V96" s="188" t="s">
        <v>4191</v>
      </c>
      <c r="W96" s="198" t="s">
        <v>4191</v>
      </c>
      <c r="X96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96" s="109">
        <f t="shared" si="3"/>
        <v>89</v>
      </c>
      <c r="AA96" s="59">
        <v>45621</v>
      </c>
      <c r="AB96" t="str">
        <v>samuelbattista</v>
      </c>
      <c r="AC96" s="3">
        <v>2.4</v>
      </c>
      <c r="AD96" s="3">
        <v>1.4966629547095767</v>
      </c>
      <c r="AE96" t="str">
        <v>In Bloom</v>
      </c>
      <c r="AF96" t="str">
        <v>Nirvana</v>
      </c>
      <c r="AG96" s="100">
        <f t="shared" si="4"/>
        <v>65</v>
      </c>
      <c r="AI96" s="114">
        <f>SotY_2024[[#This Row],[Max Seed]]/2 + 1</f>
        <v>65</v>
      </c>
      <c r="AJ96" s="105" t="str">
        <f ca="1">IF(SotY_2024[[#This Row],[Num]]&gt;=$A$1, "-", IF(SotY_2024[[#This Row],[Score 1]]&gt;=3, SotY_2024[[#This Row],[Song 2]], IF(SotY_2024[[#This Row],[Score 2]]&gt;=3, SotY_2024[[#This Row],[Song 1]], "TBD")))</f>
        <v>FEELING LUCKY</v>
      </c>
      <c r="AK96" s="115">
        <f ca="1">IFERROR(VLOOKUP(SotY_2024_Results[[#This Row],[Song Title]], $AE$2:$AG$111, 3, FALSE)-SotY_2024_Results[[#This Row],[Result]], "TBD")</f>
        <v>-32</v>
      </c>
      <c r="AL96" s="112" t="str">
        <f ca="1">IF(SotY_2024_Results[[#This Row],[Diff]]&lt;0,"↓",IF(SotY_2024_Results[[#This Row],[Diff]]=0,"-","↑"))</f>
        <v>↓</v>
      </c>
    </row>
    <row r="97" spans="1:38">
      <c r="A97" s="197" t="str">
        <f>_xlfn.CONCAT("Seed ", SotY_2024[[#This Row],[Top Seed]], " vs ", SotY_2024[[#This Row],[Low Seed]])</f>
        <v>Seed 33 vs 96</v>
      </c>
      <c r="B97" s="115">
        <v>95</v>
      </c>
      <c r="C97" s="115">
        <f>FLOOR(LOG(SotY_2024[[#This Row],[Num]], 2), 1)</f>
        <v>6</v>
      </c>
      <c r="D97" s="115">
        <f>2^(SotY_2024[[#This Row],[Round]]+1)</f>
        <v>128</v>
      </c>
      <c r="E97" s="115">
        <f>SotY_2024[[#This Row],[Max Seed]]-SotY_2024[[#This Row],[Num]]</f>
        <v>33</v>
      </c>
      <c r="F97" s="115">
        <f>SotY_2024[[#This Row],[Max Seed]]-SotY_2024[[#This Row],[Top Seed]]+1</f>
        <v>96</v>
      </c>
      <c r="G97" s="115" t="b">
        <f>IF(SotY_2024[[#This Row],[Round]]=$C$1, TRUE(), IF(SotY_2024[[#This Row],[Round]]=$B$1, SotY_2024[[#This Row],[Top Seed]]&lt;=2*SotY_2024[[#This Row],[Max Seed]]-$A$1, FALSE()))</f>
        <v>1</v>
      </c>
      <c r="H97" s="115" t="b">
        <f>IF(SotY_2024[[#This Row],[Round]]=$C$1, TRUE(), IF(SotY_2024[[#This Row],[Round]]=$B$1, SotY_2024[[#This Row],[Low Seed]]&lt;=2*SotY_2024[[#This Row],[Max Seed]]-$A$1, FALSE()))</f>
        <v>1</v>
      </c>
      <c r="I97" s="187" t="s">
        <v>4191</v>
      </c>
      <c r="J97" s="188" t="s">
        <v>4191</v>
      </c>
      <c r="K97" s="189"/>
      <c r="L97" s="190"/>
      <c r="M97" s="191" t="s">
        <v>4191</v>
      </c>
      <c r="N97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places to be</v>
      </c>
      <c r="O97" s="105">
        <f>COUNTIF(SotY_2024[[#This Row],[J]:[H]],"x")</f>
        <v>3</v>
      </c>
      <c r="P97" s="115" t="str">
        <f ca="1">IF(SotY_2024[[#This Row],[Num]]&gt;=$A$1, "-", IF(SotY_2024[[#This Row],[Score 1]]&gt;=3, SotY_2024[[#This Row],[Song 1]], IF(SotY_2024[[#This Row],[Score 2]]&gt;=3, SotY_2024[[#This Row],[Song 2]], "TBD")))</f>
        <v>places to be</v>
      </c>
      <c r="Q97" s="193">
        <f>COUNTIF(SotY_2024[[#This Row],[H ]:[J ]],"x")</f>
        <v>2</v>
      </c>
      <c r="R97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Real Love Baby</v>
      </c>
      <c r="S97" s="191"/>
      <c r="T97" s="190" t="s">
        <v>4191</v>
      </c>
      <c r="U97" s="189" t="s">
        <v>4191</v>
      </c>
      <c r="V97" s="188"/>
      <c r="W97" s="198"/>
      <c r="X97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97" s="109">
        <f t="shared" si="3"/>
        <v>92</v>
      </c>
      <c r="AA97" s="59">
        <v>45622</v>
      </c>
      <c r="AB97" t="str">
        <v>samuelbattista</v>
      </c>
      <c r="AC97" s="3">
        <v>2.6</v>
      </c>
      <c r="AD97" s="3">
        <v>0.8</v>
      </c>
      <c r="AE97" t="str">
        <v>Never Gonna Be Alone</v>
      </c>
      <c r="AF97" t="str">
        <v>Jacob Collier, Lizzy McAlpine, John Mayer</v>
      </c>
      <c r="AG97" s="100">
        <f t="shared" si="4"/>
        <v>65</v>
      </c>
      <c r="AI97" s="114">
        <f>SotY_2024[[#This Row],[Max Seed]]/2 + 1</f>
        <v>65</v>
      </c>
      <c r="AJ97" s="105" t="str">
        <f ca="1">IF(SotY_2024[[#This Row],[Num]]&gt;=$A$1, "-", IF(SotY_2024[[#This Row],[Score 1]]&gt;=3, SotY_2024[[#This Row],[Song 2]], IF(SotY_2024[[#This Row],[Score 2]]&gt;=3, SotY_2024[[#This Row],[Song 1]], "TBD")))</f>
        <v>Real Love Baby</v>
      </c>
      <c r="AK97" s="115">
        <f ca="1">IFERROR(VLOOKUP(SotY_2024_Results[[#This Row],[Song Title]], $AE$2:$AG$111, 3, FALSE)-SotY_2024_Results[[#This Row],[Result]], "TBD")</f>
        <v>0</v>
      </c>
      <c r="AL97" s="112" t="str">
        <f ca="1">IF(SotY_2024_Results[[#This Row],[Diff]]&lt;0,"↓",IF(SotY_2024_Results[[#This Row],[Diff]]=0,"-","↑"))</f>
        <v>-</v>
      </c>
    </row>
    <row r="98" spans="1:38">
      <c r="A98" s="197" t="str">
        <f>_xlfn.CONCAT("Seed ", SotY_2024[[#This Row],[Top Seed]], " vs ", SotY_2024[[#This Row],[Low Seed]])</f>
        <v>Seed 32 vs 97</v>
      </c>
      <c r="B98" s="115">
        <v>96</v>
      </c>
      <c r="C98" s="115">
        <f>FLOOR(LOG(SotY_2024[[#This Row],[Num]], 2), 1)</f>
        <v>6</v>
      </c>
      <c r="D98" s="115">
        <f>2^(SotY_2024[[#This Row],[Round]]+1)</f>
        <v>128</v>
      </c>
      <c r="E98" s="115">
        <f>SotY_2024[[#This Row],[Max Seed]]-SotY_2024[[#This Row],[Num]]</f>
        <v>32</v>
      </c>
      <c r="F98" s="115">
        <f>SotY_2024[[#This Row],[Max Seed]]-SotY_2024[[#This Row],[Top Seed]]+1</f>
        <v>97</v>
      </c>
      <c r="G98" s="115" t="b">
        <f>IF(SotY_2024[[#This Row],[Round]]=$C$1, TRUE(), IF(SotY_2024[[#This Row],[Round]]=$B$1, SotY_2024[[#This Row],[Top Seed]]&lt;=2*SotY_2024[[#This Row],[Max Seed]]-$A$1, FALSE()))</f>
        <v>1</v>
      </c>
      <c r="H98" s="115" t="b">
        <f>IF(SotY_2024[[#This Row],[Round]]=$C$1, TRUE(), IF(SotY_2024[[#This Row],[Round]]=$B$1, SotY_2024[[#This Row],[Low Seed]]&lt;=2*SotY_2024[[#This Row],[Max Seed]]-$A$1, FALSE()))</f>
        <v>1</v>
      </c>
      <c r="I98" s="187" t="s">
        <v>4191</v>
      </c>
      <c r="J98" s="188" t="s">
        <v>4191</v>
      </c>
      <c r="K98" s="189" t="s">
        <v>4191</v>
      </c>
      <c r="L98" s="190"/>
      <c r="M98" s="191" t="s">
        <v>4191</v>
      </c>
      <c r="N98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Leave Before You Love Me</v>
      </c>
      <c r="O98" s="105">
        <f>COUNTIF(SotY_2024[[#This Row],[J]:[H]],"x")</f>
        <v>4</v>
      </c>
      <c r="P98" s="115" t="str">
        <f ca="1">IF(SotY_2024[[#This Row],[Num]]&gt;=$A$1, "-", IF(SotY_2024[[#This Row],[Score 1]]&gt;=3, SotY_2024[[#This Row],[Song 1]], IF(SotY_2024[[#This Row],[Score 2]]&gt;=3, SotY_2024[[#This Row],[Song 2]], "TBD")))</f>
        <v>Leave Before You Love Me</v>
      </c>
      <c r="Q98" s="193">
        <f>COUNTIF(SotY_2024[[#This Row],[H ]:[J ]],"x")</f>
        <v>1</v>
      </c>
      <c r="R98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Noddin'</v>
      </c>
      <c r="S98" s="191"/>
      <c r="T98" s="190" t="s">
        <v>4191</v>
      </c>
      <c r="U98" s="189"/>
      <c r="V98" s="188"/>
      <c r="W98" s="198"/>
      <c r="X98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98" s="109">
        <f t="shared" si="3"/>
        <v>85</v>
      </c>
      <c r="AA98" s="59">
        <v>45623</v>
      </c>
      <c r="AB98" t="str">
        <v>loganworsdell</v>
      </c>
      <c r="AC98" s="3">
        <v>2.4</v>
      </c>
      <c r="AD98" s="3">
        <v>1.3564659966250536</v>
      </c>
      <c r="AE98" t="str">
        <v>i KnOW itS LatE...♥︎(❀❛ ֊ ❛„)♡</v>
      </c>
      <c r="AF98" t="str">
        <v>1999 WRITE THE FUTURE</v>
      </c>
      <c r="AG98" s="100">
        <f t="shared" si="4"/>
        <v>65</v>
      </c>
      <c r="AI98" s="114">
        <f>SotY_2024[[#This Row],[Max Seed]]/2 + 1</f>
        <v>65</v>
      </c>
      <c r="AJ98" s="105" t="str">
        <f ca="1">IF(SotY_2024[[#This Row],[Num]]&gt;=$A$1, "-", IF(SotY_2024[[#This Row],[Score 1]]&gt;=3, SotY_2024[[#This Row],[Song 2]], IF(SotY_2024[[#This Row],[Score 2]]&gt;=3, SotY_2024[[#This Row],[Song 1]], "TBD")))</f>
        <v>Noddin'</v>
      </c>
      <c r="AK98" s="115">
        <f ca="1">IFERROR(VLOOKUP(SotY_2024_Results[[#This Row],[Song Title]], $AE$2:$AG$111, 3, FALSE)-SotY_2024_Results[[#This Row],[Result]], "TBD")</f>
        <v>0</v>
      </c>
      <c r="AL98" s="112" t="str">
        <f ca="1">IF(SotY_2024_Results[[#This Row],[Diff]]&lt;0,"↓",IF(SotY_2024_Results[[#This Row],[Diff]]=0,"-","↑"))</f>
        <v>-</v>
      </c>
    </row>
    <row r="99" spans="1:38">
      <c r="A99" s="197" t="str">
        <f>_xlfn.CONCAT("Seed ", SotY_2024[[#This Row],[Top Seed]], " vs ", SotY_2024[[#This Row],[Low Seed]])</f>
        <v>Seed 31 vs 98</v>
      </c>
      <c r="B99" s="115">
        <v>97</v>
      </c>
      <c r="C99" s="115">
        <f>FLOOR(LOG(SotY_2024[[#This Row],[Num]], 2), 1)</f>
        <v>6</v>
      </c>
      <c r="D99" s="115">
        <f>2^(SotY_2024[[#This Row],[Round]]+1)</f>
        <v>128</v>
      </c>
      <c r="E99" s="115">
        <f>SotY_2024[[#This Row],[Max Seed]]-SotY_2024[[#This Row],[Num]]</f>
        <v>31</v>
      </c>
      <c r="F99" s="115">
        <f>SotY_2024[[#This Row],[Max Seed]]-SotY_2024[[#This Row],[Top Seed]]+1</f>
        <v>98</v>
      </c>
      <c r="G99" s="115" t="b">
        <f>IF(SotY_2024[[#This Row],[Round]]=$C$1, TRUE(), IF(SotY_2024[[#This Row],[Round]]=$B$1, SotY_2024[[#This Row],[Top Seed]]&lt;=2*SotY_2024[[#This Row],[Max Seed]]-$A$1, FALSE()))</f>
        <v>1</v>
      </c>
      <c r="H99" s="115" t="b">
        <f>IF(SotY_2024[[#This Row],[Round]]=$C$1, TRUE(), IF(SotY_2024[[#This Row],[Round]]=$B$1, SotY_2024[[#This Row],[Low Seed]]&lt;=2*SotY_2024[[#This Row],[Max Seed]]-$A$1, FALSE()))</f>
        <v>1</v>
      </c>
      <c r="I99" s="187" t="s">
        <v>4191</v>
      </c>
      <c r="J99" s="188" t="s">
        <v>4191</v>
      </c>
      <c r="K99" s="189"/>
      <c r="L99" s="190"/>
      <c r="M99" s="191" t="s">
        <v>4191</v>
      </c>
      <c r="N99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Alchemy</v>
      </c>
      <c r="O99" s="105">
        <f>COUNTIF(SotY_2024[[#This Row],[J]:[H]],"x")</f>
        <v>3</v>
      </c>
      <c r="P99" s="115" t="str">
        <f ca="1">IF(SotY_2024[[#This Row],[Num]]&gt;=$A$1, "-", IF(SotY_2024[[#This Row],[Score 1]]&gt;=3, SotY_2024[[#This Row],[Song 1]], IF(SotY_2024[[#This Row],[Score 2]]&gt;=3, SotY_2024[[#This Row],[Song 2]], "TBD")))</f>
        <v>Alchemy</v>
      </c>
      <c r="Q99" s="193">
        <f>COUNTIF(SotY_2024[[#This Row],[H ]:[J ]],"x")</f>
        <v>2</v>
      </c>
      <c r="R99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Let's Groove</v>
      </c>
      <c r="S99" s="191"/>
      <c r="T99" s="190" t="s">
        <v>4191</v>
      </c>
      <c r="U99" s="189" t="s">
        <v>4191</v>
      </c>
      <c r="V99" s="188"/>
      <c r="W99" s="198"/>
      <c r="X99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99" s="109">
        <f t="shared" si="3"/>
        <v>86</v>
      </c>
      <c r="AA99" s="59">
        <v>45624</v>
      </c>
      <c r="AB99" t="str">
        <v>loganworsdell</v>
      </c>
      <c r="AC99" s="3">
        <v>2.4</v>
      </c>
      <c r="AD99" s="3">
        <v>1.3564659966250536</v>
      </c>
      <c r="AE99" t="str">
        <v>cOoL WATeR foR thE nIGHT</v>
      </c>
      <c r="AF99" t="str">
        <v>1999 WRITE THE FUTURE</v>
      </c>
      <c r="AG99" s="100">
        <f t="shared" si="4"/>
        <v>65</v>
      </c>
      <c r="AI99" s="114">
        <f>SotY_2024[[#This Row],[Max Seed]]/2 + 1</f>
        <v>65</v>
      </c>
      <c r="AJ99" s="105" t="str">
        <f ca="1">IF(SotY_2024[[#This Row],[Num]]&gt;=$A$1, "-", IF(SotY_2024[[#This Row],[Score 1]]&gt;=3, SotY_2024[[#This Row],[Song 2]], IF(SotY_2024[[#This Row],[Score 2]]&gt;=3, SotY_2024[[#This Row],[Song 1]], "TBD")))</f>
        <v>Let's Groove</v>
      </c>
      <c r="AK99" s="115">
        <f ca="1">IFERROR(VLOOKUP(SotY_2024_Results[[#This Row],[Song Title]], $AE$2:$AG$111, 3, FALSE)-SotY_2024_Results[[#This Row],[Result]], "TBD")</f>
        <v>0</v>
      </c>
      <c r="AL99" s="112" t="str">
        <f ca="1">IF(SotY_2024_Results[[#This Row],[Diff]]&lt;0,"↓",IF(SotY_2024_Results[[#This Row],[Diff]]=0,"-","↑"))</f>
        <v>-</v>
      </c>
    </row>
    <row r="100" spans="1:38">
      <c r="A100" s="197" t="str">
        <f>_xlfn.CONCAT("Seed ", SotY_2024[[#This Row],[Top Seed]], " vs ", SotY_2024[[#This Row],[Low Seed]])</f>
        <v>Seed 30 vs 99</v>
      </c>
      <c r="B100" s="115">
        <v>98</v>
      </c>
      <c r="C100" s="115">
        <f>FLOOR(LOG(SotY_2024[[#This Row],[Num]], 2), 1)</f>
        <v>6</v>
      </c>
      <c r="D100" s="115">
        <f>2^(SotY_2024[[#This Row],[Round]]+1)</f>
        <v>128</v>
      </c>
      <c r="E100" s="115">
        <f>SotY_2024[[#This Row],[Max Seed]]-SotY_2024[[#This Row],[Num]]</f>
        <v>30</v>
      </c>
      <c r="F100" s="115">
        <f>SotY_2024[[#This Row],[Max Seed]]-SotY_2024[[#This Row],[Top Seed]]+1</f>
        <v>99</v>
      </c>
      <c r="G100" s="115" t="b">
        <f>IF(SotY_2024[[#This Row],[Round]]=$C$1, TRUE(), IF(SotY_2024[[#This Row],[Round]]=$B$1, SotY_2024[[#This Row],[Top Seed]]&lt;=2*SotY_2024[[#This Row],[Max Seed]]-$A$1, FALSE()))</f>
        <v>1</v>
      </c>
      <c r="H100" s="115" t="b">
        <f>IF(SotY_2024[[#This Row],[Round]]=$C$1, TRUE(), IF(SotY_2024[[#This Row],[Round]]=$B$1, SotY_2024[[#This Row],[Low Seed]]&lt;=2*SotY_2024[[#This Row],[Max Seed]]-$A$1, FALSE()))</f>
        <v>1</v>
      </c>
      <c r="I100" s="187"/>
      <c r="J100" s="188"/>
      <c r="K100" s="189" t="s">
        <v>4191</v>
      </c>
      <c r="L100" s="190" t="s">
        <v>4191</v>
      </c>
      <c r="M100" s="191"/>
      <c r="N100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In The End</v>
      </c>
      <c r="O100" s="105">
        <f>COUNTIF(SotY_2024[[#This Row],[J]:[H]],"x")</f>
        <v>2</v>
      </c>
      <c r="P100" s="115" t="str">
        <f ca="1">IF(SotY_2024[[#This Row],[Num]]&gt;=$A$1, "-", IF(SotY_2024[[#This Row],[Score 1]]&gt;=3, SotY_2024[[#This Row],[Song 1]], IF(SotY_2024[[#This Row],[Score 2]]&gt;=3, SotY_2024[[#This Row],[Song 2]], "TBD")))</f>
        <v>It's Going Down Now</v>
      </c>
      <c r="Q100" s="193">
        <f>COUNTIF(SotY_2024[[#This Row],[H ]:[J ]],"x")</f>
        <v>3</v>
      </c>
      <c r="R100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It's Going Down Now</v>
      </c>
      <c r="S100" s="191" t="s">
        <v>4191</v>
      </c>
      <c r="T100" s="190"/>
      <c r="U100" s="189"/>
      <c r="V100" s="188" t="s">
        <v>4191</v>
      </c>
      <c r="W100" s="198" t="s">
        <v>4191</v>
      </c>
      <c r="X100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00" s="109">
        <f t="shared" si="3"/>
        <v>8</v>
      </c>
      <c r="AA100" s="59">
        <v>45628</v>
      </c>
      <c r="AB100" t="str">
        <v>alappatjoe</v>
      </c>
      <c r="AC100" s="3">
        <v>1.6</v>
      </c>
      <c r="AD100" s="3">
        <v>0.4898979485566356</v>
      </c>
      <c r="AE100" t="str">
        <v>Disco Ulysses (Instrumental)</v>
      </c>
      <c r="AF100" t="str">
        <v>Vulfpeck</v>
      </c>
      <c r="AG100" s="100">
        <f t="shared" si="4"/>
        <v>5</v>
      </c>
      <c r="AI100" s="114">
        <f>SotY_2024[[#This Row],[Max Seed]]/2 + 1</f>
        <v>65</v>
      </c>
      <c r="AJ100" s="105" t="str">
        <f ca="1">IF(SotY_2024[[#This Row],[Num]]&gt;=$A$1, "-", IF(SotY_2024[[#This Row],[Score 1]]&gt;=3, SotY_2024[[#This Row],[Song 2]], IF(SotY_2024[[#This Row],[Score 2]]&gt;=3, SotY_2024[[#This Row],[Song 1]], "TBD")))</f>
        <v>In The End</v>
      </c>
      <c r="AK100" s="115">
        <f ca="1">IFERROR(VLOOKUP(SotY_2024_Results[[#This Row],[Song Title]], $AE$2:$AG$111, 3, FALSE)-SotY_2024_Results[[#This Row],[Result]], "TBD")</f>
        <v>-48</v>
      </c>
      <c r="AL100" s="112" t="str">
        <f ca="1">IF(SotY_2024_Results[[#This Row],[Diff]]&lt;0,"↓",IF(SotY_2024_Results[[#This Row],[Diff]]=0,"-","↑"))</f>
        <v>↓</v>
      </c>
    </row>
    <row r="101" spans="1:38">
      <c r="A101" s="197" t="str">
        <f>_xlfn.CONCAT("Seed ", SotY_2024[[#This Row],[Top Seed]], " vs ", SotY_2024[[#This Row],[Low Seed]])</f>
        <v>Seed 29 vs 100</v>
      </c>
      <c r="B101" s="115">
        <v>99</v>
      </c>
      <c r="C101" s="115">
        <f>FLOOR(LOG(SotY_2024[[#This Row],[Num]], 2), 1)</f>
        <v>6</v>
      </c>
      <c r="D101" s="115">
        <f>2^(SotY_2024[[#This Row],[Round]]+1)</f>
        <v>128</v>
      </c>
      <c r="E101" s="115">
        <f>SotY_2024[[#This Row],[Max Seed]]-SotY_2024[[#This Row],[Num]]</f>
        <v>29</v>
      </c>
      <c r="F101" s="115">
        <f>SotY_2024[[#This Row],[Max Seed]]-SotY_2024[[#This Row],[Top Seed]]+1</f>
        <v>100</v>
      </c>
      <c r="G101" s="115" t="b">
        <f>IF(SotY_2024[[#This Row],[Round]]=$C$1, TRUE(), IF(SotY_2024[[#This Row],[Round]]=$B$1, SotY_2024[[#This Row],[Top Seed]]&lt;=2*SotY_2024[[#This Row],[Max Seed]]-$A$1, FALSE()))</f>
        <v>1</v>
      </c>
      <c r="H101" s="115" t="b">
        <f>IF(SotY_2024[[#This Row],[Round]]=$C$1, TRUE(), IF(SotY_2024[[#This Row],[Round]]=$B$1, SotY_2024[[#This Row],[Low Seed]]&lt;=2*SotY_2024[[#This Row],[Max Seed]]-$A$1, FALSE()))</f>
        <v>1</v>
      </c>
      <c r="I101" s="187" t="s">
        <v>4191</v>
      </c>
      <c r="J101" s="188" t="s">
        <v>4191</v>
      </c>
      <c r="K101" s="189" t="s">
        <v>4191</v>
      </c>
      <c r="L101" s="190" t="s">
        <v>4191</v>
      </c>
      <c r="M101" s="191" t="s">
        <v>4191</v>
      </c>
      <c r="N101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Ping Pong Phase</v>
      </c>
      <c r="O101" s="105">
        <f>COUNTIF(SotY_2024[[#This Row],[J]:[H]],"x")</f>
        <v>5</v>
      </c>
      <c r="P101" s="115" t="str">
        <f ca="1">IF(SotY_2024[[#This Row],[Num]]&gt;=$A$1, "-", IF(SotY_2024[[#This Row],[Score 1]]&gt;=3, SotY_2024[[#This Row],[Song 1]], IF(SotY_2024[[#This Row],[Score 2]]&gt;=3, SotY_2024[[#This Row],[Song 2]], "TBD")))</f>
        <v>Ping Pong Phase</v>
      </c>
      <c r="Q101" s="193">
        <f>COUNTIF(SotY_2024[[#This Row],[H ]:[J ]],"x")</f>
        <v>0</v>
      </c>
      <c r="R101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Spooky Scary Skeletons (Tombstone Remix)</v>
      </c>
      <c r="S101" s="191"/>
      <c r="T101" s="190"/>
      <c r="U101" s="189"/>
      <c r="V101" s="188"/>
      <c r="W101" s="198"/>
      <c r="X101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01" s="109">
        <f t="shared" si="3"/>
        <v>30</v>
      </c>
      <c r="AA101" s="59">
        <v>45629</v>
      </c>
      <c r="AB101" t="str">
        <v>samuelbattista</v>
      </c>
      <c r="AC101" s="3">
        <v>1.8</v>
      </c>
      <c r="AD101" s="3">
        <v>1.6</v>
      </c>
      <c r="AE101" t="str">
        <v>In The End</v>
      </c>
      <c r="AF101" t="str">
        <v>Linkin Park</v>
      </c>
      <c r="AG101" s="100">
        <f t="shared" si="4"/>
        <v>17</v>
      </c>
      <c r="AI101" s="114">
        <f>SotY_2024[[#This Row],[Max Seed]]/2 + 1</f>
        <v>65</v>
      </c>
      <c r="AJ101" s="105" t="str">
        <f ca="1">IF(SotY_2024[[#This Row],[Num]]&gt;=$A$1, "-", IF(SotY_2024[[#This Row],[Score 1]]&gt;=3, SotY_2024[[#This Row],[Song 2]], IF(SotY_2024[[#This Row],[Score 2]]&gt;=3, SotY_2024[[#This Row],[Song 1]], "TBD")))</f>
        <v>Spooky Scary Skeletons (Tombstone Remix)</v>
      </c>
      <c r="AK101" s="115">
        <f ca="1">IFERROR(VLOOKUP(SotY_2024_Results[[#This Row],[Song Title]], $AE$2:$AG$111, 3, FALSE)-SotY_2024_Results[[#This Row],[Result]], "TBD")</f>
        <v>0</v>
      </c>
      <c r="AL101" s="112" t="str">
        <f ca="1">IF(SotY_2024_Results[[#This Row],[Diff]]&lt;0,"↓",IF(SotY_2024_Results[[#This Row],[Diff]]=0,"-","↑"))</f>
        <v>-</v>
      </c>
    </row>
    <row r="102" spans="1:38">
      <c r="A102" s="197" t="str">
        <f>_xlfn.CONCAT("Seed ", SotY_2024[[#This Row],[Top Seed]], " vs ", SotY_2024[[#This Row],[Low Seed]])</f>
        <v>Seed 28 vs 101</v>
      </c>
      <c r="B102" s="115">
        <v>100</v>
      </c>
      <c r="C102" s="115">
        <f>FLOOR(LOG(SotY_2024[[#This Row],[Num]], 2), 1)</f>
        <v>6</v>
      </c>
      <c r="D102" s="115">
        <f>2^(SotY_2024[[#This Row],[Round]]+1)</f>
        <v>128</v>
      </c>
      <c r="E102" s="115">
        <f>SotY_2024[[#This Row],[Max Seed]]-SotY_2024[[#This Row],[Num]]</f>
        <v>28</v>
      </c>
      <c r="F102" s="115">
        <f>SotY_2024[[#This Row],[Max Seed]]-SotY_2024[[#This Row],[Top Seed]]+1</f>
        <v>101</v>
      </c>
      <c r="G102" s="115" t="b">
        <f>IF(SotY_2024[[#This Row],[Round]]=$C$1, TRUE(), IF(SotY_2024[[#This Row],[Round]]=$B$1, SotY_2024[[#This Row],[Top Seed]]&lt;=2*SotY_2024[[#This Row],[Max Seed]]-$A$1, FALSE()))</f>
        <v>1</v>
      </c>
      <c r="H102" s="115" t="b">
        <f>IF(SotY_2024[[#This Row],[Round]]=$C$1, TRUE(), IF(SotY_2024[[#This Row],[Round]]=$B$1, SotY_2024[[#This Row],[Low Seed]]&lt;=2*SotY_2024[[#This Row],[Max Seed]]-$A$1, FALSE()))</f>
        <v>1</v>
      </c>
      <c r="I102" s="187" t="s">
        <v>4191</v>
      </c>
      <c r="J102" s="188" t="s">
        <v>4191</v>
      </c>
      <c r="K102" s="189" t="s">
        <v>4191</v>
      </c>
      <c r="L102" s="190"/>
      <c r="M102" s="191" t="s">
        <v>4191</v>
      </c>
      <c r="N102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FAMJAM40000</v>
      </c>
      <c r="O102" s="105">
        <f>COUNTIF(SotY_2024[[#This Row],[J]:[H]],"x")</f>
        <v>4</v>
      </c>
      <c r="P102" s="115" t="str">
        <f ca="1">IF(SotY_2024[[#This Row],[Num]]&gt;=$A$1, "-", IF(SotY_2024[[#This Row],[Score 1]]&gt;=3, SotY_2024[[#This Row],[Song 1]], IF(SotY_2024[[#This Row],[Score 2]]&gt;=3, SotY_2024[[#This Row],[Song 2]], "TBD")))</f>
        <v>FAMJAM40000</v>
      </c>
      <c r="Q102" s="193">
        <f>COUNTIF(SotY_2024[[#This Row],[H ]:[J ]],"x")</f>
        <v>1</v>
      </c>
      <c r="R102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Phantom Island</v>
      </c>
      <c r="S102" s="191"/>
      <c r="T102" s="190" t="s">
        <v>4191</v>
      </c>
      <c r="U102" s="189"/>
      <c r="V102" s="188"/>
      <c r="W102" s="198"/>
      <c r="X102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02" s="109">
        <f t="shared" si="3"/>
        <v>6</v>
      </c>
      <c r="AA102" s="59">
        <v>45630</v>
      </c>
      <c r="AB102" t="str">
        <v>currydestroyer27</v>
      </c>
      <c r="AC102" s="3">
        <v>1.4</v>
      </c>
      <c r="AD102" s="3">
        <v>0.4898979485566356</v>
      </c>
      <c r="AE102" t="str">
        <v>ETA</v>
      </c>
      <c r="AF102" t="str">
        <v>New Jeans</v>
      </c>
      <c r="AG102" s="100">
        <f t="shared" si="4"/>
        <v>5</v>
      </c>
      <c r="AI102" s="114">
        <f>SotY_2024[[#This Row],[Max Seed]]/2 + 1</f>
        <v>65</v>
      </c>
      <c r="AJ102" s="105" t="str">
        <f ca="1">IF(SotY_2024[[#This Row],[Num]]&gt;=$A$1, "-", IF(SotY_2024[[#This Row],[Score 1]]&gt;=3, SotY_2024[[#This Row],[Song 2]], IF(SotY_2024[[#This Row],[Score 2]]&gt;=3, SotY_2024[[#This Row],[Song 1]], "TBD")))</f>
        <v>Phantom Island</v>
      </c>
      <c r="AK102" s="115">
        <f ca="1">IFERROR(VLOOKUP(SotY_2024_Results[[#This Row],[Song Title]], $AE$2:$AG$111, 3, FALSE)-SotY_2024_Results[[#This Row],[Result]], "TBD")</f>
        <v>0</v>
      </c>
      <c r="AL102" s="112" t="str">
        <f ca="1">IF(SotY_2024_Results[[#This Row],[Diff]]&lt;0,"↓",IF(SotY_2024_Results[[#This Row],[Diff]]=0,"-","↑"))</f>
        <v>-</v>
      </c>
    </row>
    <row r="103" spans="1:38">
      <c r="A103" s="197" t="str">
        <f>_xlfn.CONCAT("Seed ", SotY_2024[[#This Row],[Top Seed]], " vs ", SotY_2024[[#This Row],[Low Seed]])</f>
        <v>Seed 27 vs 102</v>
      </c>
      <c r="B103" s="115">
        <v>101</v>
      </c>
      <c r="C103" s="115">
        <f>FLOOR(LOG(SotY_2024[[#This Row],[Num]], 2), 1)</f>
        <v>6</v>
      </c>
      <c r="D103" s="115">
        <f>2^(SotY_2024[[#This Row],[Round]]+1)</f>
        <v>128</v>
      </c>
      <c r="E103" s="115">
        <f>SotY_2024[[#This Row],[Max Seed]]-SotY_2024[[#This Row],[Num]]</f>
        <v>27</v>
      </c>
      <c r="F103" s="115">
        <f>SotY_2024[[#This Row],[Max Seed]]-SotY_2024[[#This Row],[Top Seed]]+1</f>
        <v>102</v>
      </c>
      <c r="G103" s="115" t="b">
        <f>IF(SotY_2024[[#This Row],[Round]]=$C$1, TRUE(), IF(SotY_2024[[#This Row],[Round]]=$B$1, SotY_2024[[#This Row],[Top Seed]]&lt;=2*SotY_2024[[#This Row],[Max Seed]]-$A$1, FALSE()))</f>
        <v>1</v>
      </c>
      <c r="H103" s="115" t="b">
        <f>IF(SotY_2024[[#This Row],[Round]]=$C$1, TRUE(), IF(SotY_2024[[#This Row],[Round]]=$B$1, SotY_2024[[#This Row],[Low Seed]]&lt;=2*SotY_2024[[#This Row],[Max Seed]]-$A$1, FALSE()))</f>
        <v>1</v>
      </c>
      <c r="I103" s="187"/>
      <c r="J103" s="188" t="s">
        <v>4191</v>
      </c>
      <c r="K103" s="189" t="s">
        <v>4191</v>
      </c>
      <c r="L103" s="190" t="s">
        <v>4191</v>
      </c>
      <c r="M103" s="191" t="s">
        <v>4191</v>
      </c>
      <c r="N103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In the Party</v>
      </c>
      <c r="O103" s="105">
        <f>COUNTIF(SotY_2024[[#This Row],[J]:[H]],"x")</f>
        <v>4</v>
      </c>
      <c r="P103" s="115" t="str">
        <f ca="1">IF(SotY_2024[[#This Row],[Num]]&gt;=$A$1, "-", IF(SotY_2024[[#This Row],[Score 1]]&gt;=3, SotY_2024[[#This Row],[Song 1]], IF(SotY_2024[[#This Row],[Score 2]]&gt;=3, SotY_2024[[#This Row],[Song 2]], "TBD")))</f>
        <v>In the Party</v>
      </c>
      <c r="Q103" s="193">
        <f>COUNTIF(SotY_2024[[#This Row],[H ]:[J ]],"x")</f>
        <v>1</v>
      </c>
      <c r="R103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last night's mascara</v>
      </c>
      <c r="S103" s="191"/>
      <c r="T103" s="190"/>
      <c r="U103" s="189"/>
      <c r="V103" s="188"/>
      <c r="W103" s="198" t="s">
        <v>4191</v>
      </c>
      <c r="X103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03" s="109">
        <f t="shared" si="3"/>
        <v>59</v>
      </c>
      <c r="AA103" s="59">
        <v>45631</v>
      </c>
      <c r="AB103" t="str">
        <v>currydestroyer27</v>
      </c>
      <c r="AC103" s="3">
        <v>2.2000000000000002</v>
      </c>
      <c r="AD103" s="3">
        <v>0.9797958971132712</v>
      </c>
      <c r="AE103" t="str">
        <v>WOKE UP</v>
      </c>
      <c r="AF103" t="str">
        <v>XG</v>
      </c>
      <c r="AG103" s="100">
        <f t="shared" si="4"/>
        <v>33</v>
      </c>
      <c r="AI103" s="114">
        <f>SotY_2024[[#This Row],[Max Seed]]/2 + 1</f>
        <v>65</v>
      </c>
      <c r="AJ103" s="105" t="str">
        <f ca="1">IF(SotY_2024[[#This Row],[Num]]&gt;=$A$1, "-", IF(SotY_2024[[#This Row],[Score 1]]&gt;=3, SotY_2024[[#This Row],[Song 2]], IF(SotY_2024[[#This Row],[Score 2]]&gt;=3, SotY_2024[[#This Row],[Song 1]], "TBD")))</f>
        <v>last night's mascara</v>
      </c>
      <c r="AK103" s="115">
        <f ca="1">IFERROR(VLOOKUP(SotY_2024_Results[[#This Row],[Song Title]], $AE$2:$AG$111, 3, FALSE)-SotY_2024_Results[[#This Row],[Result]], "TBD")</f>
        <v>0</v>
      </c>
      <c r="AL103" s="112" t="str">
        <f ca="1">IF(SotY_2024_Results[[#This Row],[Diff]]&lt;0,"↓",IF(SotY_2024_Results[[#This Row],[Diff]]=0,"-","↑"))</f>
        <v>-</v>
      </c>
    </row>
    <row r="104" spans="1:38">
      <c r="A104" s="197" t="str">
        <f>_xlfn.CONCAT("Seed ", SotY_2024[[#This Row],[Top Seed]], " vs ", SotY_2024[[#This Row],[Low Seed]])</f>
        <v>Seed 26 vs 103</v>
      </c>
      <c r="B104" s="115">
        <v>102</v>
      </c>
      <c r="C104" s="115">
        <f>FLOOR(LOG(SotY_2024[[#This Row],[Num]], 2), 1)</f>
        <v>6</v>
      </c>
      <c r="D104" s="115">
        <f>2^(SotY_2024[[#This Row],[Round]]+1)</f>
        <v>128</v>
      </c>
      <c r="E104" s="115">
        <f>SotY_2024[[#This Row],[Max Seed]]-SotY_2024[[#This Row],[Num]]</f>
        <v>26</v>
      </c>
      <c r="F104" s="115">
        <f>SotY_2024[[#This Row],[Max Seed]]-SotY_2024[[#This Row],[Top Seed]]+1</f>
        <v>103</v>
      </c>
      <c r="G104" s="115" t="b">
        <f>IF(SotY_2024[[#This Row],[Round]]=$C$1, TRUE(), IF(SotY_2024[[#This Row],[Round]]=$B$1, SotY_2024[[#This Row],[Top Seed]]&lt;=2*SotY_2024[[#This Row],[Max Seed]]-$A$1, FALSE()))</f>
        <v>1</v>
      </c>
      <c r="H104" s="115" t="b">
        <f>IF(SotY_2024[[#This Row],[Round]]=$C$1, TRUE(), IF(SotY_2024[[#This Row],[Round]]=$B$1, SotY_2024[[#This Row],[Low Seed]]&lt;=2*SotY_2024[[#This Row],[Max Seed]]-$A$1, FALSE()))</f>
        <v>1</v>
      </c>
      <c r="I104" s="187"/>
      <c r="J104" s="188" t="s">
        <v>4191</v>
      </c>
      <c r="K104" s="189" t="s">
        <v>4191</v>
      </c>
      <c r="L104" s="190" t="s">
        <v>4191</v>
      </c>
      <c r="M104" s="191" t="s">
        <v>4191</v>
      </c>
      <c r="N104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夜に駆ける</v>
      </c>
      <c r="O104" s="105">
        <f>COUNTIF(SotY_2024[[#This Row],[J]:[H]],"x")</f>
        <v>4</v>
      </c>
      <c r="P104" s="115" t="str">
        <f ca="1">IF(SotY_2024[[#This Row],[Num]]&gt;=$A$1, "-", IF(SotY_2024[[#This Row],[Score 1]]&gt;=3, SotY_2024[[#This Row],[Song 1]], IF(SotY_2024[[#This Row],[Score 2]]&gt;=3, SotY_2024[[#This Row],[Song 2]], "TBD")))</f>
        <v>夜に駆ける</v>
      </c>
      <c r="Q104" s="193">
        <f>COUNTIF(SotY_2024[[#This Row],[H ]:[J ]],"x")</f>
        <v>1</v>
      </c>
      <c r="R104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Kiss My Troubles Away</v>
      </c>
      <c r="S104" s="191"/>
      <c r="T104" s="190"/>
      <c r="U104" s="189"/>
      <c r="V104" s="188"/>
      <c r="W104" s="198" t="s">
        <v>4191</v>
      </c>
      <c r="X104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04" s="109">
        <f t="shared" si="3"/>
        <v>45</v>
      </c>
      <c r="AA104" s="59">
        <v>45635</v>
      </c>
      <c r="AB104" t="str">
        <v>alappatjoe</v>
      </c>
      <c r="AC104" s="3">
        <v>2</v>
      </c>
      <c r="AD104" s="3">
        <v>1.0954451150103321</v>
      </c>
      <c r="AE104" t="str">
        <v>Fragile</v>
      </c>
      <c r="AF104" t="str">
        <v>Laufey</v>
      </c>
      <c r="AG104" s="100">
        <f t="shared" si="4"/>
        <v>33</v>
      </c>
      <c r="AI104" s="114">
        <f>SotY_2024[[#This Row],[Max Seed]]/2 + 1</f>
        <v>65</v>
      </c>
      <c r="AJ104" s="105" t="str">
        <f ca="1">IF(SotY_2024[[#This Row],[Num]]&gt;=$A$1, "-", IF(SotY_2024[[#This Row],[Score 1]]&gt;=3, SotY_2024[[#This Row],[Song 2]], IF(SotY_2024[[#This Row],[Score 2]]&gt;=3, SotY_2024[[#This Row],[Song 1]], "TBD")))</f>
        <v>Kiss My Troubles Away</v>
      </c>
      <c r="AK104" s="115">
        <f ca="1">IFERROR(VLOOKUP(SotY_2024_Results[[#This Row],[Song Title]], $AE$2:$AG$111, 3, FALSE)-SotY_2024_Results[[#This Row],[Result]], "TBD")</f>
        <v>0</v>
      </c>
      <c r="AL104" s="112" t="str">
        <f ca="1">IF(SotY_2024_Results[[#This Row],[Diff]]&lt;0,"↓",IF(SotY_2024_Results[[#This Row],[Diff]]=0,"-","↑"))</f>
        <v>-</v>
      </c>
    </row>
    <row r="105" spans="1:38">
      <c r="A105" s="197" t="str">
        <f>_xlfn.CONCAT("Seed ", SotY_2024[[#This Row],[Top Seed]], " vs ", SotY_2024[[#This Row],[Low Seed]])</f>
        <v>Seed 25 vs 104</v>
      </c>
      <c r="B105" s="115">
        <v>103</v>
      </c>
      <c r="C105" s="115">
        <f>FLOOR(LOG(SotY_2024[[#This Row],[Num]], 2), 1)</f>
        <v>6</v>
      </c>
      <c r="D105" s="115">
        <f>2^(SotY_2024[[#This Row],[Round]]+1)</f>
        <v>128</v>
      </c>
      <c r="E105" s="115">
        <f>SotY_2024[[#This Row],[Max Seed]]-SotY_2024[[#This Row],[Num]]</f>
        <v>25</v>
      </c>
      <c r="F105" s="115">
        <f>SotY_2024[[#This Row],[Max Seed]]-SotY_2024[[#This Row],[Top Seed]]+1</f>
        <v>104</v>
      </c>
      <c r="G105" s="115" t="b">
        <f>IF(SotY_2024[[#This Row],[Round]]=$C$1, TRUE(), IF(SotY_2024[[#This Row],[Round]]=$B$1, SotY_2024[[#This Row],[Top Seed]]&lt;=2*SotY_2024[[#This Row],[Max Seed]]-$A$1, FALSE()))</f>
        <v>1</v>
      </c>
      <c r="H105" s="115" t="b">
        <f>IF(SotY_2024[[#This Row],[Round]]=$C$1, TRUE(), IF(SotY_2024[[#This Row],[Round]]=$B$1, SotY_2024[[#This Row],[Low Seed]]&lt;=2*SotY_2024[[#This Row],[Max Seed]]-$A$1, FALSE()))</f>
        <v>1</v>
      </c>
      <c r="I105" s="187"/>
      <c r="J105" s="188"/>
      <c r="K105" s="189"/>
      <c r="L105" s="190"/>
      <c r="M105" s="191"/>
      <c r="N105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Feel the Fiyaaaaah</v>
      </c>
      <c r="O105" s="105">
        <f>COUNTIF(SotY_2024[[#This Row],[J]:[H]],"x")</f>
        <v>0</v>
      </c>
      <c r="P105" s="115" t="str">
        <f ca="1">IF(SotY_2024[[#This Row],[Num]]&gt;=$A$1, "-", IF(SotY_2024[[#This Row],[Score 1]]&gt;=3, SotY_2024[[#This Row],[Song 1]], IF(SotY_2024[[#This Row],[Score 2]]&gt;=3, SotY_2024[[#This Row],[Song 2]], "TBD")))</f>
        <v>Right Now</v>
      </c>
      <c r="Q105" s="193">
        <f>COUNTIF(SotY_2024[[#This Row],[H ]:[J ]],"x")</f>
        <v>5</v>
      </c>
      <c r="R105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Right Now</v>
      </c>
      <c r="S105" s="191" t="s">
        <v>4191</v>
      </c>
      <c r="T105" s="190" t="s">
        <v>4191</v>
      </c>
      <c r="U105" s="189" t="s">
        <v>4191</v>
      </c>
      <c r="V105" s="188" t="s">
        <v>4191</v>
      </c>
      <c r="W105" s="198" t="s">
        <v>4191</v>
      </c>
      <c r="X105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05" s="109">
        <f t="shared" si="3"/>
        <v>90</v>
      </c>
      <c r="AA105" s="59">
        <v>45636</v>
      </c>
      <c r="AB105" t="str">
        <v>alappatjoe</v>
      </c>
      <c r="AC105" s="3">
        <v>2.4</v>
      </c>
      <c r="AD105" s="3">
        <v>1.4966629547095767</v>
      </c>
      <c r="AE105" t="str">
        <v>KICK BACK</v>
      </c>
      <c r="AF105" t="str">
        <v>Kenshi Yonezu</v>
      </c>
      <c r="AG105" s="100">
        <f t="shared" si="4"/>
        <v>65</v>
      </c>
      <c r="AI105" s="114">
        <f>SotY_2024[[#This Row],[Max Seed]]/2 + 1</f>
        <v>65</v>
      </c>
      <c r="AJ105" s="105" t="str">
        <f ca="1">IF(SotY_2024[[#This Row],[Num]]&gt;=$A$1, "-", IF(SotY_2024[[#This Row],[Score 1]]&gt;=3, SotY_2024[[#This Row],[Song 2]], IF(SotY_2024[[#This Row],[Score 2]]&gt;=3, SotY_2024[[#This Row],[Song 1]], "TBD")))</f>
        <v>Feel the Fiyaaaaah</v>
      </c>
      <c r="AK105" s="115">
        <f ca="1">IFERROR(VLOOKUP(SotY_2024_Results[[#This Row],[Song Title]], $AE$2:$AG$111, 3, FALSE)-SotY_2024_Results[[#This Row],[Result]], "TBD")</f>
        <v>-48</v>
      </c>
      <c r="AL105" s="112" t="str">
        <f ca="1">IF(SotY_2024_Results[[#This Row],[Diff]]&lt;0,"↓",IF(SotY_2024_Results[[#This Row],[Diff]]=0,"-","↑"))</f>
        <v>↓</v>
      </c>
    </row>
    <row r="106" spans="1:38">
      <c r="A106" s="197" t="str">
        <f>_xlfn.CONCAT("Seed ", SotY_2024[[#This Row],[Top Seed]], " vs ", SotY_2024[[#This Row],[Low Seed]])</f>
        <v>Seed 24 vs 105</v>
      </c>
      <c r="B106" s="115">
        <v>104</v>
      </c>
      <c r="C106" s="115">
        <f>FLOOR(LOG(SotY_2024[[#This Row],[Num]], 2), 1)</f>
        <v>6</v>
      </c>
      <c r="D106" s="115">
        <f>2^(SotY_2024[[#This Row],[Round]]+1)</f>
        <v>128</v>
      </c>
      <c r="E106" s="115">
        <f>SotY_2024[[#This Row],[Max Seed]]-SotY_2024[[#This Row],[Num]]</f>
        <v>24</v>
      </c>
      <c r="F106" s="115">
        <f>SotY_2024[[#This Row],[Max Seed]]-SotY_2024[[#This Row],[Top Seed]]+1</f>
        <v>105</v>
      </c>
      <c r="G106" s="115" t="b">
        <f>IF(SotY_2024[[#This Row],[Round]]=$C$1, TRUE(), IF(SotY_2024[[#This Row],[Round]]=$B$1, SotY_2024[[#This Row],[Top Seed]]&lt;=2*SotY_2024[[#This Row],[Max Seed]]-$A$1, FALSE()))</f>
        <v>1</v>
      </c>
      <c r="H106" s="115" t="b">
        <f>IF(SotY_2024[[#This Row],[Round]]=$C$1, TRUE(), IF(SotY_2024[[#This Row],[Round]]=$B$1, SotY_2024[[#This Row],[Low Seed]]&lt;=2*SotY_2024[[#This Row],[Max Seed]]-$A$1, FALSE()))</f>
        <v>1</v>
      </c>
      <c r="I106" s="187"/>
      <c r="J106" s="188" t="s">
        <v>4191</v>
      </c>
      <c r="K106" s="189" t="s">
        <v>4191</v>
      </c>
      <c r="L106" s="190"/>
      <c r="M106" s="191" t="s">
        <v>4191</v>
      </c>
      <c r="N106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Next Exit</v>
      </c>
      <c r="O106" s="105">
        <f>COUNTIF(SotY_2024[[#This Row],[J]:[H]],"x")</f>
        <v>3</v>
      </c>
      <c r="P106" s="115" t="str">
        <f ca="1">IF(SotY_2024[[#This Row],[Num]]&gt;=$A$1, "-", IF(SotY_2024[[#This Row],[Score 1]]&gt;=3, SotY_2024[[#This Row],[Song 1]], IF(SotY_2024[[#This Row],[Score 2]]&gt;=3, SotY_2024[[#This Row],[Song 2]], "TBD")))</f>
        <v>Next Exit</v>
      </c>
      <c r="Q106" s="193">
        <f>COUNTIF(SotY_2024[[#This Row],[H ]:[J ]],"x")</f>
        <v>2</v>
      </c>
      <c r="R106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Spain</v>
      </c>
      <c r="S106" s="191"/>
      <c r="T106" s="190" t="s">
        <v>4191</v>
      </c>
      <c r="U106" s="189"/>
      <c r="V106" s="188"/>
      <c r="W106" s="198" t="s">
        <v>4191</v>
      </c>
      <c r="X106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06" s="109">
        <f t="shared" si="3"/>
        <v>60</v>
      </c>
      <c r="AA106" s="59">
        <v>45637</v>
      </c>
      <c r="AB106" t="str">
        <v>danram</v>
      </c>
      <c r="AC106" s="3">
        <v>2.2000000000000002</v>
      </c>
      <c r="AD106" s="3">
        <v>0.9797958971132712</v>
      </c>
      <c r="AE106" t="str">
        <v>The Loneliest Time</v>
      </c>
      <c r="AF106" t="str">
        <v>Carly Rae Jepsen</v>
      </c>
      <c r="AG106" s="100">
        <f t="shared" si="4"/>
        <v>33</v>
      </c>
      <c r="AI106" s="114">
        <f>SotY_2024[[#This Row],[Max Seed]]/2 + 1</f>
        <v>65</v>
      </c>
      <c r="AJ106" s="105" t="str">
        <f ca="1">IF(SotY_2024[[#This Row],[Num]]&gt;=$A$1, "-", IF(SotY_2024[[#This Row],[Score 1]]&gt;=3, SotY_2024[[#This Row],[Song 2]], IF(SotY_2024[[#This Row],[Score 2]]&gt;=3, SotY_2024[[#This Row],[Song 1]], "TBD")))</f>
        <v>Spain</v>
      </c>
      <c r="AK106" s="115">
        <f ca="1">IFERROR(VLOOKUP(SotY_2024_Results[[#This Row],[Song Title]], $AE$2:$AG$111, 3, FALSE)-SotY_2024_Results[[#This Row],[Result]], "TBD")</f>
        <v>0</v>
      </c>
      <c r="AL106" s="112" t="str">
        <f ca="1">IF(SotY_2024_Results[[#This Row],[Diff]]&lt;0,"↓",IF(SotY_2024_Results[[#This Row],[Diff]]=0,"-","↑"))</f>
        <v>-</v>
      </c>
    </row>
    <row r="107" spans="1:38">
      <c r="A107" s="197" t="str">
        <f>_xlfn.CONCAT("Seed ", SotY_2024[[#This Row],[Top Seed]], " vs ", SotY_2024[[#This Row],[Low Seed]])</f>
        <v>Seed 23 vs 106</v>
      </c>
      <c r="B107" s="115">
        <v>105</v>
      </c>
      <c r="C107" s="115">
        <f>FLOOR(LOG(SotY_2024[[#This Row],[Num]], 2), 1)</f>
        <v>6</v>
      </c>
      <c r="D107" s="115">
        <f>2^(SotY_2024[[#This Row],[Round]]+1)</f>
        <v>128</v>
      </c>
      <c r="E107" s="115">
        <f>SotY_2024[[#This Row],[Max Seed]]-SotY_2024[[#This Row],[Num]]</f>
        <v>23</v>
      </c>
      <c r="F107" s="115">
        <f>SotY_2024[[#This Row],[Max Seed]]-SotY_2024[[#This Row],[Top Seed]]+1</f>
        <v>106</v>
      </c>
      <c r="G107" s="115" t="b">
        <f>IF(SotY_2024[[#This Row],[Round]]=$C$1, TRUE(), IF(SotY_2024[[#This Row],[Round]]=$B$1, SotY_2024[[#This Row],[Top Seed]]&lt;=2*SotY_2024[[#This Row],[Max Seed]]-$A$1, FALSE()))</f>
        <v>1</v>
      </c>
      <c r="H107" s="115" t="b">
        <f>IF(SotY_2024[[#This Row],[Round]]=$C$1, TRUE(), IF(SotY_2024[[#This Row],[Round]]=$B$1, SotY_2024[[#This Row],[Low Seed]]&lt;=2*SotY_2024[[#This Row],[Max Seed]]-$A$1, FALSE()))</f>
        <v>1</v>
      </c>
      <c r="I107" s="187" t="s">
        <v>4191</v>
      </c>
      <c r="J107" s="188" t="s">
        <v>4191</v>
      </c>
      <c r="K107" s="189"/>
      <c r="L107" s="190"/>
      <c r="M107" s="191" t="s">
        <v>4191</v>
      </c>
      <c r="N107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QUE RICO CH**GAMOS</v>
      </c>
      <c r="O107" s="105">
        <f>COUNTIF(SotY_2024[[#This Row],[J]:[H]],"x")</f>
        <v>3</v>
      </c>
      <c r="P107" s="115" t="str">
        <f ca="1">IF(SotY_2024[[#This Row],[Num]]&gt;=$A$1, "-", IF(SotY_2024[[#This Row],[Score 1]]&gt;=3, SotY_2024[[#This Row],[Song 1]], IF(SotY_2024[[#This Row],[Score 2]]&gt;=3, SotY_2024[[#This Row],[Song 2]], "TBD")))</f>
        <v>QUE RICO CH**GAMOS</v>
      </c>
      <c r="Q107" s="193">
        <f>COUNTIF(SotY_2024[[#This Row],[H ]:[J ]],"x")</f>
        <v>2</v>
      </c>
      <c r="R107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F.C.P.R.E.M.I.X</v>
      </c>
      <c r="S107" s="191"/>
      <c r="T107" s="190" t="s">
        <v>4191</v>
      </c>
      <c r="U107" s="189" t="s">
        <v>4191</v>
      </c>
      <c r="V107" s="188"/>
      <c r="W107" s="198"/>
      <c r="X107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07" s="109">
        <f t="shared" si="3"/>
        <v>61</v>
      </c>
      <c r="AA107" s="59">
        <v>45638</v>
      </c>
      <c r="AB107" t="str">
        <v>alappatjoe</v>
      </c>
      <c r="AC107" s="3">
        <v>2.2000000000000002</v>
      </c>
      <c r="AD107" s="3">
        <v>0.9797958971132712</v>
      </c>
      <c r="AE107" t="str">
        <v>Plastic Love</v>
      </c>
      <c r="AF107" t="str">
        <v>Friday Night Plans</v>
      </c>
      <c r="AG107" s="100">
        <f t="shared" si="4"/>
        <v>33</v>
      </c>
      <c r="AI107" s="114">
        <f>SotY_2024[[#This Row],[Max Seed]]/2 + 1</f>
        <v>65</v>
      </c>
      <c r="AJ107" s="105" t="str">
        <f ca="1">IF(SotY_2024[[#This Row],[Num]]&gt;=$A$1, "-", IF(SotY_2024[[#This Row],[Score 1]]&gt;=3, SotY_2024[[#This Row],[Song 2]], IF(SotY_2024[[#This Row],[Score 2]]&gt;=3, SotY_2024[[#This Row],[Song 1]], "TBD")))</f>
        <v>F.C.P.R.E.M.I.X</v>
      </c>
      <c r="AK107" s="115">
        <f ca="1">IFERROR(VLOOKUP(SotY_2024_Results[[#This Row],[Song Title]], $AE$2:$AG$111, 3, FALSE)-SotY_2024_Results[[#This Row],[Result]], "TBD")</f>
        <v>0</v>
      </c>
      <c r="AL107" s="112" t="str">
        <f ca="1">IF(SotY_2024_Results[[#This Row],[Diff]]&lt;0,"↓",IF(SotY_2024_Results[[#This Row],[Diff]]=0,"-","↑"))</f>
        <v>-</v>
      </c>
    </row>
    <row r="108" spans="1:38">
      <c r="A108" s="197" t="str">
        <f>_xlfn.CONCAT("Seed ", SotY_2024[[#This Row],[Top Seed]], " vs ", SotY_2024[[#This Row],[Low Seed]])</f>
        <v>Seed 22 vs 107</v>
      </c>
      <c r="B108" s="115">
        <v>106</v>
      </c>
      <c r="C108" s="115">
        <f>FLOOR(LOG(SotY_2024[[#This Row],[Num]], 2), 1)</f>
        <v>6</v>
      </c>
      <c r="D108" s="115">
        <f>2^(SotY_2024[[#This Row],[Round]]+1)</f>
        <v>128</v>
      </c>
      <c r="E108" s="115">
        <f>SotY_2024[[#This Row],[Max Seed]]-SotY_2024[[#This Row],[Num]]</f>
        <v>22</v>
      </c>
      <c r="F108" s="115">
        <f>SotY_2024[[#This Row],[Max Seed]]-SotY_2024[[#This Row],[Top Seed]]+1</f>
        <v>107</v>
      </c>
      <c r="G108" s="115" t="b">
        <f>IF(SotY_2024[[#This Row],[Round]]=$C$1, TRUE(), IF(SotY_2024[[#This Row],[Round]]=$B$1, SotY_2024[[#This Row],[Top Seed]]&lt;=2*SotY_2024[[#This Row],[Max Seed]]-$A$1, FALSE()))</f>
        <v>1</v>
      </c>
      <c r="H108" s="115" t="b">
        <f>IF(SotY_2024[[#This Row],[Round]]=$C$1, TRUE(), IF(SotY_2024[[#This Row],[Round]]=$B$1, SotY_2024[[#This Row],[Low Seed]]&lt;=2*SotY_2024[[#This Row],[Max Seed]]-$A$1, FALSE()))</f>
        <v>1</v>
      </c>
      <c r="I108" s="187"/>
      <c r="J108" s="188"/>
      <c r="K108" s="189"/>
      <c r="L108" s="190"/>
      <c r="M108" s="191" t="s">
        <v>4191</v>
      </c>
      <c r="N108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遙か彼方</v>
      </c>
      <c r="O108" s="105">
        <f>COUNTIF(SotY_2024[[#This Row],[J]:[H]],"x")</f>
        <v>1</v>
      </c>
      <c r="P108" s="115" t="str">
        <f ca="1">IF(SotY_2024[[#This Row],[Num]]&gt;=$A$1, "-", IF(SotY_2024[[#This Row],[Score 1]]&gt;=3, SotY_2024[[#This Row],[Song 1]], IF(SotY_2024[[#This Row],[Score 2]]&gt;=3, SotY_2024[[#This Row],[Song 2]], "TBD")))</f>
        <v>cloud 11</v>
      </c>
      <c r="Q108" s="193">
        <f>COUNTIF(SotY_2024[[#This Row],[H ]:[J ]],"x")</f>
        <v>4</v>
      </c>
      <c r="R108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cloud 11</v>
      </c>
      <c r="S108" s="191"/>
      <c r="T108" s="190" t="s">
        <v>4191</v>
      </c>
      <c r="U108" s="189" t="s">
        <v>4191</v>
      </c>
      <c r="V108" s="188" t="s">
        <v>4191</v>
      </c>
      <c r="W108" s="198" t="s">
        <v>4191</v>
      </c>
      <c r="X108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08" s="109">
        <f t="shared" si="3"/>
        <v>9</v>
      </c>
      <c r="AA108" s="59">
        <v>45642</v>
      </c>
      <c r="AB108" t="str">
        <v>danram</v>
      </c>
      <c r="AC108" s="3">
        <v>1.6</v>
      </c>
      <c r="AD108" s="3">
        <v>0.4898979485566356</v>
      </c>
      <c r="AE108" t="str">
        <v>Last Christmas</v>
      </c>
      <c r="AF108" t="str">
        <v>Wham!</v>
      </c>
      <c r="AG108" s="100">
        <f t="shared" si="4"/>
        <v>9</v>
      </c>
      <c r="AI108" s="114">
        <f>SotY_2024[[#This Row],[Max Seed]]/2 + 1</f>
        <v>65</v>
      </c>
      <c r="AJ108" s="105" t="str">
        <f ca="1">IF(SotY_2024[[#This Row],[Num]]&gt;=$A$1, "-", IF(SotY_2024[[#This Row],[Score 1]]&gt;=3, SotY_2024[[#This Row],[Song 2]], IF(SotY_2024[[#This Row],[Score 2]]&gt;=3, SotY_2024[[#This Row],[Song 1]], "TBD")))</f>
        <v>遙か彼方</v>
      </c>
      <c r="AK108" s="115">
        <f ca="1">IFERROR(VLOOKUP(SotY_2024_Results[[#This Row],[Song Title]], $AE$2:$AG$111, 3, FALSE)-SotY_2024_Results[[#This Row],[Result]], "TBD")</f>
        <v>-48</v>
      </c>
      <c r="AL108" s="112" t="str">
        <f ca="1">IF(SotY_2024_Results[[#This Row],[Diff]]&lt;0,"↓",IF(SotY_2024_Results[[#This Row],[Diff]]=0,"-","↑"))</f>
        <v>↓</v>
      </c>
    </row>
    <row r="109" spans="1:38">
      <c r="A109" s="197" t="str">
        <f>_xlfn.CONCAT("Seed ", SotY_2024[[#This Row],[Top Seed]], " vs ", SotY_2024[[#This Row],[Low Seed]])</f>
        <v>Seed 21 vs 108</v>
      </c>
      <c r="B109" s="115">
        <v>107</v>
      </c>
      <c r="C109" s="115">
        <f>FLOOR(LOG(SotY_2024[[#This Row],[Num]], 2), 1)</f>
        <v>6</v>
      </c>
      <c r="D109" s="115">
        <f>2^(SotY_2024[[#This Row],[Round]]+1)</f>
        <v>128</v>
      </c>
      <c r="E109" s="115">
        <f>SotY_2024[[#This Row],[Max Seed]]-SotY_2024[[#This Row],[Num]]</f>
        <v>21</v>
      </c>
      <c r="F109" s="115">
        <f>SotY_2024[[#This Row],[Max Seed]]-SotY_2024[[#This Row],[Top Seed]]+1</f>
        <v>108</v>
      </c>
      <c r="G109" s="115" t="b">
        <f>IF(SotY_2024[[#This Row],[Round]]=$C$1, TRUE(), IF(SotY_2024[[#This Row],[Round]]=$B$1, SotY_2024[[#This Row],[Top Seed]]&lt;=2*SotY_2024[[#This Row],[Max Seed]]-$A$1, FALSE()))</f>
        <v>1</v>
      </c>
      <c r="H109" s="115" t="b">
        <f>IF(SotY_2024[[#This Row],[Round]]=$C$1, TRUE(), IF(SotY_2024[[#This Row],[Round]]=$B$1, SotY_2024[[#This Row],[Low Seed]]&lt;=2*SotY_2024[[#This Row],[Max Seed]]-$A$1, FALSE()))</f>
        <v>1</v>
      </c>
      <c r="I109" s="187"/>
      <c r="J109" s="188" t="s">
        <v>4191</v>
      </c>
      <c r="K109" s="189" t="s">
        <v>4191</v>
      </c>
      <c r="L109" s="190"/>
      <c r="M109" s="191" t="s">
        <v>4191</v>
      </c>
      <c r="N109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What You Know</v>
      </c>
      <c r="O109" s="105">
        <f>COUNTIF(SotY_2024[[#This Row],[J]:[H]],"x")</f>
        <v>3</v>
      </c>
      <c r="P109" s="115" t="str">
        <f ca="1">IF(SotY_2024[[#This Row],[Num]]&gt;=$A$1, "-", IF(SotY_2024[[#This Row],[Score 1]]&gt;=3, SotY_2024[[#This Row],[Song 1]], IF(SotY_2024[[#This Row],[Score 2]]&gt;=3, SotY_2024[[#This Row],[Song 2]], "TBD")))</f>
        <v>What You Know</v>
      </c>
      <c r="Q109" s="193">
        <f>COUNTIF(SotY_2024[[#This Row],[H ]:[J ]],"x")</f>
        <v>2</v>
      </c>
      <c r="R109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The Woven Web</v>
      </c>
      <c r="S109" s="191"/>
      <c r="T109" s="190" t="s">
        <v>4191</v>
      </c>
      <c r="U109" s="189"/>
      <c r="V109" s="188"/>
      <c r="W109" s="198" t="s">
        <v>4191</v>
      </c>
      <c r="X109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09" s="109">
        <f t="shared" si="3"/>
        <v>103</v>
      </c>
      <c r="AA109" s="59">
        <v>45643</v>
      </c>
      <c r="AB109" t="str">
        <v>alappatjoe</v>
      </c>
      <c r="AC109" s="3">
        <v>2.6</v>
      </c>
      <c r="AD109" s="3">
        <v>1.3564659966250536</v>
      </c>
      <c r="AE109" t="str">
        <v>Kiss My Troubles Away</v>
      </c>
      <c r="AF109" t="str">
        <v>TWICE</v>
      </c>
      <c r="AG109" s="100">
        <f t="shared" si="4"/>
        <v>65</v>
      </c>
      <c r="AI109" s="114">
        <f>SotY_2024[[#This Row],[Max Seed]]/2 + 1</f>
        <v>65</v>
      </c>
      <c r="AJ109" s="105" t="str">
        <f ca="1">IF(SotY_2024[[#This Row],[Num]]&gt;=$A$1, "-", IF(SotY_2024[[#This Row],[Score 1]]&gt;=3, SotY_2024[[#This Row],[Song 2]], IF(SotY_2024[[#This Row],[Score 2]]&gt;=3, SotY_2024[[#This Row],[Song 1]], "TBD")))</f>
        <v>The Woven Web</v>
      </c>
      <c r="AK109" s="115">
        <f ca="1">IFERROR(VLOOKUP(SotY_2024_Results[[#This Row],[Song Title]], $AE$2:$AG$111, 3, FALSE)-SotY_2024_Results[[#This Row],[Result]], "TBD")</f>
        <v>0</v>
      </c>
      <c r="AL109" s="112" t="str">
        <f ca="1">IF(SotY_2024_Results[[#This Row],[Diff]]&lt;0,"↓",IF(SotY_2024_Results[[#This Row],[Diff]]=0,"-","↑"))</f>
        <v>-</v>
      </c>
    </row>
    <row r="110" spans="1:38">
      <c r="A110" s="197" t="str">
        <f>_xlfn.CONCAT("Seed ", SotY_2024[[#This Row],[Top Seed]], " vs ", SotY_2024[[#This Row],[Low Seed]])</f>
        <v>Seed 20 vs 109</v>
      </c>
      <c r="B110" s="115">
        <v>108</v>
      </c>
      <c r="C110" s="115">
        <f>FLOOR(LOG(SotY_2024[[#This Row],[Num]], 2), 1)</f>
        <v>6</v>
      </c>
      <c r="D110" s="115">
        <f>2^(SotY_2024[[#This Row],[Round]]+1)</f>
        <v>128</v>
      </c>
      <c r="E110" s="115">
        <f>SotY_2024[[#This Row],[Max Seed]]-SotY_2024[[#This Row],[Num]]</f>
        <v>20</v>
      </c>
      <c r="F110" s="115">
        <f>SotY_2024[[#This Row],[Max Seed]]-SotY_2024[[#This Row],[Top Seed]]+1</f>
        <v>109</v>
      </c>
      <c r="G110" s="115" t="b">
        <f>IF(SotY_2024[[#This Row],[Round]]=$C$1, TRUE(), IF(SotY_2024[[#This Row],[Round]]=$B$1, SotY_2024[[#This Row],[Top Seed]]&lt;=2*SotY_2024[[#This Row],[Max Seed]]-$A$1, FALSE()))</f>
        <v>1</v>
      </c>
      <c r="H110" s="115" t="b">
        <f>IF(SotY_2024[[#This Row],[Round]]=$C$1, TRUE(), IF(SotY_2024[[#This Row],[Round]]=$B$1, SotY_2024[[#This Row],[Low Seed]]&lt;=2*SotY_2024[[#This Row],[Max Seed]]-$A$1, FALSE()))</f>
        <v>1</v>
      </c>
      <c r="I110" s="187" t="s">
        <v>4191</v>
      </c>
      <c r="J110" s="188" t="s">
        <v>4191</v>
      </c>
      <c r="K110" s="189" t="s">
        <v>4191</v>
      </c>
      <c r="L110" s="190" t="s">
        <v>4191</v>
      </c>
      <c r="M110" s="191" t="s">
        <v>4191</v>
      </c>
      <c r="N110" s="192" t="str">
        <f ca="1">IF(SotY_2024[[#This Row],[Num]]&gt;=$A$1, "-", IF(SotY_2024[[#This Row],[Initial 1]], VLOOKUP(SotY_2024[[#This Row],[Top Seed]], $Z$2:$AE$111, 6, FALSE), OFFSET(SotY_2024[[#This Row],[Winner]], SotY_2024[[#This Row],[Max Seed]], 0)))</f>
        <v>Edge of Seventeen</v>
      </c>
      <c r="O110" s="105">
        <f>COUNTIF(SotY_2024[[#This Row],[J]:[H]],"x")</f>
        <v>5</v>
      </c>
      <c r="P110" s="115" t="str">
        <f ca="1">IF(SotY_2024[[#This Row],[Num]]&gt;=$A$1, "-", IF(SotY_2024[[#This Row],[Score 1]]&gt;=3, SotY_2024[[#This Row],[Song 1]], IF(SotY_2024[[#This Row],[Score 2]]&gt;=3, SotY_2024[[#This Row],[Song 2]], "TBD")))</f>
        <v>Edge of Seventeen</v>
      </c>
      <c r="Q110" s="193">
        <f>COUNTIF(SotY_2024[[#This Row],[H ]:[J ]],"x")</f>
        <v>0</v>
      </c>
      <c r="R110" s="105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STYX HELIX</v>
      </c>
      <c r="S110" s="191"/>
      <c r="T110" s="190"/>
      <c r="U110" s="189"/>
      <c r="V110" s="188"/>
      <c r="W110" s="198"/>
      <c r="X110" s="115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10" s="109">
        <f t="shared" si="3"/>
        <v>66</v>
      </c>
      <c r="AA110" s="59">
        <v>45644</v>
      </c>
      <c r="AB110" t="str">
        <v>loganworsdell</v>
      </c>
      <c r="AC110" s="3">
        <v>2.2000000000000002</v>
      </c>
      <c r="AD110" s="3">
        <v>1.1661903789690602</v>
      </c>
      <c r="AE110" t="str">
        <v>Life 2</v>
      </c>
      <c r="AF110" t="str">
        <v>Majid Jordan</v>
      </c>
      <c r="AG110" s="100">
        <f t="shared" si="4"/>
        <v>65</v>
      </c>
      <c r="AI110" s="114">
        <f>SotY_2024[[#This Row],[Max Seed]]/2 + 1</f>
        <v>65</v>
      </c>
      <c r="AJ110" s="105" t="str">
        <f ca="1">IF(SotY_2024[[#This Row],[Num]]&gt;=$A$1, "-", IF(SotY_2024[[#This Row],[Score 1]]&gt;=3, SotY_2024[[#This Row],[Song 2]], IF(SotY_2024[[#This Row],[Score 2]]&gt;=3, SotY_2024[[#This Row],[Song 1]], "TBD")))</f>
        <v>STYX HELIX</v>
      </c>
      <c r="AK110" s="115">
        <f ca="1">IFERROR(VLOOKUP(SotY_2024_Results[[#This Row],[Song Title]], $AE$2:$AG$111, 3, FALSE)-SotY_2024_Results[[#This Row],[Result]], "TBD")</f>
        <v>0</v>
      </c>
      <c r="AL110" s="112" t="str">
        <f ca="1">IF(SotY_2024_Results[[#This Row],[Diff]]&lt;0,"↓",IF(SotY_2024_Results[[#This Row],[Diff]]=0,"-","↑"))</f>
        <v>-</v>
      </c>
    </row>
    <row r="111" spans="1:38">
      <c r="A111" s="199" t="str">
        <f>_xlfn.CONCAT("Seed ", SotY_2024[[#This Row],[Top Seed]], " vs ", SotY_2024[[#This Row],[Low Seed]])</f>
        <v>Seed 19 vs 110</v>
      </c>
      <c r="B111" s="115">
        <v>109</v>
      </c>
      <c r="C111" s="201">
        <f>FLOOR(LOG(SotY_2024[[#This Row],[Num]], 2), 1)</f>
        <v>6</v>
      </c>
      <c r="D111" s="201">
        <f>2^(SotY_2024[[#This Row],[Round]]+1)</f>
        <v>128</v>
      </c>
      <c r="E111" s="201">
        <f>SotY_2024[[#This Row],[Max Seed]]-SotY_2024[[#This Row],[Num]]</f>
        <v>19</v>
      </c>
      <c r="F111" s="201">
        <f>SotY_2024[[#This Row],[Max Seed]]-SotY_2024[[#This Row],[Top Seed]]+1</f>
        <v>110</v>
      </c>
      <c r="G111" s="201" t="b">
        <f>IF(SotY_2024[[#This Row],[Round]]=$C$1, TRUE(), IF(SotY_2024[[#This Row],[Round]]=$B$1, SotY_2024[[#This Row],[Top Seed]]&lt;=2*SotY_2024[[#This Row],[Max Seed]]-$A$1, FALSE()))</f>
        <v>1</v>
      </c>
      <c r="H111" s="201" t="b">
        <f>IF(SotY_2024[[#This Row],[Round]]=$C$1, TRUE(), IF(SotY_2024[[#This Row],[Round]]=$B$1, SotY_2024[[#This Row],[Low Seed]]&lt;=2*SotY_2024[[#This Row],[Max Seed]]-$A$1, FALSE()))</f>
        <v>1</v>
      </c>
      <c r="I111" s="187" t="s">
        <v>4191</v>
      </c>
      <c r="J111" s="188" t="s">
        <v>4191</v>
      </c>
      <c r="K111" s="189" t="s">
        <v>4191</v>
      </c>
      <c r="L111" s="190" t="s">
        <v>4191</v>
      </c>
      <c r="M111" s="191" t="s">
        <v>4191</v>
      </c>
      <c r="N111" s="203" t="str">
        <f ca="1">IF(SotY_2024[[#This Row],[Num]]&gt;=$A$1, "-", IF(SotY_2024[[#This Row],[Initial 1]], VLOOKUP(SotY_2024[[#This Row],[Top Seed]], $Z$2:$AE$111, 6, FALSE), OFFSET(SotY_2024[[#This Row],[Winner]], SotY_2024[[#This Row],[Max Seed]], 0)))</f>
        <v>Bossa No Sé</v>
      </c>
      <c r="O111" s="200">
        <f>COUNTIF(SotY_2024[[#This Row],[J]:[H]],"x")</f>
        <v>5</v>
      </c>
      <c r="P111" s="201" t="str">
        <f ca="1">IF(SotY_2024[[#This Row],[Num]]&gt;=$A$1, "-", IF(SotY_2024[[#This Row],[Score 1]]&gt;=3, SotY_2024[[#This Row],[Song 1]], IF(SotY_2024[[#This Row],[Score 2]]&gt;=3, SotY_2024[[#This Row],[Song 2]], "TBD")))</f>
        <v>Bossa No Sé</v>
      </c>
      <c r="Q111" s="206">
        <f>COUNTIF(SotY_2024[[#This Row],[H ]:[J ]],"x")</f>
        <v>0</v>
      </c>
      <c r="R111" s="200" t="str">
        <f ca="1">IF(SotY_2024[[#This Row],[Num]]&gt;=$A$1, "-", IF(SotY_2024[[#This Row],[Initial 2]], VLOOKUP(SotY_2024[[#This Row],[Low Seed]], $Z$2:$AE$111, 6, FALSE), OFFSET(SotY_2024[[#This Row],[Winner]], 2*(SotY_2024[[#This Row],[Max Seed]]-SotY_2024[[#This Row],[Low Seed]])+1, 0)))</f>
        <v>Put The Money In The Bag</v>
      </c>
      <c r="S111" s="191"/>
      <c r="T111" s="190"/>
      <c r="U111" s="189"/>
      <c r="V111" s="188"/>
      <c r="W111" s="198"/>
      <c r="X111" s="201" t="str">
        <f ca="1">IF(OR(SotY_2024[[#This Row],[Song 1]]="TBD", SotY_2024[[#This Row],[Song 2]]="TBD"), "TBD", _xlfn.CONCAT(IF(_xlfn.XOR(ISBLANK(SotY_2024[[#This Row],[J]]), ISBLANK(SotY_2024[[#This Row],[J ]])), "", "J "), IF(_xlfn.XOR(ISBLANK(SotY_2024[[#This Row],[D]]), ISBLANK(SotY_2024[[#This Row],[D ]])), "", "D "), IF(_xlfn.XOR(ISBLANK(SotY_2024[[#This Row],[L]]), ISBLANK(SotY_2024[[#This Row],[L ]])), "", "L "), IF(_xlfn.XOR(ISBLANK(SotY_2024[[#This Row],[S]]), ISBLANK(SotY_2024[[#This Row],[S ]])), "", "S "), IF(_xlfn.XOR(ISBLANK(SotY_2024[[#This Row],[H]]), ISBLANK(SotY_2024[[#This Row],[H ]])), "", "H ")))</f>
        <v/>
      </c>
      <c r="Z111" s="110">
        <f t="shared" si="3"/>
        <v>93</v>
      </c>
      <c r="AA111" s="211">
        <v>45645</v>
      </c>
      <c r="AB111" s="157" t="str">
        <v>danram</v>
      </c>
      <c r="AC111" s="101">
        <v>2.6</v>
      </c>
      <c r="AD111" s="101">
        <v>0.8</v>
      </c>
      <c r="AE111" s="157" t="str">
        <v>Santa, Can't You Hear Me</v>
      </c>
      <c r="AF111" s="157" t="str">
        <v>Kelly Clarkson, Ariana Grande</v>
      </c>
      <c r="AG111" s="102">
        <f t="shared" si="4"/>
        <v>65</v>
      </c>
      <c r="AI111" s="114">
        <f>SotY_2024[[#This Row],[Max Seed]]/2 + 1</f>
        <v>65</v>
      </c>
      <c r="AJ111" s="105" t="str">
        <f ca="1">IF(SotY_2024[[#This Row],[Num]]&gt;=$A$1, "-", IF(SotY_2024[[#This Row],[Score 1]]&gt;=3, SotY_2024[[#This Row],[Song 2]], IF(SotY_2024[[#This Row],[Score 2]]&gt;=3, SotY_2024[[#This Row],[Song 1]], "TBD")))</f>
        <v>Put The Money In The Bag</v>
      </c>
      <c r="AK111" s="115">
        <f ca="1">IFERROR(VLOOKUP(SotY_2024_Results[[#This Row],[Song Title]], $AE$2:$AG$111, 3, FALSE)-SotY_2024_Results[[#This Row],[Result]], "TBD")</f>
        <v>0</v>
      </c>
      <c r="AL111" s="112" t="str">
        <f ca="1">IF(SotY_2024_Results[[#This Row],[Diff]]&lt;0,"↓",IF(SotY_2024_Results[[#This Row],[Diff]]=0,"-","↑"))</f>
        <v>-</v>
      </c>
    </row>
  </sheetData>
  <autoFilter ref="Z1:AG1" xr:uid="{46203F9F-19B8-4FCC-915C-C3CF79EB7693}"/>
  <mergeCells count="1">
    <mergeCell ref="I1:W1"/>
  </mergeCells>
  <conditionalFormatting sqref="AK2:AK111">
    <cfRule type="cellIs" dxfId="201" priority="6" operator="equal">
      <formula>0</formula>
    </cfRule>
    <cfRule type="cellIs" dxfId="200" priority="7" operator="greaterThan">
      <formula>0</formula>
    </cfRule>
    <cfRule type="cellIs" dxfId="199" priority="16" operator="lessThan">
      <formula>0</formula>
    </cfRule>
  </conditionalFormatting>
  <conditionalFormatting sqref="AL1:AL1048576">
    <cfRule type="cellIs" dxfId="198" priority="13" operator="equal">
      <formula>"↓"</formula>
    </cfRule>
    <cfRule type="cellIs" dxfId="197" priority="14" operator="equal">
      <formula>"↑"</formula>
    </cfRule>
    <cfRule type="cellIs" dxfId="196" priority="15" operator="equal">
      <formula>"-"</formula>
    </cfRule>
  </conditionalFormatting>
  <dataValidations count="1">
    <dataValidation allowBlank="1" showInputMessage="1" showErrorMessage="1" sqref="I3:M111 S3:X111" xr:uid="{31BCDBEE-AFF2-48F3-BCC4-232ADF1D8323}"/>
  </dataValidations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4B13C0BC-05EA-4B3A-B44F-C16134AB7421}">
            <xm:f>INDEX($AB$2:$AB$111, MATCH(N1, $AE$2:$AE$111,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9" id="{1E6696BB-914C-4A4F-992E-0EA51DA3C581}">
            <xm:f>INDEX($AB$2:$AB$111, MATCH(N1, $AE$2:$AE$111, 0), 1)=Leaderboard!$B$4</xm:f>
            <x14:dxf>
              <fill>
                <patternFill patternType="solid">
                  <bgColor rgb="FFDDEBF7"/>
                </patternFill>
              </fill>
            </x14:dxf>
          </x14:cfRule>
          <x14:cfRule type="expression" priority="10" id="{E4917CA4-13DC-4748-B393-D5185C1F60E8}">
            <xm:f>INDEX($AB$2:$AB$111, MATCH(N1, $AE$2:$AE$111, 0), 1)=Leaderboard!$B$5</xm:f>
            <x14:dxf>
              <fill>
                <patternFill patternType="solid">
                  <bgColor rgb="FFFFF2CC"/>
                </patternFill>
              </fill>
            </x14:dxf>
          </x14:cfRule>
          <x14:cfRule type="expression" priority="11" id="{F58C0255-33A0-4AC6-9403-0209B57650BE}">
            <xm:f>INDEX($AB$2:$AB$111, MATCH(N1, $AE$2:$AE$111, 0), 1)=Leaderboard!$B$6</xm:f>
            <x14:dxf>
              <fill>
                <patternFill patternType="solid">
                  <bgColor rgb="FFEDEDED"/>
                </patternFill>
              </fill>
            </x14:dxf>
          </x14:cfRule>
          <x14:cfRule type="expression" priority="12" id="{75B23AC9-EBB5-49F6-91ED-456CD2D1ED33}">
            <xm:f>INDEX($AB$2:$AB$111, MATCH(N1, $AE$2:$AE$111, 0), 1)=Leaderboard!$B$7</xm:f>
            <x14:dxf>
              <fill>
                <patternFill patternType="solid">
                  <bgColor rgb="FFFCE4D6"/>
                </patternFill>
              </fill>
            </x14:dxf>
          </x14:cfRule>
          <xm:sqref>N1:R1048576</xm:sqref>
        </x14:conditionalFormatting>
        <x14:conditionalFormatting xmlns:xm="http://schemas.microsoft.com/office/excel/2006/main">
          <x14:cfRule type="expression" priority="17" id="{350AD08C-43DF-42BB-AED3-757D437EBF5C}">
            <xm:f>$AB1=Leaderboard!$B$3</xm:f>
            <x14:dxf>
              <fill>
                <patternFill patternType="solid">
                  <bgColor rgb="FFE2EFDA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18" id="{6B7538FA-31AB-4882-B66D-EAF26F98FB15}">
            <xm:f>$AB1=Leaderboard!$B$4</xm:f>
            <x14:dxf>
              <fill>
                <patternFill patternType="solid">
                  <bgColor theme="8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19" id="{A547DAED-0B21-4CE1-A04E-4657AE0BD84F}">
            <xm:f>$AB1=Leaderboard!$B$5</xm:f>
            <x14:dxf>
              <fill>
                <patternFill patternType="solid">
                  <bgColor theme="7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20" id="{87ACB303-56F6-42A7-A7EC-68981F4CD505}">
            <xm:f>$AB1=Leaderboard!$B$6</xm:f>
            <x14:dxf>
              <fill>
                <patternFill patternType="solid">
                  <bgColor theme="6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21" id="{A977B47E-A6F2-4F82-B784-3B887AD225E5}">
            <xm:f>$AB1=Leaderboard!$B$7</xm:f>
            <x14:dxf>
              <fill>
                <patternFill patternType="solid">
                  <bgColor theme="5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m:sqref>Z1:AG111</xm:sqref>
        </x14:conditionalFormatting>
        <x14:conditionalFormatting xmlns:xm="http://schemas.microsoft.com/office/excel/2006/main">
          <x14:cfRule type="expression" priority="1" id="{B91A605C-C84D-4ABF-BD4C-B9FAF93A37DD}">
            <xm:f>INDEX($AB$2:$AB$111, MATCH($AJ2, $AE$2:$AE$111,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2" id="{7862F8D9-8343-4BB6-A55B-E5AA43F058D2}">
            <xm:f>INDEX($AB$2:$AB$111, MATCH($AJ2, $AE$2:$AE$111, 0), 1)=Leaderboard!$B$4</xm:f>
            <x14:dxf>
              <fill>
                <patternFill patternType="solid">
                  <bgColor theme="8" tint="0.79998168889431442"/>
                </patternFill>
              </fill>
            </x14:dxf>
          </x14:cfRule>
          <x14:cfRule type="expression" priority="3" id="{C32BB957-A81B-4611-8F8A-43847161DA46}">
            <xm:f>INDEX($AB$2:$AB$111, MATCH($AJ2, $AE$2:$AE$111, 0), 1)=Leaderboard!$B$5</xm:f>
            <x14:dxf>
              <fill>
                <patternFill patternType="solid">
                  <bgColor theme="7" tint="0.79998168889431442"/>
                </patternFill>
              </fill>
            </x14:dxf>
          </x14:cfRule>
          <x14:cfRule type="expression" priority="4" id="{D5EF7A53-20DB-4997-9F5E-A2D3FFC4AC8B}">
            <xm:f>INDEX($AB$2:$AB$111, MATCH($AJ2, $AE$2:$AE$111, 0), 1)=Leaderboard!$B$6</xm:f>
            <x14:dxf>
              <fill>
                <patternFill patternType="solid">
                  <bgColor theme="6" tint="0.79998168889431442"/>
                </patternFill>
              </fill>
            </x14:dxf>
          </x14:cfRule>
          <x14:cfRule type="expression" priority="5" id="{D4043F98-ECE5-41BA-8317-466738453C4A}">
            <xm:f>INDEX($AB$2:$AB$111, MATCH($AJ2, $AE$2:$AE$111, 0), 1)=Leaderboard!$B$7</xm:f>
            <x14:dxf>
              <fill>
                <patternFill patternType="solid">
                  <bgColor theme="5" tint="0.79998168889431442"/>
                </patternFill>
              </fill>
            </x14:dxf>
          </x14:cfRule>
          <xm:sqref>AI2:AJ111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59BE1-CAB2-4681-AB91-1406A8628174}">
  <sheetPr codeName="Sheet8"/>
  <dimension ref="A1:AL136"/>
  <sheetViews>
    <sheetView topLeftCell="N88" zoomScale="85" zoomScaleNormal="85" workbookViewId="0">
      <selection activeCell="AB11" sqref="AB11"/>
    </sheetView>
  </sheetViews>
  <sheetFormatPr defaultColWidth="9.140625" defaultRowHeight="15" customHeight="1" outlineLevelCol="1"/>
  <cols>
    <col min="1" max="1" width="15.42578125" bestFit="1" customWidth="1"/>
    <col min="2" max="2" width="7.7109375" style="3" hidden="1" customWidth="1" outlineLevel="1"/>
    <col min="3" max="3" width="9.5703125" style="3" hidden="1" customWidth="1" outlineLevel="1"/>
    <col min="4" max="4" width="12.7109375" style="3" hidden="1" customWidth="1" outlineLevel="1"/>
    <col min="5" max="5" width="12.42578125" style="3" hidden="1" customWidth="1" outlineLevel="1"/>
    <col min="6" max="6" width="12.7109375" style="3" hidden="1" customWidth="1" outlineLevel="1"/>
    <col min="7" max="8" width="10.140625" style="3" hidden="1" customWidth="1" outlineLevel="1"/>
    <col min="9" max="9" width="4.28515625" style="3" customWidth="1" collapsed="1"/>
    <col min="10" max="10" width="4.7109375" style="3" bestFit="1" customWidth="1"/>
    <col min="11" max="11" width="4.42578125" style="3" customWidth="1"/>
    <col min="12" max="12" width="4.7109375" style="3" customWidth="1"/>
    <col min="13" max="13" width="4.7109375" style="3" bestFit="1" customWidth="1"/>
    <col min="14" max="14" width="42" customWidth="1"/>
    <col min="15" max="15" width="10.140625" customWidth="1"/>
    <col min="16" max="16" width="31.5703125" bestFit="1" customWidth="1"/>
    <col min="17" max="17" width="10.5703125" style="123" customWidth="1"/>
    <col min="18" max="18" width="39" customWidth="1"/>
    <col min="19" max="19" width="5.28515625" style="3" customWidth="1"/>
    <col min="20" max="20" width="5.140625" style="3" customWidth="1"/>
    <col min="21" max="21" width="4.85546875" style="3" customWidth="1"/>
    <col min="22" max="22" width="5.28515625" style="3" customWidth="1"/>
    <col min="23" max="23" width="4.7109375" style="3" customWidth="1"/>
    <col min="24" max="24" width="12.7109375" style="3" bestFit="1" customWidth="1"/>
    <col min="25" max="25" width="2.42578125" customWidth="1"/>
    <col min="26" max="26" width="8.85546875" style="3" bestFit="1" customWidth="1"/>
    <col min="27" max="27" width="11.85546875" style="85" bestFit="1" customWidth="1"/>
    <col min="28" max="28" width="16.140625" bestFit="1" customWidth="1"/>
    <col min="29" max="29" width="10.5703125" style="3" bestFit="1" customWidth="1"/>
    <col min="30" max="30" width="11.140625" style="86" bestFit="1" customWidth="1"/>
    <col min="31" max="31" width="31.7109375" style="123" bestFit="1" customWidth="1"/>
    <col min="32" max="32" width="33.28515625" bestFit="1" customWidth="1"/>
    <col min="33" max="33" width="9.140625" style="3"/>
    <col min="35" max="35" width="11.140625" style="3" bestFit="1" customWidth="1"/>
    <col min="36" max="36" width="33.140625" bestFit="1" customWidth="1"/>
    <col min="37" max="37" width="7.28515625" style="59" customWidth="1"/>
    <col min="38" max="38" width="8.7109375" customWidth="1"/>
    <col min="39" max="39" width="13.7109375" bestFit="1" customWidth="1"/>
    <col min="40" max="40" width="12.5703125" bestFit="1" customWidth="1"/>
  </cols>
  <sheetData>
    <row r="1" spans="1:38">
      <c r="A1" s="301">
        <f>MAX(Z2:Z11)</f>
        <v>10</v>
      </c>
      <c r="B1" s="301">
        <f t="shared" ref="B1" si="0">FLOOR(LOG(A1, 2), 1)-1</f>
        <v>2</v>
      </c>
      <c r="C1" s="301">
        <f t="shared" ref="C1" si="1">_xlfn.CEILING.MATH(LOG(A1, 2), 1)-1</f>
        <v>3</v>
      </c>
      <c r="D1" s="301"/>
      <c r="E1" s="301"/>
      <c r="F1" s="301"/>
      <c r="G1" s="301"/>
      <c r="H1" s="301"/>
      <c r="I1" s="347" t="s">
        <v>3926</v>
      </c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01"/>
      <c r="Z1" s="148" t="s">
        <v>4163</v>
      </c>
      <c r="AA1" s="149" t="s">
        <v>29</v>
      </c>
      <c r="AB1" s="150" t="s">
        <v>32</v>
      </c>
      <c r="AC1" s="151" t="s">
        <v>33</v>
      </c>
      <c r="AD1" s="152" t="s">
        <v>34</v>
      </c>
      <c r="AE1" s="153" t="s">
        <v>4161</v>
      </c>
      <c r="AF1" s="154" t="s">
        <v>36</v>
      </c>
      <c r="AG1" s="155" t="s">
        <v>4164</v>
      </c>
      <c r="AI1" s="301" t="s">
        <v>4165</v>
      </c>
      <c r="AJ1" s="4" t="s">
        <v>35</v>
      </c>
      <c r="AK1" s="133" t="s">
        <v>4166</v>
      </c>
      <c r="AL1" s="133" t="s">
        <v>4167</v>
      </c>
    </row>
    <row r="2" spans="1:38">
      <c r="A2" s="301" t="s">
        <v>4168</v>
      </c>
      <c r="B2" s="301" t="s">
        <v>4169</v>
      </c>
      <c r="C2" s="301" t="s">
        <v>4170</v>
      </c>
      <c r="D2" s="301" t="s">
        <v>4171</v>
      </c>
      <c r="E2" s="301" t="s">
        <v>4172</v>
      </c>
      <c r="F2" s="301" t="s">
        <v>4173</v>
      </c>
      <c r="G2" s="133" t="s">
        <v>4174</v>
      </c>
      <c r="H2" s="133" t="s">
        <v>4175</v>
      </c>
      <c r="I2" s="133" t="s">
        <v>4176</v>
      </c>
      <c r="J2" s="133" t="s">
        <v>4177</v>
      </c>
      <c r="K2" s="133" t="s">
        <v>4178</v>
      </c>
      <c r="L2" s="133" t="s">
        <v>4179</v>
      </c>
      <c r="M2" s="133" t="s">
        <v>4180</v>
      </c>
      <c r="N2" s="301" t="s">
        <v>4181</v>
      </c>
      <c r="O2" s="133" t="s">
        <v>4182</v>
      </c>
      <c r="P2" s="301" t="s">
        <v>47</v>
      </c>
      <c r="Q2" s="133" t="s">
        <v>4183</v>
      </c>
      <c r="R2" s="301" t="s">
        <v>4184</v>
      </c>
      <c r="S2" s="133" t="s">
        <v>4185</v>
      </c>
      <c r="T2" s="133" t="s">
        <v>4186</v>
      </c>
      <c r="U2" s="133" t="s">
        <v>4187</v>
      </c>
      <c r="V2" s="133" t="s">
        <v>4188</v>
      </c>
      <c r="W2" s="133" t="s">
        <v>4189</v>
      </c>
      <c r="X2" s="133" t="s">
        <v>4190</v>
      </c>
      <c r="Y2" s="123"/>
      <c r="Z2" s="109">
        <f>_xlfn.RANK.EQ($AC2,$AC$2:$AC$11, 1) + COUNTIFS($AC$2:$AC$11, $AC2, $AD$2:$AD$11, "&lt;"&amp; $AD2) + COUNTIFS($AC$2:$AC$11, $AC2, $AD$2:$AD$11, $AD2, $AE$2:$AE$11, "&lt;"&amp; $AE2)</f>
        <v>6</v>
      </c>
      <c r="AA2" s="85" cm="1">
        <f t="array" ref="AA2:AF11">_xlfn._xlws.FILTER(Data[Date]:Data[Artist], (Data[Date]&gt;=DATE(2024,6,1))*(Data[Date]&lt;=DATE(2024,6,30))*(Data[Winner]=TRUE()), "TBD")</f>
        <v>45455</v>
      </c>
      <c r="AB2" t="str">
        <v>danram</v>
      </c>
      <c r="AC2" s="3">
        <v>2.2000000000000002</v>
      </c>
      <c r="AD2" s="86">
        <v>0.74833147735478833</v>
      </c>
      <c r="AE2" s="123" t="str">
        <v>Mosquito</v>
      </c>
      <c r="AF2" t="str">
        <v>PinkPantheress</v>
      </c>
      <c r="AG2" s="100">
        <f t="shared" ref="AG2:AG11" si="2">IF(Z2&gt;1, 2^FLOOR(LOG(Z2-1, 2), 1)+1, 1)</f>
        <v>5</v>
      </c>
      <c r="AI2" s="115">
        <v>1</v>
      </c>
      <c r="AJ2" s="105" t="str">
        <f ca="1">P3</f>
        <v>Holdin Out for a Hero</v>
      </c>
      <c r="AK2" s="7">
        <f ca="1">IFERROR(VLOOKUP(June_Results[[#This Row],[Song Title]], $AE$2:$AG$11, 3, FALSE)-June_Results[[#This Row],[Result]], "TBD")</f>
        <v>0</v>
      </c>
      <c r="AL2" s="125" t="str">
        <f ca="1">IF(AK2&lt;0,"↓",IF(AK2=0,"-","↑"))</f>
        <v>-</v>
      </c>
    </row>
    <row r="3" spans="1:38">
      <c r="A3" s="118" t="str">
        <f t="shared" ref="A3:A11" si="3">_xlfn.CONCAT("Seed ", E3, " vs ", F3)</f>
        <v>Seed 1 vs 2</v>
      </c>
      <c r="B3" s="119">
        <v>1</v>
      </c>
      <c r="C3" s="119">
        <f>FLOOR(LOG(June_SotM[[#This Row],[Num]], 2), 1)</f>
        <v>0</v>
      </c>
      <c r="D3" s="119">
        <f>2^(June_SotM[[#This Row],[Round]]+1)</f>
        <v>2</v>
      </c>
      <c r="E3" s="119">
        <f>June_SotM[[#This Row],[Max Seed]]-June_SotM[[#This Row],[Num]]</f>
        <v>1</v>
      </c>
      <c r="F3" s="119">
        <f>June_SotM[[#This Row],[Max Seed]]-June_SotM[[#This Row],[Top Seed]]+1</f>
        <v>2</v>
      </c>
      <c r="G3" s="119" t="b">
        <f>IF(June_SotM[[#This Row],[Round]]=$C$1, TRUE(), IF(June_SotM[[#This Row],[Round]]=$B$1, June_SotM[[#This Row],[Top Seed]]&lt;=2*June_SotM[[#This Row],[Max Seed]]-$A$1, FALSE()))</f>
        <v>0</v>
      </c>
      <c r="H3" s="119" t="b">
        <f>IF(June_SotM[[#This Row],[Round]]=$C$1, TRUE(), IF(June_SotM[[#This Row],[Round]]=$B$1, June_SotM[[#This Row],[Low Seed]]&lt;=2*June_SotM[[#This Row],[Max Seed]]-$A$1, FALSE()))</f>
        <v>0</v>
      </c>
      <c r="I3" s="28" t="s">
        <v>4191</v>
      </c>
      <c r="J3" s="31" t="s">
        <v>4191</v>
      </c>
      <c r="K3" s="33" t="s">
        <v>4191</v>
      </c>
      <c r="L3" s="35" t="s">
        <v>4191</v>
      </c>
      <c r="M3" s="37" t="s">
        <v>4191</v>
      </c>
      <c r="N3" s="120" t="str">
        <f ca="1">IF(June_SotM[[#This Row],[Num]]&gt;=$A$1, "-", IF(June_SotM[[#This Row],[Initial 1]], VLOOKUP(June_SotM[[#This Row],[Top Seed]], $Z$2:$AE$11, 6, FALSE), OFFSET(June_SotM[[#This Row],[Winner]], June_SotM[[#This Row],[Max Seed]], 0)))</f>
        <v>Holdin Out for a Hero</v>
      </c>
      <c r="O3" s="118">
        <f>COUNTIF(June_SotM[[#This Row],[J]:[H]],"x")</f>
        <v>5</v>
      </c>
      <c r="P3" s="119" t="str">
        <f ca="1">IF(June_SotM[[#This Row],[Num]]&gt;=$A$1, "-", IF(June_SotM[[#This Row],[Score 1]]&gt;=3, June_SotM[[#This Row],[Song 1]], IF(June_SotM[[#This Row],[Score 2]]&gt;=3, June_SotM[[#This Row],[Song 2]], "TBD")))</f>
        <v>Holdin Out for a Hero</v>
      </c>
      <c r="Q3" s="121">
        <f t="shared" ref="Q3:Q11" si="4">COUNTIF(S3:W3,"x")</f>
        <v>0</v>
      </c>
      <c r="R3" s="118" t="str">
        <f ca="1">IF(June_SotM[[#This Row],[Num]]&gt;=$A$1, "-", IF(June_SotM[[#This Row],[Initial 2]], VLOOKUP(June_SotM[[#This Row],[Low Seed]], $Z$2:$AE$11, 6, FALSE), OFFSET(June_SotM[[#This Row],[Winner]], 2*(June_SotM[[#This Row],[Max Seed]]-June_SotM[[#This Row],[Low Seed]])+1, 0)))</f>
        <v>Candle Flame</v>
      </c>
      <c r="S3" s="37"/>
      <c r="T3" s="35"/>
      <c r="U3" s="33"/>
      <c r="V3" s="31"/>
      <c r="W3" s="28"/>
      <c r="X3" s="3" t="str">
        <f ca="1">IF(OR(June_SotM[[#This Row],[Song 1]]="TBD", June_SotM[[#This Row],[Song 2]]="TBD"), "TBD", _xlfn.CONCAT(IF(_xlfn.XOR(ISBLANK(June_SotM[[#This Row],[J]]), ISBLANK(June_SotM[[#This Row],[J ]])), "", "J "), IF(_xlfn.XOR(ISBLANK(June_SotM[[#This Row],[D]]), ISBLANK(June_SotM[[#This Row],[D ]])), "", "D "), IF(_xlfn.XOR(ISBLANK(June_SotM[[#This Row],[L]]), ISBLANK(June_SotM[[#This Row],[L ]])), "", "L "), IF(_xlfn.XOR(ISBLANK(June_SotM[[#This Row],[S]]), ISBLANK(June_SotM[[#This Row],[S ]])), "", "S "), IF(_xlfn.XOR(ISBLANK(June_SotM[[#This Row],[H]]), ISBLANK(June_SotM[[#This Row],[H ]])), "", "H ")))</f>
        <v/>
      </c>
      <c r="Z3" s="109">
        <f t="shared" ref="Z3:Z11" si="5">_xlfn.RANK.EQ($AC3,$AC$2:$AC$11, 1) + COUNTIFS($AC$2:$AC$11, $AC3, $AD$2:$AD$11, "&lt;"&amp; $AD3) + COUNTIFS($AC$2:$AC$11, $AC3, $AD$2:$AD$11, $AD3, $AE$2:$AE$11, "&lt;"&amp; $AE3)</f>
        <v>5</v>
      </c>
      <c r="AA3" s="85">
        <v>45456</v>
      </c>
      <c r="AB3" t="str">
        <v>alappatjoe</v>
      </c>
      <c r="AC3" s="3">
        <v>2.2000000000000002</v>
      </c>
      <c r="AD3" s="86">
        <v>0.74833147735478833</v>
      </c>
      <c r="AE3" s="123" t="str">
        <v>Illusion - Extended</v>
      </c>
      <c r="AF3" t="str">
        <v>Dua Lipa</v>
      </c>
      <c r="AG3" s="100">
        <f t="shared" si="2"/>
        <v>5</v>
      </c>
      <c r="AI3" s="115">
        <f>June_SotM[[#This Row],[Max Seed]]/2 + 1</f>
        <v>2</v>
      </c>
      <c r="AJ3" s="105" t="str">
        <f ca="1">IF(June_SotM[[#This Row],[Num]]&gt;=$A$1, "-", IF(June_SotM[[#This Row],[Score 1]]&gt;=3, June_SotM[[#This Row],[Song 2]], IF(June_SotM[[#This Row],[Score 2]]&gt;=3, June_SotM[[#This Row],[Song 1]], "TBD")))</f>
        <v>Candle Flame</v>
      </c>
      <c r="AK3" s="7">
        <f ca="1">IFERROR(VLOOKUP(June_Results[[#This Row],[Song Title]], $AE$2:$AG$11, 3, FALSE)-June_Results[[#This Row],[Result]], "TBD")</f>
        <v>1</v>
      </c>
      <c r="AL3" s="125" t="str">
        <f ca="1">IF(AK3&lt;0,"↓",IF(AK3=0,"-","↑"))</f>
        <v>↑</v>
      </c>
    </row>
    <row r="4" spans="1:38">
      <c r="A4" s="118" t="str">
        <f t="shared" si="3"/>
        <v>Seed 2 vs 3</v>
      </c>
      <c r="B4" s="119">
        <v>2</v>
      </c>
      <c r="C4" s="119">
        <f>FLOOR(LOG(June_SotM[[#This Row],[Num]], 2), 1)</f>
        <v>1</v>
      </c>
      <c r="D4" s="119">
        <f>2^(June_SotM[[#This Row],[Round]]+1)</f>
        <v>4</v>
      </c>
      <c r="E4" s="119">
        <f>June_SotM[[#This Row],[Max Seed]]-June_SotM[[#This Row],[Num]]</f>
        <v>2</v>
      </c>
      <c r="F4" s="119">
        <f>June_SotM[[#This Row],[Max Seed]]-June_SotM[[#This Row],[Top Seed]]+1</f>
        <v>3</v>
      </c>
      <c r="G4" s="119" t="b">
        <f>IF(June_SotM[[#This Row],[Round]]=$C$1, TRUE(), IF(June_SotM[[#This Row],[Round]]=$B$1, June_SotM[[#This Row],[Top Seed]]&lt;=2*June_SotM[[#This Row],[Max Seed]]-$A$1, FALSE()))</f>
        <v>0</v>
      </c>
      <c r="H4" s="119" t="b">
        <f>IF(June_SotM[[#This Row],[Round]]=$C$1, TRUE(), IF(June_SotM[[#This Row],[Round]]=$B$1, June_SotM[[#This Row],[Low Seed]]&lt;=2*June_SotM[[#This Row],[Max Seed]]-$A$1, FALSE()))</f>
        <v>0</v>
      </c>
      <c r="I4" s="28" t="s">
        <v>4191</v>
      </c>
      <c r="J4" s="31"/>
      <c r="K4" s="33"/>
      <c r="L4" s="35" t="s">
        <v>4191</v>
      </c>
      <c r="M4" s="37"/>
      <c r="N4" s="120" t="str">
        <f ca="1">IF(June_SotM[[#This Row],[Num]]&gt;=$A$1, "-", IF(June_SotM[[#This Row],[Initial 1]], VLOOKUP(June_SotM[[#This Row],[Top Seed]], $Z$2:$AE$11, 6, FALSE), OFFSET(June_SotM[[#This Row],[Winner]], June_SotM[[#This Row],[Max Seed]], 0)))</f>
        <v>Espresso</v>
      </c>
      <c r="O4" s="118">
        <f>COUNTIF(June_SotM[[#This Row],[J]:[H]],"x")</f>
        <v>2</v>
      </c>
      <c r="P4" s="119" t="str">
        <f ca="1">IF(June_SotM[[#This Row],[Num]]&gt;=$A$1, "-", IF(June_SotM[[#This Row],[Score 1]]&gt;=3, June_SotM[[#This Row],[Song 1]], IF(June_SotM[[#This Row],[Score 2]]&gt;=3, June_SotM[[#This Row],[Song 2]], "TBD")))</f>
        <v>Candle Flame</v>
      </c>
      <c r="Q4" s="121">
        <f t="shared" si="4"/>
        <v>3</v>
      </c>
      <c r="R4" s="118" t="str">
        <f ca="1">IF(June_SotM[[#This Row],[Num]]&gt;=$A$1, "-", IF(June_SotM[[#This Row],[Initial 2]], VLOOKUP(June_SotM[[#This Row],[Low Seed]], $Z$2:$AE$11, 6, FALSE), OFFSET(June_SotM[[#This Row],[Winner]], 2*(June_SotM[[#This Row],[Max Seed]]-June_SotM[[#This Row],[Low Seed]])+1, 0)))</f>
        <v>Candle Flame</v>
      </c>
      <c r="S4" s="37" t="s">
        <v>4191</v>
      </c>
      <c r="T4" s="35"/>
      <c r="U4" s="33" t="s">
        <v>4191</v>
      </c>
      <c r="V4" s="31" t="s">
        <v>4191</v>
      </c>
      <c r="W4" s="28"/>
      <c r="X4" s="3" t="str">
        <f ca="1">IF(OR(June_SotM[[#This Row],[Song 1]]="TBD", June_SotM[[#This Row],[Song 2]]="TBD"), "TBD", _xlfn.CONCAT(IF(_xlfn.XOR(ISBLANK(June_SotM[[#This Row],[J]]), ISBLANK(June_SotM[[#This Row],[J ]])), "", "J "), IF(_xlfn.XOR(ISBLANK(June_SotM[[#This Row],[D]]), ISBLANK(June_SotM[[#This Row],[D ]])), "", "D "), IF(_xlfn.XOR(ISBLANK(June_SotM[[#This Row],[L]]), ISBLANK(June_SotM[[#This Row],[L ]])), "", "L "), IF(_xlfn.XOR(ISBLANK(June_SotM[[#This Row],[S]]), ISBLANK(June_SotM[[#This Row],[S ]])), "", "S "), IF(_xlfn.XOR(ISBLANK(June_SotM[[#This Row],[H]]), ISBLANK(June_SotM[[#This Row],[H ]])), "", "H ")))</f>
        <v/>
      </c>
      <c r="Z4" s="109">
        <f t="shared" si="5"/>
        <v>7</v>
      </c>
      <c r="AA4" s="85">
        <v>45460</v>
      </c>
      <c r="AB4" t="str">
        <v>danram</v>
      </c>
      <c r="AC4" s="3">
        <v>2.2000000000000002</v>
      </c>
      <c r="AD4" s="86">
        <v>0.9797958971132712</v>
      </c>
      <c r="AE4" s="123" t="str">
        <v>BIRDS OF A FEATHER</v>
      </c>
      <c r="AF4" t="str">
        <v>Billie Eilish</v>
      </c>
      <c r="AG4" s="100">
        <f t="shared" si="2"/>
        <v>5</v>
      </c>
      <c r="AI4" s="115">
        <f>June_SotM[[#This Row],[Max Seed]]/2 + 1</f>
        <v>3</v>
      </c>
      <c r="AJ4" s="105" t="str">
        <f ca="1">IF(June_SotM[[#This Row],[Num]]&gt;=$A$1, "-", IF(June_SotM[[#This Row],[Score 1]]&gt;=3, June_SotM[[#This Row],[Song 2]], IF(June_SotM[[#This Row],[Score 2]]&gt;=3, June_SotM[[#This Row],[Song 1]], "TBD")))</f>
        <v>Espresso</v>
      </c>
      <c r="AK4" s="7">
        <f ca="1">IFERROR(VLOOKUP(June_Results[[#This Row],[Song Title]], $AE$2:$AG$11, 3, FALSE)-June_Results[[#This Row],[Result]], "TBD")</f>
        <v>-1</v>
      </c>
      <c r="AL4" s="125" t="str">
        <f t="shared" ref="AL4:AL32" ca="1" si="6">IF(AK4&lt;0,"↓",IF(AK4=0,"-","↑"))</f>
        <v>↓</v>
      </c>
    </row>
    <row r="5" spans="1:38">
      <c r="A5" s="118" t="str">
        <f t="shared" si="3"/>
        <v>Seed 1 vs 4</v>
      </c>
      <c r="B5" s="119">
        <v>3</v>
      </c>
      <c r="C5" s="119">
        <f>FLOOR(LOG(June_SotM[[#This Row],[Num]], 2), 1)</f>
        <v>1</v>
      </c>
      <c r="D5" s="119">
        <f>2^(June_SotM[[#This Row],[Round]]+1)</f>
        <v>4</v>
      </c>
      <c r="E5" s="119">
        <f>June_SotM[[#This Row],[Max Seed]]-June_SotM[[#This Row],[Num]]</f>
        <v>1</v>
      </c>
      <c r="F5" s="119">
        <f>June_SotM[[#This Row],[Max Seed]]-June_SotM[[#This Row],[Top Seed]]+1</f>
        <v>4</v>
      </c>
      <c r="G5" s="119" t="b">
        <f>IF(June_SotM[[#This Row],[Round]]=$C$1, TRUE(), IF(June_SotM[[#This Row],[Round]]=$B$1, June_SotM[[#This Row],[Top Seed]]&lt;=2*June_SotM[[#This Row],[Max Seed]]-$A$1, FALSE()))</f>
        <v>0</v>
      </c>
      <c r="H5" s="119" t="b">
        <f>IF(June_SotM[[#This Row],[Round]]=$C$1, TRUE(), IF(June_SotM[[#This Row],[Round]]=$B$1, June_SotM[[#This Row],[Low Seed]]&lt;=2*June_SotM[[#This Row],[Max Seed]]-$A$1, FALSE()))</f>
        <v>0</v>
      </c>
      <c r="I5" s="28"/>
      <c r="J5" s="31" t="s">
        <v>4191</v>
      </c>
      <c r="K5" s="33" t="s">
        <v>4191</v>
      </c>
      <c r="L5" s="35" t="s">
        <v>4191</v>
      </c>
      <c r="M5" s="37" t="s">
        <v>4191</v>
      </c>
      <c r="N5" s="120" t="str">
        <f ca="1">IF(June_SotM[[#This Row],[Num]]&gt;=$A$1, "-", IF(June_SotM[[#This Row],[Initial 1]], VLOOKUP(June_SotM[[#This Row],[Top Seed]], $Z$2:$AE$11, 6, FALSE), OFFSET(June_SotM[[#This Row],[Winner]], June_SotM[[#This Row],[Max Seed]], 0)))</f>
        <v>Holdin Out for a Hero</v>
      </c>
      <c r="O5" s="118">
        <f>COUNTIF(June_SotM[[#This Row],[J]:[H]],"x")</f>
        <v>4</v>
      </c>
      <c r="P5" s="119" t="str">
        <f ca="1">IF(June_SotM[[#This Row],[Num]]&gt;=$A$1, "-", IF(June_SotM[[#This Row],[Score 1]]&gt;=3, June_SotM[[#This Row],[Song 1]], IF(June_SotM[[#This Row],[Score 2]]&gt;=3, June_SotM[[#This Row],[Song 2]], "TBD")))</f>
        <v>Holdin Out for a Hero</v>
      </c>
      <c r="Q5" s="121">
        <f t="shared" si="4"/>
        <v>1</v>
      </c>
      <c r="R5" s="118" t="str">
        <f ca="1">IF(June_SotM[[#This Row],[Num]]&gt;=$A$1, "-", IF(June_SotM[[#This Row],[Initial 2]], VLOOKUP(June_SotM[[#This Row],[Low Seed]], $Z$2:$AE$11, 6, FALSE), OFFSET(June_SotM[[#This Row],[Winner]], 2*(June_SotM[[#This Row],[Max Seed]]-June_SotM[[#This Row],[Low Seed]])+1, 0)))</f>
        <v>Illusion - Extended</v>
      </c>
      <c r="S5" s="37"/>
      <c r="T5" s="35"/>
      <c r="U5" s="33"/>
      <c r="V5" s="31"/>
      <c r="W5" s="28" t="s">
        <v>4191</v>
      </c>
      <c r="X5" s="3" t="str">
        <f ca="1">IF(OR(June_SotM[[#This Row],[Song 1]]="TBD", June_SotM[[#This Row],[Song 2]]="TBD"), "TBD", _xlfn.CONCAT(IF(_xlfn.XOR(ISBLANK(June_SotM[[#This Row],[J]]), ISBLANK(June_SotM[[#This Row],[J ]])), "", "J "), IF(_xlfn.XOR(ISBLANK(June_SotM[[#This Row],[D]]), ISBLANK(June_SotM[[#This Row],[D ]])), "", "D "), IF(_xlfn.XOR(ISBLANK(June_SotM[[#This Row],[L]]), ISBLANK(June_SotM[[#This Row],[L ]])), "", "L "), IF(_xlfn.XOR(ISBLANK(June_SotM[[#This Row],[S]]), ISBLANK(June_SotM[[#This Row],[S ]])), "", "S "), IF(_xlfn.XOR(ISBLANK(June_SotM[[#This Row],[H]]), ISBLANK(June_SotM[[#This Row],[H ]])), "", "H ")))</f>
        <v/>
      </c>
      <c r="Z5" s="109">
        <f t="shared" si="5"/>
        <v>3</v>
      </c>
      <c r="AA5" s="85">
        <v>45461</v>
      </c>
      <c r="AB5" t="str">
        <v>loganworsdell</v>
      </c>
      <c r="AC5" s="3">
        <v>1.8</v>
      </c>
      <c r="AD5" s="86">
        <v>0.74833147735478833</v>
      </c>
      <c r="AE5" s="123" t="str">
        <v>Candle Flame</v>
      </c>
      <c r="AF5" t="str">
        <v>Jungle, Erick the Architect</v>
      </c>
      <c r="AG5" s="100">
        <f t="shared" si="2"/>
        <v>3</v>
      </c>
      <c r="AI5" s="115">
        <f>June_SotM[[#This Row],[Max Seed]]/2 + 1</f>
        <v>3</v>
      </c>
      <c r="AJ5" s="105" t="str">
        <f ca="1">IF(June_SotM[[#This Row],[Num]]&gt;=$A$1, "-", IF(June_SotM[[#This Row],[Score 1]]&gt;=3, June_SotM[[#This Row],[Song 2]], IF(June_SotM[[#This Row],[Score 2]]&gt;=3, June_SotM[[#This Row],[Song 1]], "TBD")))</f>
        <v>Illusion - Extended</v>
      </c>
      <c r="AK5" s="7">
        <f ca="1">IFERROR(VLOOKUP(June_Results[[#This Row],[Song Title]], $AE$2:$AG$11, 3, FALSE)-June_Results[[#This Row],[Result]], "TBD")</f>
        <v>2</v>
      </c>
      <c r="AL5" s="125" t="str">
        <f t="shared" ca="1" si="6"/>
        <v>↑</v>
      </c>
    </row>
    <row r="6" spans="1:38">
      <c r="A6" s="118" t="str">
        <f t="shared" si="3"/>
        <v>Seed 4 vs 5</v>
      </c>
      <c r="B6" s="119">
        <v>4</v>
      </c>
      <c r="C6" s="119">
        <f>FLOOR(LOG(June_SotM[[#This Row],[Num]], 2), 1)</f>
        <v>2</v>
      </c>
      <c r="D6" s="119">
        <f>2^(June_SotM[[#This Row],[Round]]+1)</f>
        <v>8</v>
      </c>
      <c r="E6" s="119">
        <f>June_SotM[[#This Row],[Max Seed]]-June_SotM[[#This Row],[Num]]</f>
        <v>4</v>
      </c>
      <c r="F6" s="119">
        <f>June_SotM[[#This Row],[Max Seed]]-June_SotM[[#This Row],[Top Seed]]+1</f>
        <v>5</v>
      </c>
      <c r="G6" s="119" t="b">
        <f>IF(June_SotM[[#This Row],[Round]]=$C$1, TRUE(), IF(June_SotM[[#This Row],[Round]]=$B$1, June_SotM[[#This Row],[Top Seed]]&lt;=2*June_SotM[[#This Row],[Max Seed]]-$A$1, FALSE()))</f>
        <v>1</v>
      </c>
      <c r="H6" s="119" t="b">
        <f>IF(June_SotM[[#This Row],[Round]]=$C$1, TRUE(), IF(June_SotM[[#This Row],[Round]]=$B$1, June_SotM[[#This Row],[Low Seed]]&lt;=2*June_SotM[[#This Row],[Max Seed]]-$A$1, FALSE()))</f>
        <v>1</v>
      </c>
      <c r="I6" s="28"/>
      <c r="J6" s="31" t="s">
        <v>4191</v>
      </c>
      <c r="K6" s="33"/>
      <c r="L6" s="35" t="s">
        <v>4191</v>
      </c>
      <c r="M6" s="37"/>
      <c r="N6" s="120" t="str">
        <f ca="1">IF(June_SotM[[#This Row],[Num]]&gt;=$A$1, "-", IF(June_SotM[[#This Row],[Initial 1]], VLOOKUP(June_SotM[[#This Row],[Top Seed]], $Z$2:$AE$11, 6, FALSE), OFFSET(June_SotM[[#This Row],[Winner]], June_SotM[[#This Row],[Max Seed]], 0)))</f>
        <v>KLINK</v>
      </c>
      <c r="O6" s="118">
        <f>COUNTIF(June_SotM[[#This Row],[J]:[H]],"x")</f>
        <v>2</v>
      </c>
      <c r="P6" s="119" t="str">
        <f ca="1">IF(June_SotM[[#This Row],[Num]]&gt;=$A$1, "-", IF(June_SotM[[#This Row],[Score 1]]&gt;=3, June_SotM[[#This Row],[Song 1]], IF(June_SotM[[#This Row],[Score 2]]&gt;=3, June_SotM[[#This Row],[Song 2]], "TBD")))</f>
        <v>Illusion - Extended</v>
      </c>
      <c r="Q6" s="121">
        <f t="shared" si="4"/>
        <v>3</v>
      </c>
      <c r="R6" s="118" t="str">
        <f ca="1">IF(June_SotM[[#This Row],[Num]]&gt;=$A$1, "-", IF(June_SotM[[#This Row],[Initial 2]], VLOOKUP(June_SotM[[#This Row],[Low Seed]], $Z$2:$AE$11, 6, FALSE), OFFSET(June_SotM[[#This Row],[Winner]], 2*(June_SotM[[#This Row],[Max Seed]]-June_SotM[[#This Row],[Low Seed]])+1, 0)))</f>
        <v>Illusion - Extended</v>
      </c>
      <c r="S6" s="37" t="s">
        <v>4191</v>
      </c>
      <c r="T6" s="35"/>
      <c r="U6" s="33" t="s">
        <v>4191</v>
      </c>
      <c r="V6" s="31"/>
      <c r="W6" s="28" t="s">
        <v>4191</v>
      </c>
      <c r="X6" s="3" t="str">
        <f ca="1">IF(OR(June_SotM[[#This Row],[Song 1]]="TBD", June_SotM[[#This Row],[Song 2]]="TBD"), "TBD", _xlfn.CONCAT(IF(_xlfn.XOR(ISBLANK(June_SotM[[#This Row],[J]]), ISBLANK(June_SotM[[#This Row],[J ]])), "", "J "), IF(_xlfn.XOR(ISBLANK(June_SotM[[#This Row],[D]]), ISBLANK(June_SotM[[#This Row],[D ]])), "", "D "), IF(_xlfn.XOR(ISBLANK(June_SotM[[#This Row],[L]]), ISBLANK(June_SotM[[#This Row],[L ]])), "", "L "), IF(_xlfn.XOR(ISBLANK(June_SotM[[#This Row],[S]]), ISBLANK(June_SotM[[#This Row],[S ]])), "", "S "), IF(_xlfn.XOR(ISBLANK(June_SotM[[#This Row],[H]]), ISBLANK(June_SotM[[#This Row],[H ]])), "", "H ")))</f>
        <v/>
      </c>
      <c r="Z6" s="109">
        <f t="shared" si="5"/>
        <v>1</v>
      </c>
      <c r="AA6" s="85">
        <v>45462</v>
      </c>
      <c r="AB6" t="str">
        <v>currydestroyer27</v>
      </c>
      <c r="AC6" s="3">
        <v>1.4</v>
      </c>
      <c r="AD6" s="86">
        <v>0.4898979485566356</v>
      </c>
      <c r="AE6" s="123" t="str">
        <v>Holdin Out for a Hero</v>
      </c>
      <c r="AF6" t="str">
        <v>Bonnie Tyler</v>
      </c>
      <c r="AG6" s="100">
        <f t="shared" si="2"/>
        <v>1</v>
      </c>
      <c r="AI6" s="115">
        <f>June_SotM[[#This Row],[Max Seed]]/2 + 1</f>
        <v>5</v>
      </c>
      <c r="AJ6" s="105" t="str">
        <f ca="1">IF(June_SotM[[#This Row],[Num]]&gt;=$A$1, "-", IF(June_SotM[[#This Row],[Score 1]]&gt;=3, June_SotM[[#This Row],[Song 2]], IF(June_SotM[[#This Row],[Score 2]]&gt;=3, June_SotM[[#This Row],[Song 1]], "TBD")))</f>
        <v>KLINK</v>
      </c>
      <c r="AK6" s="7">
        <f ca="1">IFERROR(VLOOKUP(June_Results[[#This Row],[Song Title]], $AE$2:$AG$11, 3, FALSE)-June_Results[[#This Row],[Result]], "TBD")</f>
        <v>-2</v>
      </c>
      <c r="AL6" s="125" t="str">
        <f t="shared" ca="1" si="6"/>
        <v>↓</v>
      </c>
    </row>
    <row r="7" spans="1:38">
      <c r="A7" s="118" t="str">
        <f t="shared" si="3"/>
        <v>Seed 3 vs 6</v>
      </c>
      <c r="B7" s="119">
        <v>5</v>
      </c>
      <c r="C7" s="119">
        <f>FLOOR(LOG(June_SotM[[#This Row],[Num]], 2), 1)</f>
        <v>2</v>
      </c>
      <c r="D7" s="119">
        <f>2^(June_SotM[[#This Row],[Round]]+1)</f>
        <v>8</v>
      </c>
      <c r="E7" s="119">
        <f>June_SotM[[#This Row],[Max Seed]]-June_SotM[[#This Row],[Num]]</f>
        <v>3</v>
      </c>
      <c r="F7" s="119">
        <f>June_SotM[[#This Row],[Max Seed]]-June_SotM[[#This Row],[Top Seed]]+1</f>
        <v>6</v>
      </c>
      <c r="G7" s="119" t="b">
        <f>IF(June_SotM[[#This Row],[Round]]=$C$1, TRUE(), IF(June_SotM[[#This Row],[Round]]=$B$1, June_SotM[[#This Row],[Top Seed]]&lt;=2*June_SotM[[#This Row],[Max Seed]]-$A$1, FALSE()))</f>
        <v>1</v>
      </c>
      <c r="H7" s="119" t="b">
        <f>IF(June_SotM[[#This Row],[Round]]=$C$1, TRUE(), IF(June_SotM[[#This Row],[Round]]=$B$1, June_SotM[[#This Row],[Low Seed]]&lt;=2*June_SotM[[#This Row],[Max Seed]]-$A$1, FALSE()))</f>
        <v>1</v>
      </c>
      <c r="I7" s="28" t="s">
        <v>4191</v>
      </c>
      <c r="J7" s="31" t="s">
        <v>4191</v>
      </c>
      <c r="K7" s="33" t="s">
        <v>4191</v>
      </c>
      <c r="L7" s="35" t="s">
        <v>4191</v>
      </c>
      <c r="M7" s="37" t="s">
        <v>4191</v>
      </c>
      <c r="N7" s="120" t="str">
        <f ca="1">IF(June_SotM[[#This Row],[Num]]&gt;=$A$1, "-", IF(June_SotM[[#This Row],[Initial 1]], VLOOKUP(June_SotM[[#This Row],[Top Seed]], $Z$2:$AE$11, 6, FALSE), OFFSET(June_SotM[[#This Row],[Winner]], June_SotM[[#This Row],[Max Seed]], 0)))</f>
        <v>Candle Flame</v>
      </c>
      <c r="O7" s="118">
        <f>COUNTIF(June_SotM[[#This Row],[J]:[H]],"x")</f>
        <v>5</v>
      </c>
      <c r="P7" s="119" t="str">
        <f ca="1">IF(June_SotM[[#This Row],[Num]]&gt;=$A$1, "-", IF(June_SotM[[#This Row],[Score 1]]&gt;=3, June_SotM[[#This Row],[Song 1]], IF(June_SotM[[#This Row],[Score 2]]&gt;=3, June_SotM[[#This Row],[Song 2]], "TBD")))</f>
        <v>Candle Flame</v>
      </c>
      <c r="Q7" s="121">
        <f t="shared" si="4"/>
        <v>0</v>
      </c>
      <c r="R7" s="118" t="str">
        <f ca="1">IF(June_SotM[[#This Row],[Num]]&gt;=$A$1, "-", IF(June_SotM[[#This Row],[Initial 2]], VLOOKUP(June_SotM[[#This Row],[Low Seed]], $Z$2:$AE$11, 6, FALSE), OFFSET(June_SotM[[#This Row],[Winner]], 2*(June_SotM[[#This Row],[Max Seed]]-June_SotM[[#This Row],[Low Seed]])+1, 0)))</f>
        <v>Mosquito</v>
      </c>
      <c r="S7" s="37"/>
      <c r="T7" s="35"/>
      <c r="U7" s="33"/>
      <c r="V7" s="31"/>
      <c r="W7" s="28"/>
      <c r="X7" s="3" t="str">
        <f ca="1">IF(OR(June_SotM[[#This Row],[Song 1]]="TBD", June_SotM[[#This Row],[Song 2]]="TBD"), "TBD", _xlfn.CONCAT(IF(_xlfn.XOR(ISBLANK(June_SotM[[#This Row],[J]]), ISBLANK(June_SotM[[#This Row],[J ]])), "", "J "), IF(_xlfn.XOR(ISBLANK(June_SotM[[#This Row],[D]]), ISBLANK(June_SotM[[#This Row],[D ]])), "", "D "), IF(_xlfn.XOR(ISBLANK(June_SotM[[#This Row],[L]]), ISBLANK(June_SotM[[#This Row],[L ]])), "", "L "), IF(_xlfn.XOR(ISBLANK(June_SotM[[#This Row],[S]]), ISBLANK(June_SotM[[#This Row],[S ]])), "", "S "), IF(_xlfn.XOR(ISBLANK(June_SotM[[#This Row],[H]]), ISBLANK(June_SotM[[#This Row],[H ]])), "", "H ")))</f>
        <v/>
      </c>
      <c r="Z7" s="109">
        <f t="shared" si="5"/>
        <v>2</v>
      </c>
      <c r="AA7" s="85">
        <v>45463</v>
      </c>
      <c r="AB7" t="str">
        <v>alappatjoe</v>
      </c>
      <c r="AC7" s="3">
        <v>1.8</v>
      </c>
      <c r="AD7" s="86">
        <v>0.4</v>
      </c>
      <c r="AE7" s="123" t="str">
        <v>Espresso</v>
      </c>
      <c r="AF7" t="str">
        <v>Sabrina Carpenter</v>
      </c>
      <c r="AG7" s="100">
        <f t="shared" si="2"/>
        <v>2</v>
      </c>
      <c r="AI7" s="115">
        <f>June_SotM[[#This Row],[Max Seed]]/2 + 1</f>
        <v>5</v>
      </c>
      <c r="AJ7" s="105" t="str">
        <f ca="1">IF(June_SotM[[#This Row],[Num]]&gt;=$A$1, "-", IF(June_SotM[[#This Row],[Score 1]]&gt;=3, June_SotM[[#This Row],[Song 2]], IF(June_SotM[[#This Row],[Score 2]]&gt;=3, June_SotM[[#This Row],[Song 1]], "TBD")))</f>
        <v>Mosquito</v>
      </c>
      <c r="AK7" s="7">
        <f ca="1">IFERROR(VLOOKUP(June_Results[[#This Row],[Song Title]], $AE$2:$AG$11, 3, FALSE)-June_Results[[#This Row],[Result]], "TBD")</f>
        <v>0</v>
      </c>
      <c r="AL7" s="125" t="str">
        <f t="shared" ca="1" si="6"/>
        <v>-</v>
      </c>
    </row>
    <row r="8" spans="1:38">
      <c r="A8" s="118" t="str">
        <f t="shared" si="3"/>
        <v>Seed 2 vs 7</v>
      </c>
      <c r="B8" s="119">
        <v>6</v>
      </c>
      <c r="C8" s="119">
        <f>FLOOR(LOG(June_SotM[[#This Row],[Num]], 2), 1)</f>
        <v>2</v>
      </c>
      <c r="D8" s="119">
        <f>2^(June_SotM[[#This Row],[Round]]+1)</f>
        <v>8</v>
      </c>
      <c r="E8" s="119">
        <f>June_SotM[[#This Row],[Max Seed]]-June_SotM[[#This Row],[Num]]</f>
        <v>2</v>
      </c>
      <c r="F8" s="119">
        <f>June_SotM[[#This Row],[Max Seed]]-June_SotM[[#This Row],[Top Seed]]+1</f>
        <v>7</v>
      </c>
      <c r="G8" s="119" t="b">
        <f>IF(June_SotM[[#This Row],[Round]]=$C$1, TRUE(), IF(June_SotM[[#This Row],[Round]]=$B$1, June_SotM[[#This Row],[Top Seed]]&lt;=2*June_SotM[[#This Row],[Max Seed]]-$A$1, FALSE()))</f>
        <v>1</v>
      </c>
      <c r="H8" s="119" t="b">
        <f>IF(June_SotM[[#This Row],[Round]]=$C$1, TRUE(), IF(June_SotM[[#This Row],[Round]]=$B$1, June_SotM[[#This Row],[Low Seed]]&lt;=2*June_SotM[[#This Row],[Max Seed]]-$A$1, FALSE()))</f>
        <v>0</v>
      </c>
      <c r="I8" s="28" t="s">
        <v>4191</v>
      </c>
      <c r="J8" s="31" t="s">
        <v>4191</v>
      </c>
      <c r="K8" s="33"/>
      <c r="L8" s="35" t="s">
        <v>4191</v>
      </c>
      <c r="M8" s="37"/>
      <c r="N8" s="120" t="str">
        <f ca="1">IF(June_SotM[[#This Row],[Num]]&gt;=$A$1, "-", IF(June_SotM[[#This Row],[Initial 1]], VLOOKUP(June_SotM[[#This Row],[Top Seed]], $Z$2:$AE$11, 6, FALSE), OFFSET(June_SotM[[#This Row],[Winner]], June_SotM[[#This Row],[Max Seed]], 0)))</f>
        <v>Espresso</v>
      </c>
      <c r="O8" s="118">
        <f>COUNTIF(June_SotM[[#This Row],[J]:[H]],"x")</f>
        <v>3</v>
      </c>
      <c r="P8" s="119" t="str">
        <f ca="1">IF(June_SotM[[#This Row],[Num]]&gt;=$A$1, "-", IF(June_SotM[[#This Row],[Score 1]]&gt;=3, June_SotM[[#This Row],[Song 1]], IF(June_SotM[[#This Row],[Score 2]]&gt;=3, June_SotM[[#This Row],[Song 2]], "TBD")))</f>
        <v>Espresso</v>
      </c>
      <c r="Q8" s="121">
        <f t="shared" si="4"/>
        <v>2</v>
      </c>
      <c r="R8" s="118" t="str">
        <f ca="1">IF(June_SotM[[#This Row],[Num]]&gt;=$A$1, "-", IF(June_SotM[[#This Row],[Initial 2]], VLOOKUP(June_SotM[[#This Row],[Low Seed]], $Z$2:$AE$11, 6, FALSE), OFFSET(June_SotM[[#This Row],[Winner]], 2*(June_SotM[[#This Row],[Max Seed]]-June_SotM[[#This Row],[Low Seed]])+1, 0)))</f>
        <v>Right Now</v>
      </c>
      <c r="S8" s="37" t="s">
        <v>4191</v>
      </c>
      <c r="T8" s="35"/>
      <c r="U8" s="33" t="s">
        <v>4191</v>
      </c>
      <c r="V8" s="31"/>
      <c r="W8" s="28"/>
      <c r="X8" s="3" t="str">
        <f ca="1">IF(OR(June_SotM[[#This Row],[Song 1]]="TBD", June_SotM[[#This Row],[Song 2]]="TBD"), "TBD", _xlfn.CONCAT(IF(_xlfn.XOR(ISBLANK(June_SotM[[#This Row],[J]]), ISBLANK(June_SotM[[#This Row],[J ]])), "", "J "), IF(_xlfn.XOR(ISBLANK(June_SotM[[#This Row],[D]]), ISBLANK(June_SotM[[#This Row],[D ]])), "", "D "), IF(_xlfn.XOR(ISBLANK(June_SotM[[#This Row],[L]]), ISBLANK(June_SotM[[#This Row],[L ]])), "", "L "), IF(_xlfn.XOR(ISBLANK(June_SotM[[#This Row],[S]]), ISBLANK(June_SotM[[#This Row],[S ]])), "", "S "), IF(_xlfn.XOR(ISBLANK(June_SotM[[#This Row],[H]]), ISBLANK(June_SotM[[#This Row],[H ]])), "", "H ")))</f>
        <v/>
      </c>
      <c r="Z8" s="109">
        <f t="shared" si="5"/>
        <v>8</v>
      </c>
      <c r="AA8" s="85">
        <v>45467</v>
      </c>
      <c r="AB8" t="str">
        <v>loganworsdell</v>
      </c>
      <c r="AC8" s="3">
        <v>2.2000000000000002</v>
      </c>
      <c r="AD8" s="86">
        <v>1.6</v>
      </c>
      <c r="AE8" s="123" t="str">
        <v>Everything Goes On</v>
      </c>
      <c r="AF8" t="str">
        <v>Porter Robinson, League of Legends</v>
      </c>
      <c r="AG8" s="100">
        <f t="shared" si="2"/>
        <v>5</v>
      </c>
      <c r="AI8" s="115">
        <f>June_SotM[[#This Row],[Max Seed]]/2 + 1</f>
        <v>5</v>
      </c>
      <c r="AJ8" s="105" t="str">
        <f ca="1">IF(June_SotM[[#This Row],[Num]]&gt;=$A$1, "-", IF(June_SotM[[#This Row],[Score 1]]&gt;=3, June_SotM[[#This Row],[Song 2]], IF(June_SotM[[#This Row],[Score 2]]&gt;=3, June_SotM[[#This Row],[Song 1]], "TBD")))</f>
        <v>Right Now</v>
      </c>
      <c r="AK8" s="7">
        <f ca="1">IFERROR(VLOOKUP(June_Results[[#This Row],[Song Title]], $AE$2:$AG$11, 3, FALSE)-June_Results[[#This Row],[Result]], "TBD")</f>
        <v>4</v>
      </c>
      <c r="AL8" s="125" t="str">
        <f t="shared" ca="1" si="6"/>
        <v>↑</v>
      </c>
    </row>
    <row r="9" spans="1:38">
      <c r="A9" s="118" t="str">
        <f t="shared" si="3"/>
        <v>Seed 1 vs 8</v>
      </c>
      <c r="B9" s="119">
        <v>7</v>
      </c>
      <c r="C9" s="119">
        <f>FLOOR(LOG(June_SotM[[#This Row],[Num]], 2), 1)</f>
        <v>2</v>
      </c>
      <c r="D9" s="119">
        <f>2^(June_SotM[[#This Row],[Round]]+1)</f>
        <v>8</v>
      </c>
      <c r="E9" s="119">
        <f>June_SotM[[#This Row],[Max Seed]]-June_SotM[[#This Row],[Num]]</f>
        <v>1</v>
      </c>
      <c r="F9" s="119">
        <f>June_SotM[[#This Row],[Max Seed]]-June_SotM[[#This Row],[Top Seed]]+1</f>
        <v>8</v>
      </c>
      <c r="G9" s="119" t="b">
        <f>IF(June_SotM[[#This Row],[Round]]=$C$1, TRUE(), IF(June_SotM[[#This Row],[Round]]=$B$1, June_SotM[[#This Row],[Top Seed]]&lt;=2*June_SotM[[#This Row],[Max Seed]]-$A$1, FALSE()))</f>
        <v>1</v>
      </c>
      <c r="H9" s="119" t="b">
        <f>IF(June_SotM[[#This Row],[Round]]=$C$1, TRUE(), IF(June_SotM[[#This Row],[Round]]=$B$1, June_SotM[[#This Row],[Low Seed]]&lt;=2*June_SotM[[#This Row],[Max Seed]]-$A$1, FALSE()))</f>
        <v>0</v>
      </c>
      <c r="I9" s="28" t="s">
        <v>4191</v>
      </c>
      <c r="J9" s="31" t="s">
        <v>4191</v>
      </c>
      <c r="K9" s="33"/>
      <c r="L9" s="35" t="s">
        <v>4191</v>
      </c>
      <c r="M9" s="37" t="s">
        <v>4191</v>
      </c>
      <c r="N9" s="120" t="str">
        <f ca="1">IF(June_SotM[[#This Row],[Num]]&gt;=$A$1, "-", IF(June_SotM[[#This Row],[Initial 1]], VLOOKUP(June_SotM[[#This Row],[Top Seed]], $Z$2:$AE$11, 6, FALSE), OFFSET(June_SotM[[#This Row],[Winner]], June_SotM[[#This Row],[Max Seed]], 0)))</f>
        <v>Holdin Out for a Hero</v>
      </c>
      <c r="O9" s="118">
        <f>COUNTIF(June_SotM[[#This Row],[J]:[H]],"x")</f>
        <v>4</v>
      </c>
      <c r="P9" s="119" t="str">
        <f ca="1">IF(June_SotM[[#This Row],[Num]]&gt;=$A$1, "-", IF(June_SotM[[#This Row],[Score 1]]&gt;=3, June_SotM[[#This Row],[Song 1]], IF(June_SotM[[#This Row],[Score 2]]&gt;=3, June_SotM[[#This Row],[Song 2]], "TBD")))</f>
        <v>Holdin Out for a Hero</v>
      </c>
      <c r="Q9" s="121">
        <f t="shared" si="4"/>
        <v>1</v>
      </c>
      <c r="R9" s="118" t="str">
        <f ca="1">IF(June_SotM[[#This Row],[Num]]&gt;=$A$1, "-", IF(June_SotM[[#This Row],[Initial 2]], VLOOKUP(June_SotM[[#This Row],[Low Seed]], $Z$2:$AE$11, 6, FALSE), OFFSET(June_SotM[[#This Row],[Winner]], 2*(June_SotM[[#This Row],[Max Seed]]-June_SotM[[#This Row],[Low Seed]])+1, 0)))</f>
        <v>Everything Goes On</v>
      </c>
      <c r="S9" s="37"/>
      <c r="T9" s="35"/>
      <c r="U9" s="33" t="s">
        <v>4191</v>
      </c>
      <c r="V9" s="31"/>
      <c r="W9" s="28"/>
      <c r="X9" s="3" t="str">
        <f ca="1">IF(OR(June_SotM[[#This Row],[Song 1]]="TBD", June_SotM[[#This Row],[Song 2]]="TBD"), "TBD", _xlfn.CONCAT(IF(_xlfn.XOR(ISBLANK(June_SotM[[#This Row],[J]]), ISBLANK(June_SotM[[#This Row],[J ]])), "", "J "), IF(_xlfn.XOR(ISBLANK(June_SotM[[#This Row],[D]]), ISBLANK(June_SotM[[#This Row],[D ]])), "", "D "), IF(_xlfn.XOR(ISBLANK(June_SotM[[#This Row],[L]]), ISBLANK(June_SotM[[#This Row],[L ]])), "", "L "), IF(_xlfn.XOR(ISBLANK(June_SotM[[#This Row],[S]]), ISBLANK(June_SotM[[#This Row],[S ]])), "", "S "), IF(_xlfn.XOR(ISBLANK(June_SotM[[#This Row],[H]]), ISBLANK(June_SotM[[#This Row],[H ]])), "", "H ")))</f>
        <v/>
      </c>
      <c r="Z9" s="109">
        <f t="shared" si="5"/>
        <v>10</v>
      </c>
      <c r="AA9" s="85">
        <v>45468</v>
      </c>
      <c r="AB9" t="str">
        <v>currydestroyer27</v>
      </c>
      <c r="AC9" s="3">
        <v>2.6</v>
      </c>
      <c r="AD9" s="86">
        <v>1.6248076809271921</v>
      </c>
      <c r="AE9" s="123" t="str">
        <v>Right Now</v>
      </c>
      <c r="AF9" t="str">
        <v>New Jeans</v>
      </c>
      <c r="AG9" s="100">
        <f t="shared" si="2"/>
        <v>9</v>
      </c>
      <c r="AI9" s="115">
        <f>June_SotM[[#This Row],[Max Seed]]/2 + 1</f>
        <v>5</v>
      </c>
      <c r="AJ9" s="105" t="str">
        <f ca="1">IF(June_SotM[[#This Row],[Num]]&gt;=$A$1, "-", IF(June_SotM[[#This Row],[Score 1]]&gt;=3, June_SotM[[#This Row],[Song 2]], IF(June_SotM[[#This Row],[Score 2]]&gt;=3, June_SotM[[#This Row],[Song 1]], "TBD")))</f>
        <v>Everything Goes On</v>
      </c>
      <c r="AK9" s="7">
        <f ca="1">IFERROR(VLOOKUP(June_Results[[#This Row],[Song Title]], $AE$2:$AG$11, 3, FALSE)-June_Results[[#This Row],[Result]], "TBD")</f>
        <v>0</v>
      </c>
      <c r="AL9" s="125" t="str">
        <f t="shared" ca="1" si="6"/>
        <v>-</v>
      </c>
    </row>
    <row r="10" spans="1:38">
      <c r="A10" s="118" t="str">
        <f t="shared" si="3"/>
        <v>Seed 8 vs 9</v>
      </c>
      <c r="B10" s="119">
        <v>8</v>
      </c>
      <c r="C10" s="119">
        <f>FLOOR(LOG(June_SotM[[#This Row],[Num]], 2), 1)</f>
        <v>3</v>
      </c>
      <c r="D10" s="119">
        <f>2^(June_SotM[[#This Row],[Round]]+1)</f>
        <v>16</v>
      </c>
      <c r="E10" s="119">
        <f>June_SotM[[#This Row],[Max Seed]]-June_SotM[[#This Row],[Num]]</f>
        <v>8</v>
      </c>
      <c r="F10" s="119">
        <f>June_SotM[[#This Row],[Max Seed]]-June_SotM[[#This Row],[Top Seed]]+1</f>
        <v>9</v>
      </c>
      <c r="G10" s="119" t="b">
        <f>IF(June_SotM[[#This Row],[Round]]=$C$1, TRUE(), IF(June_SotM[[#This Row],[Round]]=$B$1, June_SotM[[#This Row],[Top Seed]]&lt;=2*June_SotM[[#This Row],[Max Seed]]-$A$1, FALSE()))</f>
        <v>1</v>
      </c>
      <c r="H10" s="119" t="b">
        <f>IF(June_SotM[[#This Row],[Round]]=$C$1, TRUE(), IF(June_SotM[[#This Row],[Round]]=$B$1, June_SotM[[#This Row],[Low Seed]]&lt;=2*June_SotM[[#This Row],[Max Seed]]-$A$1, FALSE()))</f>
        <v>1</v>
      </c>
      <c r="I10" s="28" t="s">
        <v>4191</v>
      </c>
      <c r="J10" s="31" t="s">
        <v>4191</v>
      </c>
      <c r="K10" s="33" t="s">
        <v>4191</v>
      </c>
      <c r="L10" s="35"/>
      <c r="M10" s="37" t="s">
        <v>4191</v>
      </c>
      <c r="N10" s="120" t="str">
        <f ca="1">IF(June_SotM[[#This Row],[Num]]&gt;=$A$1, "-", IF(June_SotM[[#This Row],[Initial 1]], VLOOKUP(June_SotM[[#This Row],[Top Seed]], $Z$2:$AE$11, 6, FALSE), OFFSET(June_SotM[[#This Row],[Winner]], June_SotM[[#This Row],[Max Seed]], 0)))</f>
        <v>Everything Goes On</v>
      </c>
      <c r="O10" s="118">
        <f>COUNTIF(June_SotM[[#This Row],[J]:[H]],"x")</f>
        <v>4</v>
      </c>
      <c r="P10" s="119" t="str">
        <f ca="1">IF(June_SotM[[#This Row],[Num]]&gt;=$A$1, "-", IF(June_SotM[[#This Row],[Score 1]]&gt;=3, June_SotM[[#This Row],[Song 1]], IF(June_SotM[[#This Row],[Score 2]]&gt;=3, June_SotM[[#This Row],[Song 2]], "TBD")))</f>
        <v>Everything Goes On</v>
      </c>
      <c r="Q10" s="121">
        <f t="shared" si="4"/>
        <v>1</v>
      </c>
      <c r="R10" s="118" t="str">
        <f ca="1">IF(June_SotM[[#This Row],[Num]]&gt;=$A$1, "-", IF(June_SotM[[#This Row],[Initial 2]], VLOOKUP(June_SotM[[#This Row],[Low Seed]], $Z$2:$AE$11, 6, FALSE), OFFSET(June_SotM[[#This Row],[Winner]], 2*(June_SotM[[#This Row],[Max Seed]]-June_SotM[[#This Row],[Low Seed]])+1, 0)))</f>
        <v>Doritos &amp; Fritos</v>
      </c>
      <c r="S10" s="37"/>
      <c r="T10" s="35" t="s">
        <v>4191</v>
      </c>
      <c r="U10" s="33"/>
      <c r="V10" s="31"/>
      <c r="W10" s="28"/>
      <c r="X10" s="3" t="str">
        <f ca="1">IF(OR(June_SotM[[#This Row],[Song 1]]="TBD", June_SotM[[#This Row],[Song 2]]="TBD"), "TBD", _xlfn.CONCAT(IF(_xlfn.XOR(ISBLANK(June_SotM[[#This Row],[J]]), ISBLANK(June_SotM[[#This Row],[J ]])), "", "J "), IF(_xlfn.XOR(ISBLANK(June_SotM[[#This Row],[D]]), ISBLANK(June_SotM[[#This Row],[D ]])), "", "D "), IF(_xlfn.XOR(ISBLANK(June_SotM[[#This Row],[L]]), ISBLANK(June_SotM[[#This Row],[L ]])), "", "L "), IF(_xlfn.XOR(ISBLANK(June_SotM[[#This Row],[S]]), ISBLANK(June_SotM[[#This Row],[S ]])), "", "S "), IF(_xlfn.XOR(ISBLANK(June_SotM[[#This Row],[H]]), ISBLANK(June_SotM[[#This Row],[H ]])), "", "H ")))</f>
        <v/>
      </c>
      <c r="Z10" s="109">
        <f t="shared" si="5"/>
        <v>4</v>
      </c>
      <c r="AA10" s="85">
        <v>45469</v>
      </c>
      <c r="AB10" t="str">
        <v>loganworsdell</v>
      </c>
      <c r="AC10" s="3">
        <v>2</v>
      </c>
      <c r="AD10" s="86">
        <v>0.89442719099991586</v>
      </c>
      <c r="AE10" s="123" t="str">
        <v>KLINK</v>
      </c>
      <c r="AF10" t="str">
        <v>Smino</v>
      </c>
      <c r="AG10" s="100">
        <f t="shared" si="2"/>
        <v>3</v>
      </c>
      <c r="AI10" s="115">
        <f>June_SotM[[#This Row],[Max Seed]]/2 + 1</f>
        <v>9</v>
      </c>
      <c r="AJ10" s="105" t="str">
        <f ca="1">IF(June_SotM[[#This Row],[Num]]&gt;=$A$1, "-", IF(June_SotM[[#This Row],[Score 1]]&gt;=3, June_SotM[[#This Row],[Song 2]], IF(June_SotM[[#This Row],[Score 2]]&gt;=3, June_SotM[[#This Row],[Song 1]], "TBD")))</f>
        <v>Doritos &amp; Fritos</v>
      </c>
      <c r="AK10" s="7">
        <f ca="1">IFERROR(VLOOKUP(June_Results[[#This Row],[Song Title]], $AE$2:$AG$11, 3, FALSE)-June_Results[[#This Row],[Result]], "TBD")</f>
        <v>0</v>
      </c>
      <c r="AL10" s="125" t="str">
        <f t="shared" ca="1" si="6"/>
        <v>-</v>
      </c>
    </row>
    <row r="11" spans="1:38">
      <c r="A11" s="131" t="str">
        <f t="shared" si="3"/>
        <v>Seed 7 vs 10</v>
      </c>
      <c r="B11" s="129">
        <v>9</v>
      </c>
      <c r="C11" s="129">
        <f>FLOOR(LOG(June_SotM[[#This Row],[Num]], 2), 1)</f>
        <v>3</v>
      </c>
      <c r="D11" s="129">
        <f>2^(June_SotM[[#This Row],[Round]]+1)</f>
        <v>16</v>
      </c>
      <c r="E11" s="129">
        <f>June_SotM[[#This Row],[Max Seed]]-June_SotM[[#This Row],[Num]]</f>
        <v>7</v>
      </c>
      <c r="F11" s="129">
        <f>June_SotM[[#This Row],[Max Seed]]-June_SotM[[#This Row],[Top Seed]]+1</f>
        <v>10</v>
      </c>
      <c r="G11" s="129" t="b">
        <f>IF(June_SotM[[#This Row],[Round]]=$C$1, TRUE(), IF(June_SotM[[#This Row],[Round]]=$B$1, June_SotM[[#This Row],[Top Seed]]&lt;=2*June_SotM[[#This Row],[Max Seed]]-$A$1, FALSE()))</f>
        <v>1</v>
      </c>
      <c r="H11" s="129" t="b">
        <f>IF(June_SotM[[#This Row],[Round]]=$C$1, TRUE(), IF(June_SotM[[#This Row],[Round]]=$B$1, June_SotM[[#This Row],[Low Seed]]&lt;=2*June_SotM[[#This Row],[Max Seed]]-$A$1, FALSE()))</f>
        <v>1</v>
      </c>
      <c r="I11" s="65"/>
      <c r="J11" s="66" t="s">
        <v>4191</v>
      </c>
      <c r="K11" s="67"/>
      <c r="L11" s="68" t="s">
        <v>4191</v>
      </c>
      <c r="M11" s="69"/>
      <c r="N11" s="130" t="str">
        <f ca="1">IF(June_SotM[[#This Row],[Num]]&gt;=$A$1, "-", IF(June_SotM[[#This Row],[Initial 1]], VLOOKUP(June_SotM[[#This Row],[Top Seed]], $Z$2:$AE$11, 6, FALSE), OFFSET(June_SotM[[#This Row],[Winner]], June_SotM[[#This Row],[Max Seed]], 0)))</f>
        <v>BIRDS OF A FEATHER</v>
      </c>
      <c r="O11" s="131">
        <f>COUNTIF(June_SotM[[#This Row],[J]:[H]],"x")</f>
        <v>2</v>
      </c>
      <c r="P11" s="129" t="str">
        <f ca="1">IF(June_SotM[[#This Row],[Num]]&gt;=$A$1, "-", IF(June_SotM[[#This Row],[Score 1]]&gt;=3, June_SotM[[#This Row],[Song 1]], IF(June_SotM[[#This Row],[Score 2]]&gt;=3, June_SotM[[#This Row],[Song 2]], "TBD")))</f>
        <v>Right Now</v>
      </c>
      <c r="Q11" s="132">
        <f t="shared" si="4"/>
        <v>3</v>
      </c>
      <c r="R11" s="118" t="str">
        <f ca="1">IF(June_SotM[[#This Row],[Num]]&gt;=$A$1, "-", IF(June_SotM[[#This Row],[Initial 2]], VLOOKUP(June_SotM[[#This Row],[Low Seed]], $Z$2:$AE$11, 6, FALSE), OFFSET(June_SotM[[#This Row],[Winner]], 2*(June_SotM[[#This Row],[Max Seed]]-June_SotM[[#This Row],[Low Seed]])+1, 0)))</f>
        <v>Right Now</v>
      </c>
      <c r="S11" s="69" t="s">
        <v>4191</v>
      </c>
      <c r="T11" s="68"/>
      <c r="U11" s="67" t="s">
        <v>4191</v>
      </c>
      <c r="V11" s="66"/>
      <c r="W11" s="65" t="s">
        <v>4191</v>
      </c>
      <c r="X11" s="3" t="str">
        <f ca="1">IF(OR(June_SotM[[#This Row],[Song 1]]="TBD", June_SotM[[#This Row],[Song 2]]="TBD"), "TBD", _xlfn.CONCAT(IF(_xlfn.XOR(ISBLANK(June_SotM[[#This Row],[J]]), ISBLANK(June_SotM[[#This Row],[J ]])), "", "J "), IF(_xlfn.XOR(ISBLANK(June_SotM[[#This Row],[D]]), ISBLANK(June_SotM[[#This Row],[D ]])), "", "D "), IF(_xlfn.XOR(ISBLANK(June_SotM[[#This Row],[L]]), ISBLANK(June_SotM[[#This Row],[L ]])), "", "L "), IF(_xlfn.XOR(ISBLANK(June_SotM[[#This Row],[S]]), ISBLANK(June_SotM[[#This Row],[S ]])), "", "S "), IF(_xlfn.XOR(ISBLANK(June_SotM[[#This Row],[H]]), ISBLANK(June_SotM[[#This Row],[H ]])), "", "H ")))</f>
        <v/>
      </c>
      <c r="Z11" s="110">
        <f t="shared" si="5"/>
        <v>9</v>
      </c>
      <c r="AA11" s="156">
        <v>45470</v>
      </c>
      <c r="AB11" s="157" t="str">
        <v>samuelbattista</v>
      </c>
      <c r="AC11" s="101">
        <v>2.6</v>
      </c>
      <c r="AD11" s="158">
        <v>1.019803902718557</v>
      </c>
      <c r="AE11" s="159" t="str">
        <v>Doritos &amp; Fritos</v>
      </c>
      <c r="AF11" s="157" t="str">
        <v>100 gecs</v>
      </c>
      <c r="AG11" s="102">
        <f t="shared" si="2"/>
        <v>9</v>
      </c>
      <c r="AI11" s="115">
        <f>June_SotM[[#This Row],[Max Seed]]/2 + 1</f>
        <v>9</v>
      </c>
      <c r="AJ11" s="105" t="str">
        <f ca="1">IF(June_SotM[[#This Row],[Num]]&gt;=$A$1, "-", IF(June_SotM[[#This Row],[Score 1]]&gt;=3, June_SotM[[#This Row],[Song 2]], IF(June_SotM[[#This Row],[Score 2]]&gt;=3, June_SotM[[#This Row],[Song 1]], "TBD")))</f>
        <v>BIRDS OF A FEATHER</v>
      </c>
      <c r="AK11" s="7">
        <f ca="1">IFERROR(VLOOKUP(June_Results[[#This Row],[Song Title]], $AE$2:$AG$11, 3, FALSE)-June_Results[[#This Row],[Result]], "TBD")</f>
        <v>-4</v>
      </c>
      <c r="AL11" s="125" t="str">
        <f t="shared" ca="1" si="6"/>
        <v>↓</v>
      </c>
    </row>
    <row r="12" spans="1:38">
      <c r="AL12" s="3"/>
    </row>
    <row r="13" spans="1:38">
      <c r="A13" s="301">
        <f>MAX(Z14:Z32)</f>
        <v>19</v>
      </c>
      <c r="B13" s="301">
        <f t="shared" ref="B13" si="7">FLOOR(LOG(A13, 2), 1)-1</f>
        <v>3</v>
      </c>
      <c r="C13" s="301">
        <f t="shared" ref="C13" si="8">_xlfn.CEILING.MATH(LOG(A13, 2), 1)-1</f>
        <v>4</v>
      </c>
      <c r="D13" s="301"/>
      <c r="E13" s="301"/>
      <c r="F13" s="301"/>
      <c r="G13" s="301"/>
      <c r="H13" s="301"/>
      <c r="I13" s="347" t="s">
        <v>4196</v>
      </c>
      <c r="J13" s="347"/>
      <c r="K13" s="347"/>
      <c r="L13" s="347"/>
      <c r="M13" s="347"/>
      <c r="N13" s="347"/>
      <c r="O13" s="347"/>
      <c r="P13" s="347"/>
      <c r="Q13" s="347"/>
      <c r="R13" s="347"/>
      <c r="S13" s="347"/>
      <c r="T13" s="347"/>
      <c r="U13" s="347"/>
      <c r="V13" s="347"/>
      <c r="W13" s="347"/>
      <c r="X13" s="301"/>
      <c r="Z13" s="148" t="s">
        <v>4163</v>
      </c>
      <c r="AA13" s="149" t="s">
        <v>29</v>
      </c>
      <c r="AB13" s="150" t="s">
        <v>32</v>
      </c>
      <c r="AC13" s="151" t="s">
        <v>33</v>
      </c>
      <c r="AD13" s="152" t="s">
        <v>34</v>
      </c>
      <c r="AE13" s="153" t="s">
        <v>4161</v>
      </c>
      <c r="AF13" s="154" t="s">
        <v>36</v>
      </c>
      <c r="AG13" s="155" t="s">
        <v>4164</v>
      </c>
      <c r="AI13" s="136" t="s">
        <v>4165</v>
      </c>
      <c r="AJ13" s="137" t="s">
        <v>35</v>
      </c>
      <c r="AK13" s="138" t="s">
        <v>4166</v>
      </c>
      <c r="AL13" s="139" t="s">
        <v>4167</v>
      </c>
    </row>
    <row r="14" spans="1:38">
      <c r="A14" s="301" t="s">
        <v>4168</v>
      </c>
      <c r="B14" s="301" t="s">
        <v>4169</v>
      </c>
      <c r="C14" s="301" t="s">
        <v>4170</v>
      </c>
      <c r="D14" s="301" t="s">
        <v>4171</v>
      </c>
      <c r="E14" s="301" t="s">
        <v>4172</v>
      </c>
      <c r="F14" s="301" t="s">
        <v>4173</v>
      </c>
      <c r="G14" s="134" t="s">
        <v>4174</v>
      </c>
      <c r="H14" s="134" t="s">
        <v>4175</v>
      </c>
      <c r="I14" s="133" t="s">
        <v>4176</v>
      </c>
      <c r="J14" s="133" t="s">
        <v>4177</v>
      </c>
      <c r="K14" s="133" t="s">
        <v>4178</v>
      </c>
      <c r="L14" s="133" t="s">
        <v>4179</v>
      </c>
      <c r="M14" s="133" t="s">
        <v>4180</v>
      </c>
      <c r="N14" s="301" t="s">
        <v>4181</v>
      </c>
      <c r="O14" s="133" t="s">
        <v>4182</v>
      </c>
      <c r="P14" s="301" t="s">
        <v>47</v>
      </c>
      <c r="Q14" s="133" t="s">
        <v>4183</v>
      </c>
      <c r="R14" s="301" t="s">
        <v>4184</v>
      </c>
      <c r="S14" s="133" t="s">
        <v>4185</v>
      </c>
      <c r="T14" s="133" t="s">
        <v>4186</v>
      </c>
      <c r="U14" s="133" t="s">
        <v>4187</v>
      </c>
      <c r="V14" s="133" t="s">
        <v>4188</v>
      </c>
      <c r="W14" s="133" t="s">
        <v>4189</v>
      </c>
      <c r="X14" s="133" t="s">
        <v>4190</v>
      </c>
      <c r="Z14" s="109">
        <f>_xlfn.RANK.EQ($AC14,$AC$14:$AC$32, 1) + COUNTIFS($AC$14:$AC$32, $AC14, $AD$14:$AD$32, "&lt;"&amp; $AD14) + COUNTIFS($AC$14:$AC$32, $AC14, $AD$14:$AD$32, $AD14, $AE$14:$AE$32, "&lt;"&amp; $AE14)</f>
        <v>19</v>
      </c>
      <c r="AA14" s="85" cm="1">
        <f t="array" ref="AA14:AF32">_xlfn._xlws.FILTER(Data[Date]:Data[Artist], (Data[Date]&gt;=DATE(2024,7,1))*(Data[Date]&lt;=DATE(2024,7,31))*(Data[Winner]=TRUE()), "TBD")</f>
        <v>45474</v>
      </c>
      <c r="AB14" s="123" t="str">
        <v>alappatjoe</v>
      </c>
      <c r="AC14" s="3">
        <v>2.6</v>
      </c>
      <c r="AD14" s="86">
        <v>1.9595917942265424</v>
      </c>
      <c r="AE14" s="123" t="str">
        <v>Spain</v>
      </c>
      <c r="AF14" t="str">
        <v>US Air Force Airmen of Note</v>
      </c>
      <c r="AG14" s="100">
        <f t="shared" ref="AG14:AG32" si="9">IF(Z14&gt;1, 2^FLOOR(LOG(Z14-1, 2), 1)+1, 1)</f>
        <v>17</v>
      </c>
      <c r="AI14" s="140">
        <v>1</v>
      </c>
      <c r="AJ14" s="135" t="str">
        <f ca="1">P15</f>
        <v>Stop Signs are Merely Suggestions</v>
      </c>
      <c r="AK14" s="124">
        <f ca="1">IFERROR(VLOOKUP(July_Results[[#This Row],[Song Title]], $AE$14:$AG$32, 3, FALSE)-July_Results[[#This Row],[Result]], "TBD")</f>
        <v>8</v>
      </c>
      <c r="AL14" s="125" t="str">
        <f t="shared" ca="1" si="6"/>
        <v>↑</v>
      </c>
    </row>
    <row r="15" spans="1:38">
      <c r="A15" s="118" t="str">
        <f>_xlfn.CONCAT("Seed ", E15, " vs ", F15)</f>
        <v>Seed 1 vs 2</v>
      </c>
      <c r="B15" s="119">
        <v>1</v>
      </c>
      <c r="C15" s="119">
        <f>FLOOR(LOG(July_SotM[[#This Row],[Num]], 2), 1)</f>
        <v>0</v>
      </c>
      <c r="D15" s="119">
        <f>2^(July_SotM[[#This Row],[Round]]+1)</f>
        <v>2</v>
      </c>
      <c r="E15" s="119">
        <f>July_SotM[[#This Row],[Max Seed]]-July_SotM[[#This Row],[Num]]</f>
        <v>1</v>
      </c>
      <c r="F15" s="119">
        <f>July_SotM[[#This Row],[Max Seed]]-July_SotM[[#This Row],[Top Seed]]+1</f>
        <v>2</v>
      </c>
      <c r="G15" s="119" t="b">
        <f>IF(July_SotM[[#This Row],[Round]]=$C$13, TRUE(), IF(July_SotM[[#This Row],[Round]]=$B$13, July_SotM[[#This Row],[Top Seed]]&lt;=2*July_SotM[[#This Row],[Max Seed]]-$A$13, FALSE()))</f>
        <v>0</v>
      </c>
      <c r="H15" s="119" t="b">
        <f>IF(July_SotM[[#This Row],[Round]]=$C$13, TRUE(), IF(July_SotM[[#This Row],[Round]]=$B$13, July_SotM[[#This Row],[Low Seed]]&lt;=2*July_SotM[[#This Row],[Max Seed]]-$A$13, FALSE()))</f>
        <v>0</v>
      </c>
      <c r="I15" s="28"/>
      <c r="J15" s="31" t="s">
        <v>4191</v>
      </c>
      <c r="K15" s="33"/>
      <c r="L15" s="35" t="s">
        <v>4191</v>
      </c>
      <c r="M15" s="37" t="s">
        <v>4191</v>
      </c>
      <c r="N15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Stop Signs are Merely Suggestions</v>
      </c>
      <c r="O15" s="118">
        <f>COUNTIF(July_SotM[[#This Row],[J]:[H]],"x")</f>
        <v>3</v>
      </c>
      <c r="P15" s="119" t="str">
        <f ca="1">IF(July_SotM[[#This Row],[Num]]&gt;=$A$13, "-", IF(July_SotM[[#This Row],[Score 1]]&gt;=3, July_SotM[[#This Row],[Song 1]], IF(July_SotM[[#This Row],[Score 2]]&gt;=3, July_SotM[[#This Row],[Song 2]], "TBD")))</f>
        <v>Stop Signs are Merely Suggestions</v>
      </c>
      <c r="Q15" s="121">
        <f>COUNTIF(July_SotM[[#This Row],[H ]:[J ]],"x")</f>
        <v>2</v>
      </c>
      <c r="R15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Closer</v>
      </c>
      <c r="S15" s="37"/>
      <c r="T15" s="35"/>
      <c r="U15" s="33" t="s">
        <v>4191</v>
      </c>
      <c r="V15" s="31"/>
      <c r="W15" s="28" t="s">
        <v>4191</v>
      </c>
      <c r="X15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/>
      </c>
      <c r="Z15" s="109">
        <f t="shared" ref="Z15:Z32" si="10">_xlfn.RANK.EQ($AC15,$AC$14:$AC$32, 1) + COUNTIFS($AC$14:$AC$32, $AC15, $AD$14:$AD$32, "&lt;"&amp; $AD15) + COUNTIFS($AC$14:$AC$32, $AC15, $AD$14:$AD$32, $AD15, $AE$14:$AE$32, "&lt;"&amp; $AE15)</f>
        <v>12</v>
      </c>
      <c r="AA15" s="85">
        <v>45475</v>
      </c>
      <c r="AB15" s="123" t="str">
        <v>danram</v>
      </c>
      <c r="AC15" s="3">
        <v>2.2000000000000002</v>
      </c>
      <c r="AD15" s="86">
        <v>1.4696938456699069</v>
      </c>
      <c r="AE15" s="123" t="str">
        <v>Stop Signs are Merely Suggestions</v>
      </c>
      <c r="AF15" t="str">
        <v>Moving Boxes</v>
      </c>
      <c r="AG15" s="100">
        <f t="shared" si="9"/>
        <v>9</v>
      </c>
      <c r="AI15" s="140">
        <f>July_SotM[[#This Row],[Max Seed]]/2 + 1</f>
        <v>2</v>
      </c>
      <c r="AJ15" s="135" t="str">
        <f ca="1">IF(July_SotM[[#This Row],[Num]]&gt;=$A$13, "-", IF(July_SotM[[#This Row],[Score 1]]&gt;=3, July_SotM[[#This Row],[Song 2]], IF(July_SotM[[#This Row],[Score 2]]&gt;=3, July_SotM[[#This Row],[Song 1]], "TBD")))</f>
        <v>Closer</v>
      </c>
      <c r="AK15" s="124">
        <f ca="1">IFERROR(VLOOKUP(July_Results[[#This Row],[Song Title]], $AE$14:$AG$32, 3, FALSE)-July_Results[[#This Row],[Result]], "TBD")</f>
        <v>1</v>
      </c>
      <c r="AL15" s="125" t="str">
        <f t="shared" ca="1" si="6"/>
        <v>↑</v>
      </c>
    </row>
    <row r="16" spans="1:38">
      <c r="A16" s="118" t="str">
        <f t="shared" ref="A16:A32" si="11">_xlfn.CONCAT("Seed ", E16, " vs ", F16)</f>
        <v>Seed 2 vs 3</v>
      </c>
      <c r="B16" s="119">
        <v>2</v>
      </c>
      <c r="C16" s="119">
        <f>FLOOR(LOG(July_SotM[[#This Row],[Num]], 2), 1)</f>
        <v>1</v>
      </c>
      <c r="D16" s="119">
        <f>2^(July_SotM[[#This Row],[Round]]+1)</f>
        <v>4</v>
      </c>
      <c r="E16" s="119">
        <f>July_SotM[[#This Row],[Max Seed]]-July_SotM[[#This Row],[Num]]</f>
        <v>2</v>
      </c>
      <c r="F16" s="119">
        <f>July_SotM[[#This Row],[Max Seed]]-July_SotM[[#This Row],[Top Seed]]+1</f>
        <v>3</v>
      </c>
      <c r="G16" s="119" t="b">
        <f>IF(July_SotM[[#This Row],[Round]]=$C$13, TRUE(), IF(July_SotM[[#This Row],[Round]]=$B$13, July_SotM[[#This Row],[Top Seed]]&lt;=2*July_SotM[[#This Row],[Max Seed]]-$A$13, FALSE()))</f>
        <v>0</v>
      </c>
      <c r="H16" s="119" t="b">
        <f>IF(July_SotM[[#This Row],[Round]]=$C$13, TRUE(), IF(July_SotM[[#This Row],[Round]]=$B$13, July_SotM[[#This Row],[Low Seed]]&lt;=2*July_SotM[[#This Row],[Max Seed]]-$A$13, FALSE()))</f>
        <v>0</v>
      </c>
      <c r="I16" s="28"/>
      <c r="J16" s="31"/>
      <c r="K16" s="33"/>
      <c r="L16" s="35"/>
      <c r="M16" s="37" t="s">
        <v>4191</v>
      </c>
      <c r="N16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Feel It</v>
      </c>
      <c r="O16" s="118">
        <f>COUNTIF(July_SotM[[#This Row],[J]:[H]],"x")</f>
        <v>1</v>
      </c>
      <c r="P16" s="119" t="str">
        <f ca="1">IF(July_SotM[[#This Row],[Num]]&gt;=$A$13, "-", IF(July_SotM[[#This Row],[Score 1]]&gt;=3, July_SotM[[#This Row],[Song 1]], IF(July_SotM[[#This Row],[Score 2]]&gt;=3, July_SotM[[#This Row],[Song 2]], "TBD")))</f>
        <v>Closer</v>
      </c>
      <c r="Q16" s="121">
        <f>COUNTIF(July_SotM[[#This Row],[H ]:[J ]],"x")</f>
        <v>3</v>
      </c>
      <c r="R16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Closer</v>
      </c>
      <c r="S16" s="37"/>
      <c r="T16" s="35" t="s">
        <v>4191</v>
      </c>
      <c r="U16" s="33" t="s">
        <v>4191</v>
      </c>
      <c r="V16" s="31"/>
      <c r="W16" s="28" t="s">
        <v>4191</v>
      </c>
      <c r="X16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 xml:space="preserve">D </v>
      </c>
      <c r="Z16" s="109">
        <f t="shared" si="10"/>
        <v>1</v>
      </c>
      <c r="AA16" s="85">
        <v>45476</v>
      </c>
      <c r="AB16" s="123" t="str">
        <v>alappatjoe</v>
      </c>
      <c r="AC16" s="3">
        <v>1.4</v>
      </c>
      <c r="AD16" s="86">
        <v>0.4898979485566356</v>
      </c>
      <c r="AE16" s="123" t="str">
        <v>specialist</v>
      </c>
      <c r="AF16" t="str">
        <v>アトラスサウンドチーム</v>
      </c>
      <c r="AG16" s="100">
        <f t="shared" si="9"/>
        <v>1</v>
      </c>
      <c r="AI16" s="140">
        <f>July_SotM[[#This Row],[Max Seed]]/2 + 1</f>
        <v>3</v>
      </c>
      <c r="AJ16" s="135" t="str">
        <f ca="1">IF(July_SotM[[#This Row],[Num]]&gt;=$A$13, "-", IF(July_SotM[[#This Row],[Score 1]]&gt;=3, July_SotM[[#This Row],[Song 2]], IF(July_SotM[[#This Row],[Score 2]]&gt;=3, July_SotM[[#This Row],[Song 1]], "TBD")))</f>
        <v>Feel It</v>
      </c>
      <c r="AK16" s="124">
        <f ca="1">IFERROR(VLOOKUP(July_Results[[#This Row],[Song Title]], $AE$14:$AG$32, 3, FALSE)-July_Results[[#This Row],[Result]], "TBD")</f>
        <v>-1</v>
      </c>
      <c r="AL16" s="125" t="str">
        <f t="shared" ca="1" si="6"/>
        <v>↓</v>
      </c>
    </row>
    <row r="17" spans="1:38">
      <c r="A17" s="118" t="str">
        <f t="shared" si="11"/>
        <v>Seed 1 vs 4</v>
      </c>
      <c r="B17" s="119">
        <v>3</v>
      </c>
      <c r="C17" s="119">
        <f>FLOOR(LOG(July_SotM[[#This Row],[Num]], 2), 1)</f>
        <v>1</v>
      </c>
      <c r="D17" s="119">
        <f>2^(July_SotM[[#This Row],[Round]]+1)</f>
        <v>4</v>
      </c>
      <c r="E17" s="119">
        <f>July_SotM[[#This Row],[Max Seed]]-July_SotM[[#This Row],[Num]]</f>
        <v>1</v>
      </c>
      <c r="F17" s="119">
        <f>July_SotM[[#This Row],[Max Seed]]-July_SotM[[#This Row],[Top Seed]]+1</f>
        <v>4</v>
      </c>
      <c r="G17" s="119" t="b">
        <f>IF(July_SotM[[#This Row],[Round]]=$C$13, TRUE(), IF(July_SotM[[#This Row],[Round]]=$B$13, July_SotM[[#This Row],[Top Seed]]&lt;=2*July_SotM[[#This Row],[Max Seed]]-$A$13, FALSE()))</f>
        <v>0</v>
      </c>
      <c r="H17" s="119" t="b">
        <f>IF(July_SotM[[#This Row],[Round]]=$C$13, TRUE(), IF(July_SotM[[#This Row],[Round]]=$B$13, July_SotM[[#This Row],[Low Seed]]&lt;=2*July_SotM[[#This Row],[Max Seed]]-$A$13, FALSE()))</f>
        <v>0</v>
      </c>
      <c r="I17" s="28" t="s">
        <v>4191</v>
      </c>
      <c r="J17" s="31"/>
      <c r="K17" s="33"/>
      <c r="L17" s="35"/>
      <c r="M17" s="37"/>
      <c r="N17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Chasing The Sun</v>
      </c>
      <c r="O17" s="118">
        <f>COUNTIF(July_SotM[[#This Row],[J]:[H]],"x")</f>
        <v>1</v>
      </c>
      <c r="P17" s="119" t="str">
        <f ca="1">IF(July_SotM[[#This Row],[Num]]&gt;=$A$13, "-", IF(July_SotM[[#This Row],[Score 1]]&gt;=3, July_SotM[[#This Row],[Song 1]], IF(July_SotM[[#This Row],[Score 2]]&gt;=3, July_SotM[[#This Row],[Song 2]], "TBD")))</f>
        <v>Stop Signs are Merely Suggestions</v>
      </c>
      <c r="Q17" s="121">
        <f>COUNTIF(July_SotM[[#This Row],[H ]:[J ]],"x")</f>
        <v>4</v>
      </c>
      <c r="R17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Stop Signs are Merely Suggestions</v>
      </c>
      <c r="S17" s="37" t="s">
        <v>4191</v>
      </c>
      <c r="T17" s="35" t="s">
        <v>4191</v>
      </c>
      <c r="U17" s="33" t="s">
        <v>4191</v>
      </c>
      <c r="V17" s="31" t="s">
        <v>4191</v>
      </c>
      <c r="W17" s="28"/>
      <c r="X17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/>
      </c>
      <c r="Z17" s="109">
        <f t="shared" si="10"/>
        <v>13</v>
      </c>
      <c r="AA17" s="85">
        <v>45477</v>
      </c>
      <c r="AB17" s="123" t="str">
        <v>loganworsdell</v>
      </c>
      <c r="AC17" s="3">
        <v>2.4</v>
      </c>
      <c r="AD17" s="86">
        <v>0.8</v>
      </c>
      <c r="AE17" s="123" t="str">
        <v>Otaku Hot Girl</v>
      </c>
      <c r="AF17" t="str">
        <v>Megan Thee Stallion</v>
      </c>
      <c r="AG17" s="100">
        <f t="shared" si="9"/>
        <v>9</v>
      </c>
      <c r="AI17" s="140">
        <f>July_SotM[[#This Row],[Max Seed]]/2 + 1</f>
        <v>3</v>
      </c>
      <c r="AJ17" s="135" t="str">
        <f ca="1">IF(July_SotM[[#This Row],[Num]]&gt;=$A$13, "-", IF(July_SotM[[#This Row],[Score 1]]&gt;=3, July_SotM[[#This Row],[Song 2]], IF(July_SotM[[#This Row],[Score 2]]&gt;=3, July_SotM[[#This Row],[Song 1]], "TBD")))</f>
        <v>Chasing The Sun</v>
      </c>
      <c r="AK17" s="124">
        <f ca="1">IFERROR(VLOOKUP(July_Results[[#This Row],[Song Title]], $AE$14:$AG$32, 3, FALSE)-July_Results[[#This Row],[Result]], "TBD")</f>
        <v>2</v>
      </c>
      <c r="AL17" s="125" t="str">
        <f t="shared" ca="1" si="6"/>
        <v>↑</v>
      </c>
    </row>
    <row r="18" spans="1:38">
      <c r="A18" s="118" t="str">
        <f t="shared" si="11"/>
        <v>Seed 4 vs 5</v>
      </c>
      <c r="B18" s="119">
        <v>4</v>
      </c>
      <c r="C18" s="119">
        <f>FLOOR(LOG(July_SotM[[#This Row],[Num]], 2), 1)</f>
        <v>2</v>
      </c>
      <c r="D18" s="119">
        <f>2^(July_SotM[[#This Row],[Round]]+1)</f>
        <v>8</v>
      </c>
      <c r="E18" s="119">
        <f>July_SotM[[#This Row],[Max Seed]]-July_SotM[[#This Row],[Num]]</f>
        <v>4</v>
      </c>
      <c r="F18" s="119">
        <f>July_SotM[[#This Row],[Max Seed]]-July_SotM[[#This Row],[Top Seed]]+1</f>
        <v>5</v>
      </c>
      <c r="G18" s="119" t="b">
        <f>IF(July_SotM[[#This Row],[Round]]=$C$13, TRUE(), IF(July_SotM[[#This Row],[Round]]=$B$13, July_SotM[[#This Row],[Top Seed]]&lt;=2*July_SotM[[#This Row],[Max Seed]]-$A$13, FALSE()))</f>
        <v>0</v>
      </c>
      <c r="H18" s="119" t="b">
        <f>IF(July_SotM[[#This Row],[Round]]=$C$13, TRUE(), IF(July_SotM[[#This Row],[Round]]=$B$13, July_SotM[[#This Row],[Low Seed]]&lt;=2*July_SotM[[#This Row],[Max Seed]]-$A$13, FALSE()))</f>
        <v>0</v>
      </c>
      <c r="I18" s="28" t="s">
        <v>4191</v>
      </c>
      <c r="J18" s="31"/>
      <c r="K18" s="33"/>
      <c r="L18" s="35"/>
      <c r="M18" s="37"/>
      <c r="N18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Annihilate</v>
      </c>
      <c r="O18" s="118">
        <f>COUNTIF(July_SotM[[#This Row],[J]:[H]],"x")</f>
        <v>1</v>
      </c>
      <c r="P18" s="119" t="str">
        <f ca="1">IF(July_SotM[[#This Row],[Num]]&gt;=$A$13, "-", IF(July_SotM[[#This Row],[Score 1]]&gt;=3, July_SotM[[#This Row],[Song 1]], IF(July_SotM[[#This Row],[Score 2]]&gt;=3, July_SotM[[#This Row],[Song 2]], "TBD")))</f>
        <v>Stop Signs are Merely Suggestions</v>
      </c>
      <c r="Q18" s="121">
        <f>COUNTIF(July_SotM[[#This Row],[H ]:[J ]],"x")</f>
        <v>4</v>
      </c>
      <c r="R18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Stop Signs are Merely Suggestions</v>
      </c>
      <c r="S18" s="37" t="s">
        <v>4191</v>
      </c>
      <c r="T18" s="35" t="s">
        <v>4191</v>
      </c>
      <c r="U18" s="33" t="s">
        <v>4191</v>
      </c>
      <c r="V18" s="31" t="s">
        <v>4191</v>
      </c>
      <c r="W18" s="28"/>
      <c r="X18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/>
      </c>
      <c r="Z18" s="109">
        <f t="shared" si="10"/>
        <v>8</v>
      </c>
      <c r="AA18" s="85">
        <v>45481</v>
      </c>
      <c r="AB18" s="123" t="str">
        <v>currydestroyer27</v>
      </c>
      <c r="AC18" s="3">
        <v>2</v>
      </c>
      <c r="AD18" s="86">
        <v>1.2649110640673518</v>
      </c>
      <c r="AE18" s="123" t="str">
        <v>Chasing The Sun</v>
      </c>
      <c r="AF18" t="str">
        <v>The Wanted</v>
      </c>
      <c r="AG18" s="100">
        <f t="shared" si="9"/>
        <v>5</v>
      </c>
      <c r="AI18" s="140">
        <f>July_SotM[[#This Row],[Max Seed]]/2 + 1</f>
        <v>5</v>
      </c>
      <c r="AJ18" s="135" t="str">
        <f ca="1">IF(July_SotM[[#This Row],[Num]]&gt;=$A$13, "-", IF(July_SotM[[#This Row],[Score 1]]&gt;=3, July_SotM[[#This Row],[Song 2]], IF(July_SotM[[#This Row],[Score 2]]&gt;=3, July_SotM[[#This Row],[Song 1]], "TBD")))</f>
        <v>Annihilate</v>
      </c>
      <c r="AK18" s="124">
        <f ca="1">IFERROR(VLOOKUP(July_Results[[#This Row],[Song Title]], $AE$14:$AG$32, 3, FALSE)-July_Results[[#This Row],[Result]], "TBD")</f>
        <v>-2</v>
      </c>
      <c r="AL18" s="125" t="str">
        <f t="shared" ca="1" si="6"/>
        <v>↓</v>
      </c>
    </row>
    <row r="19" spans="1:38">
      <c r="A19" s="118" t="str">
        <f t="shared" si="11"/>
        <v>Seed 3 vs 6</v>
      </c>
      <c r="B19" s="119">
        <v>5</v>
      </c>
      <c r="C19" s="119">
        <f>FLOOR(LOG(July_SotM[[#This Row],[Num]], 2), 1)</f>
        <v>2</v>
      </c>
      <c r="D19" s="119">
        <f>2^(July_SotM[[#This Row],[Round]]+1)</f>
        <v>8</v>
      </c>
      <c r="E19" s="119">
        <f>July_SotM[[#This Row],[Max Seed]]-July_SotM[[#This Row],[Num]]</f>
        <v>3</v>
      </c>
      <c r="F19" s="119">
        <f>July_SotM[[#This Row],[Max Seed]]-July_SotM[[#This Row],[Top Seed]]+1</f>
        <v>6</v>
      </c>
      <c r="G19" s="119" t="b">
        <f>IF(July_SotM[[#This Row],[Round]]=$C$13, TRUE(), IF(July_SotM[[#This Row],[Round]]=$B$13, July_SotM[[#This Row],[Top Seed]]&lt;=2*July_SotM[[#This Row],[Max Seed]]-$A$13, FALSE()))</f>
        <v>0</v>
      </c>
      <c r="H19" s="119" t="b">
        <f>IF(July_SotM[[#This Row],[Round]]=$C$13, TRUE(), IF(July_SotM[[#This Row],[Round]]=$B$13, July_SotM[[#This Row],[Low Seed]]&lt;=2*July_SotM[[#This Row],[Max Seed]]-$A$13, FALSE()))</f>
        <v>0</v>
      </c>
      <c r="I19" s="28" t="s">
        <v>4191</v>
      </c>
      <c r="J19" s="31" t="s">
        <v>4191</v>
      </c>
      <c r="K19" s="33" t="s">
        <v>4191</v>
      </c>
      <c r="L19" s="35" t="s">
        <v>4191</v>
      </c>
      <c r="M19" s="37" t="s">
        <v>4191</v>
      </c>
      <c r="N19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Closer</v>
      </c>
      <c r="O19" s="118">
        <f>COUNTIF(July_SotM[[#This Row],[J]:[H]],"x")</f>
        <v>5</v>
      </c>
      <c r="P19" s="119" t="str">
        <f ca="1">IF(July_SotM[[#This Row],[Num]]&gt;=$A$13, "-", IF(July_SotM[[#This Row],[Score 1]]&gt;=3, July_SotM[[#This Row],[Song 1]], IF(July_SotM[[#This Row],[Score 2]]&gt;=3, July_SotM[[#This Row],[Song 2]], "TBD")))</f>
        <v>Closer</v>
      </c>
      <c r="Q19" s="121">
        <f>COUNTIF(July_SotM[[#This Row],[H ]:[J ]],"x")</f>
        <v>0</v>
      </c>
      <c r="R19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Congratulations</v>
      </c>
      <c r="S19" s="37"/>
      <c r="T19" s="35"/>
      <c r="U19" s="33"/>
      <c r="V19" s="31"/>
      <c r="W19" s="28"/>
      <c r="X19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/>
      </c>
      <c r="Z19" s="109">
        <f t="shared" si="10"/>
        <v>17</v>
      </c>
      <c r="AA19" s="85">
        <v>45482</v>
      </c>
      <c r="AB19" s="123" t="str">
        <v>loganworsdell</v>
      </c>
      <c r="AC19" s="3">
        <v>2.4</v>
      </c>
      <c r="AD19" s="86">
        <v>1.4966629547095767</v>
      </c>
      <c r="AE19" s="123" t="str">
        <v>DNA</v>
      </c>
      <c r="AF19" t="str">
        <v>Ghali</v>
      </c>
      <c r="AG19" s="100">
        <f t="shared" si="9"/>
        <v>17</v>
      </c>
      <c r="AI19" s="140">
        <f>July_SotM[[#This Row],[Max Seed]]/2 + 1</f>
        <v>5</v>
      </c>
      <c r="AJ19" s="135" t="str">
        <f ca="1">IF(July_SotM[[#This Row],[Num]]&gt;=$A$13, "-", IF(July_SotM[[#This Row],[Score 1]]&gt;=3, July_SotM[[#This Row],[Song 2]], IF(July_SotM[[#This Row],[Score 2]]&gt;=3, July_SotM[[#This Row],[Song 1]], "TBD")))</f>
        <v>Congratulations</v>
      </c>
      <c r="AK19" s="124">
        <f ca="1">IFERROR(VLOOKUP(July_Results[[#This Row],[Song Title]], $AE$14:$AG$32, 3, FALSE)-July_Results[[#This Row],[Result]], "TBD")</f>
        <v>4</v>
      </c>
      <c r="AL19" s="125" t="str">
        <f t="shared" ca="1" si="6"/>
        <v>↑</v>
      </c>
    </row>
    <row r="20" spans="1:38">
      <c r="A20" s="118" t="str">
        <f t="shared" si="11"/>
        <v>Seed 2 vs 7</v>
      </c>
      <c r="B20" s="119">
        <v>6</v>
      </c>
      <c r="C20" s="119">
        <f>FLOOR(LOG(July_SotM[[#This Row],[Num]], 2), 1)</f>
        <v>2</v>
      </c>
      <c r="D20" s="119">
        <f>2^(July_SotM[[#This Row],[Round]]+1)</f>
        <v>8</v>
      </c>
      <c r="E20" s="119">
        <f>July_SotM[[#This Row],[Max Seed]]-July_SotM[[#This Row],[Num]]</f>
        <v>2</v>
      </c>
      <c r="F20" s="119">
        <f>July_SotM[[#This Row],[Max Seed]]-July_SotM[[#This Row],[Top Seed]]+1</f>
        <v>7</v>
      </c>
      <c r="G20" s="119" t="b">
        <f>IF(July_SotM[[#This Row],[Round]]=$C$13, TRUE(), IF(July_SotM[[#This Row],[Round]]=$B$13, July_SotM[[#This Row],[Top Seed]]&lt;=2*July_SotM[[#This Row],[Max Seed]]-$A$13, FALSE()))</f>
        <v>0</v>
      </c>
      <c r="H20" s="119" t="b">
        <f>IF(July_SotM[[#This Row],[Round]]=$C$13, TRUE(), IF(July_SotM[[#This Row],[Round]]=$B$13, July_SotM[[#This Row],[Low Seed]]&lt;=2*July_SotM[[#This Row],[Max Seed]]-$A$13, FALSE()))</f>
        <v>0</v>
      </c>
      <c r="I20" s="28" t="s">
        <v>4191</v>
      </c>
      <c r="J20" s="31"/>
      <c r="K20" s="33" t="s">
        <v>4191</v>
      </c>
      <c r="L20" s="35" t="s">
        <v>4191</v>
      </c>
      <c r="M20" s="37" t="s">
        <v>4191</v>
      </c>
      <c r="N20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Feel It</v>
      </c>
      <c r="O20" s="118">
        <f>COUNTIF(July_SotM[[#This Row],[J]:[H]],"x")</f>
        <v>4</v>
      </c>
      <c r="P20" s="119" t="str">
        <f ca="1">IF(July_SotM[[#This Row],[Num]]&gt;=$A$13, "-", IF(July_SotM[[#This Row],[Score 1]]&gt;=3, July_SotM[[#This Row],[Song 1]], IF(July_SotM[[#This Row],[Score 2]]&gt;=3, July_SotM[[#This Row],[Song 2]], "TBD")))</f>
        <v>Feel It</v>
      </c>
      <c r="Q20" s="121">
        <f>COUNTIF(July_SotM[[#This Row],[H ]:[J ]],"x")</f>
        <v>1</v>
      </c>
      <c r="R20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Boulevard of Broken Dreams</v>
      </c>
      <c r="S20" s="37"/>
      <c r="T20" s="35"/>
      <c r="U20" s="33"/>
      <c r="V20" s="31" t="s">
        <v>4191</v>
      </c>
      <c r="W20" s="28"/>
      <c r="X20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/>
      </c>
      <c r="Z20" s="109">
        <f t="shared" si="10"/>
        <v>6</v>
      </c>
      <c r="AA20" s="85">
        <v>45483</v>
      </c>
      <c r="AB20" s="123" t="str">
        <v>currydestroyer27</v>
      </c>
      <c r="AC20" s="3">
        <v>1.8</v>
      </c>
      <c r="AD20" s="86">
        <v>0.74833147735478833</v>
      </c>
      <c r="AE20" s="123" t="str">
        <v>Great Escape</v>
      </c>
      <c r="AF20" t="str">
        <v>Cinema Staff</v>
      </c>
      <c r="AG20" s="100">
        <f t="shared" si="9"/>
        <v>5</v>
      </c>
      <c r="AI20" s="140">
        <f>July_SotM[[#This Row],[Max Seed]]/2 + 1</f>
        <v>5</v>
      </c>
      <c r="AJ20" s="135" t="str">
        <f ca="1">IF(July_SotM[[#This Row],[Num]]&gt;=$A$13, "-", IF(July_SotM[[#This Row],[Score 1]]&gt;=3, July_SotM[[#This Row],[Song 2]], IF(July_SotM[[#This Row],[Score 2]]&gt;=3, July_SotM[[#This Row],[Song 1]], "TBD")))</f>
        <v>Boulevard of Broken Dreams</v>
      </c>
      <c r="AK20" s="124">
        <f ca="1">IFERROR(VLOOKUP(July_Results[[#This Row],[Song Title]], $AE$14:$AG$32, 3, FALSE)-July_Results[[#This Row],[Result]], "TBD")</f>
        <v>0</v>
      </c>
      <c r="AL20" s="125" t="str">
        <f t="shared" ca="1" si="6"/>
        <v>-</v>
      </c>
    </row>
    <row r="21" spans="1:38">
      <c r="A21" s="118" t="str">
        <f t="shared" si="11"/>
        <v>Seed 1 vs 8</v>
      </c>
      <c r="B21" s="119">
        <v>7</v>
      </c>
      <c r="C21" s="119">
        <f>FLOOR(LOG(July_SotM[[#This Row],[Num]], 2), 1)</f>
        <v>2</v>
      </c>
      <c r="D21" s="119">
        <f>2^(July_SotM[[#This Row],[Round]]+1)</f>
        <v>8</v>
      </c>
      <c r="E21" s="119">
        <f>July_SotM[[#This Row],[Max Seed]]-July_SotM[[#This Row],[Num]]</f>
        <v>1</v>
      </c>
      <c r="F21" s="119">
        <f>July_SotM[[#This Row],[Max Seed]]-July_SotM[[#This Row],[Top Seed]]+1</f>
        <v>8</v>
      </c>
      <c r="G21" s="119" t="b">
        <f>IF(July_SotM[[#This Row],[Round]]=$C$13, TRUE(), IF(July_SotM[[#This Row],[Round]]=$B$13, July_SotM[[#This Row],[Top Seed]]&lt;=2*July_SotM[[#This Row],[Max Seed]]-$A$13, FALSE()))</f>
        <v>0</v>
      </c>
      <c r="H21" s="119" t="b">
        <f>IF(July_SotM[[#This Row],[Round]]=$C$13, TRUE(), IF(July_SotM[[#This Row],[Round]]=$B$13, July_SotM[[#This Row],[Low Seed]]&lt;=2*July_SotM[[#This Row],[Max Seed]]-$A$13, FALSE()))</f>
        <v>0</v>
      </c>
      <c r="I21" s="28" t="s">
        <v>4191</v>
      </c>
      <c r="J21" s="31"/>
      <c r="K21" s="33"/>
      <c r="L21" s="35" t="s">
        <v>4191</v>
      </c>
      <c r="M21" s="37"/>
      <c r="N21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specialist</v>
      </c>
      <c r="O21" s="118">
        <f>COUNTIF(July_SotM[[#This Row],[J]:[H]],"x")</f>
        <v>2</v>
      </c>
      <c r="P21" s="119" t="str">
        <f ca="1">IF(July_SotM[[#This Row],[Num]]&gt;=$A$13, "-", IF(July_SotM[[#This Row],[Score 1]]&gt;=3, July_SotM[[#This Row],[Song 1]], IF(July_SotM[[#This Row],[Score 2]]&gt;=3, July_SotM[[#This Row],[Song 2]], "TBD")))</f>
        <v>Chasing The Sun</v>
      </c>
      <c r="Q21" s="121">
        <f>COUNTIF(July_SotM[[#This Row],[H ]:[J ]],"x")</f>
        <v>3</v>
      </c>
      <c r="R21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Chasing The Sun</v>
      </c>
      <c r="S21" s="37" t="s">
        <v>4191</v>
      </c>
      <c r="T21" s="35"/>
      <c r="U21" s="33" t="s">
        <v>4191</v>
      </c>
      <c r="V21" s="31" t="s">
        <v>4191</v>
      </c>
      <c r="W21" s="28"/>
      <c r="X21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/>
      </c>
      <c r="Z21" s="109">
        <f t="shared" si="10"/>
        <v>11</v>
      </c>
      <c r="AA21" s="85">
        <v>45484</v>
      </c>
      <c r="AB21" s="123" t="str">
        <v>samuelbattista</v>
      </c>
      <c r="AC21" s="3">
        <v>2.2000000000000002</v>
      </c>
      <c r="AD21" s="86">
        <v>1.4696938456699069</v>
      </c>
      <c r="AE21" s="123" t="str">
        <v>Congratulations</v>
      </c>
      <c r="AF21" t="str">
        <v>Post Malone</v>
      </c>
      <c r="AG21" s="100">
        <f t="shared" si="9"/>
        <v>9</v>
      </c>
      <c r="AI21" s="140">
        <f>July_SotM[[#This Row],[Max Seed]]/2 + 1</f>
        <v>5</v>
      </c>
      <c r="AJ21" s="135" t="str">
        <f ca="1">IF(July_SotM[[#This Row],[Num]]&gt;=$A$13, "-", IF(July_SotM[[#This Row],[Score 1]]&gt;=3, July_SotM[[#This Row],[Song 2]], IF(July_SotM[[#This Row],[Score 2]]&gt;=3, July_SotM[[#This Row],[Song 1]], "TBD")))</f>
        <v>specialist</v>
      </c>
      <c r="AK21" s="124">
        <f ca="1">IFERROR(VLOOKUP(July_Results[[#This Row],[Song Title]], $AE$14:$AG$32, 3, FALSE)-July_Results[[#This Row],[Result]], "TBD")</f>
        <v>-4</v>
      </c>
      <c r="AL21" s="125" t="str">
        <f t="shared" ca="1" si="6"/>
        <v>↓</v>
      </c>
    </row>
    <row r="22" spans="1:38">
      <c r="A22" s="118" t="str">
        <f t="shared" si="11"/>
        <v>Seed 8 vs 9</v>
      </c>
      <c r="B22" s="119">
        <v>8</v>
      </c>
      <c r="C22" s="119">
        <f>FLOOR(LOG(July_SotM[[#This Row],[Num]], 2), 1)</f>
        <v>3</v>
      </c>
      <c r="D22" s="119">
        <f>2^(July_SotM[[#This Row],[Round]]+1)</f>
        <v>16</v>
      </c>
      <c r="E22" s="119">
        <f>July_SotM[[#This Row],[Max Seed]]-July_SotM[[#This Row],[Num]]</f>
        <v>8</v>
      </c>
      <c r="F22" s="119">
        <f>July_SotM[[#This Row],[Max Seed]]-July_SotM[[#This Row],[Top Seed]]+1</f>
        <v>9</v>
      </c>
      <c r="G22" s="119" t="b">
        <f>IF(July_SotM[[#This Row],[Round]]=$C$13, TRUE(), IF(July_SotM[[#This Row],[Round]]=$B$13, July_SotM[[#This Row],[Top Seed]]&lt;=2*July_SotM[[#This Row],[Max Seed]]-$A$13, FALSE()))</f>
        <v>1</v>
      </c>
      <c r="H22" s="119" t="b">
        <f>IF(July_SotM[[#This Row],[Round]]=$C$13, TRUE(), IF(July_SotM[[#This Row],[Round]]=$B$13, July_SotM[[#This Row],[Low Seed]]&lt;=2*July_SotM[[#This Row],[Max Seed]]-$A$13, FALSE()))</f>
        <v>1</v>
      </c>
      <c r="I22" s="28" t="s">
        <v>4191</v>
      </c>
      <c r="J22" s="31" t="s">
        <v>4191</v>
      </c>
      <c r="K22" s="33" t="s">
        <v>4191</v>
      </c>
      <c r="L22" s="35" t="s">
        <v>4191</v>
      </c>
      <c r="M22" s="37" t="s">
        <v>4191</v>
      </c>
      <c r="N22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Chasing The Sun</v>
      </c>
      <c r="O22" s="118">
        <f>COUNTIF(July_SotM[[#This Row],[J]:[H]],"x")</f>
        <v>5</v>
      </c>
      <c r="P22" s="119" t="str">
        <f ca="1">IF(July_SotM[[#This Row],[Num]]&gt;=$A$13, "-", IF(July_SotM[[#This Row],[Score 1]]&gt;=3, July_SotM[[#This Row],[Song 1]], IF(July_SotM[[#This Row],[Score 2]]&gt;=3, July_SotM[[#This Row],[Song 2]], "TBD")))</f>
        <v>Chasing The Sun</v>
      </c>
      <c r="Q22" s="121">
        <f>COUNTIF(July_SotM[[#This Row],[H ]:[J ]],"x")</f>
        <v>0</v>
      </c>
      <c r="R22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Don't Speak</v>
      </c>
      <c r="S22" s="37"/>
      <c r="T22" s="35"/>
      <c r="U22" s="33"/>
      <c r="V22" s="31"/>
      <c r="W22" s="28"/>
      <c r="X22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/>
      </c>
      <c r="Z22" s="109">
        <f t="shared" si="10"/>
        <v>4</v>
      </c>
      <c r="AA22" s="85">
        <v>45488</v>
      </c>
      <c r="AB22" s="123" t="str">
        <v>currydestroyer27</v>
      </c>
      <c r="AC22" s="3">
        <v>1.8</v>
      </c>
      <c r="AD22" s="86">
        <v>0.4</v>
      </c>
      <c r="AE22" s="123" t="str">
        <v>Annihilate</v>
      </c>
      <c r="AF22" t="str">
        <v>Metro Boomin, Swae Lee, Lil Wayne</v>
      </c>
      <c r="AG22" s="100">
        <f t="shared" si="9"/>
        <v>3</v>
      </c>
      <c r="AI22" s="140">
        <f>July_SotM[[#This Row],[Max Seed]]/2 + 1</f>
        <v>9</v>
      </c>
      <c r="AJ22" s="135" t="str">
        <f ca="1">IF(July_SotM[[#This Row],[Num]]&gt;=$A$13, "-", IF(July_SotM[[#This Row],[Score 1]]&gt;=3, July_SotM[[#This Row],[Song 2]], IF(July_SotM[[#This Row],[Score 2]]&gt;=3, July_SotM[[#This Row],[Song 1]], "TBD")))</f>
        <v>Don't Speak</v>
      </c>
      <c r="AK22" s="124">
        <f ca="1">IFERROR(VLOOKUP(July_Results[[#This Row],[Song Title]], $AE$14:$AG$32, 3, FALSE)-July_Results[[#This Row],[Result]], "TBD")</f>
        <v>0</v>
      </c>
      <c r="AL22" s="125" t="str">
        <f t="shared" ca="1" si="6"/>
        <v>-</v>
      </c>
    </row>
    <row r="23" spans="1:38">
      <c r="A23" s="118" t="str">
        <f t="shared" si="11"/>
        <v>Seed 7 vs 10</v>
      </c>
      <c r="B23" s="119">
        <v>9</v>
      </c>
      <c r="C23" s="119">
        <f>FLOOR(LOG(July_SotM[[#This Row],[Num]], 2), 1)</f>
        <v>3</v>
      </c>
      <c r="D23" s="119">
        <f>2^(July_SotM[[#This Row],[Round]]+1)</f>
        <v>16</v>
      </c>
      <c r="E23" s="119">
        <f>July_SotM[[#This Row],[Max Seed]]-July_SotM[[#This Row],[Num]]</f>
        <v>7</v>
      </c>
      <c r="F23" s="119">
        <f>July_SotM[[#This Row],[Max Seed]]-July_SotM[[#This Row],[Top Seed]]+1</f>
        <v>10</v>
      </c>
      <c r="G23" s="119" t="b">
        <f>IF(July_SotM[[#This Row],[Round]]=$C$13, TRUE(), IF(July_SotM[[#This Row],[Round]]=$B$13, July_SotM[[#This Row],[Top Seed]]&lt;=2*July_SotM[[#This Row],[Max Seed]]-$A$13, FALSE()))</f>
        <v>1</v>
      </c>
      <c r="H23" s="119" t="b">
        <f>IF(July_SotM[[#This Row],[Round]]=$C$13, TRUE(), IF(July_SotM[[#This Row],[Round]]=$B$13, July_SotM[[#This Row],[Low Seed]]&lt;=2*July_SotM[[#This Row],[Max Seed]]-$A$13, FALSE()))</f>
        <v>1</v>
      </c>
      <c r="I23" s="28"/>
      <c r="J23" s="31"/>
      <c r="K23" s="33" t="s">
        <v>4191</v>
      </c>
      <c r="L23" s="35" t="s">
        <v>4191</v>
      </c>
      <c r="M23" s="37" t="s">
        <v>4191</v>
      </c>
      <c r="N23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Boulevard of Broken Dreams</v>
      </c>
      <c r="O23" s="118">
        <f>COUNTIF(July_SotM[[#This Row],[J]:[H]],"x")</f>
        <v>3</v>
      </c>
      <c r="P23" s="119" t="str">
        <f ca="1">IF(July_SotM[[#This Row],[Num]]&gt;=$A$13, "-", IF(July_SotM[[#This Row],[Score 1]]&gt;=3, July_SotM[[#This Row],[Song 1]], IF(July_SotM[[#This Row],[Score 2]]&gt;=3, July_SotM[[#This Row],[Song 2]], "TBD")))</f>
        <v>Boulevard of Broken Dreams</v>
      </c>
      <c r="Q23" s="121">
        <f>COUNTIF(July_SotM[[#This Row],[H ]:[J ]],"x")</f>
        <v>2</v>
      </c>
      <c r="R23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Otro Atardecer</v>
      </c>
      <c r="S23" s="37"/>
      <c r="T23" s="35"/>
      <c r="U23" s="33"/>
      <c r="V23" s="31" t="s">
        <v>4191</v>
      </c>
      <c r="W23" s="28" t="s">
        <v>4191</v>
      </c>
      <c r="X23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/>
      </c>
      <c r="Z23" s="109">
        <f t="shared" si="10"/>
        <v>2</v>
      </c>
      <c r="AA23" s="85">
        <v>45489</v>
      </c>
      <c r="AB23" s="123" t="str">
        <v>loganworsdell</v>
      </c>
      <c r="AC23" s="3">
        <v>1.4</v>
      </c>
      <c r="AD23" s="86">
        <v>0.8</v>
      </c>
      <c r="AE23" s="123" t="str">
        <v>Feel It</v>
      </c>
      <c r="AF23" t="str">
        <v>d4vd</v>
      </c>
      <c r="AG23" s="100">
        <f t="shared" si="9"/>
        <v>2</v>
      </c>
      <c r="AI23" s="140">
        <f>July_SotM[[#This Row],[Max Seed]]/2 + 1</f>
        <v>9</v>
      </c>
      <c r="AJ23" s="135" t="str">
        <f ca="1">IF(July_SotM[[#This Row],[Num]]&gt;=$A$13, "-", IF(July_SotM[[#This Row],[Score 1]]&gt;=3, July_SotM[[#This Row],[Song 2]], IF(July_SotM[[#This Row],[Score 2]]&gt;=3, July_SotM[[#This Row],[Song 1]], "TBD")))</f>
        <v>Otro Atardecer</v>
      </c>
      <c r="AK23" s="124">
        <f ca="1">IFERROR(VLOOKUP(July_Results[[#This Row],[Song Title]], $AE$14:$AG$32, 3, FALSE)-July_Results[[#This Row],[Result]], "TBD")</f>
        <v>0</v>
      </c>
      <c r="AL23" s="125" t="str">
        <f t="shared" ca="1" si="6"/>
        <v>-</v>
      </c>
    </row>
    <row r="24" spans="1:38">
      <c r="A24" s="118" t="str">
        <f t="shared" si="11"/>
        <v>Seed 6 vs 11</v>
      </c>
      <c r="B24" s="119">
        <v>10</v>
      </c>
      <c r="C24" s="119">
        <f>FLOOR(LOG(July_SotM[[#This Row],[Num]], 2), 1)</f>
        <v>3</v>
      </c>
      <c r="D24" s="119">
        <f>2^(July_SotM[[#This Row],[Round]]+1)</f>
        <v>16</v>
      </c>
      <c r="E24" s="119">
        <f>July_SotM[[#This Row],[Max Seed]]-July_SotM[[#This Row],[Num]]</f>
        <v>6</v>
      </c>
      <c r="F24" s="119">
        <f>July_SotM[[#This Row],[Max Seed]]-July_SotM[[#This Row],[Top Seed]]+1</f>
        <v>11</v>
      </c>
      <c r="G24" s="119" t="b">
        <f>IF(July_SotM[[#This Row],[Round]]=$C$13, TRUE(), IF(July_SotM[[#This Row],[Round]]=$B$13, July_SotM[[#This Row],[Top Seed]]&lt;=2*July_SotM[[#This Row],[Max Seed]]-$A$13, FALSE()))</f>
        <v>1</v>
      </c>
      <c r="H24" s="119" t="b">
        <f>IF(July_SotM[[#This Row],[Round]]=$C$13, TRUE(), IF(July_SotM[[#This Row],[Round]]=$B$13, July_SotM[[#This Row],[Low Seed]]&lt;=2*July_SotM[[#This Row],[Max Seed]]-$A$13, FALSE()))</f>
        <v>1</v>
      </c>
      <c r="I24" s="28" t="s">
        <v>4191</v>
      </c>
      <c r="J24" s="31"/>
      <c r="K24" s="33"/>
      <c r="L24" s="35"/>
      <c r="M24" s="37" t="s">
        <v>4191</v>
      </c>
      <c r="N24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Great Escape</v>
      </c>
      <c r="O24" s="118">
        <f>COUNTIF(July_SotM[[#This Row],[J]:[H]],"x")</f>
        <v>2</v>
      </c>
      <c r="P24" s="119" t="str">
        <f ca="1">IF(July_SotM[[#This Row],[Num]]&gt;=$A$13, "-", IF(July_SotM[[#This Row],[Score 1]]&gt;=3, July_SotM[[#This Row],[Song 1]], IF(July_SotM[[#This Row],[Score 2]]&gt;=3, July_SotM[[#This Row],[Song 2]], "TBD")))</f>
        <v>Congratulations</v>
      </c>
      <c r="Q24" s="121">
        <f>COUNTIF(July_SotM[[#This Row],[H ]:[J ]],"x")</f>
        <v>3</v>
      </c>
      <c r="R24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Congratulations</v>
      </c>
      <c r="S24" s="37"/>
      <c r="T24" s="35" t="s">
        <v>4191</v>
      </c>
      <c r="U24" s="33" t="s">
        <v>4191</v>
      </c>
      <c r="V24" s="31" t="s">
        <v>4191</v>
      </c>
      <c r="W24" s="28"/>
      <c r="X24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/>
      </c>
      <c r="Z24" s="109">
        <f t="shared" si="10"/>
        <v>18</v>
      </c>
      <c r="AA24" s="85">
        <v>45490</v>
      </c>
      <c r="AB24" s="123" t="str">
        <v>danram</v>
      </c>
      <c r="AC24" s="3">
        <v>2.6</v>
      </c>
      <c r="AD24" s="86">
        <v>1.9595917942265424</v>
      </c>
      <c r="AE24" s="123" t="str">
        <v>F.C.P.R.E.M.I.X</v>
      </c>
      <c r="AF24" t="str">
        <v>The Fall of Troy</v>
      </c>
      <c r="AG24" s="100">
        <f t="shared" si="9"/>
        <v>17</v>
      </c>
      <c r="AI24" s="140">
        <f>July_SotM[[#This Row],[Max Seed]]/2 + 1</f>
        <v>9</v>
      </c>
      <c r="AJ24" s="135" t="str">
        <f ca="1">IF(July_SotM[[#This Row],[Num]]&gt;=$A$13, "-", IF(July_SotM[[#This Row],[Score 1]]&gt;=3, July_SotM[[#This Row],[Song 2]], IF(July_SotM[[#This Row],[Score 2]]&gt;=3, July_SotM[[#This Row],[Song 1]], "TBD")))</f>
        <v>Great Escape</v>
      </c>
      <c r="AK24" s="124">
        <f ca="1">IFERROR(VLOOKUP(July_Results[[#This Row],[Song Title]], $AE$14:$AG$32, 3, FALSE)-July_Results[[#This Row],[Result]], "TBD")</f>
        <v>-4</v>
      </c>
      <c r="AL24" s="125" t="str">
        <f t="shared" ca="1" si="6"/>
        <v>↓</v>
      </c>
    </row>
    <row r="25" spans="1:38">
      <c r="A25" s="118" t="str">
        <f t="shared" si="11"/>
        <v>Seed 5 vs 12</v>
      </c>
      <c r="B25" s="119">
        <v>11</v>
      </c>
      <c r="C25" s="119">
        <f>FLOOR(LOG(July_SotM[[#This Row],[Num]], 2), 1)</f>
        <v>3</v>
      </c>
      <c r="D25" s="119">
        <f>2^(July_SotM[[#This Row],[Round]]+1)</f>
        <v>16</v>
      </c>
      <c r="E25" s="119">
        <f>July_SotM[[#This Row],[Max Seed]]-July_SotM[[#This Row],[Num]]</f>
        <v>5</v>
      </c>
      <c r="F25" s="119">
        <f>July_SotM[[#This Row],[Max Seed]]-July_SotM[[#This Row],[Top Seed]]+1</f>
        <v>12</v>
      </c>
      <c r="G25" s="119" t="b">
        <f>IF(July_SotM[[#This Row],[Round]]=$C$13, TRUE(), IF(July_SotM[[#This Row],[Round]]=$B$13, July_SotM[[#This Row],[Top Seed]]&lt;=2*July_SotM[[#This Row],[Max Seed]]-$A$13, FALSE()))</f>
        <v>1</v>
      </c>
      <c r="H25" s="119" t="b">
        <f>IF(July_SotM[[#This Row],[Round]]=$C$13, TRUE(), IF(July_SotM[[#This Row],[Round]]=$B$13, July_SotM[[#This Row],[Low Seed]]&lt;=2*July_SotM[[#This Row],[Max Seed]]-$A$13, FALSE()))</f>
        <v>1</v>
      </c>
      <c r="I25" s="28" t="s">
        <v>4191</v>
      </c>
      <c r="J25" s="31"/>
      <c r="K25" s="33"/>
      <c r="L25" s="35"/>
      <c r="M25" s="37"/>
      <c r="N25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Bossa No Sé</v>
      </c>
      <c r="O25" s="118">
        <f>COUNTIF(July_SotM[[#This Row],[J]:[H]],"x")</f>
        <v>1</v>
      </c>
      <c r="P25" s="119" t="str">
        <f ca="1">IF(July_SotM[[#This Row],[Num]]&gt;=$A$13, "-", IF(July_SotM[[#This Row],[Score 1]]&gt;=3, July_SotM[[#This Row],[Song 1]], IF(July_SotM[[#This Row],[Score 2]]&gt;=3, July_SotM[[#This Row],[Song 2]], "TBD")))</f>
        <v>Stop Signs are Merely Suggestions</v>
      </c>
      <c r="Q25" s="121">
        <f>COUNTIF(July_SotM[[#This Row],[H ]:[J ]],"x")</f>
        <v>4</v>
      </c>
      <c r="R25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Stop Signs are Merely Suggestions</v>
      </c>
      <c r="S25" s="37" t="s">
        <v>4191</v>
      </c>
      <c r="T25" s="35" t="s">
        <v>4191</v>
      </c>
      <c r="U25" s="33" t="s">
        <v>4191</v>
      </c>
      <c r="V25" s="31" t="s">
        <v>4191</v>
      </c>
      <c r="W25" s="28"/>
      <c r="X25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/>
      </c>
      <c r="Z25" s="109">
        <f t="shared" si="10"/>
        <v>10</v>
      </c>
      <c r="AA25" s="85">
        <v>45491</v>
      </c>
      <c r="AB25" s="123" t="str">
        <v>danram</v>
      </c>
      <c r="AC25" s="3">
        <v>2.2000000000000002</v>
      </c>
      <c r="AD25" s="86">
        <v>1.1661903789690602</v>
      </c>
      <c r="AE25" s="123" t="str">
        <v>Otro Atardecer</v>
      </c>
      <c r="AF25" t="str">
        <v>Bad Bunny, The Marias</v>
      </c>
      <c r="AG25" s="100">
        <f t="shared" si="9"/>
        <v>9</v>
      </c>
      <c r="AI25" s="140">
        <f>July_SotM[[#This Row],[Max Seed]]/2 + 1</f>
        <v>9</v>
      </c>
      <c r="AJ25" s="135" t="str">
        <f ca="1">IF(July_SotM[[#This Row],[Num]]&gt;=$A$13, "-", IF(July_SotM[[#This Row],[Score 1]]&gt;=3, July_SotM[[#This Row],[Song 2]], IF(July_SotM[[#This Row],[Score 2]]&gt;=3, July_SotM[[#This Row],[Song 1]], "TBD")))</f>
        <v>Bossa No Sé</v>
      </c>
      <c r="AK25" s="124">
        <f ca="1">IFERROR(VLOOKUP(July_Results[[#This Row],[Song Title]], $AE$14:$AG$32, 3, FALSE)-July_Results[[#This Row],[Result]], "TBD")</f>
        <v>-4</v>
      </c>
      <c r="AL25" s="125" t="str">
        <f t="shared" ca="1" si="6"/>
        <v>↓</v>
      </c>
    </row>
    <row r="26" spans="1:38">
      <c r="A26" s="118" t="str">
        <f t="shared" si="11"/>
        <v>Seed 4 vs 13</v>
      </c>
      <c r="B26" s="119">
        <v>12</v>
      </c>
      <c r="C26" s="119">
        <f>FLOOR(LOG(July_SotM[[#This Row],[Num]], 2), 1)</f>
        <v>3</v>
      </c>
      <c r="D26" s="119">
        <f>2^(July_SotM[[#This Row],[Round]]+1)</f>
        <v>16</v>
      </c>
      <c r="E26" s="119">
        <f>July_SotM[[#This Row],[Max Seed]]-July_SotM[[#This Row],[Num]]</f>
        <v>4</v>
      </c>
      <c r="F26" s="119">
        <f>July_SotM[[#This Row],[Max Seed]]-July_SotM[[#This Row],[Top Seed]]+1</f>
        <v>13</v>
      </c>
      <c r="G26" s="119" t="b">
        <f>IF(July_SotM[[#This Row],[Round]]=$C$13, TRUE(), IF(July_SotM[[#This Row],[Round]]=$B$13, July_SotM[[#This Row],[Top Seed]]&lt;=2*July_SotM[[#This Row],[Max Seed]]-$A$13, FALSE()))</f>
        <v>1</v>
      </c>
      <c r="H26" s="119" t="b">
        <f>IF(July_SotM[[#This Row],[Round]]=$C$13, TRUE(), IF(July_SotM[[#This Row],[Round]]=$B$13, July_SotM[[#This Row],[Low Seed]]&lt;=2*July_SotM[[#This Row],[Max Seed]]-$A$13, FALSE()))</f>
        <v>1</v>
      </c>
      <c r="I26" s="28" t="s">
        <v>4191</v>
      </c>
      <c r="J26" s="31" t="s">
        <v>4191</v>
      </c>
      <c r="K26" s="33"/>
      <c r="L26" s="35" t="s">
        <v>4191</v>
      </c>
      <c r="M26" s="37" t="s">
        <v>4191</v>
      </c>
      <c r="N26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Annihilate</v>
      </c>
      <c r="O26" s="118">
        <f>COUNTIF(July_SotM[[#This Row],[J]:[H]],"x")</f>
        <v>4</v>
      </c>
      <c r="P26" s="119" t="str">
        <f ca="1">IF(July_SotM[[#This Row],[Num]]&gt;=$A$13, "-", IF(July_SotM[[#This Row],[Score 1]]&gt;=3, July_SotM[[#This Row],[Song 1]], IF(July_SotM[[#This Row],[Score 2]]&gt;=3, July_SotM[[#This Row],[Song 2]], "TBD")))</f>
        <v>Annihilate</v>
      </c>
      <c r="Q26" s="121">
        <f>COUNTIF(July_SotM[[#This Row],[H ]:[J ]],"x")</f>
        <v>1</v>
      </c>
      <c r="R26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Otaku Hot Girl</v>
      </c>
      <c r="S26" s="37"/>
      <c r="T26" s="35"/>
      <c r="U26" s="33" t="s">
        <v>4191</v>
      </c>
      <c r="V26" s="31"/>
      <c r="W26" s="28"/>
      <c r="X26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/>
      </c>
      <c r="Z26" s="109">
        <f t="shared" si="10"/>
        <v>14</v>
      </c>
      <c r="AA26" s="85">
        <v>45495</v>
      </c>
      <c r="AB26" s="123" t="str">
        <v>loganworsdell</v>
      </c>
      <c r="AC26" s="3">
        <v>2.4</v>
      </c>
      <c r="AD26" s="86">
        <v>0.8</v>
      </c>
      <c r="AE26" s="123" t="str">
        <v>princess peach</v>
      </c>
      <c r="AF26" t="str">
        <v>Young Miko</v>
      </c>
      <c r="AG26" s="100">
        <f t="shared" si="9"/>
        <v>9</v>
      </c>
      <c r="AI26" s="140">
        <f>July_SotM[[#This Row],[Max Seed]]/2 + 1</f>
        <v>9</v>
      </c>
      <c r="AJ26" s="135" t="str">
        <f ca="1">IF(July_SotM[[#This Row],[Num]]&gt;=$A$13, "-", IF(July_SotM[[#This Row],[Score 1]]&gt;=3, July_SotM[[#This Row],[Song 2]], IF(July_SotM[[#This Row],[Score 2]]&gt;=3, July_SotM[[#This Row],[Song 1]], "TBD")))</f>
        <v>Otaku Hot Girl</v>
      </c>
      <c r="AK26" s="124">
        <f ca="1">IFERROR(VLOOKUP(July_Results[[#This Row],[Song Title]], $AE$14:$AG$32, 3, FALSE)-July_Results[[#This Row],[Result]], "TBD")</f>
        <v>0</v>
      </c>
      <c r="AL26" s="125" t="str">
        <f t="shared" ca="1" si="6"/>
        <v>-</v>
      </c>
    </row>
    <row r="27" spans="1:38">
      <c r="A27" s="118" t="str">
        <f t="shared" si="11"/>
        <v>Seed 3 vs 14</v>
      </c>
      <c r="B27" s="119">
        <v>13</v>
      </c>
      <c r="C27" s="119">
        <f>FLOOR(LOG(July_SotM[[#This Row],[Num]], 2), 1)</f>
        <v>3</v>
      </c>
      <c r="D27" s="119">
        <f>2^(July_SotM[[#This Row],[Round]]+1)</f>
        <v>16</v>
      </c>
      <c r="E27" s="119">
        <f>July_SotM[[#This Row],[Max Seed]]-July_SotM[[#This Row],[Num]]</f>
        <v>3</v>
      </c>
      <c r="F27" s="119">
        <f>July_SotM[[#This Row],[Max Seed]]-July_SotM[[#This Row],[Top Seed]]+1</f>
        <v>14</v>
      </c>
      <c r="G27" s="119" t="b">
        <f>IF(July_SotM[[#This Row],[Round]]=$C$13, TRUE(), IF(July_SotM[[#This Row],[Round]]=$B$13, July_SotM[[#This Row],[Top Seed]]&lt;=2*July_SotM[[#This Row],[Max Seed]]-$A$13, FALSE()))</f>
        <v>1</v>
      </c>
      <c r="H27" s="119" t="b">
        <f>IF(July_SotM[[#This Row],[Round]]=$C$13, TRUE(), IF(July_SotM[[#This Row],[Round]]=$B$13, July_SotM[[#This Row],[Low Seed]]&lt;=2*July_SotM[[#This Row],[Max Seed]]-$A$13, FALSE()))</f>
        <v>0</v>
      </c>
      <c r="I27" s="28" t="s">
        <v>4191</v>
      </c>
      <c r="J27" s="31" t="s">
        <v>4191</v>
      </c>
      <c r="K27" s="33" t="s">
        <v>4191</v>
      </c>
      <c r="L27" s="35" t="s">
        <v>4191</v>
      </c>
      <c r="M27" s="37"/>
      <c r="N27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Closer</v>
      </c>
      <c r="O27" s="118">
        <f>COUNTIF(July_SotM[[#This Row],[J]:[H]],"x")</f>
        <v>4</v>
      </c>
      <c r="P27" s="119" t="str">
        <f ca="1">IF(July_SotM[[#This Row],[Num]]&gt;=$A$13, "-", IF(July_SotM[[#This Row],[Score 1]]&gt;=3, July_SotM[[#This Row],[Song 1]], IF(July_SotM[[#This Row],[Score 2]]&gt;=3, July_SotM[[#This Row],[Song 2]], "TBD")))</f>
        <v>Closer</v>
      </c>
      <c r="Q27" s="121">
        <f>COUNTIF(July_SotM[[#This Row],[H ]:[J ]],"x")</f>
        <v>1</v>
      </c>
      <c r="R27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princess peach</v>
      </c>
      <c r="S27" s="37" t="s">
        <v>4191</v>
      </c>
      <c r="T27" s="35"/>
      <c r="U27" s="33"/>
      <c r="V27" s="31"/>
      <c r="W27" s="28"/>
      <c r="X27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/>
      </c>
      <c r="Z27" s="109">
        <f t="shared" si="10"/>
        <v>7</v>
      </c>
      <c r="AA27" s="85">
        <v>45496</v>
      </c>
      <c r="AB27" s="123" t="str">
        <v>currydestroyer27</v>
      </c>
      <c r="AC27" s="3">
        <v>2</v>
      </c>
      <c r="AD27" s="86">
        <v>1.2649110640673518</v>
      </c>
      <c r="AE27" s="123" t="str">
        <v>Boulevard of Broken Dreams</v>
      </c>
      <c r="AF27" t="str">
        <v>Green Day</v>
      </c>
      <c r="AG27" s="100">
        <f t="shared" si="9"/>
        <v>5</v>
      </c>
      <c r="AI27" s="140">
        <f>July_SotM[[#This Row],[Max Seed]]/2 + 1</f>
        <v>9</v>
      </c>
      <c r="AJ27" s="135" t="str">
        <f ca="1">IF(July_SotM[[#This Row],[Num]]&gt;=$A$13, "-", IF(July_SotM[[#This Row],[Score 1]]&gt;=3, July_SotM[[#This Row],[Song 2]], IF(July_SotM[[#This Row],[Score 2]]&gt;=3, July_SotM[[#This Row],[Song 1]], "TBD")))</f>
        <v>princess peach</v>
      </c>
      <c r="AK27" s="124">
        <f ca="1">IFERROR(VLOOKUP(July_Results[[#This Row],[Song Title]], $AE$14:$AG$32, 3, FALSE)-July_Results[[#This Row],[Result]], "TBD")</f>
        <v>0</v>
      </c>
      <c r="AL27" s="125" t="str">
        <f t="shared" ca="1" si="6"/>
        <v>-</v>
      </c>
    </row>
    <row r="28" spans="1:38">
      <c r="A28" s="118" t="str">
        <f t="shared" si="11"/>
        <v>Seed 2 vs 15</v>
      </c>
      <c r="B28" s="119">
        <v>14</v>
      </c>
      <c r="C28" s="119">
        <f>FLOOR(LOG(July_SotM[[#This Row],[Num]], 2), 1)</f>
        <v>3</v>
      </c>
      <c r="D28" s="119">
        <f>2^(July_SotM[[#This Row],[Round]]+1)</f>
        <v>16</v>
      </c>
      <c r="E28" s="119">
        <f>July_SotM[[#This Row],[Max Seed]]-July_SotM[[#This Row],[Num]]</f>
        <v>2</v>
      </c>
      <c r="F28" s="119">
        <f>July_SotM[[#This Row],[Max Seed]]-July_SotM[[#This Row],[Top Seed]]+1</f>
        <v>15</v>
      </c>
      <c r="G28" s="119" t="b">
        <f>IF(July_SotM[[#This Row],[Round]]=$C$13, TRUE(), IF(July_SotM[[#This Row],[Round]]=$B$13, July_SotM[[#This Row],[Top Seed]]&lt;=2*July_SotM[[#This Row],[Max Seed]]-$A$13, FALSE()))</f>
        <v>1</v>
      </c>
      <c r="H28" s="119" t="b">
        <f>IF(July_SotM[[#This Row],[Round]]=$C$13, TRUE(), IF(July_SotM[[#This Row],[Round]]=$B$13, July_SotM[[#This Row],[Low Seed]]&lt;=2*July_SotM[[#This Row],[Max Seed]]-$A$13, FALSE()))</f>
        <v>0</v>
      </c>
      <c r="I28" s="28" t="s">
        <v>4191</v>
      </c>
      <c r="J28" s="31" t="s">
        <v>4191</v>
      </c>
      <c r="K28" s="33" t="s">
        <v>4191</v>
      </c>
      <c r="L28" s="35" t="s">
        <v>4191</v>
      </c>
      <c r="M28" s="37" t="s">
        <v>4191</v>
      </c>
      <c r="N28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Feel It</v>
      </c>
      <c r="O28" s="118">
        <f>COUNTIF(July_SotM[[#This Row],[J]:[H]],"x")</f>
        <v>5</v>
      </c>
      <c r="P28" s="119" t="str">
        <f ca="1">IF(July_SotM[[#This Row],[Num]]&gt;=$A$13, "-", IF(July_SotM[[#This Row],[Score 1]]&gt;=3, July_SotM[[#This Row],[Song 1]], IF(July_SotM[[#This Row],[Score 2]]&gt;=3, July_SotM[[#This Row],[Song 2]], "TBD")))</f>
        <v>Feel It</v>
      </c>
      <c r="Q28" s="121">
        <f>COUNTIF(July_SotM[[#This Row],[H ]:[J ]],"x")</f>
        <v>0</v>
      </c>
      <c r="R28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Granite</v>
      </c>
      <c r="S28" s="37"/>
      <c r="T28" s="35"/>
      <c r="U28" s="33"/>
      <c r="V28" s="31"/>
      <c r="W28" s="28"/>
      <c r="X28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/>
      </c>
      <c r="Z28" s="109">
        <f t="shared" si="10"/>
        <v>15</v>
      </c>
      <c r="AA28" s="85">
        <v>45497</v>
      </c>
      <c r="AB28" s="123" t="str">
        <v>samuelbattista</v>
      </c>
      <c r="AC28" s="3">
        <v>2.4</v>
      </c>
      <c r="AD28" s="86">
        <v>1.019803902718557</v>
      </c>
      <c r="AE28" s="123" t="str">
        <v>Granite</v>
      </c>
      <c r="AF28" t="str">
        <v>Sleep Token</v>
      </c>
      <c r="AG28" s="100">
        <f t="shared" si="9"/>
        <v>9</v>
      </c>
      <c r="AI28" s="140">
        <f>July_SotM[[#This Row],[Max Seed]]/2 + 1</f>
        <v>9</v>
      </c>
      <c r="AJ28" s="135" t="str">
        <f ca="1">IF(July_SotM[[#This Row],[Num]]&gt;=$A$13, "-", IF(July_SotM[[#This Row],[Score 1]]&gt;=3, July_SotM[[#This Row],[Song 2]], IF(July_SotM[[#This Row],[Score 2]]&gt;=3, July_SotM[[#This Row],[Song 1]], "TBD")))</f>
        <v>Granite</v>
      </c>
      <c r="AK28" s="124">
        <f ca="1">IFERROR(VLOOKUP(July_Results[[#This Row],[Song Title]], $AE$14:$AG$32, 3, FALSE)-July_Results[[#This Row],[Result]], "TBD")</f>
        <v>0</v>
      </c>
      <c r="AL28" s="125" t="str">
        <f t="shared" ca="1" si="6"/>
        <v>-</v>
      </c>
    </row>
    <row r="29" spans="1:38">
      <c r="A29" s="118" t="str">
        <f t="shared" si="11"/>
        <v>Seed 1 vs 16</v>
      </c>
      <c r="B29" s="119">
        <v>15</v>
      </c>
      <c r="C29" s="119">
        <f>FLOOR(LOG(July_SotM[[#This Row],[Num]], 2), 1)</f>
        <v>3</v>
      </c>
      <c r="D29" s="119">
        <f>2^(July_SotM[[#This Row],[Round]]+1)</f>
        <v>16</v>
      </c>
      <c r="E29" s="119">
        <f>July_SotM[[#This Row],[Max Seed]]-July_SotM[[#This Row],[Num]]</f>
        <v>1</v>
      </c>
      <c r="F29" s="119">
        <f>July_SotM[[#This Row],[Max Seed]]-July_SotM[[#This Row],[Top Seed]]+1</f>
        <v>16</v>
      </c>
      <c r="G29" s="119" t="b">
        <f>IF(July_SotM[[#This Row],[Round]]=$C$13, TRUE(), IF(July_SotM[[#This Row],[Round]]=$B$13, July_SotM[[#This Row],[Top Seed]]&lt;=2*July_SotM[[#This Row],[Max Seed]]-$A$13, FALSE()))</f>
        <v>1</v>
      </c>
      <c r="H29" s="119" t="b">
        <f>IF(July_SotM[[#This Row],[Round]]=$C$13, TRUE(), IF(July_SotM[[#This Row],[Round]]=$B$13, July_SotM[[#This Row],[Low Seed]]&lt;=2*July_SotM[[#This Row],[Max Seed]]-$A$13, FALSE()))</f>
        <v>0</v>
      </c>
      <c r="I29" s="28" t="s">
        <v>4191</v>
      </c>
      <c r="J29" s="31"/>
      <c r="K29" s="33" t="s">
        <v>4191</v>
      </c>
      <c r="L29" s="35" t="s">
        <v>4191</v>
      </c>
      <c r="M29" s="37" t="s">
        <v>4191</v>
      </c>
      <c r="N29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specialist</v>
      </c>
      <c r="O29" s="118">
        <f>COUNTIF(July_SotM[[#This Row],[J]:[H]],"x")</f>
        <v>4</v>
      </c>
      <c r="P29" s="119" t="str">
        <f ca="1">IF(July_SotM[[#This Row],[Num]]&gt;=$A$13, "-", IF(July_SotM[[#This Row],[Score 1]]&gt;=3, July_SotM[[#This Row],[Song 1]], IF(July_SotM[[#This Row],[Score 2]]&gt;=3, July_SotM[[#This Row],[Song 2]], "TBD")))</f>
        <v>specialist</v>
      </c>
      <c r="Q29" s="121">
        <f>COUNTIF(July_SotM[[#This Row],[H ]:[J ]],"x")</f>
        <v>0</v>
      </c>
      <c r="R29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Deja Vu</v>
      </c>
      <c r="S29" s="37"/>
      <c r="T29" s="35"/>
      <c r="U29" s="33"/>
      <c r="V29" s="31"/>
      <c r="W29" s="28"/>
      <c r="X29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 xml:space="preserve">D </v>
      </c>
      <c r="Z29" s="109">
        <f t="shared" si="10"/>
        <v>9</v>
      </c>
      <c r="AA29" s="85">
        <v>45498</v>
      </c>
      <c r="AB29" t="str">
        <v>danram</v>
      </c>
      <c r="AC29" s="3">
        <v>2.2000000000000002</v>
      </c>
      <c r="AD29" s="86">
        <v>0.9797958971132712</v>
      </c>
      <c r="AE29" s="123" t="str">
        <v>Don't Speak</v>
      </c>
      <c r="AF29" t="str">
        <v>VoicePlay, Hannah Juliano</v>
      </c>
      <c r="AG29" s="100">
        <f t="shared" si="9"/>
        <v>9</v>
      </c>
      <c r="AI29" s="140">
        <f>July_SotM[[#This Row],[Max Seed]]/2 + 1</f>
        <v>9</v>
      </c>
      <c r="AJ29" s="135" t="str">
        <f ca="1">IF(July_SotM[[#This Row],[Num]]&gt;=$A$13, "-", IF(July_SotM[[#This Row],[Score 1]]&gt;=3, July_SotM[[#This Row],[Song 2]], IF(July_SotM[[#This Row],[Score 2]]&gt;=3, July_SotM[[#This Row],[Song 1]], "TBD")))</f>
        <v>Deja Vu</v>
      </c>
      <c r="AK29" s="124">
        <f ca="1">IFERROR(VLOOKUP(July_Results[[#This Row],[Song Title]], $AE$14:$AG$32, 3, FALSE)-July_Results[[#This Row],[Result]], "TBD")</f>
        <v>0</v>
      </c>
      <c r="AL29" s="125" t="str">
        <f t="shared" ca="1" si="6"/>
        <v>-</v>
      </c>
    </row>
    <row r="30" spans="1:38">
      <c r="A30" s="118" t="str">
        <f t="shared" si="11"/>
        <v>Seed 16 vs 17</v>
      </c>
      <c r="B30" s="119">
        <v>16</v>
      </c>
      <c r="C30" s="119">
        <f>FLOOR(LOG(July_SotM[[#This Row],[Num]], 2), 1)</f>
        <v>4</v>
      </c>
      <c r="D30" s="119">
        <f>2^(July_SotM[[#This Row],[Round]]+1)</f>
        <v>32</v>
      </c>
      <c r="E30" s="119">
        <f>July_SotM[[#This Row],[Max Seed]]-July_SotM[[#This Row],[Num]]</f>
        <v>16</v>
      </c>
      <c r="F30" s="119">
        <f>July_SotM[[#This Row],[Max Seed]]-July_SotM[[#This Row],[Top Seed]]+1</f>
        <v>17</v>
      </c>
      <c r="G30" s="119" t="b">
        <f>IF(July_SotM[[#This Row],[Round]]=$C$13, TRUE(), IF(July_SotM[[#This Row],[Round]]=$B$13, July_SotM[[#This Row],[Top Seed]]&lt;=2*July_SotM[[#This Row],[Max Seed]]-$A$13, FALSE()))</f>
        <v>1</v>
      </c>
      <c r="H30" s="119" t="b">
        <f>IF(July_SotM[[#This Row],[Round]]=$C$13, TRUE(), IF(July_SotM[[#This Row],[Round]]=$B$13, July_SotM[[#This Row],[Low Seed]]&lt;=2*July_SotM[[#This Row],[Max Seed]]-$A$13, FALSE()))</f>
        <v>1</v>
      </c>
      <c r="I30" s="28" t="s">
        <v>4191</v>
      </c>
      <c r="J30" s="31"/>
      <c r="K30" s="33" t="s">
        <v>4191</v>
      </c>
      <c r="L30" s="35"/>
      <c r="M30" s="37" t="s">
        <v>4191</v>
      </c>
      <c r="N30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Deja Vu</v>
      </c>
      <c r="O30" s="118">
        <f>COUNTIF(July_SotM[[#This Row],[J]:[H]],"x")</f>
        <v>3</v>
      </c>
      <c r="P30" s="119" t="str">
        <f ca="1">IF(July_SotM[[#This Row],[Num]]&gt;=$A$13, "-", IF(July_SotM[[#This Row],[Score 1]]&gt;=3, July_SotM[[#This Row],[Song 1]], IF(July_SotM[[#This Row],[Score 2]]&gt;=3, July_SotM[[#This Row],[Song 2]], "TBD")))</f>
        <v>Deja Vu</v>
      </c>
      <c r="Q30" s="121">
        <f>COUNTIF(July_SotM[[#This Row],[H ]:[J ]],"x")</f>
        <v>2</v>
      </c>
      <c r="R30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DNA</v>
      </c>
      <c r="S30" s="37"/>
      <c r="T30" s="35" t="s">
        <v>4191</v>
      </c>
      <c r="U30" s="33"/>
      <c r="V30" s="31" t="s">
        <v>4191</v>
      </c>
      <c r="W30" s="28"/>
      <c r="X30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/>
      </c>
      <c r="Z30" s="109">
        <f t="shared" si="10"/>
        <v>3</v>
      </c>
      <c r="AA30" s="85">
        <v>45502</v>
      </c>
      <c r="AB30" s="123" t="str">
        <v>loganworsdell</v>
      </c>
      <c r="AC30" s="3">
        <v>1.6</v>
      </c>
      <c r="AD30" s="86">
        <v>1.2</v>
      </c>
      <c r="AE30" s="123" t="str">
        <v>Closer</v>
      </c>
      <c r="AF30" t="str">
        <v>vaultboy, salem ilese</v>
      </c>
      <c r="AG30" s="100">
        <f t="shared" si="9"/>
        <v>3</v>
      </c>
      <c r="AI30" s="140">
        <f>July_SotM[[#This Row],[Max Seed]]/2 + 1</f>
        <v>17</v>
      </c>
      <c r="AJ30" s="135" t="str">
        <f ca="1">IF(July_SotM[[#This Row],[Num]]&gt;=$A$13, "-", IF(July_SotM[[#This Row],[Score 1]]&gt;=3, July_SotM[[#This Row],[Song 2]], IF(July_SotM[[#This Row],[Score 2]]&gt;=3, July_SotM[[#This Row],[Song 1]], "TBD")))</f>
        <v>DNA</v>
      </c>
      <c r="AK30" s="124">
        <f ca="1">IFERROR(VLOOKUP(July_Results[[#This Row],[Song Title]], $AE$14:$AG$32, 3, FALSE)-July_Results[[#This Row],[Result]], "TBD")</f>
        <v>0</v>
      </c>
      <c r="AL30" s="125" t="str">
        <f t="shared" ca="1" si="6"/>
        <v>-</v>
      </c>
    </row>
    <row r="31" spans="1:38">
      <c r="A31" s="118" t="str">
        <f t="shared" si="11"/>
        <v>Seed 15 vs 18</v>
      </c>
      <c r="B31" s="119">
        <v>17</v>
      </c>
      <c r="C31" s="119">
        <f>FLOOR(LOG(July_SotM[[#This Row],[Num]], 2), 1)</f>
        <v>4</v>
      </c>
      <c r="D31" s="119">
        <f>2^(July_SotM[[#This Row],[Round]]+1)</f>
        <v>32</v>
      </c>
      <c r="E31" s="119">
        <f>July_SotM[[#This Row],[Max Seed]]-July_SotM[[#This Row],[Num]]</f>
        <v>15</v>
      </c>
      <c r="F31" s="119">
        <f>July_SotM[[#This Row],[Max Seed]]-July_SotM[[#This Row],[Top Seed]]+1</f>
        <v>18</v>
      </c>
      <c r="G31" s="119" t="b">
        <f>IF(July_SotM[[#This Row],[Round]]=$C$13, TRUE(), IF(July_SotM[[#This Row],[Round]]=$B$13, July_SotM[[#This Row],[Top Seed]]&lt;=2*July_SotM[[#This Row],[Max Seed]]-$A$13, FALSE()))</f>
        <v>1</v>
      </c>
      <c r="H31" s="119" t="b">
        <f>IF(July_SotM[[#This Row],[Round]]=$C$13, TRUE(), IF(July_SotM[[#This Row],[Round]]=$B$13, July_SotM[[#This Row],[Low Seed]]&lt;=2*July_SotM[[#This Row],[Max Seed]]-$A$13, FALSE()))</f>
        <v>1</v>
      </c>
      <c r="I31" s="28" t="s">
        <v>4191</v>
      </c>
      <c r="J31" s="31"/>
      <c r="K31" s="33" t="s">
        <v>4191</v>
      </c>
      <c r="L31" s="35" t="s">
        <v>4191</v>
      </c>
      <c r="M31" s="37" t="s">
        <v>4191</v>
      </c>
      <c r="N31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Granite</v>
      </c>
      <c r="O31" s="118">
        <f>COUNTIF(July_SotM[[#This Row],[J]:[H]],"x")</f>
        <v>4</v>
      </c>
      <c r="P31" s="119" t="str">
        <f ca="1">IF(July_SotM[[#This Row],[Num]]&gt;=$A$13, "-", IF(July_SotM[[#This Row],[Score 1]]&gt;=3, July_SotM[[#This Row],[Song 1]], IF(July_SotM[[#This Row],[Score 2]]&gt;=3, July_SotM[[#This Row],[Song 2]], "TBD")))</f>
        <v>Granite</v>
      </c>
      <c r="Q31" s="121">
        <f>COUNTIF(July_SotM[[#This Row],[H ]:[J ]],"x")</f>
        <v>1</v>
      </c>
      <c r="R31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F.C.P.R.E.M.I.X</v>
      </c>
      <c r="S31" s="37"/>
      <c r="T31" s="35"/>
      <c r="U31" s="33"/>
      <c r="V31" s="31" t="s">
        <v>4191</v>
      </c>
      <c r="W31" s="28"/>
      <c r="X31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/>
      </c>
      <c r="Z31" s="109">
        <f t="shared" si="10"/>
        <v>5</v>
      </c>
      <c r="AA31" s="85">
        <v>45503</v>
      </c>
      <c r="AB31" s="123" t="str">
        <v>loganworsdell</v>
      </c>
      <c r="AC31" s="3">
        <v>1.8</v>
      </c>
      <c r="AD31" s="86">
        <v>0.74833147735478833</v>
      </c>
      <c r="AE31" s="123" t="str">
        <v>Bossa No Sé</v>
      </c>
      <c r="AF31" t="str">
        <v>Cuco, Jean Carter</v>
      </c>
      <c r="AG31" s="100">
        <f t="shared" si="9"/>
        <v>5</v>
      </c>
      <c r="AI31" s="140">
        <f>July_SotM[[#This Row],[Max Seed]]/2 + 1</f>
        <v>17</v>
      </c>
      <c r="AJ31" s="135" t="str">
        <f ca="1">IF(July_SotM[[#This Row],[Num]]&gt;=$A$13, "-", IF(July_SotM[[#This Row],[Score 1]]&gt;=3, July_SotM[[#This Row],[Song 2]], IF(July_SotM[[#This Row],[Score 2]]&gt;=3, July_SotM[[#This Row],[Song 1]], "TBD")))</f>
        <v>F.C.P.R.E.M.I.X</v>
      </c>
      <c r="AK31" s="124">
        <f ca="1">IFERROR(VLOOKUP(July_Results[[#This Row],[Song Title]], $AE$14:$AG$32, 3, FALSE)-July_Results[[#This Row],[Result]], "TBD")</f>
        <v>0</v>
      </c>
      <c r="AL31" s="125" t="str">
        <f t="shared" ca="1" si="6"/>
        <v>-</v>
      </c>
    </row>
    <row r="32" spans="1:38">
      <c r="A32" s="131" t="str">
        <f t="shared" si="11"/>
        <v>Seed 14 vs 19</v>
      </c>
      <c r="B32" s="129">
        <v>18</v>
      </c>
      <c r="C32" s="129">
        <f>FLOOR(LOG(July_SotM[[#This Row],[Num]], 2), 1)</f>
        <v>4</v>
      </c>
      <c r="D32" s="129">
        <f>2^(July_SotM[[#This Row],[Round]]+1)</f>
        <v>32</v>
      </c>
      <c r="E32" s="129">
        <f>July_SotM[[#This Row],[Max Seed]]-July_SotM[[#This Row],[Num]]</f>
        <v>14</v>
      </c>
      <c r="F32" s="129">
        <f>July_SotM[[#This Row],[Max Seed]]-July_SotM[[#This Row],[Top Seed]]+1</f>
        <v>19</v>
      </c>
      <c r="G32" s="129" t="b">
        <f>IF(July_SotM[[#This Row],[Round]]=$C$13, TRUE(), IF(July_SotM[[#This Row],[Round]]=$B$13, July_SotM[[#This Row],[Top Seed]]&lt;=2*July_SotM[[#This Row],[Max Seed]]-$A$13, FALSE()))</f>
        <v>1</v>
      </c>
      <c r="H32" s="129" t="b">
        <f>IF(July_SotM[[#This Row],[Round]]=$C$13, TRUE(), IF(July_SotM[[#This Row],[Round]]=$B$13, July_SotM[[#This Row],[Low Seed]]&lt;=2*July_SotM[[#This Row],[Max Seed]]-$A$13, FALSE()))</f>
        <v>1</v>
      </c>
      <c r="I32" s="65"/>
      <c r="J32" s="66" t="s">
        <v>4191</v>
      </c>
      <c r="K32" s="67" t="s">
        <v>4191</v>
      </c>
      <c r="L32" s="68"/>
      <c r="M32" s="69" t="s">
        <v>4191</v>
      </c>
      <c r="N32" s="120" t="str">
        <f ca="1">IF(July_SotM[[#This Row],[Num]]&gt;=$A$13, "-", IF(July_SotM[[#This Row],[Initial 1]], VLOOKUP(July_SotM[[#This Row],[Top Seed]], $Z$14:$AE$32, 6, FALSE), OFFSET(July_SotM[[#This Row],[Winner]], July_SotM[[#This Row],[Max Seed]], 0)))</f>
        <v>princess peach</v>
      </c>
      <c r="O32" s="131">
        <f>COUNTIF(July_SotM[[#This Row],[J]:[H]],"x")</f>
        <v>3</v>
      </c>
      <c r="P32" s="129" t="str">
        <f ca="1">IF(July_SotM[[#This Row],[Num]]&gt;=$A$13, "-", IF(July_SotM[[#This Row],[Score 1]]&gt;=3, July_SotM[[#This Row],[Song 1]], IF(July_SotM[[#This Row],[Score 2]]&gt;=3, July_SotM[[#This Row],[Song 2]], "TBD")))</f>
        <v>princess peach</v>
      </c>
      <c r="Q32" s="132">
        <f>COUNTIF(July_SotM[[#This Row],[H ]:[J ]],"x")</f>
        <v>2</v>
      </c>
      <c r="R32" s="118" t="str">
        <f ca="1">IF(July_SotM[[#This Row],[Num]]&gt;=$A$13, "-", IF(July_SotM[[#This Row],[Initial 2]], VLOOKUP(July_SotM[[#This Row],[Low Seed]], $Z$14:$AE$32, 6, FALSE), OFFSET(July_SotM[[#This Row],[Winner]], 2*(July_SotM[[#This Row],[Max Seed]]-July_SotM[[#This Row],[Low Seed]])+1, 0)))</f>
        <v>Spain</v>
      </c>
      <c r="S32" s="69"/>
      <c r="T32" s="68" t="s">
        <v>4191</v>
      </c>
      <c r="U32" s="67"/>
      <c r="V32" s="66"/>
      <c r="W32" s="65" t="s">
        <v>4191</v>
      </c>
      <c r="X32" s="3" t="str">
        <f ca="1">IF(OR(July_SotM[[#This Row],[Song 1]]="TBD", July_SotM[[#This Row],[Song 2]]="TBD"), "TBD", _xlfn.CONCAT(IF(_xlfn.XOR(ISBLANK(July_SotM[[#This Row],[J]]), ISBLANK(July_SotM[[#This Row],[J ]])), "", "J "), IF(_xlfn.XOR(ISBLANK(July_SotM[[#This Row],[D]]), ISBLANK(July_SotM[[#This Row],[D ]])), "", "D "), IF(_xlfn.XOR(ISBLANK(July_SotM[[#This Row],[L]]), ISBLANK(July_SotM[[#This Row],[L ]])), "", "L "), IF(_xlfn.XOR(ISBLANK(July_SotM[[#This Row],[S]]), ISBLANK(July_SotM[[#This Row],[S ]])), "", "S "), IF(_xlfn.XOR(ISBLANK(July_SotM[[#This Row],[H]]), ISBLANK(July_SotM[[#This Row],[H ]])), "", "H ")))</f>
        <v/>
      </c>
      <c r="Z32" s="110">
        <f t="shared" si="10"/>
        <v>16</v>
      </c>
      <c r="AA32" s="156">
        <v>45504</v>
      </c>
      <c r="AB32" s="159" t="str">
        <v>alappatjoe</v>
      </c>
      <c r="AC32" s="101">
        <v>2.4</v>
      </c>
      <c r="AD32" s="158">
        <v>1.3564659966250536</v>
      </c>
      <c r="AE32" s="159" t="str">
        <v>Deja Vu</v>
      </c>
      <c r="AF32" s="157" t="str">
        <v>Beyoncé, Jay-Z</v>
      </c>
      <c r="AG32" s="102">
        <f t="shared" si="9"/>
        <v>9</v>
      </c>
      <c r="AI32" s="140">
        <f>July_SotM[[#This Row],[Max Seed]]/2 + 1</f>
        <v>17</v>
      </c>
      <c r="AJ32" s="135" t="str">
        <f ca="1">IF(July_SotM[[#This Row],[Num]]&gt;=$A$13, "-", IF(July_SotM[[#This Row],[Score 1]]&gt;=3, July_SotM[[#This Row],[Song 2]], IF(July_SotM[[#This Row],[Score 2]]&gt;=3, July_SotM[[#This Row],[Song 1]], "TBD")))</f>
        <v>Spain</v>
      </c>
      <c r="AK32" s="124">
        <f ca="1">IFERROR(VLOOKUP(July_Results[[#This Row],[Song Title]], $AE$14:$AG$32, 3, FALSE)-July_Results[[#This Row],[Result]], "TBD")</f>
        <v>0</v>
      </c>
      <c r="AL32" s="125" t="str">
        <f t="shared" ca="1" si="6"/>
        <v>-</v>
      </c>
    </row>
    <row r="34" spans="1:38">
      <c r="A34" s="301">
        <f>MAX(Z35:Z51)</f>
        <v>17</v>
      </c>
      <c r="B34" s="301">
        <f t="shared" ref="B34" si="12">FLOOR(LOG(A34, 2), 1)-1</f>
        <v>3</v>
      </c>
      <c r="C34" s="301">
        <f t="shared" ref="C34" si="13">_xlfn.CEILING.MATH(LOG(A34, 2), 1)-1</f>
        <v>4</v>
      </c>
      <c r="D34" s="301"/>
      <c r="E34" s="301"/>
      <c r="F34" s="301"/>
      <c r="G34" s="301"/>
      <c r="H34" s="301"/>
      <c r="I34" s="347" t="s">
        <v>2922</v>
      </c>
      <c r="J34" s="347"/>
      <c r="K34" s="347"/>
      <c r="L34" s="347"/>
      <c r="M34" s="347"/>
      <c r="N34" s="347"/>
      <c r="O34" s="347"/>
      <c r="P34" s="347"/>
      <c r="Q34" s="347"/>
      <c r="R34" s="347"/>
      <c r="S34" s="347"/>
      <c r="T34" s="347"/>
      <c r="U34" s="347"/>
      <c r="V34" s="347"/>
      <c r="W34" s="347"/>
      <c r="X34" s="301"/>
      <c r="Z34" s="148" t="s">
        <v>4163</v>
      </c>
      <c r="AA34" s="149" t="s">
        <v>29</v>
      </c>
      <c r="AB34" s="150" t="s">
        <v>32</v>
      </c>
      <c r="AC34" s="151" t="s">
        <v>33</v>
      </c>
      <c r="AD34" s="152" t="s">
        <v>34</v>
      </c>
      <c r="AE34" s="153" t="s">
        <v>4161</v>
      </c>
      <c r="AF34" s="154" t="s">
        <v>36</v>
      </c>
      <c r="AG34" s="155" t="s">
        <v>4164</v>
      </c>
      <c r="AI34" s="136" t="s">
        <v>4165</v>
      </c>
      <c r="AJ34" s="137" t="s">
        <v>35</v>
      </c>
      <c r="AK34" s="138" t="s">
        <v>4166</v>
      </c>
      <c r="AL34" s="139" t="s">
        <v>4167</v>
      </c>
    </row>
    <row r="35" spans="1:38">
      <c r="A35" s="301" t="s">
        <v>4168</v>
      </c>
      <c r="B35" s="301" t="s">
        <v>4169</v>
      </c>
      <c r="C35" s="301" t="s">
        <v>4170</v>
      </c>
      <c r="D35" s="301" t="s">
        <v>4171</v>
      </c>
      <c r="E35" s="301" t="s">
        <v>4172</v>
      </c>
      <c r="F35" s="301" t="s">
        <v>4173</v>
      </c>
      <c r="G35" s="133" t="s">
        <v>4174</v>
      </c>
      <c r="H35" s="133" t="s">
        <v>4175</v>
      </c>
      <c r="I35" s="133" t="s">
        <v>4176</v>
      </c>
      <c r="J35" s="133" t="s">
        <v>4177</v>
      </c>
      <c r="K35" s="133" t="s">
        <v>4178</v>
      </c>
      <c r="L35" s="133" t="s">
        <v>4179</v>
      </c>
      <c r="M35" s="133" t="s">
        <v>4180</v>
      </c>
      <c r="N35" s="301" t="s">
        <v>4181</v>
      </c>
      <c r="O35" s="133" t="s">
        <v>4182</v>
      </c>
      <c r="P35" s="301" t="s">
        <v>47</v>
      </c>
      <c r="Q35" s="133" t="s">
        <v>4183</v>
      </c>
      <c r="R35" s="301" t="s">
        <v>4184</v>
      </c>
      <c r="S35" s="133" t="s">
        <v>4185</v>
      </c>
      <c r="T35" s="133" t="s">
        <v>4186</v>
      </c>
      <c r="U35" s="133" t="s">
        <v>4187</v>
      </c>
      <c r="V35" s="133" t="s">
        <v>4188</v>
      </c>
      <c r="W35" s="133" t="s">
        <v>4189</v>
      </c>
      <c r="X35" s="133" t="s">
        <v>4190</v>
      </c>
      <c r="Z35" s="109">
        <f>IF(AC35&gt;0, COUNTIF(AC$35:AC$51, "&lt;"&amp;AC35) + COUNTIFS(AC$35:AC$51, AC35, AD$35:AD$51, "&lt;"&amp;AD35) + COUNTIFS(AC$35:AC$51, AC35, AD$35:AD$51, AD35, AA$35:AA$51, "&lt;"&amp;AA35) + 1, "TBD")</f>
        <v>1</v>
      </c>
      <c r="AA35" s="85" cm="1">
        <f t="array" ref="AA35:AF51">_xlfn._xlws.FILTER(Data[Date]:Data[Artist], (Data[Date]&gt;=DATE(2024,8,1))*(Data[Date]&lt;=DATE(2024,8,31))*(Data[Winner]=TRUE()), "TBD")</f>
        <v>45505</v>
      </c>
      <c r="AB35" s="123" t="str">
        <v>currydestroyer27</v>
      </c>
      <c r="AC35" s="3">
        <v>1.4</v>
      </c>
      <c r="AD35" s="86">
        <v>0.4898979485566356</v>
      </c>
      <c r="AE35" s="123" t="str">
        <v>Only Girl (In The World)</v>
      </c>
      <c r="AF35" t="str">
        <v>Rihanna</v>
      </c>
      <c r="AG35" s="100">
        <f>IFERROR(IF(Z35&gt;1, 2^(FLOOR(LOG(Z35-1,2),1))+1, 1), "TBD")</f>
        <v>1</v>
      </c>
      <c r="AI35" s="141">
        <v>1</v>
      </c>
      <c r="AJ35" s="135" t="str">
        <f ca="1">P36</f>
        <v>3005</v>
      </c>
      <c r="AK35" s="124">
        <f ca="1">IFERROR(VLOOKUP(August_Results[[#This Row],[Song Title]], $AE$35:$AG$51, 3, FALSE)-August_Results[[#This Row],[Result]], "TBD")</f>
        <v>8</v>
      </c>
      <c r="AL35" s="125" t="str">
        <f ca="1">IF(August_Results[[#This Row],[Diff]]&lt;0,"↓",IF(August_Results[[#This Row],[Diff]]=0,"-","↑"))</f>
        <v>↑</v>
      </c>
    </row>
    <row r="36" spans="1:38" ht="14.45" customHeight="1">
      <c r="A36" s="118" t="str">
        <f>_xlfn.CONCAT("Seed ", August_SotM[[#This Row],[Top Seed]], " vs ", August_SotM[[#This Row],[Low Seed]])</f>
        <v>Seed 1 vs 2</v>
      </c>
      <c r="B36" s="119">
        <v>1</v>
      </c>
      <c r="C36" s="119">
        <f>FLOOR(LOG(August_SotM[[#This Row],[Num]], 2), 1)</f>
        <v>0</v>
      </c>
      <c r="D36" s="119">
        <f>2^(August_SotM[[#This Row],[Round]]+1)</f>
        <v>2</v>
      </c>
      <c r="E36" s="119">
        <f>August_SotM[[#This Row],[Max Seed]]-August_SotM[[#This Row],[Num]]</f>
        <v>1</v>
      </c>
      <c r="F36" s="119">
        <f>August_SotM[[#This Row],[Max Seed]]-August_SotM[[#This Row],[Top Seed]]+1</f>
        <v>2</v>
      </c>
      <c r="G36" s="119" t="b">
        <f>IF(August_SotM[[#This Row],[Round]]=$C$34, TRUE(), IF(August_SotM[[#This Row],[Round]]=$B$34, August_SotM[[#This Row],[Top Seed]]&lt;=2*August_SotM[[#This Row],[Max Seed]]-$A$34, FALSE()))</f>
        <v>0</v>
      </c>
      <c r="H36" s="119" t="b">
        <f>IF(August_SotM[[#This Row],[Round]]=$C$34, TRUE(), IF(August_SotM[[#This Row],[Round]]=$B$34, August_SotM[[#This Row],[Low Seed]]&lt;=2*August_SotM[[#This Row],[Max Seed]]-$A$34, FALSE()))</f>
        <v>0</v>
      </c>
      <c r="I36" s="28" t="s">
        <v>4191</v>
      </c>
      <c r="J36" s="31" t="s">
        <v>4191</v>
      </c>
      <c r="K36" s="33" t="s">
        <v>4191</v>
      </c>
      <c r="L36" s="35" t="s">
        <v>4191</v>
      </c>
      <c r="M36" s="37"/>
      <c r="N36" s="120" t="str">
        <f ca="1">IF(August_SotM[[#This Row],[Num]]&gt;=$A$34, "-", IF(August_SotM[[#This Row],[Initial 1]], VLOOKUP(August_SotM[[#This Row],[Top Seed]], $Z$35:$AE$51, 6, FALSE), OFFSET(August_SotM[[#This Row],[Winner]], August_SotM[[#This Row],[Max Seed]], 0)))</f>
        <v>3005</v>
      </c>
      <c r="O36" s="118">
        <f>COUNTIF(August_SotM[[#This Row],[J]:[H]],"x")</f>
        <v>4</v>
      </c>
      <c r="P36" s="119" t="str">
        <f ca="1">IF(August_SotM[[#This Row],[Num]]&gt;=$A$34, "-", IF(August_SotM[[#This Row],[Score 1]]&gt;=3, August_SotM[[#This Row],[Song 1]], IF(August_SotM[[#This Row],[Score 2]]&gt;=3, August_SotM[[#This Row],[Song 2]], "TBD")))</f>
        <v>3005</v>
      </c>
      <c r="Q36" s="121">
        <f>COUNTIF(August_SotM[[#This Row],[H ]:[J ]],"x")</f>
        <v>1</v>
      </c>
      <c r="R36" s="118" t="str">
        <f ca="1">IF(August_SotM[[#This Row],[Num]]&gt;=$A$34, "-", IF(August_SotM[[#This Row],[Initial 2]], VLOOKUP(August_SotM[[#This Row],[Low Seed]], $Z$35:$AE$51, 6, FALSE), OFFSET(August_SotM[[#This Row],[Winner]], 2*(August_SotM[[#This Row],[Max Seed]]-August_SotM[[#This Row],[Low Seed]])+1, 0)))</f>
        <v>Mystery Lady</v>
      </c>
      <c r="S36" s="37" t="s">
        <v>4191</v>
      </c>
      <c r="T36" s="35"/>
      <c r="U36" s="33"/>
      <c r="V36" s="31"/>
      <c r="W36" s="28"/>
      <c r="X36" s="3" t="str">
        <f ca="1">IF(OR(August_SotM[[#This Row],[Song 1]]="TBD", August_SotM[[#This Row],[Song 2]]="TBD"), "TBD", _xlfn.CONCAT(IF(_xlfn.XOR(ISBLANK(August_SotM[[#This Row],[J]]), ISBLANK(August_SotM[[#This Row],[J ]])), "", "J "), IF(_xlfn.XOR(ISBLANK(August_SotM[[#This Row],[D]]), ISBLANK(August_SotM[[#This Row],[D ]])), "", "D "), IF(_xlfn.XOR(ISBLANK(August_SotM[[#This Row],[L]]), ISBLANK(August_SotM[[#This Row],[L ]])), "", "L "), IF(_xlfn.XOR(ISBLANK(August_SotM[[#This Row],[S]]), ISBLANK(August_SotM[[#This Row],[S ]])), "", "S "), IF(_xlfn.XOR(ISBLANK(August_SotM[[#This Row],[H]]), ISBLANK(August_SotM[[#This Row],[H ]])), "", "H ")))</f>
        <v/>
      </c>
      <c r="Z36" s="109">
        <f t="shared" ref="Z36:Z51" si="14">IF(AC36&gt;0, COUNTIF(AC$35:AC$51, "&lt;"&amp;AC36) + COUNTIFS(AC$35:AC$51, AC36, AD$35:AD$51, "&lt;"&amp;AD36) + COUNTIFS(AC$35:AC$51, AC36, AD$35:AD$51, AD36, AA$35:AA$51, "&lt;"&amp;AA36) + 1, "TBD")</f>
        <v>8</v>
      </c>
      <c r="AA36" s="85">
        <v>45509</v>
      </c>
      <c r="AB36" s="123" t="str">
        <v>loganworsdell</v>
      </c>
      <c r="AC36" s="3">
        <v>2</v>
      </c>
      <c r="AD36" s="86">
        <v>1.0954451150103321</v>
      </c>
      <c r="AE36" s="123" t="str">
        <v>Please Don't Fall In Love With Me</v>
      </c>
      <c r="AF36" t="str">
        <v>Khalid</v>
      </c>
      <c r="AG36" s="100">
        <f t="shared" ref="AG36:AG51" si="15">IFERROR(IF(Z36&gt;1, 2^(FLOOR(LOG(Z36-1,2),1))+1, 1), "TBD")</f>
        <v>5</v>
      </c>
      <c r="AI36" s="141">
        <f>August_SotM[[#This Row],[Max Seed]]/2 + 1</f>
        <v>2</v>
      </c>
      <c r="AJ36" s="135" t="str">
        <f ca="1">IF(August_SotM[[#This Row],[Num]]&gt;=$A$13, "-", IF(August_SotM[[#This Row],[Score 1]]&gt;=3, August_SotM[[#This Row],[Song 2]], IF(August_SotM[[#This Row],[Score 2]]&gt;=3, August_SotM[[#This Row],[Song 1]], "TBD")))</f>
        <v>Mystery Lady</v>
      </c>
      <c r="AK36" s="124">
        <f ca="1">IFERROR(VLOOKUP(August_Results[[#This Row],[Song Title]], $AE$35:$AG$51, 3, FALSE)-August_Results[[#This Row],[Result]], "TBD")</f>
        <v>7</v>
      </c>
      <c r="AL36" s="125" t="str">
        <f ca="1">IF(August_Results[[#This Row],[Diff]]&lt;0,"↓",IF(August_Results[[#This Row],[Diff]]=0,"-","↑"))</f>
        <v>↑</v>
      </c>
    </row>
    <row r="37" spans="1:38">
      <c r="A37" s="118" t="str">
        <f>_xlfn.CONCAT("Seed ", August_SotM[[#This Row],[Top Seed]], " vs ", August_SotM[[#This Row],[Low Seed]])</f>
        <v>Seed 2 vs 3</v>
      </c>
      <c r="B37" s="119">
        <v>2</v>
      </c>
      <c r="C37" s="119">
        <f>FLOOR(LOG(August_SotM[[#This Row],[Num]], 2), 1)</f>
        <v>1</v>
      </c>
      <c r="D37" s="119">
        <f>2^(August_SotM[[#This Row],[Round]]+1)</f>
        <v>4</v>
      </c>
      <c r="E37" s="119">
        <f>August_SotM[[#This Row],[Max Seed]]-August_SotM[[#This Row],[Num]]</f>
        <v>2</v>
      </c>
      <c r="F37" s="119">
        <f>August_SotM[[#This Row],[Max Seed]]-August_SotM[[#This Row],[Top Seed]]+1</f>
        <v>3</v>
      </c>
      <c r="G37" s="119" t="b">
        <f>IF(August_SotM[[#This Row],[Round]]=$C$34, TRUE(), IF(August_SotM[[#This Row],[Round]]=$B$34, August_SotM[[#This Row],[Top Seed]]&lt;=2*August_SotM[[#This Row],[Max Seed]]-$A$34, FALSE()))</f>
        <v>0</v>
      </c>
      <c r="H37" s="119" t="b">
        <f>IF(August_SotM[[#This Row],[Round]]=$C$34, TRUE(), IF(August_SotM[[#This Row],[Round]]=$B$34, August_SotM[[#This Row],[Low Seed]]&lt;=2*August_SotM[[#This Row],[Max Seed]]-$A$34, FALSE()))</f>
        <v>0</v>
      </c>
      <c r="I37" s="28"/>
      <c r="J37" s="31"/>
      <c r="K37" s="33" t="s">
        <v>4191</v>
      </c>
      <c r="L37" s="35" t="s">
        <v>4191</v>
      </c>
      <c r="M37" s="37" t="s">
        <v>4191</v>
      </c>
      <c r="N37" s="120" t="str">
        <f ca="1">IF(August_SotM[[#This Row],[Num]]&gt;=$A$34, "-", IF(August_SotM[[#This Row],[Initial 1]], VLOOKUP(August_SotM[[#This Row],[Top Seed]], $Z$35:$AE$51, 6, FALSE), OFFSET(August_SotM[[#This Row],[Winner]], August_SotM[[#This Row],[Max Seed]], 0)))</f>
        <v>Mystery Lady</v>
      </c>
      <c r="O37" s="118">
        <f>COUNTIF(August_SotM[[#This Row],[J]:[H]],"x")</f>
        <v>3</v>
      </c>
      <c r="P37" s="119" t="str">
        <f ca="1">IF(August_SotM[[#This Row],[Num]]&gt;=$A$34, "-", IF(August_SotM[[#This Row],[Score 1]]&gt;=3, August_SotM[[#This Row],[Song 1]], IF(August_SotM[[#This Row],[Score 2]]&gt;=3, August_SotM[[#This Row],[Song 2]], "TBD")))</f>
        <v>Mystery Lady</v>
      </c>
      <c r="Q37" s="121">
        <f>COUNTIF(August_SotM[[#This Row],[H ]:[J ]],"x")</f>
        <v>2</v>
      </c>
      <c r="R37" s="118" t="str">
        <f ca="1">IF(August_SotM[[#This Row],[Num]]&gt;=$A$34, "-", IF(August_SotM[[#This Row],[Initial 2]], VLOOKUP(August_SotM[[#This Row],[Low Seed]], $Z$35:$AE$51, 6, FALSE), OFFSET(August_SotM[[#This Row],[Winner]], 2*(August_SotM[[#This Row],[Max Seed]]-August_SotM[[#This Row],[Low Seed]])+1, 0)))</f>
        <v>FAMJAM40000</v>
      </c>
      <c r="S37" s="37"/>
      <c r="T37" s="35"/>
      <c r="U37" s="33"/>
      <c r="V37" s="31" t="s">
        <v>4191</v>
      </c>
      <c r="W37" s="28" t="s">
        <v>4191</v>
      </c>
      <c r="X37" s="3" t="str">
        <f ca="1">IF(OR(August_SotM[[#This Row],[Song 1]]="TBD", August_SotM[[#This Row],[Song 2]]="TBD"), "TBD", _xlfn.CONCAT(IF(_xlfn.XOR(ISBLANK(August_SotM[[#This Row],[J]]), ISBLANK(August_SotM[[#This Row],[J ]])), "", "J "), IF(_xlfn.XOR(ISBLANK(August_SotM[[#This Row],[D]]), ISBLANK(August_SotM[[#This Row],[D ]])), "", "D "), IF(_xlfn.XOR(ISBLANK(August_SotM[[#This Row],[L]]), ISBLANK(August_SotM[[#This Row],[L ]])), "", "L "), IF(_xlfn.XOR(ISBLANK(August_SotM[[#This Row],[S]]), ISBLANK(August_SotM[[#This Row],[S ]])), "", "S "), IF(_xlfn.XOR(ISBLANK(August_SotM[[#This Row],[H]]), ISBLANK(August_SotM[[#This Row],[H ]])), "", "H ")))</f>
        <v/>
      </c>
      <c r="Z37" s="109">
        <f t="shared" si="14"/>
        <v>5</v>
      </c>
      <c r="AA37" s="85">
        <v>45510</v>
      </c>
      <c r="AB37" t="str">
        <v>danram</v>
      </c>
      <c r="AC37" s="3">
        <v>2</v>
      </c>
      <c r="AD37" s="86">
        <v>0.89442719099991586</v>
      </c>
      <c r="AE37" s="123" t="str">
        <v>Scar Tissue</v>
      </c>
      <c r="AF37" t="str">
        <v>Red Hot Chili Peppers</v>
      </c>
      <c r="AG37" s="100">
        <f t="shared" si="15"/>
        <v>5</v>
      </c>
      <c r="AI37" s="141">
        <f>August_SotM[[#This Row],[Max Seed]]/2 + 1</f>
        <v>3</v>
      </c>
      <c r="AJ37" s="135" t="str">
        <f ca="1">IF(August_SotM[[#This Row],[Num]]&gt;=$A$13, "-", IF(August_SotM[[#This Row],[Score 1]]&gt;=3, August_SotM[[#This Row],[Song 2]], IF(August_SotM[[#This Row],[Score 2]]&gt;=3, August_SotM[[#This Row],[Song 1]], "TBD")))</f>
        <v>FAMJAM40000</v>
      </c>
      <c r="AK37" s="124">
        <f ca="1">IFERROR(VLOOKUP(August_Results[[#This Row],[Song Title]], $AE$35:$AG$51, 3, FALSE)-August_Results[[#This Row],[Result]], "TBD")</f>
        <v>0</v>
      </c>
      <c r="AL37" s="125" t="str">
        <f ca="1">IF(August_Results[[#This Row],[Diff]]&lt;0,"↓",IF(August_Results[[#This Row],[Diff]]=0,"-","↑"))</f>
        <v>-</v>
      </c>
    </row>
    <row r="38" spans="1:38">
      <c r="A38" s="118" t="str">
        <f>_xlfn.CONCAT("Seed ", August_SotM[[#This Row],[Top Seed]], " vs ", August_SotM[[#This Row],[Low Seed]])</f>
        <v>Seed 1 vs 4</v>
      </c>
      <c r="B38" s="119">
        <v>3</v>
      </c>
      <c r="C38" s="119">
        <f>FLOOR(LOG(August_SotM[[#This Row],[Num]], 2), 1)</f>
        <v>1</v>
      </c>
      <c r="D38" s="119">
        <f>2^(August_SotM[[#This Row],[Round]]+1)</f>
        <v>4</v>
      </c>
      <c r="E38" s="119">
        <f>August_SotM[[#This Row],[Max Seed]]-August_SotM[[#This Row],[Num]]</f>
        <v>1</v>
      </c>
      <c r="F38" s="119">
        <f>August_SotM[[#This Row],[Max Seed]]-August_SotM[[#This Row],[Top Seed]]+1</f>
        <v>4</v>
      </c>
      <c r="G38" s="119" t="b">
        <f>IF(August_SotM[[#This Row],[Round]]=$C$34, TRUE(), IF(August_SotM[[#This Row],[Round]]=$B$34, August_SotM[[#This Row],[Top Seed]]&lt;=2*August_SotM[[#This Row],[Max Seed]]-$A$34, FALSE()))</f>
        <v>0</v>
      </c>
      <c r="H38" s="119" t="b">
        <f>IF(August_SotM[[#This Row],[Round]]=$C$34, TRUE(), IF(August_SotM[[#This Row],[Round]]=$B$34, August_SotM[[#This Row],[Low Seed]]&lt;=2*August_SotM[[#This Row],[Max Seed]]-$A$34, FALSE()))</f>
        <v>0</v>
      </c>
      <c r="I38" s="28" t="s">
        <v>4191</v>
      </c>
      <c r="J38" s="31"/>
      <c r="K38" s="33"/>
      <c r="L38" s="35"/>
      <c r="M38" s="37" t="s">
        <v>4191</v>
      </c>
      <c r="N38" s="120" t="str">
        <f ca="1">IF(August_SotM[[#This Row],[Num]]&gt;=$A$34, "-", IF(August_SotM[[#This Row],[Initial 1]], VLOOKUP(August_SotM[[#This Row],[Top Seed]], $Z$35:$AE$51, 6, FALSE), OFFSET(August_SotM[[#This Row],[Winner]], August_SotM[[#This Row],[Max Seed]], 0)))</f>
        <v>Only Girl (In The World)</v>
      </c>
      <c r="O38" s="118">
        <f>COUNTIF(August_SotM[[#This Row],[J]:[H]],"x")</f>
        <v>2</v>
      </c>
      <c r="P38" s="119" t="str">
        <f ca="1">IF(August_SotM[[#This Row],[Num]]&gt;=$A$34, "-", IF(August_SotM[[#This Row],[Score 1]]&gt;=3, August_SotM[[#This Row],[Song 1]], IF(August_SotM[[#This Row],[Score 2]]&gt;=3, August_SotM[[#This Row],[Song 2]], "TBD")))</f>
        <v>3005</v>
      </c>
      <c r="Q38" s="121">
        <f>COUNTIF(August_SotM[[#This Row],[H ]:[J ]],"x")</f>
        <v>3</v>
      </c>
      <c r="R38" s="118" t="str">
        <f ca="1">IF(August_SotM[[#This Row],[Num]]&gt;=$A$34, "-", IF(August_SotM[[#This Row],[Initial 2]], VLOOKUP(August_SotM[[#This Row],[Low Seed]], $Z$35:$AE$51, 6, FALSE), OFFSET(August_SotM[[#This Row],[Winner]], 2*(August_SotM[[#This Row],[Max Seed]]-August_SotM[[#This Row],[Low Seed]])+1, 0)))</f>
        <v>3005</v>
      </c>
      <c r="S38" s="37"/>
      <c r="T38" s="35" t="s">
        <v>4191</v>
      </c>
      <c r="U38" s="33" t="s">
        <v>4191</v>
      </c>
      <c r="V38" s="31" t="s">
        <v>4191</v>
      </c>
      <c r="W38" s="28"/>
      <c r="X38" s="3" t="str">
        <f ca="1">IF(OR(August_SotM[[#This Row],[Song 1]]="TBD", August_SotM[[#This Row],[Song 2]]="TBD"), "TBD", _xlfn.CONCAT(IF(_xlfn.XOR(ISBLANK(August_SotM[[#This Row],[J]]), ISBLANK(August_SotM[[#This Row],[J ]])), "", "J "), IF(_xlfn.XOR(ISBLANK(August_SotM[[#This Row],[D]]), ISBLANK(August_SotM[[#This Row],[D ]])), "", "D "), IF(_xlfn.XOR(ISBLANK(August_SotM[[#This Row],[L]]), ISBLANK(August_SotM[[#This Row],[L ]])), "", "L "), IF(_xlfn.XOR(ISBLANK(August_SotM[[#This Row],[S]]), ISBLANK(August_SotM[[#This Row],[S ]])), "", "S "), IF(_xlfn.XOR(ISBLANK(August_SotM[[#This Row],[H]]), ISBLANK(August_SotM[[#This Row],[H ]])), "", "H ")))</f>
        <v/>
      </c>
      <c r="Z38" s="109">
        <f t="shared" si="14"/>
        <v>6</v>
      </c>
      <c r="AA38" s="85">
        <v>45511</v>
      </c>
      <c r="AB38" t="str">
        <v>loganworsdell</v>
      </c>
      <c r="AC38" s="3">
        <v>2</v>
      </c>
      <c r="AD38" s="86">
        <v>0.89442719099991586</v>
      </c>
      <c r="AE38" s="123" t="str">
        <v>shy girl</v>
      </c>
      <c r="AF38" t="str">
        <v>wilo wilde</v>
      </c>
      <c r="AG38" s="100">
        <f t="shared" si="15"/>
        <v>5</v>
      </c>
      <c r="AI38" s="141">
        <f>August_SotM[[#This Row],[Max Seed]]/2 + 1</f>
        <v>3</v>
      </c>
      <c r="AJ38" s="135" t="str">
        <f ca="1">IF(August_SotM[[#This Row],[Num]]&gt;=$A$13, "-", IF(August_SotM[[#This Row],[Score 1]]&gt;=3, August_SotM[[#This Row],[Song 2]], IF(August_SotM[[#This Row],[Score 2]]&gt;=3, August_SotM[[#This Row],[Song 1]], "TBD")))</f>
        <v>Only Girl (In The World)</v>
      </c>
      <c r="AK38" s="124">
        <f ca="1">IFERROR(VLOOKUP(August_Results[[#This Row],[Song Title]], $AE$35:$AG$51, 3, FALSE)-August_Results[[#This Row],[Result]], "TBD")</f>
        <v>-2</v>
      </c>
      <c r="AL38" s="125" t="str">
        <f ca="1">IF(August_Results[[#This Row],[Diff]]&lt;0,"↓",IF(August_Results[[#This Row],[Diff]]=0,"-","↑"))</f>
        <v>↓</v>
      </c>
    </row>
    <row r="39" spans="1:38">
      <c r="A39" s="118" t="str">
        <f>_xlfn.CONCAT("Seed ", August_SotM[[#This Row],[Top Seed]], " vs ", August_SotM[[#This Row],[Low Seed]])</f>
        <v>Seed 4 vs 5</v>
      </c>
      <c r="B39" s="119">
        <v>4</v>
      </c>
      <c r="C39" s="119">
        <f>FLOOR(LOG(August_SotM[[#This Row],[Num]], 2), 1)</f>
        <v>2</v>
      </c>
      <c r="D39" s="119">
        <f>2^(August_SotM[[#This Row],[Round]]+1)</f>
        <v>8</v>
      </c>
      <c r="E39" s="119">
        <f>August_SotM[[#This Row],[Max Seed]]-August_SotM[[#This Row],[Num]]</f>
        <v>4</v>
      </c>
      <c r="F39" s="119">
        <f>August_SotM[[#This Row],[Max Seed]]-August_SotM[[#This Row],[Top Seed]]+1</f>
        <v>5</v>
      </c>
      <c r="G39" s="119" t="b">
        <f>IF(August_SotM[[#This Row],[Round]]=$C$34, TRUE(), IF(August_SotM[[#This Row],[Round]]=$B$34, August_SotM[[#This Row],[Top Seed]]&lt;=2*August_SotM[[#This Row],[Max Seed]]-$A$34, FALSE()))</f>
        <v>0</v>
      </c>
      <c r="H39" s="119" t="b">
        <f>IF(August_SotM[[#This Row],[Round]]=$C$34, TRUE(), IF(August_SotM[[#This Row],[Round]]=$B$34, August_SotM[[#This Row],[Low Seed]]&lt;=2*August_SotM[[#This Row],[Max Seed]]-$A$34, FALSE()))</f>
        <v>0</v>
      </c>
      <c r="I39" s="28" t="s">
        <v>4191</v>
      </c>
      <c r="J39" s="31"/>
      <c r="K39" s="33" t="s">
        <v>4191</v>
      </c>
      <c r="L39" s="35" t="s">
        <v>4191</v>
      </c>
      <c r="M39" s="37" t="s">
        <v>4191</v>
      </c>
      <c r="N39" s="120" t="str">
        <f ca="1">IF(August_SotM[[#This Row],[Num]]&gt;=$A$34, "-", IF(August_SotM[[#This Row],[Initial 1]], VLOOKUP(August_SotM[[#This Row],[Top Seed]], $Z$35:$AE$51, 6, FALSE), OFFSET(August_SotM[[#This Row],[Winner]], August_SotM[[#This Row],[Max Seed]], 0)))</f>
        <v>3005</v>
      </c>
      <c r="O39" s="118">
        <f>COUNTIF(August_SotM[[#This Row],[J]:[H]],"x")</f>
        <v>4</v>
      </c>
      <c r="P39" s="119" t="str">
        <f ca="1">IF(August_SotM[[#This Row],[Num]]&gt;=$A$34, "-", IF(August_SotM[[#This Row],[Score 1]]&gt;=3, August_SotM[[#This Row],[Song 1]], IF(August_SotM[[#This Row],[Score 2]]&gt;=3, August_SotM[[#This Row],[Song 2]], "TBD")))</f>
        <v>3005</v>
      </c>
      <c r="Q39" s="121">
        <f>COUNTIF(August_SotM[[#This Row],[H ]:[J ]],"x")</f>
        <v>1</v>
      </c>
      <c r="R39" s="118" t="str">
        <f ca="1">IF(August_SotM[[#This Row],[Num]]&gt;=$A$34, "-", IF(August_SotM[[#This Row],[Initial 2]], VLOOKUP(August_SotM[[#This Row],[Low Seed]], $Z$35:$AE$51, 6, FALSE), OFFSET(August_SotM[[#This Row],[Winner]], 2*(August_SotM[[#This Row],[Max Seed]]-August_SotM[[#This Row],[Low Seed]])+1, 0)))</f>
        <v>Scar Tissue</v>
      </c>
      <c r="S39" s="37"/>
      <c r="T39" s="35"/>
      <c r="U39" s="33"/>
      <c r="V39" s="31" t="s">
        <v>4191</v>
      </c>
      <c r="W39" s="28"/>
      <c r="X39" s="3" t="str">
        <f ca="1">IF(OR(August_SotM[[#This Row],[Song 1]]="TBD", August_SotM[[#This Row],[Song 2]]="TBD"), "TBD", _xlfn.CONCAT(IF(_xlfn.XOR(ISBLANK(August_SotM[[#This Row],[J]]), ISBLANK(August_SotM[[#This Row],[J ]])), "", "J "), IF(_xlfn.XOR(ISBLANK(August_SotM[[#This Row],[D]]), ISBLANK(August_SotM[[#This Row],[D ]])), "", "D "), IF(_xlfn.XOR(ISBLANK(August_SotM[[#This Row],[L]]), ISBLANK(August_SotM[[#This Row],[L ]])), "", "L "), IF(_xlfn.XOR(ISBLANK(August_SotM[[#This Row],[S]]), ISBLANK(August_SotM[[#This Row],[S ]])), "", "S "), IF(_xlfn.XOR(ISBLANK(August_SotM[[#This Row],[H]]), ISBLANK(August_SotM[[#This Row],[H ]])), "", "H ")))</f>
        <v/>
      </c>
      <c r="Z39" s="109">
        <f t="shared" si="14"/>
        <v>15</v>
      </c>
      <c r="AA39" s="85">
        <v>45512</v>
      </c>
      <c r="AB39" t="str">
        <v>danram</v>
      </c>
      <c r="AC39" s="3">
        <v>2.8</v>
      </c>
      <c r="AD39" s="86">
        <v>1.3266499161421599</v>
      </c>
      <c r="AE39" s="123" t="str">
        <v>The Woven Web</v>
      </c>
      <c r="AF39" t="str">
        <v>Animals As Leaders</v>
      </c>
      <c r="AG39" s="100">
        <f t="shared" si="15"/>
        <v>9</v>
      </c>
      <c r="AI39" s="141">
        <f>August_SotM[[#This Row],[Max Seed]]/2 + 1</f>
        <v>5</v>
      </c>
      <c r="AJ39" s="135" t="str">
        <f ca="1">IF(August_SotM[[#This Row],[Num]]&gt;=$A$13, "-", IF(August_SotM[[#This Row],[Score 1]]&gt;=3, August_SotM[[#This Row],[Song 2]], IF(August_SotM[[#This Row],[Score 2]]&gt;=3, August_SotM[[#This Row],[Song 1]], "TBD")))</f>
        <v>Scar Tissue</v>
      </c>
      <c r="AK39" s="124">
        <f ca="1">IFERROR(VLOOKUP(August_Results[[#This Row],[Song Title]], $AE$35:$AG$51, 3, FALSE)-August_Results[[#This Row],[Result]], "TBD")</f>
        <v>0</v>
      </c>
      <c r="AL39" s="125" t="str">
        <f ca="1">IF(August_Results[[#This Row],[Diff]]&lt;0,"↓",IF(August_Results[[#This Row],[Diff]]=0,"-","↑"))</f>
        <v>-</v>
      </c>
    </row>
    <row r="40" spans="1:38">
      <c r="A40" s="118" t="str">
        <f>_xlfn.CONCAT("Seed ", August_SotM[[#This Row],[Top Seed]], " vs ", August_SotM[[#This Row],[Low Seed]])</f>
        <v>Seed 3 vs 6</v>
      </c>
      <c r="B40" s="119">
        <v>5</v>
      </c>
      <c r="C40" s="119">
        <f>FLOOR(LOG(August_SotM[[#This Row],[Num]], 2), 1)</f>
        <v>2</v>
      </c>
      <c r="D40" s="119">
        <f>2^(August_SotM[[#This Row],[Round]]+1)</f>
        <v>8</v>
      </c>
      <c r="E40" s="119">
        <f>August_SotM[[#This Row],[Max Seed]]-August_SotM[[#This Row],[Num]]</f>
        <v>3</v>
      </c>
      <c r="F40" s="119">
        <f>August_SotM[[#This Row],[Max Seed]]-August_SotM[[#This Row],[Top Seed]]+1</f>
        <v>6</v>
      </c>
      <c r="G40" s="119" t="b">
        <f>IF(August_SotM[[#This Row],[Round]]=$C$34, TRUE(), IF(August_SotM[[#This Row],[Round]]=$B$34, August_SotM[[#This Row],[Top Seed]]&lt;=2*August_SotM[[#This Row],[Max Seed]]-$A$34, FALSE()))</f>
        <v>0</v>
      </c>
      <c r="H40" s="119" t="b">
        <f>IF(August_SotM[[#This Row],[Round]]=$C$34, TRUE(), IF(August_SotM[[#This Row],[Round]]=$B$34, August_SotM[[#This Row],[Low Seed]]&lt;=2*August_SotM[[#This Row],[Max Seed]]-$A$34, FALSE()))</f>
        <v>0</v>
      </c>
      <c r="I40" s="28" t="s">
        <v>4191</v>
      </c>
      <c r="J40" s="31" t="s">
        <v>4191</v>
      </c>
      <c r="K40" s="33" t="s">
        <v>4191</v>
      </c>
      <c r="L40" s="35" t="s">
        <v>4191</v>
      </c>
      <c r="M40" s="37" t="s">
        <v>4191</v>
      </c>
      <c r="N40" s="120" t="str">
        <f ca="1">IF(August_SotM[[#This Row],[Num]]&gt;=$A$34, "-", IF(August_SotM[[#This Row],[Initial 1]], VLOOKUP(August_SotM[[#This Row],[Top Seed]], $Z$35:$AE$51, 6, FALSE), OFFSET(August_SotM[[#This Row],[Winner]], August_SotM[[#This Row],[Max Seed]], 0)))</f>
        <v>FAMJAM40000</v>
      </c>
      <c r="O40" s="118">
        <f>COUNTIF(August_SotM[[#This Row],[J]:[H]],"x")</f>
        <v>5</v>
      </c>
      <c r="P40" s="119" t="str">
        <f ca="1">IF(August_SotM[[#This Row],[Num]]&gt;=$A$34, "-", IF(August_SotM[[#This Row],[Score 1]]&gt;=3, August_SotM[[#This Row],[Song 1]], IF(August_SotM[[#This Row],[Score 2]]&gt;=3, August_SotM[[#This Row],[Song 2]], "TBD")))</f>
        <v>FAMJAM40000</v>
      </c>
      <c r="Q40" s="121">
        <f>COUNTIF(August_SotM[[#This Row],[H ]:[J ]],"x")</f>
        <v>0</v>
      </c>
      <c r="R40" s="118" t="str">
        <f ca="1">IF(August_SotM[[#This Row],[Num]]&gt;=$A$34, "-", IF(August_SotM[[#This Row],[Initial 2]], VLOOKUP(August_SotM[[#This Row],[Low Seed]], $Z$35:$AE$51, 6, FALSE), OFFSET(August_SotM[[#This Row],[Winner]], 2*(August_SotM[[#This Row],[Max Seed]]-August_SotM[[#This Row],[Low Seed]])+1, 0)))</f>
        <v>The Walker</v>
      </c>
      <c r="S40" s="37"/>
      <c r="T40" s="35"/>
      <c r="U40" s="33"/>
      <c r="V40" s="31"/>
      <c r="W40" s="28"/>
      <c r="X40" s="3" t="str">
        <f ca="1">IF(OR(August_SotM[[#This Row],[Song 1]]="TBD", August_SotM[[#This Row],[Song 2]]="TBD"), "TBD", _xlfn.CONCAT(IF(_xlfn.XOR(ISBLANK(August_SotM[[#This Row],[J]]), ISBLANK(August_SotM[[#This Row],[J ]])), "", "J "), IF(_xlfn.XOR(ISBLANK(August_SotM[[#This Row],[D]]), ISBLANK(August_SotM[[#This Row],[D ]])), "", "D "), IF(_xlfn.XOR(ISBLANK(August_SotM[[#This Row],[L]]), ISBLANK(August_SotM[[#This Row],[L ]])), "", "L "), IF(_xlfn.XOR(ISBLANK(August_SotM[[#This Row],[S]]), ISBLANK(August_SotM[[#This Row],[S ]])), "", "S "), IF(_xlfn.XOR(ISBLANK(August_SotM[[#This Row],[H]]), ISBLANK(August_SotM[[#This Row],[H ]])), "", "H ")))</f>
        <v/>
      </c>
      <c r="Z40" s="109">
        <f t="shared" si="14"/>
        <v>7</v>
      </c>
      <c r="AA40" s="85">
        <v>45516</v>
      </c>
      <c r="AB40" t="str">
        <v>danram</v>
      </c>
      <c r="AC40" s="3">
        <v>2</v>
      </c>
      <c r="AD40" s="86">
        <v>0.89442719099991586</v>
      </c>
      <c r="AE40" s="123">
        <v>360</v>
      </c>
      <c r="AF40" t="str">
        <v>Charli xcx</v>
      </c>
      <c r="AG40" s="100">
        <f t="shared" si="15"/>
        <v>5</v>
      </c>
      <c r="AI40" s="141">
        <f>August_SotM[[#This Row],[Max Seed]]/2 + 1</f>
        <v>5</v>
      </c>
      <c r="AJ40" s="135" t="str">
        <f ca="1">IF(August_SotM[[#This Row],[Num]]&gt;=$A$13, "-", IF(August_SotM[[#This Row],[Score 1]]&gt;=3, August_SotM[[#This Row],[Song 2]], IF(August_SotM[[#This Row],[Score 2]]&gt;=3, August_SotM[[#This Row],[Song 1]], "TBD")))</f>
        <v>The Walker</v>
      </c>
      <c r="AK40" s="124">
        <f ca="1">IFERROR(VLOOKUP(August_Results[[#This Row],[Song Title]], $AE$35:$AG$51, 3, FALSE)-August_Results[[#This Row],[Result]], "TBD")</f>
        <v>4</v>
      </c>
      <c r="AL40" s="125" t="str">
        <f ca="1">IF(August_Results[[#This Row],[Diff]]&lt;0,"↓",IF(August_Results[[#This Row],[Diff]]=0,"-","↑"))</f>
        <v>↑</v>
      </c>
    </row>
    <row r="41" spans="1:38">
      <c r="A41" s="118" t="str">
        <f>_xlfn.CONCAT("Seed ", August_SotM[[#This Row],[Top Seed]], " vs ", August_SotM[[#This Row],[Low Seed]])</f>
        <v>Seed 2 vs 7</v>
      </c>
      <c r="B41" s="119">
        <v>6</v>
      </c>
      <c r="C41" s="119">
        <f>FLOOR(LOG(August_SotM[[#This Row],[Num]], 2), 1)</f>
        <v>2</v>
      </c>
      <c r="D41" s="119">
        <f>2^(August_SotM[[#This Row],[Round]]+1)</f>
        <v>8</v>
      </c>
      <c r="E41" s="119">
        <f>August_SotM[[#This Row],[Max Seed]]-August_SotM[[#This Row],[Num]]</f>
        <v>2</v>
      </c>
      <c r="F41" s="119">
        <f>August_SotM[[#This Row],[Max Seed]]-August_SotM[[#This Row],[Top Seed]]+1</f>
        <v>7</v>
      </c>
      <c r="G41" s="119" t="b">
        <f>IF(August_SotM[[#This Row],[Round]]=$C$34, TRUE(), IF(August_SotM[[#This Row],[Round]]=$B$34, August_SotM[[#This Row],[Top Seed]]&lt;=2*August_SotM[[#This Row],[Max Seed]]-$A$34, FALSE()))</f>
        <v>0</v>
      </c>
      <c r="H41" s="119" t="b">
        <f>IF(August_SotM[[#This Row],[Round]]=$C$34, TRUE(), IF(August_SotM[[#This Row],[Round]]=$B$34, August_SotM[[#This Row],[Low Seed]]&lt;=2*August_SotM[[#This Row],[Max Seed]]-$A$34, FALSE()))</f>
        <v>0</v>
      </c>
      <c r="I41" s="28" t="s">
        <v>4191</v>
      </c>
      <c r="J41" s="31"/>
      <c r="K41" s="33"/>
      <c r="L41" s="35"/>
      <c r="M41" s="37"/>
      <c r="N41" s="120" t="str">
        <f ca="1">IF(August_SotM[[#This Row],[Num]]&gt;=$A$34, "-", IF(August_SotM[[#This Row],[Initial 1]], VLOOKUP(August_SotM[[#This Row],[Top Seed]], $Z$35:$AE$51, 6, FALSE), OFFSET(August_SotM[[#This Row],[Winner]], August_SotM[[#This Row],[Max Seed]], 0)))</f>
        <v>Greedy</v>
      </c>
      <c r="O41" s="118">
        <f>COUNTIF(August_SotM[[#This Row],[J]:[H]],"x")</f>
        <v>1</v>
      </c>
      <c r="P41" s="119" t="str">
        <f ca="1">IF(August_SotM[[#This Row],[Num]]&gt;=$A$34, "-", IF(August_SotM[[#This Row],[Score 1]]&gt;=3, August_SotM[[#This Row],[Song 1]], IF(August_SotM[[#This Row],[Score 2]]&gt;=3, August_SotM[[#This Row],[Song 2]], "TBD")))</f>
        <v>Mystery Lady</v>
      </c>
      <c r="Q41" s="121">
        <f>COUNTIF(August_SotM[[#This Row],[H ]:[J ]],"x")</f>
        <v>4</v>
      </c>
      <c r="R41" s="118" t="str">
        <f ca="1">IF(August_SotM[[#This Row],[Num]]&gt;=$A$34, "-", IF(August_SotM[[#This Row],[Initial 2]], VLOOKUP(August_SotM[[#This Row],[Low Seed]], $Z$35:$AE$51, 6, FALSE), OFFSET(August_SotM[[#This Row],[Winner]], 2*(August_SotM[[#This Row],[Max Seed]]-August_SotM[[#This Row],[Low Seed]])+1, 0)))</f>
        <v>Mystery Lady</v>
      </c>
      <c r="S41" s="37" t="s">
        <v>4191</v>
      </c>
      <c r="T41" s="35" t="s">
        <v>4191</v>
      </c>
      <c r="U41" s="33" t="s">
        <v>4191</v>
      </c>
      <c r="V41" s="31" t="s">
        <v>4191</v>
      </c>
      <c r="W41" s="28"/>
      <c r="X41" s="3" t="str">
        <f ca="1">IF(OR(August_SotM[[#This Row],[Song 1]]="TBD", August_SotM[[#This Row],[Song 2]]="TBD"), "TBD", _xlfn.CONCAT(IF(_xlfn.XOR(ISBLANK(August_SotM[[#This Row],[J]]), ISBLANK(August_SotM[[#This Row],[J ]])), "", "J "), IF(_xlfn.XOR(ISBLANK(August_SotM[[#This Row],[D]]), ISBLANK(August_SotM[[#This Row],[D ]])), "", "D "), IF(_xlfn.XOR(ISBLANK(August_SotM[[#This Row],[L]]), ISBLANK(August_SotM[[#This Row],[L ]])), "", "L "), IF(_xlfn.XOR(ISBLANK(August_SotM[[#This Row],[S]]), ISBLANK(August_SotM[[#This Row],[S ]])), "", "S "), IF(_xlfn.XOR(ISBLANK(August_SotM[[#This Row],[H]]), ISBLANK(August_SotM[[#This Row],[H ]])), "", "H ")))</f>
        <v/>
      </c>
      <c r="Z41" s="109">
        <f t="shared" si="14"/>
        <v>2</v>
      </c>
      <c r="AA41" s="85">
        <v>45517</v>
      </c>
      <c r="AB41" t="str">
        <v>alappatjoe</v>
      </c>
      <c r="AC41" s="3">
        <v>1.8</v>
      </c>
      <c r="AD41" s="86">
        <v>0.4</v>
      </c>
      <c r="AE41" s="123" t="str">
        <v>Greedy</v>
      </c>
      <c r="AF41" t="str">
        <v>Ariana Grande</v>
      </c>
      <c r="AG41" s="100">
        <f t="shared" si="15"/>
        <v>2</v>
      </c>
      <c r="AI41" s="141">
        <f>August_SotM[[#This Row],[Max Seed]]/2 + 1</f>
        <v>5</v>
      </c>
      <c r="AJ41" s="135" t="str">
        <f ca="1">IF(August_SotM[[#This Row],[Num]]&gt;=$A$13, "-", IF(August_SotM[[#This Row],[Score 1]]&gt;=3, August_SotM[[#This Row],[Song 2]], IF(August_SotM[[#This Row],[Score 2]]&gt;=3, August_SotM[[#This Row],[Song 1]], "TBD")))</f>
        <v>Greedy</v>
      </c>
      <c r="AK41" s="124">
        <f ca="1">IFERROR(VLOOKUP(August_Results[[#This Row],[Song Title]], $AE$35:$AG$51, 3, FALSE)-August_Results[[#This Row],[Result]], "TBD")</f>
        <v>-3</v>
      </c>
      <c r="AL41" s="125" t="str">
        <f ca="1">IF(August_Results[[#This Row],[Diff]]&lt;0,"↓",IF(August_Results[[#This Row],[Diff]]=0,"-","↑"))</f>
        <v>↓</v>
      </c>
    </row>
    <row r="42" spans="1:38">
      <c r="A42" s="118" t="str">
        <f>_xlfn.CONCAT("Seed ", August_SotM[[#This Row],[Top Seed]], " vs ", August_SotM[[#This Row],[Low Seed]])</f>
        <v>Seed 1 vs 8</v>
      </c>
      <c r="B42" s="119">
        <v>7</v>
      </c>
      <c r="C42" s="119">
        <f>FLOOR(LOG(August_SotM[[#This Row],[Num]], 2), 1)</f>
        <v>2</v>
      </c>
      <c r="D42" s="119">
        <f>2^(August_SotM[[#This Row],[Round]]+1)</f>
        <v>8</v>
      </c>
      <c r="E42" s="119">
        <f>August_SotM[[#This Row],[Max Seed]]-August_SotM[[#This Row],[Num]]</f>
        <v>1</v>
      </c>
      <c r="F42" s="119">
        <f>August_SotM[[#This Row],[Max Seed]]-August_SotM[[#This Row],[Top Seed]]+1</f>
        <v>8</v>
      </c>
      <c r="G42" s="119" t="b">
        <f>IF(August_SotM[[#This Row],[Round]]=$C$34, TRUE(), IF(August_SotM[[#This Row],[Round]]=$B$34, August_SotM[[#This Row],[Top Seed]]&lt;=2*August_SotM[[#This Row],[Max Seed]]-$A$34, FALSE()))</f>
        <v>0</v>
      </c>
      <c r="H42" s="119" t="b">
        <f>IF(August_SotM[[#This Row],[Round]]=$C$34, TRUE(), IF(August_SotM[[#This Row],[Round]]=$B$34, August_SotM[[#This Row],[Low Seed]]&lt;=2*August_SotM[[#This Row],[Max Seed]]-$A$34, FALSE()))</f>
        <v>0</v>
      </c>
      <c r="I42" s="28" t="s">
        <v>4191</v>
      </c>
      <c r="J42" s="31" t="s">
        <v>4191</v>
      </c>
      <c r="K42" s="33" t="s">
        <v>4191</v>
      </c>
      <c r="L42" s="35"/>
      <c r="M42" s="37" t="s">
        <v>4191</v>
      </c>
      <c r="N42" s="120" t="str">
        <f ca="1">IF(August_SotM[[#This Row],[Num]]&gt;=$A$34, "-", IF(August_SotM[[#This Row],[Initial 1]], VLOOKUP(August_SotM[[#This Row],[Top Seed]], $Z$35:$AE$51, 6, FALSE), OFFSET(August_SotM[[#This Row],[Winner]], August_SotM[[#This Row],[Max Seed]], 0)))</f>
        <v>Only Girl (In The World)</v>
      </c>
      <c r="O42" s="118">
        <f>COUNTIF(August_SotM[[#This Row],[J]:[H]],"x")</f>
        <v>4</v>
      </c>
      <c r="P42" s="119" t="str">
        <f ca="1">IF(August_SotM[[#This Row],[Num]]&gt;=$A$34, "-", IF(August_SotM[[#This Row],[Score 1]]&gt;=3, August_SotM[[#This Row],[Song 1]], IF(August_SotM[[#This Row],[Score 2]]&gt;=3, August_SotM[[#This Row],[Song 2]], "TBD")))</f>
        <v>Only Girl (In The World)</v>
      </c>
      <c r="Q42" s="121">
        <f>COUNTIF(August_SotM[[#This Row],[H ]:[J ]],"x")</f>
        <v>1</v>
      </c>
      <c r="R42" s="118" t="str">
        <f ca="1">IF(August_SotM[[#This Row],[Num]]&gt;=$A$34, "-", IF(August_SotM[[#This Row],[Initial 2]], VLOOKUP(August_SotM[[#This Row],[Low Seed]], $Z$35:$AE$51, 6, FALSE), OFFSET(August_SotM[[#This Row],[Winner]], 2*(August_SotM[[#This Row],[Max Seed]]-August_SotM[[#This Row],[Low Seed]])+1, 0)))</f>
        <v>Blinding Lights</v>
      </c>
      <c r="S42" s="37"/>
      <c r="T42" s="35" t="s">
        <v>4191</v>
      </c>
      <c r="U42" s="33"/>
      <c r="V42" s="31"/>
      <c r="W42" s="28"/>
      <c r="X42" s="3" t="str">
        <f ca="1">IF(OR(August_SotM[[#This Row],[Song 1]]="TBD", August_SotM[[#This Row],[Song 2]]="TBD"), "TBD", _xlfn.CONCAT(IF(_xlfn.XOR(ISBLANK(August_SotM[[#This Row],[J]]), ISBLANK(August_SotM[[#This Row],[J ]])), "", "J "), IF(_xlfn.XOR(ISBLANK(August_SotM[[#This Row],[D]]), ISBLANK(August_SotM[[#This Row],[D ]])), "", "D "), IF(_xlfn.XOR(ISBLANK(August_SotM[[#This Row],[L]]), ISBLANK(August_SotM[[#This Row],[L ]])), "", "L "), IF(_xlfn.XOR(ISBLANK(August_SotM[[#This Row],[S]]), ISBLANK(August_SotM[[#This Row],[S ]])), "", "S "), IF(_xlfn.XOR(ISBLANK(August_SotM[[#This Row],[H]]), ISBLANK(August_SotM[[#This Row],[H ]])), "", "H ")))</f>
        <v/>
      </c>
      <c r="Z42" s="109">
        <f t="shared" si="14"/>
        <v>4</v>
      </c>
      <c r="AA42" s="85">
        <v>45518</v>
      </c>
      <c r="AB42" t="str">
        <v>alappatjoe</v>
      </c>
      <c r="AC42" s="3">
        <v>2</v>
      </c>
      <c r="AD42" s="86">
        <v>0.63245553203367588</v>
      </c>
      <c r="AE42" s="123" t="str">
        <v>Alchemy</v>
      </c>
      <c r="AF42" t="str">
        <v>Jake Kaufman, Dale North</v>
      </c>
      <c r="AG42" s="100">
        <f t="shared" si="15"/>
        <v>3</v>
      </c>
      <c r="AI42" s="141">
        <f>August_SotM[[#This Row],[Max Seed]]/2 + 1</f>
        <v>5</v>
      </c>
      <c r="AJ42" s="135" t="str">
        <f ca="1">IF(August_SotM[[#This Row],[Num]]&gt;=$A$13, "-", IF(August_SotM[[#This Row],[Score 1]]&gt;=3, August_SotM[[#This Row],[Song 2]], IF(August_SotM[[#This Row],[Score 2]]&gt;=3, August_SotM[[#This Row],[Song 1]], "TBD")))</f>
        <v>Blinding Lights</v>
      </c>
      <c r="AK42" s="124">
        <f ca="1">IFERROR(VLOOKUP(August_Results[[#This Row],[Song Title]], $AE$35:$AG$51, 3, FALSE)-August_Results[[#This Row],[Result]], "TBD")</f>
        <v>4</v>
      </c>
      <c r="AL42" s="125" t="str">
        <f ca="1">IF(August_Results[[#This Row],[Diff]]&lt;0,"↓",IF(August_Results[[#This Row],[Diff]]=0,"-","↑"))</f>
        <v>↑</v>
      </c>
    </row>
    <row r="43" spans="1:38">
      <c r="A43" s="118" t="str">
        <f>_xlfn.CONCAT("Seed ", August_SotM[[#This Row],[Top Seed]], " vs ", August_SotM[[#This Row],[Low Seed]])</f>
        <v>Seed 8 vs 9</v>
      </c>
      <c r="B43" s="119">
        <v>8</v>
      </c>
      <c r="C43" s="119">
        <f>FLOOR(LOG(August_SotM[[#This Row],[Num]], 2), 1)</f>
        <v>3</v>
      </c>
      <c r="D43" s="119">
        <f>2^(August_SotM[[#This Row],[Round]]+1)</f>
        <v>16</v>
      </c>
      <c r="E43" s="119">
        <f>August_SotM[[#This Row],[Max Seed]]-August_SotM[[#This Row],[Num]]</f>
        <v>8</v>
      </c>
      <c r="F43" s="119">
        <f>August_SotM[[#This Row],[Max Seed]]-August_SotM[[#This Row],[Top Seed]]+1</f>
        <v>9</v>
      </c>
      <c r="G43" s="119" t="b">
        <f>IF(August_SotM[[#This Row],[Round]]=$C$34, TRUE(), IF(August_SotM[[#This Row],[Round]]=$B$34, August_SotM[[#This Row],[Top Seed]]&lt;=2*August_SotM[[#This Row],[Max Seed]]-$A$34, FALSE()))</f>
        <v>1</v>
      </c>
      <c r="H43" s="119" t="b">
        <f>IF(August_SotM[[#This Row],[Round]]=$C$34, TRUE(), IF(August_SotM[[#This Row],[Round]]=$B$34, August_SotM[[#This Row],[Low Seed]]&lt;=2*August_SotM[[#This Row],[Max Seed]]-$A$34, FALSE()))</f>
        <v>1</v>
      </c>
      <c r="I43" s="28"/>
      <c r="J43" s="31"/>
      <c r="K43" s="33"/>
      <c r="L43" s="35"/>
      <c r="M43" s="37"/>
      <c r="N43" s="120" t="str">
        <f ca="1">IF(August_SotM[[#This Row],[Num]]&gt;=$A$34, "-", IF(August_SotM[[#This Row],[Initial 1]], VLOOKUP(August_SotM[[#This Row],[Top Seed]], $Z$35:$AE$51, 6, FALSE), OFFSET(August_SotM[[#This Row],[Winner]], August_SotM[[#This Row],[Max Seed]], 0)))</f>
        <v>Please Don't Fall In Love With Me</v>
      </c>
      <c r="O43" s="118">
        <f>COUNTIF(August_SotM[[#This Row],[J]:[H]],"x")</f>
        <v>0</v>
      </c>
      <c r="P43" s="119" t="str">
        <f ca="1">IF(August_SotM[[#This Row],[Num]]&gt;=$A$34, "-", IF(August_SotM[[#This Row],[Score 1]]&gt;=3, August_SotM[[#This Row],[Song 1]], IF(August_SotM[[#This Row],[Score 2]]&gt;=3, August_SotM[[#This Row],[Song 2]], "TBD")))</f>
        <v>Blinding Lights</v>
      </c>
      <c r="Q43" s="121">
        <f>COUNTIF(August_SotM[[#This Row],[H ]:[J ]],"x")</f>
        <v>5</v>
      </c>
      <c r="R43" s="118" t="str">
        <f ca="1">IF(August_SotM[[#This Row],[Num]]&gt;=$A$34, "-", IF(August_SotM[[#This Row],[Initial 2]], VLOOKUP(August_SotM[[#This Row],[Low Seed]], $Z$35:$AE$51, 6, FALSE), OFFSET(August_SotM[[#This Row],[Winner]], 2*(August_SotM[[#This Row],[Max Seed]]-August_SotM[[#This Row],[Low Seed]])+1, 0)))</f>
        <v>Blinding Lights</v>
      </c>
      <c r="S43" s="37" t="s">
        <v>4191</v>
      </c>
      <c r="T43" s="35" t="s">
        <v>4191</v>
      </c>
      <c r="U43" s="33" t="s">
        <v>4191</v>
      </c>
      <c r="V43" s="31" t="s">
        <v>4191</v>
      </c>
      <c r="W43" s="28" t="s">
        <v>4191</v>
      </c>
      <c r="X43" s="3" t="str">
        <f ca="1">IF(OR(August_SotM[[#This Row],[Song 1]]="TBD", August_SotM[[#This Row],[Song 2]]="TBD"), "TBD", _xlfn.CONCAT(IF(_xlfn.XOR(ISBLANK(August_SotM[[#This Row],[J]]), ISBLANK(August_SotM[[#This Row],[J ]])), "", "J "), IF(_xlfn.XOR(ISBLANK(August_SotM[[#This Row],[D]]), ISBLANK(August_SotM[[#This Row],[D ]])), "", "D "), IF(_xlfn.XOR(ISBLANK(August_SotM[[#This Row],[L]]), ISBLANK(August_SotM[[#This Row],[L ]])), "", "L "), IF(_xlfn.XOR(ISBLANK(August_SotM[[#This Row],[S]]), ISBLANK(August_SotM[[#This Row],[S ]])), "", "S "), IF(_xlfn.XOR(ISBLANK(August_SotM[[#This Row],[H]]), ISBLANK(August_SotM[[#This Row],[H ]])), "", "H ")))</f>
        <v/>
      </c>
      <c r="Z43" s="109">
        <f t="shared" si="14"/>
        <v>17</v>
      </c>
      <c r="AA43" s="85">
        <v>45519</v>
      </c>
      <c r="AB43" t="str">
        <v>danram</v>
      </c>
      <c r="AC43" s="3">
        <v>4.4000000000000004</v>
      </c>
      <c r="AD43" s="86">
        <v>0.8</v>
      </c>
      <c r="AE43" s="123" t="str">
        <v>Put The Money In The Bag</v>
      </c>
      <c r="AF43" t="str">
        <v>Yuno Miles</v>
      </c>
      <c r="AG43" s="100">
        <f t="shared" si="15"/>
        <v>17</v>
      </c>
      <c r="AI43" s="141">
        <f>August_SotM[[#This Row],[Max Seed]]/2 + 1</f>
        <v>9</v>
      </c>
      <c r="AJ43" s="135" t="str">
        <f ca="1">IF(August_SotM[[#This Row],[Num]]&gt;=$A$13, "-", IF(August_SotM[[#This Row],[Score 1]]&gt;=3, August_SotM[[#This Row],[Song 2]], IF(August_SotM[[#This Row],[Score 2]]&gt;=3, August_SotM[[#This Row],[Song 1]], "TBD")))</f>
        <v>Please Don't Fall In Love With Me</v>
      </c>
      <c r="AK43" s="124">
        <f ca="1">IFERROR(VLOOKUP(August_Results[[#This Row],[Song Title]], $AE$35:$AG$51, 3, FALSE)-August_Results[[#This Row],[Result]], "TBD")</f>
        <v>-4</v>
      </c>
      <c r="AL43" s="125" t="str">
        <f ca="1">IF(August_Results[[#This Row],[Diff]]&lt;0,"↓",IF(August_Results[[#This Row],[Diff]]=0,"-","↑"))</f>
        <v>↓</v>
      </c>
    </row>
    <row r="44" spans="1:38">
      <c r="A44" s="118" t="str">
        <f>_xlfn.CONCAT("Seed ", August_SotM[[#This Row],[Top Seed]], " vs ", August_SotM[[#This Row],[Low Seed]])</f>
        <v>Seed 7 vs 10</v>
      </c>
      <c r="B44" s="119">
        <v>9</v>
      </c>
      <c r="C44" s="119">
        <f>FLOOR(LOG(August_SotM[[#This Row],[Num]], 2), 1)</f>
        <v>3</v>
      </c>
      <c r="D44" s="119">
        <f>2^(August_SotM[[#This Row],[Round]]+1)</f>
        <v>16</v>
      </c>
      <c r="E44" s="119">
        <f>August_SotM[[#This Row],[Max Seed]]-August_SotM[[#This Row],[Num]]</f>
        <v>7</v>
      </c>
      <c r="F44" s="119">
        <f>August_SotM[[#This Row],[Max Seed]]-August_SotM[[#This Row],[Top Seed]]+1</f>
        <v>10</v>
      </c>
      <c r="G44" s="119" t="b">
        <f>IF(August_SotM[[#This Row],[Round]]=$C$34, TRUE(), IF(August_SotM[[#This Row],[Round]]=$B$34, August_SotM[[#This Row],[Top Seed]]&lt;=2*August_SotM[[#This Row],[Max Seed]]-$A$34, FALSE()))</f>
        <v>1</v>
      </c>
      <c r="H44" s="119" t="b">
        <f>IF(August_SotM[[#This Row],[Round]]=$C$34, TRUE(), IF(August_SotM[[#This Row],[Round]]=$B$34, August_SotM[[#This Row],[Low Seed]]&lt;=2*August_SotM[[#This Row],[Max Seed]]-$A$34, FALSE()))</f>
        <v>1</v>
      </c>
      <c r="I44" s="28" t="s">
        <v>4191</v>
      </c>
      <c r="J44" s="31" t="s">
        <v>4191</v>
      </c>
      <c r="K44" s="33"/>
      <c r="L44" s="35"/>
      <c r="M44" s="37"/>
      <c r="N44" s="120">
        <f ca="1">IF(August_SotM[[#This Row],[Num]]&gt;=$A$34, "-", IF(August_SotM[[#This Row],[Initial 1]], VLOOKUP(August_SotM[[#This Row],[Top Seed]], $Z$35:$AE$51, 6, FALSE), OFFSET(August_SotM[[#This Row],[Winner]], August_SotM[[#This Row],[Max Seed]], 0)))</f>
        <v>360</v>
      </c>
      <c r="O44" s="118">
        <f>COUNTIF(August_SotM[[#This Row],[J]:[H]],"x")</f>
        <v>2</v>
      </c>
      <c r="P44" s="119" t="str">
        <f ca="1">IF(August_SotM[[#This Row],[Num]]&gt;=$A$34, "-", IF(August_SotM[[#This Row],[Score 1]]&gt;=3, August_SotM[[#This Row],[Song 1]], IF(August_SotM[[#This Row],[Score 2]]&gt;=3, August_SotM[[#This Row],[Song 2]], "TBD")))</f>
        <v>Mystery Lady</v>
      </c>
      <c r="Q44" s="121">
        <f>COUNTIF(August_SotM[[#This Row],[H ]:[J ]],"x")</f>
        <v>3</v>
      </c>
      <c r="R44" s="118" t="str">
        <f ca="1">IF(August_SotM[[#This Row],[Num]]&gt;=$A$34, "-", IF(August_SotM[[#This Row],[Initial 2]], VLOOKUP(August_SotM[[#This Row],[Low Seed]], $Z$35:$AE$51, 6, FALSE), OFFSET(August_SotM[[#This Row],[Winner]], 2*(August_SotM[[#This Row],[Max Seed]]-August_SotM[[#This Row],[Low Seed]])+1, 0)))</f>
        <v>Mystery Lady</v>
      </c>
      <c r="S44" s="37" t="s">
        <v>4191</v>
      </c>
      <c r="T44" s="35" t="s">
        <v>4191</v>
      </c>
      <c r="U44" s="33" t="s">
        <v>4191</v>
      </c>
      <c r="V44" s="31"/>
      <c r="W44" s="28"/>
      <c r="X44" s="3" t="str">
        <f ca="1">IF(OR(August_SotM[[#This Row],[Song 1]]="TBD", August_SotM[[#This Row],[Song 2]]="TBD"), "TBD", _xlfn.CONCAT(IF(_xlfn.XOR(ISBLANK(August_SotM[[#This Row],[J]]), ISBLANK(August_SotM[[#This Row],[J ]])), "", "J "), IF(_xlfn.XOR(ISBLANK(August_SotM[[#This Row],[D]]), ISBLANK(August_SotM[[#This Row],[D ]])), "", "D "), IF(_xlfn.XOR(ISBLANK(August_SotM[[#This Row],[L]]), ISBLANK(August_SotM[[#This Row],[L ]])), "", "L "), IF(_xlfn.XOR(ISBLANK(August_SotM[[#This Row],[S]]), ISBLANK(August_SotM[[#This Row],[S ]])), "", "S "), IF(_xlfn.XOR(ISBLANK(August_SotM[[#This Row],[H]]), ISBLANK(August_SotM[[#This Row],[H ]])), "", "H ")))</f>
        <v/>
      </c>
      <c r="Z44" s="109">
        <f t="shared" si="14"/>
        <v>10</v>
      </c>
      <c r="AA44" s="85">
        <v>45523</v>
      </c>
      <c r="AB44" t="str">
        <v>currydestroyer27</v>
      </c>
      <c r="AC44" s="3">
        <v>2.2000000000000002</v>
      </c>
      <c r="AD44" s="86">
        <v>0.74833147735478833</v>
      </c>
      <c r="AE44" s="123" t="str">
        <v>Mystery Lady</v>
      </c>
      <c r="AF44" t="str">
        <v>Masego, Don Toliver</v>
      </c>
      <c r="AG44" s="100">
        <f t="shared" si="15"/>
        <v>9</v>
      </c>
      <c r="AI44" s="141">
        <f>August_SotM[[#This Row],[Max Seed]]/2 + 1</f>
        <v>9</v>
      </c>
      <c r="AJ44" s="135">
        <f ca="1">IF(August_SotM[[#This Row],[Num]]&gt;=$A$13, "-", IF(August_SotM[[#This Row],[Score 1]]&gt;=3, August_SotM[[#This Row],[Song 2]], IF(August_SotM[[#This Row],[Score 2]]&gt;=3, August_SotM[[#This Row],[Song 1]], "TBD")))</f>
        <v>360</v>
      </c>
      <c r="AK44" s="124">
        <f ca="1">IFERROR(VLOOKUP(August_Results[[#This Row],[Song Title]], $AE$35:$AG$51, 3, FALSE)-August_Results[[#This Row],[Result]], "TBD")</f>
        <v>-4</v>
      </c>
      <c r="AL44" s="125" t="str">
        <f ca="1">IF(August_Results[[#This Row],[Diff]]&lt;0,"↓",IF(August_Results[[#This Row],[Diff]]=0,"-","↑"))</f>
        <v>↓</v>
      </c>
    </row>
    <row r="45" spans="1:38">
      <c r="A45" s="118" t="str">
        <f>_xlfn.CONCAT("Seed ", August_SotM[[#This Row],[Top Seed]], " vs ", August_SotM[[#This Row],[Low Seed]])</f>
        <v>Seed 6 vs 11</v>
      </c>
      <c r="B45" s="119">
        <v>10</v>
      </c>
      <c r="C45" s="119">
        <f>FLOOR(LOG(August_SotM[[#This Row],[Num]], 2), 1)</f>
        <v>3</v>
      </c>
      <c r="D45" s="119">
        <f>2^(August_SotM[[#This Row],[Round]]+1)</f>
        <v>16</v>
      </c>
      <c r="E45" s="119">
        <f>August_SotM[[#This Row],[Max Seed]]-August_SotM[[#This Row],[Num]]</f>
        <v>6</v>
      </c>
      <c r="F45" s="119">
        <f>August_SotM[[#This Row],[Max Seed]]-August_SotM[[#This Row],[Top Seed]]+1</f>
        <v>11</v>
      </c>
      <c r="G45" s="119" t="b">
        <f>IF(August_SotM[[#This Row],[Round]]=$C$34, TRUE(), IF(August_SotM[[#This Row],[Round]]=$B$34, August_SotM[[#This Row],[Top Seed]]&lt;=2*August_SotM[[#This Row],[Max Seed]]-$A$34, FALSE()))</f>
        <v>1</v>
      </c>
      <c r="H45" s="119" t="b">
        <f>IF(August_SotM[[#This Row],[Round]]=$C$34, TRUE(), IF(August_SotM[[#This Row],[Round]]=$B$34, August_SotM[[#This Row],[Low Seed]]&lt;=2*August_SotM[[#This Row],[Max Seed]]-$A$34, FALSE()))</f>
        <v>1</v>
      </c>
      <c r="I45" s="28"/>
      <c r="J45" s="31"/>
      <c r="K45" s="33" t="s">
        <v>4191</v>
      </c>
      <c r="L45" s="35"/>
      <c r="M45" s="37" t="s">
        <v>4191</v>
      </c>
      <c r="N45" s="120" t="str">
        <f ca="1">IF(August_SotM[[#This Row],[Num]]&gt;=$A$34, "-", IF(August_SotM[[#This Row],[Initial 1]], VLOOKUP(August_SotM[[#This Row],[Top Seed]], $Z$35:$AE$51, 6, FALSE), OFFSET(August_SotM[[#This Row],[Winner]], August_SotM[[#This Row],[Max Seed]], 0)))</f>
        <v>shy girl</v>
      </c>
      <c r="O45" s="118">
        <f>COUNTIF(August_SotM[[#This Row],[J]:[H]],"x")</f>
        <v>2</v>
      </c>
      <c r="P45" s="119" t="str">
        <f ca="1">IF(August_SotM[[#This Row],[Num]]&gt;=$A$34, "-", IF(August_SotM[[#This Row],[Score 1]]&gt;=3, August_SotM[[#This Row],[Song 1]], IF(August_SotM[[#This Row],[Score 2]]&gt;=3, August_SotM[[#This Row],[Song 2]], "TBD")))</f>
        <v>The Walker</v>
      </c>
      <c r="Q45" s="121">
        <f>COUNTIF(August_SotM[[#This Row],[H ]:[J ]],"x")</f>
        <v>3</v>
      </c>
      <c r="R45" s="118" t="str">
        <f ca="1">IF(August_SotM[[#This Row],[Num]]&gt;=$A$34, "-", IF(August_SotM[[#This Row],[Initial 2]], VLOOKUP(August_SotM[[#This Row],[Low Seed]], $Z$35:$AE$51, 6, FALSE), OFFSET(August_SotM[[#This Row],[Winner]], 2*(August_SotM[[#This Row],[Max Seed]]-August_SotM[[#This Row],[Low Seed]])+1, 0)))</f>
        <v>The Walker</v>
      </c>
      <c r="S45" s="37"/>
      <c r="T45" s="35" t="s">
        <v>4191</v>
      </c>
      <c r="U45" s="33"/>
      <c r="V45" s="31" t="s">
        <v>4191</v>
      </c>
      <c r="W45" s="28" t="s">
        <v>4191</v>
      </c>
      <c r="X45" s="3" t="str">
        <f ca="1">IF(OR(August_SotM[[#This Row],[Song 1]]="TBD", August_SotM[[#This Row],[Song 2]]="TBD"), "TBD", _xlfn.CONCAT(IF(_xlfn.XOR(ISBLANK(August_SotM[[#This Row],[J]]), ISBLANK(August_SotM[[#This Row],[J ]])), "", "J "), IF(_xlfn.XOR(ISBLANK(August_SotM[[#This Row],[D]]), ISBLANK(August_SotM[[#This Row],[D ]])), "", "D "), IF(_xlfn.XOR(ISBLANK(August_SotM[[#This Row],[L]]), ISBLANK(August_SotM[[#This Row],[L ]])), "", "L "), IF(_xlfn.XOR(ISBLANK(August_SotM[[#This Row],[S]]), ISBLANK(August_SotM[[#This Row],[S ]])), "", "S "), IF(_xlfn.XOR(ISBLANK(August_SotM[[#This Row],[H]]), ISBLANK(August_SotM[[#This Row],[H ]])), "", "H ")))</f>
        <v/>
      </c>
      <c r="Z45" s="109">
        <f t="shared" si="14"/>
        <v>14</v>
      </c>
      <c r="AA45" s="85">
        <v>45524</v>
      </c>
      <c r="AB45" t="str">
        <v>loganworsdell</v>
      </c>
      <c r="AC45" s="3">
        <v>2.6</v>
      </c>
      <c r="AD45" s="86">
        <v>1.019803902718557</v>
      </c>
      <c r="AE45" s="123" t="str">
        <v>Lotus Flower Bomb</v>
      </c>
      <c r="AF45" t="str">
        <v>Wale, Miguel</v>
      </c>
      <c r="AG45" s="100">
        <f t="shared" si="15"/>
        <v>9</v>
      </c>
      <c r="AI45" s="141">
        <f>August_SotM[[#This Row],[Max Seed]]/2 + 1</f>
        <v>9</v>
      </c>
      <c r="AJ45" s="135" t="str">
        <f ca="1">IF(August_SotM[[#This Row],[Num]]&gt;=$A$13, "-", IF(August_SotM[[#This Row],[Score 1]]&gt;=3, August_SotM[[#This Row],[Song 2]], IF(August_SotM[[#This Row],[Score 2]]&gt;=3, August_SotM[[#This Row],[Song 1]], "TBD")))</f>
        <v>shy girl</v>
      </c>
      <c r="AK45" s="124">
        <f ca="1">IFERROR(VLOOKUP(August_Results[[#This Row],[Song Title]], $AE$35:$AG$51, 3, FALSE)-August_Results[[#This Row],[Result]], "TBD")</f>
        <v>-4</v>
      </c>
      <c r="AL45" s="125" t="str">
        <f ca="1">IF(August_Results[[#This Row],[Diff]]&lt;0,"↓",IF(August_Results[[#This Row],[Diff]]=0,"-","↑"))</f>
        <v>↓</v>
      </c>
    </row>
    <row r="46" spans="1:38">
      <c r="A46" s="118" t="str">
        <f>_xlfn.CONCAT("Seed ", August_SotM[[#This Row],[Top Seed]], " vs ", August_SotM[[#This Row],[Low Seed]])</f>
        <v>Seed 5 vs 12</v>
      </c>
      <c r="B46" s="119">
        <v>11</v>
      </c>
      <c r="C46" s="119">
        <f>FLOOR(LOG(August_SotM[[#This Row],[Num]], 2), 1)</f>
        <v>3</v>
      </c>
      <c r="D46" s="119">
        <f>2^(August_SotM[[#This Row],[Round]]+1)</f>
        <v>16</v>
      </c>
      <c r="E46" s="119">
        <f>August_SotM[[#This Row],[Max Seed]]-August_SotM[[#This Row],[Num]]</f>
        <v>5</v>
      </c>
      <c r="F46" s="119">
        <f>August_SotM[[#This Row],[Max Seed]]-August_SotM[[#This Row],[Top Seed]]+1</f>
        <v>12</v>
      </c>
      <c r="G46" s="119" t="b">
        <f>IF(August_SotM[[#This Row],[Round]]=$C$34, TRUE(), IF(August_SotM[[#This Row],[Round]]=$B$34, August_SotM[[#This Row],[Top Seed]]&lt;=2*August_SotM[[#This Row],[Max Seed]]-$A$34, FALSE()))</f>
        <v>1</v>
      </c>
      <c r="H46" s="119" t="b">
        <f>IF(August_SotM[[#This Row],[Round]]=$C$34, TRUE(), IF(August_SotM[[#This Row],[Round]]=$B$34, August_SotM[[#This Row],[Low Seed]]&lt;=2*August_SotM[[#This Row],[Max Seed]]-$A$34, FALSE()))</f>
        <v>1</v>
      </c>
      <c r="I46" s="28"/>
      <c r="J46" s="31" t="s">
        <v>4191</v>
      </c>
      <c r="K46" s="33" t="s">
        <v>4191</v>
      </c>
      <c r="L46" s="35" t="s">
        <v>4191</v>
      </c>
      <c r="M46" s="37"/>
      <c r="N46" s="120" t="str">
        <f ca="1">IF(August_SotM[[#This Row],[Num]]&gt;=$A$34, "-", IF(August_SotM[[#This Row],[Initial 1]], VLOOKUP(August_SotM[[#This Row],[Top Seed]], $Z$35:$AE$51, 6, FALSE), OFFSET(August_SotM[[#This Row],[Winner]], August_SotM[[#This Row],[Max Seed]], 0)))</f>
        <v>Scar Tissue</v>
      </c>
      <c r="O46" s="118">
        <f>COUNTIF(August_SotM[[#This Row],[J]:[H]],"x")</f>
        <v>3</v>
      </c>
      <c r="P46" s="119" t="str">
        <f ca="1">IF(August_SotM[[#This Row],[Num]]&gt;=$A$34, "-", IF(August_SotM[[#This Row],[Score 1]]&gt;=3, August_SotM[[#This Row],[Song 1]], IF(August_SotM[[#This Row],[Score 2]]&gt;=3, August_SotM[[#This Row],[Song 2]], "TBD")))</f>
        <v>Scar Tissue</v>
      </c>
      <c r="Q46" s="121">
        <f>COUNTIF(August_SotM[[#This Row],[H ]:[J ]],"x")</f>
        <v>2</v>
      </c>
      <c r="R46" s="118" t="str">
        <f ca="1">IF(August_SotM[[#This Row],[Num]]&gt;=$A$34, "-", IF(August_SotM[[#This Row],[Initial 2]], VLOOKUP(August_SotM[[#This Row],[Low Seed]], $Z$35:$AE$51, 6, FALSE), OFFSET(August_SotM[[#This Row],[Winner]], 2*(August_SotM[[#This Row],[Max Seed]]-August_SotM[[#This Row],[Low Seed]])+1, 0)))</f>
        <v>Go-Getters</v>
      </c>
      <c r="S46" s="37" t="s">
        <v>4191</v>
      </c>
      <c r="T46" s="35"/>
      <c r="U46" s="33"/>
      <c r="V46" s="31"/>
      <c r="W46" s="28" t="s">
        <v>4191</v>
      </c>
      <c r="X46" s="3" t="str">
        <f ca="1">IF(OR(August_SotM[[#This Row],[Song 1]]="TBD", August_SotM[[#This Row],[Song 2]]="TBD"), "TBD", _xlfn.CONCAT(IF(_xlfn.XOR(ISBLANK(August_SotM[[#This Row],[J]]), ISBLANK(August_SotM[[#This Row],[J ]])), "", "J "), IF(_xlfn.XOR(ISBLANK(August_SotM[[#This Row],[D]]), ISBLANK(August_SotM[[#This Row],[D ]])), "", "D "), IF(_xlfn.XOR(ISBLANK(August_SotM[[#This Row],[L]]), ISBLANK(August_SotM[[#This Row],[L ]])), "", "L "), IF(_xlfn.XOR(ISBLANK(August_SotM[[#This Row],[S]]), ISBLANK(August_SotM[[#This Row],[S ]])), "", "S "), IF(_xlfn.XOR(ISBLANK(August_SotM[[#This Row],[H]]), ISBLANK(August_SotM[[#This Row],[H ]])), "", "H ")))</f>
        <v/>
      </c>
      <c r="Z46" s="109">
        <f t="shared" si="14"/>
        <v>3</v>
      </c>
      <c r="AA46" s="85">
        <v>45525</v>
      </c>
      <c r="AB46" t="str">
        <v>danram</v>
      </c>
      <c r="AC46" s="3">
        <v>1.8</v>
      </c>
      <c r="AD46" s="86">
        <v>1.1661903789690602</v>
      </c>
      <c r="AE46" s="123" t="str">
        <v>FAMJAM40000</v>
      </c>
      <c r="AF46" t="str">
        <v>Jordan Ward</v>
      </c>
      <c r="AG46" s="100">
        <f t="shared" si="15"/>
        <v>3</v>
      </c>
      <c r="AI46" s="141">
        <f>August_SotM[[#This Row],[Max Seed]]/2 + 1</f>
        <v>9</v>
      </c>
      <c r="AJ46" s="135" t="str">
        <f ca="1">IF(August_SotM[[#This Row],[Num]]&gt;=$A$13, "-", IF(August_SotM[[#This Row],[Score 1]]&gt;=3, August_SotM[[#This Row],[Song 2]], IF(August_SotM[[#This Row],[Score 2]]&gt;=3, August_SotM[[#This Row],[Song 1]], "TBD")))</f>
        <v>Go-Getters</v>
      </c>
      <c r="AK46" s="124">
        <f ca="1">IFERROR(VLOOKUP(August_Results[[#This Row],[Song Title]], $AE$35:$AG$51, 3, FALSE)-August_Results[[#This Row],[Result]], "TBD")</f>
        <v>0</v>
      </c>
      <c r="AL46" s="125" t="str">
        <f ca="1">IF(August_Results[[#This Row],[Diff]]&lt;0,"↓",IF(August_Results[[#This Row],[Diff]]=0,"-","↑"))</f>
        <v>-</v>
      </c>
    </row>
    <row r="47" spans="1:38">
      <c r="A47" s="118" t="str">
        <f>_xlfn.CONCAT("Seed ", August_SotM[[#This Row],[Top Seed]], " vs ", August_SotM[[#This Row],[Low Seed]])</f>
        <v>Seed 4 vs 13</v>
      </c>
      <c r="B47" s="119">
        <v>12</v>
      </c>
      <c r="C47" s="119">
        <f>FLOOR(LOG(August_SotM[[#This Row],[Num]], 2), 1)</f>
        <v>3</v>
      </c>
      <c r="D47" s="119">
        <f>2^(August_SotM[[#This Row],[Round]]+1)</f>
        <v>16</v>
      </c>
      <c r="E47" s="119">
        <f>August_SotM[[#This Row],[Max Seed]]-August_SotM[[#This Row],[Num]]</f>
        <v>4</v>
      </c>
      <c r="F47" s="119">
        <f>August_SotM[[#This Row],[Max Seed]]-August_SotM[[#This Row],[Top Seed]]+1</f>
        <v>13</v>
      </c>
      <c r="G47" s="119" t="b">
        <f>IF(August_SotM[[#This Row],[Round]]=$C$34, TRUE(), IF(August_SotM[[#This Row],[Round]]=$B$34, August_SotM[[#This Row],[Top Seed]]&lt;=2*August_SotM[[#This Row],[Max Seed]]-$A$34, FALSE()))</f>
        <v>1</v>
      </c>
      <c r="H47" s="119" t="b">
        <f>IF(August_SotM[[#This Row],[Round]]=$C$34, TRUE(), IF(August_SotM[[#This Row],[Round]]=$B$34, August_SotM[[#This Row],[Low Seed]]&lt;=2*August_SotM[[#This Row],[Max Seed]]-$A$34, FALSE()))</f>
        <v>1</v>
      </c>
      <c r="I47" s="28" t="s">
        <v>4191</v>
      </c>
      <c r="J47" s="31"/>
      <c r="K47" s="33"/>
      <c r="L47" s="35"/>
      <c r="M47" s="37"/>
      <c r="N47" s="120" t="str">
        <f ca="1">IF(August_SotM[[#This Row],[Num]]&gt;=$A$34, "-", IF(August_SotM[[#This Row],[Initial 1]], VLOOKUP(August_SotM[[#This Row],[Top Seed]], $Z$35:$AE$51, 6, FALSE), OFFSET(August_SotM[[#This Row],[Winner]], August_SotM[[#This Row],[Max Seed]], 0)))</f>
        <v>Alchemy</v>
      </c>
      <c r="O47" s="118">
        <f>COUNTIF(August_SotM[[#This Row],[J]:[H]],"x")</f>
        <v>1</v>
      </c>
      <c r="P47" s="119" t="str">
        <f ca="1">IF(August_SotM[[#This Row],[Num]]&gt;=$A$34, "-", IF(August_SotM[[#This Row],[Score 1]]&gt;=3, August_SotM[[#This Row],[Song 1]], IF(August_SotM[[#This Row],[Score 2]]&gt;=3, August_SotM[[#This Row],[Song 2]], "TBD")))</f>
        <v>3005</v>
      </c>
      <c r="Q47" s="121">
        <f>COUNTIF(August_SotM[[#This Row],[H ]:[J ]],"x")</f>
        <v>4</v>
      </c>
      <c r="R47" s="118" t="str">
        <f ca="1">IF(August_SotM[[#This Row],[Num]]&gt;=$A$34, "-", IF(August_SotM[[#This Row],[Initial 2]], VLOOKUP(August_SotM[[#This Row],[Low Seed]], $Z$35:$AE$51, 6, FALSE), OFFSET(August_SotM[[#This Row],[Winner]], 2*(August_SotM[[#This Row],[Max Seed]]-August_SotM[[#This Row],[Low Seed]])+1, 0)))</f>
        <v>3005</v>
      </c>
      <c r="S47" s="37" t="s">
        <v>4191</v>
      </c>
      <c r="T47" s="35" t="s">
        <v>4191</v>
      </c>
      <c r="U47" s="33" t="s">
        <v>4191</v>
      </c>
      <c r="V47" s="31" t="s">
        <v>4191</v>
      </c>
      <c r="W47" s="28"/>
      <c r="X47" s="3" t="str">
        <f ca="1">IF(OR(August_SotM[[#This Row],[Song 1]]="TBD", August_SotM[[#This Row],[Song 2]]="TBD"), "TBD", _xlfn.CONCAT(IF(_xlfn.XOR(ISBLANK(August_SotM[[#This Row],[J]]), ISBLANK(August_SotM[[#This Row],[J ]])), "", "J "), IF(_xlfn.XOR(ISBLANK(August_SotM[[#This Row],[D]]), ISBLANK(August_SotM[[#This Row],[D ]])), "", "D "), IF(_xlfn.XOR(ISBLANK(August_SotM[[#This Row],[L]]), ISBLANK(August_SotM[[#This Row],[L ]])), "", "L "), IF(_xlfn.XOR(ISBLANK(August_SotM[[#This Row],[S]]), ISBLANK(August_SotM[[#This Row],[S ]])), "", "S "), IF(_xlfn.XOR(ISBLANK(August_SotM[[#This Row],[H]]), ISBLANK(August_SotM[[#This Row],[H ]])), "", "H ")))</f>
        <v/>
      </c>
      <c r="Z47" s="109">
        <f t="shared" si="14"/>
        <v>16</v>
      </c>
      <c r="AA47" s="85">
        <v>45526</v>
      </c>
      <c r="AB47" t="str">
        <v>currydestroyer27</v>
      </c>
      <c r="AC47" s="3">
        <v>3.2</v>
      </c>
      <c r="AD47" s="86">
        <v>1.833030277982336</v>
      </c>
      <c r="AE47" s="123" t="str">
        <v>STYX HELIX</v>
      </c>
      <c r="AF47" t="str">
        <v>MYTH &amp; ROID</v>
      </c>
      <c r="AG47" s="100">
        <f t="shared" si="15"/>
        <v>9</v>
      </c>
      <c r="AI47" s="141">
        <f>August_SotM[[#This Row],[Max Seed]]/2 + 1</f>
        <v>9</v>
      </c>
      <c r="AJ47" s="135" t="str">
        <f ca="1">IF(August_SotM[[#This Row],[Num]]&gt;=$A$13, "-", IF(August_SotM[[#This Row],[Score 1]]&gt;=3, August_SotM[[#This Row],[Song 2]], IF(August_SotM[[#This Row],[Score 2]]&gt;=3, August_SotM[[#This Row],[Song 1]], "TBD")))</f>
        <v>Alchemy</v>
      </c>
      <c r="AK47" s="124">
        <f ca="1">IFERROR(VLOOKUP(August_Results[[#This Row],[Song Title]], $AE$35:$AG$51, 3, FALSE)-August_Results[[#This Row],[Result]], "TBD")</f>
        <v>-6</v>
      </c>
      <c r="AL47" s="125" t="str">
        <f ca="1">IF(August_Results[[#This Row],[Diff]]&lt;0,"↓",IF(August_Results[[#This Row],[Diff]]=0,"-","↑"))</f>
        <v>↓</v>
      </c>
    </row>
    <row r="48" spans="1:38">
      <c r="A48" s="118" t="str">
        <f>_xlfn.CONCAT("Seed ", August_SotM[[#This Row],[Top Seed]], " vs ", August_SotM[[#This Row],[Low Seed]])</f>
        <v>Seed 3 vs 14</v>
      </c>
      <c r="B48" s="119">
        <v>13</v>
      </c>
      <c r="C48" s="119">
        <f>FLOOR(LOG(August_SotM[[#This Row],[Num]], 2), 1)</f>
        <v>3</v>
      </c>
      <c r="D48" s="119">
        <f>2^(August_SotM[[#This Row],[Round]]+1)</f>
        <v>16</v>
      </c>
      <c r="E48" s="119">
        <f>August_SotM[[#This Row],[Max Seed]]-August_SotM[[#This Row],[Num]]</f>
        <v>3</v>
      </c>
      <c r="F48" s="119">
        <f>August_SotM[[#This Row],[Max Seed]]-August_SotM[[#This Row],[Top Seed]]+1</f>
        <v>14</v>
      </c>
      <c r="G48" s="119" t="b">
        <f>IF(August_SotM[[#This Row],[Round]]=$C$34, TRUE(), IF(August_SotM[[#This Row],[Round]]=$B$34, August_SotM[[#This Row],[Top Seed]]&lt;=2*August_SotM[[#This Row],[Max Seed]]-$A$34, FALSE()))</f>
        <v>1</v>
      </c>
      <c r="H48" s="119" t="b">
        <f>IF(August_SotM[[#This Row],[Round]]=$C$34, TRUE(), IF(August_SotM[[#This Row],[Round]]=$B$34, August_SotM[[#This Row],[Low Seed]]&lt;=2*August_SotM[[#This Row],[Max Seed]]-$A$34, FALSE()))</f>
        <v>1</v>
      </c>
      <c r="I48" s="28" t="s">
        <v>4191</v>
      </c>
      <c r="J48" s="31" t="s">
        <v>4191</v>
      </c>
      <c r="K48" s="33"/>
      <c r="L48" s="35" t="s">
        <v>4191</v>
      </c>
      <c r="M48" s="37" t="s">
        <v>4191</v>
      </c>
      <c r="N48" s="120" t="str">
        <f ca="1">IF(August_SotM[[#This Row],[Num]]&gt;=$A$34, "-", IF(August_SotM[[#This Row],[Initial 1]], VLOOKUP(August_SotM[[#This Row],[Top Seed]], $Z$35:$AE$51, 6, FALSE), OFFSET(August_SotM[[#This Row],[Winner]], August_SotM[[#This Row],[Max Seed]], 0)))</f>
        <v>FAMJAM40000</v>
      </c>
      <c r="O48" s="118">
        <f>COUNTIF(August_SotM[[#This Row],[J]:[H]],"x")</f>
        <v>4</v>
      </c>
      <c r="P48" s="119" t="str">
        <f ca="1">IF(August_SotM[[#This Row],[Num]]&gt;=$A$34, "-", IF(August_SotM[[#This Row],[Score 1]]&gt;=3, August_SotM[[#This Row],[Song 1]], IF(August_SotM[[#This Row],[Score 2]]&gt;=3, August_SotM[[#This Row],[Song 2]], "TBD")))</f>
        <v>FAMJAM40000</v>
      </c>
      <c r="Q48" s="121">
        <f>COUNTIF(August_SotM[[#This Row],[H ]:[J ]],"x")</f>
        <v>1</v>
      </c>
      <c r="R48" s="118" t="str">
        <f ca="1">IF(August_SotM[[#This Row],[Num]]&gt;=$A$34, "-", IF(August_SotM[[#This Row],[Initial 2]], VLOOKUP(August_SotM[[#This Row],[Low Seed]], $Z$35:$AE$51, 6, FALSE), OFFSET(August_SotM[[#This Row],[Winner]], 2*(August_SotM[[#This Row],[Max Seed]]-August_SotM[[#This Row],[Low Seed]])+1, 0)))</f>
        <v>Lotus Flower Bomb</v>
      </c>
      <c r="S48" s="37"/>
      <c r="T48" s="35"/>
      <c r="U48" s="33" t="s">
        <v>4191</v>
      </c>
      <c r="V48" s="31"/>
      <c r="W48" s="28"/>
      <c r="X48" s="3" t="str">
        <f ca="1">IF(OR(August_SotM[[#This Row],[Song 1]]="TBD", August_SotM[[#This Row],[Song 2]]="TBD"), "TBD", _xlfn.CONCAT(IF(_xlfn.XOR(ISBLANK(August_SotM[[#This Row],[J]]), ISBLANK(August_SotM[[#This Row],[J ]])), "", "J "), IF(_xlfn.XOR(ISBLANK(August_SotM[[#This Row],[D]]), ISBLANK(August_SotM[[#This Row],[D ]])), "", "D "), IF(_xlfn.XOR(ISBLANK(August_SotM[[#This Row],[L]]), ISBLANK(August_SotM[[#This Row],[L ]])), "", "L "), IF(_xlfn.XOR(ISBLANK(August_SotM[[#This Row],[S]]), ISBLANK(August_SotM[[#This Row],[S ]])), "", "S "), IF(_xlfn.XOR(ISBLANK(August_SotM[[#This Row],[H]]), ISBLANK(August_SotM[[#This Row],[H ]])), "", "H ")))</f>
        <v/>
      </c>
      <c r="Z48" s="109">
        <f t="shared" si="14"/>
        <v>11</v>
      </c>
      <c r="AA48" s="85">
        <v>45530</v>
      </c>
      <c r="AB48" t="str">
        <v>currydestroyer27</v>
      </c>
      <c r="AC48" s="3">
        <v>2.2000000000000002</v>
      </c>
      <c r="AD48" s="86">
        <v>1.1661903789690602</v>
      </c>
      <c r="AE48" s="123" t="str">
        <v>The Walker</v>
      </c>
      <c r="AF48" t="str">
        <v>Fitz and The Tantrums</v>
      </c>
      <c r="AG48" s="100">
        <f t="shared" si="15"/>
        <v>9</v>
      </c>
      <c r="AI48" s="141">
        <f>August_SotM[[#This Row],[Max Seed]]/2 + 1</f>
        <v>9</v>
      </c>
      <c r="AJ48" s="135" t="str">
        <f ca="1">IF(August_SotM[[#This Row],[Num]]&gt;=$A$13, "-", IF(August_SotM[[#This Row],[Score 1]]&gt;=3, August_SotM[[#This Row],[Song 2]], IF(August_SotM[[#This Row],[Score 2]]&gt;=3, August_SotM[[#This Row],[Song 1]], "TBD")))</f>
        <v>Lotus Flower Bomb</v>
      </c>
      <c r="AK48" s="124">
        <f ca="1">IFERROR(VLOOKUP(August_Results[[#This Row],[Song Title]], $AE$35:$AG$51, 3, FALSE)-August_Results[[#This Row],[Result]], "TBD")</f>
        <v>0</v>
      </c>
      <c r="AL48" s="125" t="str">
        <f ca="1">IF(August_Results[[#This Row],[Diff]]&lt;0,"↓",IF(August_Results[[#This Row],[Diff]]=0,"-","↑"))</f>
        <v>-</v>
      </c>
    </row>
    <row r="49" spans="1:38">
      <c r="A49" s="118" t="str">
        <f>_xlfn.CONCAT("Seed ", August_SotM[[#This Row],[Top Seed]], " vs ", August_SotM[[#This Row],[Low Seed]])</f>
        <v>Seed 2 vs 15</v>
      </c>
      <c r="B49" s="119">
        <v>14</v>
      </c>
      <c r="C49" s="119">
        <f>FLOOR(LOG(August_SotM[[#This Row],[Num]], 2), 1)</f>
        <v>3</v>
      </c>
      <c r="D49" s="119">
        <f>2^(August_SotM[[#This Row],[Round]]+1)</f>
        <v>16</v>
      </c>
      <c r="E49" s="119">
        <f>August_SotM[[#This Row],[Max Seed]]-August_SotM[[#This Row],[Num]]</f>
        <v>2</v>
      </c>
      <c r="F49" s="119">
        <f>August_SotM[[#This Row],[Max Seed]]-August_SotM[[#This Row],[Top Seed]]+1</f>
        <v>15</v>
      </c>
      <c r="G49" s="119" t="b">
        <f>IF(August_SotM[[#This Row],[Round]]=$C$34, TRUE(), IF(August_SotM[[#This Row],[Round]]=$B$34, August_SotM[[#This Row],[Top Seed]]&lt;=2*August_SotM[[#This Row],[Max Seed]]-$A$34, FALSE()))</f>
        <v>1</v>
      </c>
      <c r="H49" s="119" t="b">
        <f>IF(August_SotM[[#This Row],[Round]]=$C$34, TRUE(), IF(August_SotM[[#This Row],[Round]]=$B$34, August_SotM[[#This Row],[Low Seed]]&lt;=2*August_SotM[[#This Row],[Max Seed]]-$A$34, FALSE()))</f>
        <v>1</v>
      </c>
      <c r="I49" s="28" t="s">
        <v>4191</v>
      </c>
      <c r="J49" s="31"/>
      <c r="K49" s="33" t="s">
        <v>4191</v>
      </c>
      <c r="L49" s="35"/>
      <c r="M49" s="37" t="s">
        <v>4191</v>
      </c>
      <c r="N49" s="120" t="str">
        <f ca="1">IF(August_SotM[[#This Row],[Num]]&gt;=$A$34, "-", IF(August_SotM[[#This Row],[Initial 1]], VLOOKUP(August_SotM[[#This Row],[Top Seed]], $Z$35:$AE$51, 6, FALSE), OFFSET(August_SotM[[#This Row],[Winner]], August_SotM[[#This Row],[Max Seed]], 0)))</f>
        <v>Greedy</v>
      </c>
      <c r="O49" s="118">
        <f>COUNTIF(August_SotM[[#This Row],[J]:[H]],"x")</f>
        <v>3</v>
      </c>
      <c r="P49" s="119" t="str">
        <f ca="1">IF(August_SotM[[#This Row],[Num]]&gt;=$A$34, "-", IF(August_SotM[[#This Row],[Score 1]]&gt;=3, August_SotM[[#This Row],[Song 1]], IF(August_SotM[[#This Row],[Score 2]]&gt;=3, August_SotM[[#This Row],[Song 2]], "TBD")))</f>
        <v>Greedy</v>
      </c>
      <c r="Q49" s="121">
        <f>COUNTIF(August_SotM[[#This Row],[H ]:[J ]],"x")</f>
        <v>2</v>
      </c>
      <c r="R49" s="118" t="str">
        <f ca="1">IF(August_SotM[[#This Row],[Num]]&gt;=$A$34, "-", IF(August_SotM[[#This Row],[Initial 2]], VLOOKUP(August_SotM[[#This Row],[Low Seed]], $Z$35:$AE$51, 6, FALSE), OFFSET(August_SotM[[#This Row],[Winner]], 2*(August_SotM[[#This Row],[Max Seed]]-August_SotM[[#This Row],[Low Seed]])+1, 0)))</f>
        <v>The Woven Web</v>
      </c>
      <c r="S49" s="37"/>
      <c r="T49" s="35" t="s">
        <v>4191</v>
      </c>
      <c r="U49" s="33"/>
      <c r="V49" s="31" t="s">
        <v>4191</v>
      </c>
      <c r="W49" s="28"/>
      <c r="X49" s="3" t="str">
        <f ca="1">IF(OR(August_SotM[[#This Row],[Song 1]]="TBD", August_SotM[[#This Row],[Song 2]]="TBD"), "TBD", _xlfn.CONCAT(IF(_xlfn.XOR(ISBLANK(August_SotM[[#This Row],[J]]), ISBLANK(August_SotM[[#This Row],[J ]])), "", "J "), IF(_xlfn.XOR(ISBLANK(August_SotM[[#This Row],[D]]), ISBLANK(August_SotM[[#This Row],[D ]])), "", "D "), IF(_xlfn.XOR(ISBLANK(August_SotM[[#This Row],[L]]), ISBLANK(August_SotM[[#This Row],[L ]])), "", "L "), IF(_xlfn.XOR(ISBLANK(August_SotM[[#This Row],[S]]), ISBLANK(August_SotM[[#This Row],[S ]])), "", "S "), IF(_xlfn.XOR(ISBLANK(August_SotM[[#This Row],[H]]), ISBLANK(August_SotM[[#This Row],[H ]])), "", "H ")))</f>
        <v/>
      </c>
      <c r="Z49" s="109">
        <f t="shared" si="14"/>
        <v>13</v>
      </c>
      <c r="AA49" s="85">
        <v>45531</v>
      </c>
      <c r="AB49" t="str">
        <v>currydestroyer27</v>
      </c>
      <c r="AC49" s="3">
        <v>2.2000000000000002</v>
      </c>
      <c r="AD49" s="86">
        <v>1.4696938456699069</v>
      </c>
      <c r="AE49" s="123" t="str">
        <v>3005</v>
      </c>
      <c r="AF49" t="str">
        <v>Childish Gambino</v>
      </c>
      <c r="AG49" s="100">
        <f t="shared" si="15"/>
        <v>9</v>
      </c>
      <c r="AI49" s="141">
        <f>August_SotM[[#This Row],[Max Seed]]/2 + 1</f>
        <v>9</v>
      </c>
      <c r="AJ49" s="135" t="str">
        <f ca="1">IF(August_SotM[[#This Row],[Num]]&gt;=$A$13, "-", IF(August_SotM[[#This Row],[Score 1]]&gt;=3, August_SotM[[#This Row],[Song 2]], IF(August_SotM[[#This Row],[Score 2]]&gt;=3, August_SotM[[#This Row],[Song 1]], "TBD")))</f>
        <v>The Woven Web</v>
      </c>
      <c r="AK49" s="124">
        <f ca="1">IFERROR(VLOOKUP(August_Results[[#This Row],[Song Title]], $AE$35:$AG$51, 3, FALSE)-August_Results[[#This Row],[Result]], "TBD")</f>
        <v>0</v>
      </c>
      <c r="AL49" s="125" t="str">
        <f ca="1">IF(August_Results[[#This Row],[Diff]]&lt;0,"↓",IF(August_Results[[#This Row],[Diff]]=0,"-","↑"))</f>
        <v>-</v>
      </c>
    </row>
    <row r="50" spans="1:38">
      <c r="A50" s="118" t="str">
        <f>_xlfn.CONCAT("Seed ", August_SotM[[#This Row],[Top Seed]], " vs ", August_SotM[[#This Row],[Low Seed]])</f>
        <v>Seed 1 vs 16</v>
      </c>
      <c r="B50" s="119">
        <v>15</v>
      </c>
      <c r="C50" s="119">
        <f>FLOOR(LOG(August_SotM[[#This Row],[Num]], 2), 1)</f>
        <v>3</v>
      </c>
      <c r="D50" s="119">
        <f>2^(August_SotM[[#This Row],[Round]]+1)</f>
        <v>16</v>
      </c>
      <c r="E50" s="119">
        <f>August_SotM[[#This Row],[Max Seed]]-August_SotM[[#This Row],[Num]]</f>
        <v>1</v>
      </c>
      <c r="F50" s="119">
        <f>August_SotM[[#This Row],[Max Seed]]-August_SotM[[#This Row],[Top Seed]]+1</f>
        <v>16</v>
      </c>
      <c r="G50" s="119" t="b">
        <f>IF(August_SotM[[#This Row],[Round]]=$C$34, TRUE(), IF(August_SotM[[#This Row],[Round]]=$B$34, August_SotM[[#This Row],[Top Seed]]&lt;=2*August_SotM[[#This Row],[Max Seed]]-$A$34, FALSE()))</f>
        <v>1</v>
      </c>
      <c r="H50" s="119" t="b">
        <f>IF(August_SotM[[#This Row],[Round]]=$C$34, TRUE(), IF(August_SotM[[#This Row],[Round]]=$B$34, August_SotM[[#This Row],[Low Seed]]&lt;=2*August_SotM[[#This Row],[Max Seed]]-$A$34, FALSE()))</f>
        <v>0</v>
      </c>
      <c r="I50" s="28" t="s">
        <v>4191</v>
      </c>
      <c r="J50" s="31" t="s">
        <v>4191</v>
      </c>
      <c r="K50" s="33" t="s">
        <v>4191</v>
      </c>
      <c r="L50" s="35" t="s">
        <v>4191</v>
      </c>
      <c r="M50" s="37" t="s">
        <v>4191</v>
      </c>
      <c r="N50" s="120" t="str">
        <f ca="1">IF(August_SotM[[#This Row],[Num]]&gt;=$A$34, "-", IF(August_SotM[[#This Row],[Initial 1]], VLOOKUP(August_SotM[[#This Row],[Top Seed]], $Z$35:$AE$51, 6, FALSE), OFFSET(August_SotM[[#This Row],[Winner]], August_SotM[[#This Row],[Max Seed]], 0)))</f>
        <v>Only Girl (In The World)</v>
      </c>
      <c r="O50" s="118">
        <f>COUNTIF(August_SotM[[#This Row],[J]:[H]],"x")</f>
        <v>5</v>
      </c>
      <c r="P50" s="119" t="str">
        <f ca="1">IF(August_SotM[[#This Row],[Num]]&gt;=$A$34, "-", IF(August_SotM[[#This Row],[Score 1]]&gt;=3, August_SotM[[#This Row],[Song 1]], IF(August_SotM[[#This Row],[Score 2]]&gt;=3, August_SotM[[#This Row],[Song 2]], "TBD")))</f>
        <v>Only Girl (In The World)</v>
      </c>
      <c r="Q50" s="121">
        <f>COUNTIF(August_SotM[[#This Row],[H ]:[J ]],"x")</f>
        <v>0</v>
      </c>
      <c r="R50" s="118" t="str">
        <f ca="1">IF(August_SotM[[#This Row],[Num]]&gt;=$A$34, "-", IF(August_SotM[[#This Row],[Initial 2]], VLOOKUP(August_SotM[[#This Row],[Low Seed]], $Z$35:$AE$51, 6, FALSE), OFFSET(August_SotM[[#This Row],[Winner]], 2*(August_SotM[[#This Row],[Max Seed]]-August_SotM[[#This Row],[Low Seed]])+1, 0)))</f>
        <v>STYX HELIX</v>
      </c>
      <c r="S50" s="37"/>
      <c r="T50" s="35"/>
      <c r="U50" s="33"/>
      <c r="V50" s="31"/>
      <c r="W50" s="28"/>
      <c r="X50" s="3" t="str">
        <f ca="1">IF(OR(August_SotM[[#This Row],[Song 1]]="TBD", August_SotM[[#This Row],[Song 2]]="TBD"), "TBD", _xlfn.CONCAT(IF(_xlfn.XOR(ISBLANK(August_SotM[[#This Row],[J]]), ISBLANK(August_SotM[[#This Row],[J ]])), "", "J "), IF(_xlfn.XOR(ISBLANK(August_SotM[[#This Row],[D]]), ISBLANK(August_SotM[[#This Row],[D ]])), "", "D "), IF(_xlfn.XOR(ISBLANK(August_SotM[[#This Row],[L]]), ISBLANK(August_SotM[[#This Row],[L ]])), "", "L "), IF(_xlfn.XOR(ISBLANK(August_SotM[[#This Row],[S]]), ISBLANK(August_SotM[[#This Row],[S ]])), "", "S "), IF(_xlfn.XOR(ISBLANK(August_SotM[[#This Row],[H]]), ISBLANK(August_SotM[[#This Row],[H ]])), "", "H ")))</f>
        <v/>
      </c>
      <c r="Z50" s="109">
        <f t="shared" si="14"/>
        <v>9</v>
      </c>
      <c r="AA50" s="85">
        <v>45532</v>
      </c>
      <c r="AB50" t="str">
        <v>samuelbattista</v>
      </c>
      <c r="AC50" s="3">
        <v>2.2000000000000002</v>
      </c>
      <c r="AD50" s="86">
        <v>0.4</v>
      </c>
      <c r="AE50" s="123" t="str">
        <v>Blinding Lights</v>
      </c>
      <c r="AF50" t="str">
        <v>The Weekend</v>
      </c>
      <c r="AG50" s="100">
        <f t="shared" si="15"/>
        <v>9</v>
      </c>
      <c r="AI50" s="141">
        <f>August_SotM[[#This Row],[Max Seed]]/2 + 1</f>
        <v>9</v>
      </c>
      <c r="AJ50" s="135" t="str">
        <f ca="1">IF(August_SotM[[#This Row],[Num]]&gt;=$A$13, "-", IF(August_SotM[[#This Row],[Score 1]]&gt;=3, August_SotM[[#This Row],[Song 2]], IF(August_SotM[[#This Row],[Score 2]]&gt;=3, August_SotM[[#This Row],[Song 1]], "TBD")))</f>
        <v>STYX HELIX</v>
      </c>
      <c r="AK50" s="124">
        <f ca="1">IFERROR(VLOOKUP(August_Results[[#This Row],[Song Title]], $AE$35:$AG$51, 3, FALSE)-August_Results[[#This Row],[Result]], "TBD")</f>
        <v>0</v>
      </c>
      <c r="AL50" s="125" t="str">
        <f ca="1">IF(August_Results[[#This Row],[Diff]]&lt;0,"↓",IF(August_Results[[#This Row],[Diff]]=0,"-","↑"))</f>
        <v>-</v>
      </c>
    </row>
    <row r="51" spans="1:38">
      <c r="A51" s="131" t="str">
        <f>_xlfn.CONCAT("Seed ", August_SotM[[#This Row],[Top Seed]], " vs ", August_SotM[[#This Row],[Low Seed]])</f>
        <v>Seed 16 vs 17</v>
      </c>
      <c r="B51" s="129">
        <v>16</v>
      </c>
      <c r="C51" s="129">
        <f>FLOOR(LOG(August_SotM[[#This Row],[Num]], 2), 1)</f>
        <v>4</v>
      </c>
      <c r="D51" s="129">
        <f>2^(August_SotM[[#This Row],[Round]]+1)</f>
        <v>32</v>
      </c>
      <c r="E51" s="129">
        <f>August_SotM[[#This Row],[Max Seed]]-August_SotM[[#This Row],[Num]]</f>
        <v>16</v>
      </c>
      <c r="F51" s="129">
        <f>August_SotM[[#This Row],[Max Seed]]-August_SotM[[#This Row],[Top Seed]]+1</f>
        <v>17</v>
      </c>
      <c r="G51" s="129" t="b">
        <f>IF(August_SotM[[#This Row],[Round]]=$C$34, TRUE(), IF(August_SotM[[#This Row],[Round]]=$B$34, August_SotM[[#This Row],[Top Seed]]&lt;=2*August_SotM[[#This Row],[Max Seed]]-$A$34, FALSE()))</f>
        <v>1</v>
      </c>
      <c r="H51" s="129" t="b">
        <f>IF(August_SotM[[#This Row],[Round]]=$C$34, TRUE(), IF(August_SotM[[#This Row],[Round]]=$B$34, August_SotM[[#This Row],[Low Seed]]&lt;=2*August_SotM[[#This Row],[Max Seed]]-$A$34, FALSE()))</f>
        <v>1</v>
      </c>
      <c r="I51" s="65" t="s">
        <v>4191</v>
      </c>
      <c r="J51" s="66" t="s">
        <v>4191</v>
      </c>
      <c r="K51" s="67" t="s">
        <v>4191</v>
      </c>
      <c r="L51" s="68"/>
      <c r="M51" s="69" t="s">
        <v>4191</v>
      </c>
      <c r="N51" s="120" t="str">
        <f ca="1">IF(August_SotM[[#This Row],[Num]]&gt;=$A$34, "-", IF(August_SotM[[#This Row],[Initial 1]], VLOOKUP(August_SotM[[#This Row],[Top Seed]], $Z$35:$AE$51, 6, FALSE), OFFSET(August_SotM[[#This Row],[Winner]], August_SotM[[#This Row],[Max Seed]], 0)))</f>
        <v>STYX HELIX</v>
      </c>
      <c r="O51" s="131">
        <f>COUNTIF(August_SotM[[#This Row],[J]:[H]],"x")</f>
        <v>4</v>
      </c>
      <c r="P51" s="129" t="str">
        <f ca="1">IF(August_SotM[[#This Row],[Num]]&gt;=$A$34, "-", IF(August_SotM[[#This Row],[Score 1]]&gt;=3, August_SotM[[#This Row],[Song 1]], IF(August_SotM[[#This Row],[Score 2]]&gt;=3, August_SotM[[#This Row],[Song 2]], "TBD")))</f>
        <v>STYX HELIX</v>
      </c>
      <c r="Q51" s="132">
        <f>COUNTIF(August_SotM[[#This Row],[H ]:[J ]],"x")</f>
        <v>1</v>
      </c>
      <c r="R51" s="118" t="str">
        <f ca="1">IF(August_SotM[[#This Row],[Num]]&gt;=$A$34, "-", IF(August_SotM[[#This Row],[Initial 2]], VLOOKUP(August_SotM[[#This Row],[Low Seed]], $Z$35:$AE$51, 6, FALSE), OFFSET(August_SotM[[#This Row],[Winner]], 2*(August_SotM[[#This Row],[Max Seed]]-August_SotM[[#This Row],[Low Seed]])+1, 0)))</f>
        <v>Put The Money In The Bag</v>
      </c>
      <c r="S51" s="69"/>
      <c r="T51" s="68" t="s">
        <v>4191</v>
      </c>
      <c r="U51" s="67"/>
      <c r="V51" s="66"/>
      <c r="W51" s="65"/>
      <c r="X51" s="3" t="str">
        <f ca="1">IF(OR(August_SotM[[#This Row],[Song 1]]="TBD", August_SotM[[#This Row],[Song 2]]="TBD"), "TBD", _xlfn.CONCAT(IF(_xlfn.XOR(ISBLANK(August_SotM[[#This Row],[J]]), ISBLANK(August_SotM[[#This Row],[J ]])), "", "J "), IF(_xlfn.XOR(ISBLANK(August_SotM[[#This Row],[D]]), ISBLANK(August_SotM[[#This Row],[D ]])), "", "D "), IF(_xlfn.XOR(ISBLANK(August_SotM[[#This Row],[L]]), ISBLANK(August_SotM[[#This Row],[L ]])), "", "L "), IF(_xlfn.XOR(ISBLANK(August_SotM[[#This Row],[S]]), ISBLANK(August_SotM[[#This Row],[S ]])), "", "S "), IF(_xlfn.XOR(ISBLANK(August_SotM[[#This Row],[H]]), ISBLANK(August_SotM[[#This Row],[H ]])), "", "H ")))</f>
        <v/>
      </c>
      <c r="Z51" s="110">
        <f t="shared" si="14"/>
        <v>12</v>
      </c>
      <c r="AA51" s="156">
        <v>45533</v>
      </c>
      <c r="AB51" s="157" t="str">
        <v>alappatjoe</v>
      </c>
      <c r="AC51" s="101">
        <v>2.2000000000000002</v>
      </c>
      <c r="AD51" s="158">
        <v>1.1661903789690602</v>
      </c>
      <c r="AE51" s="159" t="str">
        <v>Go-Getters</v>
      </c>
      <c r="AF51" s="157" t="str">
        <v>Mori Calliope</v>
      </c>
      <c r="AG51" s="102">
        <f t="shared" si="15"/>
        <v>9</v>
      </c>
      <c r="AI51" s="141">
        <f>August_SotM[[#This Row],[Max Seed]]/2 + 1</f>
        <v>17</v>
      </c>
      <c r="AJ51" s="135" t="str">
        <f ca="1">IF(August_SotM[[#This Row],[Num]]&gt;=$A$13, "-", IF(August_SotM[[#This Row],[Score 1]]&gt;=3, August_SotM[[#This Row],[Song 2]], IF(August_SotM[[#This Row],[Score 2]]&gt;=3, August_SotM[[#This Row],[Song 1]], "TBD")))</f>
        <v>Put The Money In The Bag</v>
      </c>
      <c r="AK51" s="124">
        <f ca="1">IFERROR(VLOOKUP(August_Results[[#This Row],[Song Title]], $AE$35:$AG$51, 3, FALSE)-August_Results[[#This Row],[Result]], "TBD")</f>
        <v>0</v>
      </c>
      <c r="AL51" s="125" t="str">
        <f ca="1">IF(August_Results[[#This Row],[Diff]]&lt;0,"↓",IF(August_Results[[#This Row],[Diff]]=0,"-","↑"))</f>
        <v>-</v>
      </c>
    </row>
    <row r="53" spans="1:38" ht="15" customHeight="1">
      <c r="A53" s="301">
        <f>MAX(Z54:Z70)</f>
        <v>17</v>
      </c>
      <c r="B53" s="301">
        <f t="shared" ref="B53" si="16">FLOOR(LOG(A53, 2), 1)-1</f>
        <v>3</v>
      </c>
      <c r="C53" s="301">
        <f t="shared" ref="C53" si="17">_xlfn.CEILING.MATH(LOG(A53, 2), 1)-1</f>
        <v>4</v>
      </c>
      <c r="D53" s="301"/>
      <c r="E53" s="301"/>
      <c r="F53" s="301"/>
      <c r="G53" s="301"/>
      <c r="H53" s="301"/>
      <c r="I53" s="347" t="s">
        <v>4197</v>
      </c>
      <c r="J53" s="347"/>
      <c r="K53" s="347"/>
      <c r="L53" s="347"/>
      <c r="M53" s="347"/>
      <c r="N53" s="347"/>
      <c r="O53" s="347"/>
      <c r="P53" s="347"/>
      <c r="Q53" s="347"/>
      <c r="R53" s="347"/>
      <c r="S53" s="347"/>
      <c r="T53" s="347"/>
      <c r="U53" s="347"/>
      <c r="V53" s="347"/>
      <c r="W53" s="347"/>
      <c r="X53" s="301"/>
      <c r="Z53" s="148" t="s">
        <v>4163</v>
      </c>
      <c r="AA53" s="149" t="s">
        <v>29</v>
      </c>
      <c r="AB53" s="150" t="s">
        <v>32</v>
      </c>
      <c r="AC53" s="151" t="s">
        <v>33</v>
      </c>
      <c r="AD53" s="152" t="s">
        <v>34</v>
      </c>
      <c r="AE53" s="153" t="s">
        <v>4161</v>
      </c>
      <c r="AF53" s="154" t="s">
        <v>36</v>
      </c>
      <c r="AG53" s="155" t="s">
        <v>4164</v>
      </c>
      <c r="AI53" s="136" t="s">
        <v>4165</v>
      </c>
      <c r="AJ53" s="137" t="s">
        <v>35</v>
      </c>
      <c r="AK53" s="138" t="s">
        <v>4166</v>
      </c>
      <c r="AL53" s="139" t="s">
        <v>4167</v>
      </c>
    </row>
    <row r="54" spans="1:38" ht="15" customHeight="1">
      <c r="A54" s="301" t="s">
        <v>4168</v>
      </c>
      <c r="B54" s="301" t="s">
        <v>4169</v>
      </c>
      <c r="C54" s="301" t="s">
        <v>4170</v>
      </c>
      <c r="D54" s="301" t="s">
        <v>4171</v>
      </c>
      <c r="E54" s="301" t="s">
        <v>4172</v>
      </c>
      <c r="F54" s="301" t="s">
        <v>4173</v>
      </c>
      <c r="G54" s="133" t="s">
        <v>4174</v>
      </c>
      <c r="H54" s="133" t="s">
        <v>4175</v>
      </c>
      <c r="I54" s="133" t="s">
        <v>4176</v>
      </c>
      <c r="J54" s="133" t="s">
        <v>4177</v>
      </c>
      <c r="K54" s="133" t="s">
        <v>4178</v>
      </c>
      <c r="L54" s="133" t="s">
        <v>4179</v>
      </c>
      <c r="M54" s="133" t="s">
        <v>4180</v>
      </c>
      <c r="N54" s="301" t="s">
        <v>4181</v>
      </c>
      <c r="O54" s="133" t="s">
        <v>4182</v>
      </c>
      <c r="P54" s="301" t="s">
        <v>47</v>
      </c>
      <c r="Q54" s="133" t="s">
        <v>4183</v>
      </c>
      <c r="R54" s="301" t="s">
        <v>4184</v>
      </c>
      <c r="S54" s="133" t="s">
        <v>4185</v>
      </c>
      <c r="T54" s="133" t="s">
        <v>4186</v>
      </c>
      <c r="U54" s="133" t="s">
        <v>4187</v>
      </c>
      <c r="V54" s="133" t="s">
        <v>4188</v>
      </c>
      <c r="W54" s="133" t="s">
        <v>4189</v>
      </c>
      <c r="X54" s="133" t="s">
        <v>4190</v>
      </c>
      <c r="Z54" s="109">
        <f>IF(AC54&gt;0, COUNTIF(AC$54:AC$70, "&lt;"&amp;AC54) + COUNTIFS(AC$54:AC$70, AC54, AD$54:AD$70, "&lt;"&amp;AD54) + COUNTIFS(AC$54:AC$70, AC54, AD$54:AD$70, AD54, AA$54:AA$70, "&lt;"&amp;AA54) + 1, "TBD")</f>
        <v>11</v>
      </c>
      <c r="AA54" s="85" cm="1">
        <f t="array" ref="AA54:AF70">_xlfn._xlws.FILTER(Data[Date]:Data[Artist], (Data[Date]&gt;=DATE(2024,9,1))*(Data[Date]&lt;=DATE(2024,9,30))*(Data[Winner]=TRUE()), "TBD")</f>
        <v>45537</v>
      </c>
      <c r="AB54" s="123" t="str">
        <v>loganworsdell</v>
      </c>
      <c r="AC54" s="3">
        <v>2.4</v>
      </c>
      <c r="AD54" s="86">
        <v>0.4898979485566356</v>
      </c>
      <c r="AE54" s="123" t="str">
        <v>Single Again</v>
      </c>
      <c r="AF54" t="str">
        <v>Big Sean</v>
      </c>
      <c r="AG54" s="100">
        <f>IFERROR(IF(Z54&gt;1, 2^(FLOOR(LOG(Z54-1,2),1))+1, 1), "TBD")</f>
        <v>9</v>
      </c>
      <c r="AI54" s="141">
        <v>1</v>
      </c>
      <c r="AJ54" s="135" t="str">
        <f ca="1">P55</f>
        <v>Don't Stop The Music</v>
      </c>
      <c r="AK54" s="124">
        <f ca="1">IFERROR(VLOOKUP(September_Results[[#This Row],[Song Title]], $AE$54:$AG$70, 3, FALSE)-September_Results[[#This Row],[Result]], "TBD")</f>
        <v>8</v>
      </c>
      <c r="AL54" s="125" t="str">
        <f ca="1">IF(September_Results[[#This Row],[Diff]]&lt;0,"↓",IF(September_Results[[#This Row],[Diff]]=0,"-","↑"))</f>
        <v>↑</v>
      </c>
    </row>
    <row r="55" spans="1:38" ht="15" customHeight="1">
      <c r="A55" s="118" t="str">
        <f>_xlfn.CONCAT("Seed ", September_SotM[[#This Row],[Top Seed]], " vs ", September_SotM[[#This Row],[Low Seed]])</f>
        <v>Seed 1 vs 2</v>
      </c>
      <c r="B55" s="119">
        <v>1</v>
      </c>
      <c r="C55" s="119">
        <f>FLOOR(LOG(September_SotM[[#This Row],[Num]], 2), 1)</f>
        <v>0</v>
      </c>
      <c r="D55" s="119">
        <f>2^(September_SotM[[#This Row],[Round]]+1)</f>
        <v>2</v>
      </c>
      <c r="E55" s="119">
        <f>September_SotM[[#This Row],[Max Seed]]-September_SotM[[#This Row],[Num]]</f>
        <v>1</v>
      </c>
      <c r="F55" s="119">
        <f>September_SotM[[#This Row],[Max Seed]]-September_SotM[[#This Row],[Top Seed]]+1</f>
        <v>2</v>
      </c>
      <c r="G55" s="119" t="b">
        <f>IF(September_SotM[[#This Row],[Round]]=$C$53, TRUE(), IF(September_SotM[[#This Row],[Round]]=$B$53, September_SotM[[#This Row],[Top Seed]]&lt;=2*September_SotM[[#This Row],[Max Seed]]-$A$53, FALSE()))</f>
        <v>0</v>
      </c>
      <c r="H55" s="119" t="b">
        <f>IF(September_SotM[[#This Row],[Round]]=$C$53, TRUE(), IF(September_SotM[[#This Row],[Round]]=$B$53, September_SotM[[#This Row],[Low Seed]]&lt;=2*September_SotM[[#This Row],[Max Seed]]-$A$53, FALSE()))</f>
        <v>0</v>
      </c>
      <c r="I55" s="28" t="s">
        <v>4191</v>
      </c>
      <c r="J55" s="31" t="s">
        <v>4191</v>
      </c>
      <c r="K55" s="33"/>
      <c r="L55" s="35"/>
      <c r="M55" s="37" t="s">
        <v>4191</v>
      </c>
      <c r="N55" s="120" t="str">
        <f ca="1">IF(September_SotM[[#This Row],[Num]]&gt;=$A$53, "-", IF(September_SotM[[#This Row],[Initial 1]], VLOOKUP(September_SotM[[#This Row],[Top Seed]], $Z$54:$AE$70, 6, FALSE), OFFSET(September_SotM[[#This Row],[Winner]], September_SotM[[#This Row],[Max Seed]], 0)))</f>
        <v>Don't Stop The Music</v>
      </c>
      <c r="O55" s="118">
        <f>COUNTIF(September_SotM[[#This Row],[J]:[H]],"x")</f>
        <v>3</v>
      </c>
      <c r="P55" s="119" t="str">
        <f ca="1">IF(September_SotM[[#This Row],[Num]]&gt;=$A$53, "-", IF(September_SotM[[#This Row],[Score 1]]&gt;=3, September_SotM[[#This Row],[Song 1]], IF(September_SotM[[#This Row],[Score 2]]&gt;=3, September_SotM[[#This Row],[Song 2]], "TBD")))</f>
        <v>Don't Stop The Music</v>
      </c>
      <c r="Q55" s="121">
        <f>COUNTIF(September_SotM[[#This Row],[H ]:[J ]],"x")</f>
        <v>2</v>
      </c>
      <c r="R55" s="118" t="str">
        <f ca="1">IF(September_SotM[[#This Row],[Num]]&gt;=$A$53, "-", IF(September_SotM[[#This Row],[Initial 2]], VLOOKUP(September_SotM[[#This Row],[Low Seed]], $Z$54:$AE$70, 6, FALSE), OFFSET(September_SotM[[#This Row],[Winner]], 2*(September_SotM[[#This Row],[Max Seed]]-September_SotM[[#This Row],[Low Seed]])+1, 0)))</f>
        <v>Edge of Seventeen</v>
      </c>
      <c r="S55" s="37"/>
      <c r="T55" s="35" t="s">
        <v>4191</v>
      </c>
      <c r="U55" s="33" t="s">
        <v>4191</v>
      </c>
      <c r="V55" s="31"/>
      <c r="W55" s="28"/>
      <c r="X55" s="3" t="str">
        <f ca="1">IF(OR(September_SotM[[#This Row],[Song 1]]="TBD", September_SotM[[#This Row],[Song 2]]="TBD"), "TBD", _xlfn.CONCAT(IF(_xlfn.XOR(ISBLANK(September_SotM[[#This Row],[J]]), ISBLANK(September_SotM[[#This Row],[J ]])), "", "J "), IF(_xlfn.XOR(ISBLANK(September_SotM[[#This Row],[D]]), ISBLANK(September_SotM[[#This Row],[D ]])), "", "D "), IF(_xlfn.XOR(ISBLANK(September_SotM[[#This Row],[L]]), ISBLANK(September_SotM[[#This Row],[L ]])), "", "L "), IF(_xlfn.XOR(ISBLANK(September_SotM[[#This Row],[S]]), ISBLANK(September_SotM[[#This Row],[S ]])), "", "S "), IF(_xlfn.XOR(ISBLANK(September_SotM[[#This Row],[H]]), ISBLANK(September_SotM[[#This Row],[H ]])), "", "H ")))</f>
        <v/>
      </c>
      <c r="Z55" s="109">
        <f t="shared" ref="Z55:Z70" si="18">IF(AC55&gt;0, COUNTIF(AC$54:AC$70, "&lt;"&amp;AC55) + COUNTIFS(AC$54:AC$70, AC55, AD$54:AD$70, "&lt;"&amp;AD55) + COUNTIFS(AC$54:AC$70, AC55, AD$54:AD$70, AD55, AA$54:AA$70, "&lt;"&amp;AA55) + 1, "TBD")</f>
        <v>14</v>
      </c>
      <c r="AA55" s="85">
        <v>45538</v>
      </c>
      <c r="AB55" s="123" t="str">
        <v>alappatjoe</v>
      </c>
      <c r="AC55" s="3">
        <v>2.4</v>
      </c>
      <c r="AD55" s="86">
        <v>1.4966629547095767</v>
      </c>
      <c r="AE55" s="123" t="str">
        <v>Lady Writer</v>
      </c>
      <c r="AF55" t="str">
        <v>Dire Straits</v>
      </c>
      <c r="AG55" s="100">
        <f t="shared" ref="AG55:AG70" si="19">IFERROR(IF(Z55&gt;1, 2^(FLOOR(LOG(Z55-1,2),1))+1, 1), "TBD")</f>
        <v>9</v>
      </c>
      <c r="AI55" s="141">
        <f>September_SotM[[#This Row],[Max Seed]]/2 + 1</f>
        <v>2</v>
      </c>
      <c r="AJ55" s="135" t="str">
        <f ca="1">IF(September_SotM[[#This Row],[Num]]&gt;=$A$13, "-", IF(September_SotM[[#This Row],[Score 1]]&gt;=3, September_SotM[[#This Row],[Song 2]], IF(September_SotM[[#This Row],[Score 2]]&gt;=3, September_SotM[[#This Row],[Song 1]], "TBD")))</f>
        <v>Edge of Seventeen</v>
      </c>
      <c r="AK55" s="124">
        <f ca="1">IFERROR(VLOOKUP(September_Results[[#This Row],[Song Title]], $AE$54:$AG$70, 3, FALSE)-September_Results[[#This Row],[Result]], "TBD")</f>
        <v>1</v>
      </c>
      <c r="AL55" s="125" t="str">
        <f ca="1">IF(September_Results[[#This Row],[Diff]]&lt;0,"↓",IF(September_Results[[#This Row],[Diff]]=0,"-","↑"))</f>
        <v>↑</v>
      </c>
    </row>
    <row r="56" spans="1:38" ht="15" customHeight="1">
      <c r="A56" s="118" t="str">
        <f>_xlfn.CONCAT("Seed ", September_SotM[[#This Row],[Top Seed]], " vs ", September_SotM[[#This Row],[Low Seed]])</f>
        <v>Seed 2 vs 3</v>
      </c>
      <c r="B56" s="119">
        <v>2</v>
      </c>
      <c r="C56" s="119">
        <f>FLOOR(LOG(September_SotM[[#This Row],[Num]], 2), 1)</f>
        <v>1</v>
      </c>
      <c r="D56" s="119">
        <f>2^(September_SotM[[#This Row],[Round]]+1)</f>
        <v>4</v>
      </c>
      <c r="E56" s="119">
        <f>September_SotM[[#This Row],[Max Seed]]-September_SotM[[#This Row],[Num]]</f>
        <v>2</v>
      </c>
      <c r="F56" s="119">
        <f>September_SotM[[#This Row],[Max Seed]]-September_SotM[[#This Row],[Top Seed]]+1</f>
        <v>3</v>
      </c>
      <c r="G56" s="119" t="b">
        <f>IF(September_SotM[[#This Row],[Round]]=$C$53, TRUE(), IF(September_SotM[[#This Row],[Round]]=$B$53, September_SotM[[#This Row],[Top Seed]]&lt;=2*September_SotM[[#This Row],[Max Seed]]-$A$53, FALSE()))</f>
        <v>0</v>
      </c>
      <c r="H56" s="119" t="b">
        <f>IF(September_SotM[[#This Row],[Round]]=$C$53, TRUE(), IF(September_SotM[[#This Row],[Round]]=$B$53, September_SotM[[#This Row],[Low Seed]]&lt;=2*September_SotM[[#This Row],[Max Seed]]-$A$53, FALSE()))</f>
        <v>0</v>
      </c>
      <c r="I56" s="28"/>
      <c r="J56" s="31" t="s">
        <v>4191</v>
      </c>
      <c r="K56" s="33"/>
      <c r="L56" s="35"/>
      <c r="M56" s="37"/>
      <c r="N56" s="120" t="str">
        <f ca="1">IF(September_SotM[[#This Row],[Num]]&gt;=$A$53, "-", IF(September_SotM[[#This Row],[Initial 1]], VLOOKUP(September_SotM[[#This Row],[Top Seed]], $Z$54:$AE$70, 6, FALSE), OFFSET(September_SotM[[#This Row],[Winner]], September_SotM[[#This Row],[Max Seed]], 0)))</f>
        <v>Leave Before You Love Me</v>
      </c>
      <c r="O56" s="118">
        <f>COUNTIF(September_SotM[[#This Row],[J]:[H]],"x")</f>
        <v>1</v>
      </c>
      <c r="P56" s="119" t="str">
        <f ca="1">IF(September_SotM[[#This Row],[Num]]&gt;=$A$53, "-", IF(September_SotM[[#This Row],[Score 1]]&gt;=3, September_SotM[[#This Row],[Song 1]], IF(September_SotM[[#This Row],[Score 2]]&gt;=3, September_SotM[[#This Row],[Song 2]], "TBD")))</f>
        <v>Edge of Seventeen</v>
      </c>
      <c r="Q56" s="121">
        <f>COUNTIF(September_SotM[[#This Row],[H ]:[J ]],"x")</f>
        <v>4</v>
      </c>
      <c r="R56" s="118" t="str">
        <f ca="1">IF(September_SotM[[#This Row],[Num]]&gt;=$A$53, "-", IF(September_SotM[[#This Row],[Initial 2]], VLOOKUP(September_SotM[[#This Row],[Low Seed]], $Z$54:$AE$70, 6, FALSE), OFFSET(September_SotM[[#This Row],[Winner]], 2*(September_SotM[[#This Row],[Max Seed]]-September_SotM[[#This Row],[Low Seed]])+1, 0)))</f>
        <v>Edge of Seventeen</v>
      </c>
      <c r="S56" s="37" t="s">
        <v>4191</v>
      </c>
      <c r="T56" s="35" t="s">
        <v>4191</v>
      </c>
      <c r="U56" s="33" t="s">
        <v>4191</v>
      </c>
      <c r="V56" s="31"/>
      <c r="W56" s="28" t="s">
        <v>4191</v>
      </c>
      <c r="X56" s="3" t="str">
        <f ca="1">IF(OR(September_SotM[[#This Row],[Song 1]]="TBD", September_SotM[[#This Row],[Song 2]]="TBD"), "TBD", _xlfn.CONCAT(IF(_xlfn.XOR(ISBLANK(September_SotM[[#This Row],[J]]), ISBLANK(September_SotM[[#This Row],[J ]])), "", "J "), IF(_xlfn.XOR(ISBLANK(September_SotM[[#This Row],[D]]), ISBLANK(September_SotM[[#This Row],[D ]])), "", "D "), IF(_xlfn.XOR(ISBLANK(September_SotM[[#This Row],[L]]), ISBLANK(September_SotM[[#This Row],[L ]])), "", "L "), IF(_xlfn.XOR(ISBLANK(September_SotM[[#This Row],[S]]), ISBLANK(September_SotM[[#This Row],[S ]])), "", "S "), IF(_xlfn.XOR(ISBLANK(September_SotM[[#This Row],[H]]), ISBLANK(September_SotM[[#This Row],[H ]])), "", "H ")))</f>
        <v/>
      </c>
      <c r="Z56" s="109">
        <f t="shared" si="18"/>
        <v>16</v>
      </c>
      <c r="AA56" s="85">
        <v>45539</v>
      </c>
      <c r="AB56" t="str">
        <v>samuelbattista</v>
      </c>
      <c r="AC56" s="3">
        <v>2.6</v>
      </c>
      <c r="AD56" s="86">
        <v>1.019803902718557</v>
      </c>
      <c r="AE56" s="123" t="str">
        <v>Real Love Baby</v>
      </c>
      <c r="AF56" t="str">
        <v>Father John Misty</v>
      </c>
      <c r="AG56" s="100">
        <f t="shared" si="19"/>
        <v>9</v>
      </c>
      <c r="AI56" s="141">
        <f>September_SotM[[#This Row],[Max Seed]]/2 + 1</f>
        <v>3</v>
      </c>
      <c r="AJ56" s="135" t="str">
        <f ca="1">IF(September_SotM[[#This Row],[Num]]&gt;=$A$13, "-", IF(September_SotM[[#This Row],[Score 1]]&gt;=3, September_SotM[[#This Row],[Song 2]], IF(September_SotM[[#This Row],[Score 2]]&gt;=3, September_SotM[[#This Row],[Song 1]], "TBD")))</f>
        <v>Leave Before You Love Me</v>
      </c>
      <c r="AK56" s="124">
        <f ca="1">IFERROR(VLOOKUP(September_Results[[#This Row],[Song Title]], $AE$54:$AG$70, 3, FALSE)-September_Results[[#This Row],[Result]], "TBD")</f>
        <v>2</v>
      </c>
      <c r="AL56" s="125" t="str">
        <f ca="1">IF(September_Results[[#This Row],[Diff]]&lt;0,"↓",IF(September_Results[[#This Row],[Diff]]=0,"-","↑"))</f>
        <v>↑</v>
      </c>
    </row>
    <row r="57" spans="1:38" ht="15" customHeight="1">
      <c r="A57" s="118" t="str">
        <f>_xlfn.CONCAT("Seed ", September_SotM[[#This Row],[Top Seed]], " vs ", September_SotM[[#This Row],[Low Seed]])</f>
        <v>Seed 1 vs 4</v>
      </c>
      <c r="B57" s="119">
        <v>3</v>
      </c>
      <c r="C57" s="119">
        <f>FLOOR(LOG(September_SotM[[#This Row],[Num]], 2), 1)</f>
        <v>1</v>
      </c>
      <c r="D57" s="119">
        <f>2^(September_SotM[[#This Row],[Round]]+1)</f>
        <v>4</v>
      </c>
      <c r="E57" s="119">
        <f>September_SotM[[#This Row],[Max Seed]]-September_SotM[[#This Row],[Num]]</f>
        <v>1</v>
      </c>
      <c r="F57" s="119">
        <f>September_SotM[[#This Row],[Max Seed]]-September_SotM[[#This Row],[Top Seed]]+1</f>
        <v>4</v>
      </c>
      <c r="G57" s="119" t="b">
        <f>IF(September_SotM[[#This Row],[Round]]=$C$53, TRUE(), IF(September_SotM[[#This Row],[Round]]=$B$53, September_SotM[[#This Row],[Top Seed]]&lt;=2*September_SotM[[#This Row],[Max Seed]]-$A$53, FALSE()))</f>
        <v>0</v>
      </c>
      <c r="H57" s="119" t="b">
        <f>IF(September_SotM[[#This Row],[Round]]=$C$53, TRUE(), IF(September_SotM[[#This Row],[Round]]=$B$53, September_SotM[[#This Row],[Low Seed]]&lt;=2*September_SotM[[#This Row],[Max Seed]]-$A$53, FALSE()))</f>
        <v>0</v>
      </c>
      <c r="I57" s="28"/>
      <c r="J57" s="31"/>
      <c r="K57" s="33"/>
      <c r="L57" s="35" t="s">
        <v>4191</v>
      </c>
      <c r="M57" s="37"/>
      <c r="N57" s="120" t="str">
        <f ca="1">IF(September_SotM[[#This Row],[Num]]&gt;=$A$53, "-", IF(September_SotM[[#This Row],[Initial 1]], VLOOKUP(September_SotM[[#This Row],[Top Seed]], $Z$54:$AE$70, 6, FALSE), OFFSET(September_SotM[[#This Row],[Winner]], September_SotM[[#This Row],[Max Seed]], 0)))</f>
        <v>Alright</v>
      </c>
      <c r="O57" s="118">
        <f>COUNTIF(September_SotM[[#This Row],[J]:[H]],"x")</f>
        <v>1</v>
      </c>
      <c r="P57" s="119" t="str">
        <f ca="1">IF(September_SotM[[#This Row],[Num]]&gt;=$A$53, "-", IF(September_SotM[[#This Row],[Score 1]]&gt;=3, September_SotM[[#This Row],[Song 1]], IF(September_SotM[[#This Row],[Score 2]]&gt;=3, September_SotM[[#This Row],[Song 2]], "TBD")))</f>
        <v>Don't Stop The Music</v>
      </c>
      <c r="Q57" s="121">
        <f>COUNTIF(September_SotM[[#This Row],[H ]:[J ]],"x")</f>
        <v>4</v>
      </c>
      <c r="R57" s="118" t="str">
        <f ca="1">IF(September_SotM[[#This Row],[Num]]&gt;=$A$53, "-", IF(September_SotM[[#This Row],[Initial 2]], VLOOKUP(September_SotM[[#This Row],[Low Seed]], $Z$54:$AE$70, 6, FALSE), OFFSET(September_SotM[[#This Row],[Winner]], 2*(September_SotM[[#This Row],[Max Seed]]-September_SotM[[#This Row],[Low Seed]])+1, 0)))</f>
        <v>Don't Stop The Music</v>
      </c>
      <c r="S57" s="37" t="s">
        <v>4191</v>
      </c>
      <c r="T57" s="35"/>
      <c r="U57" s="33" t="s">
        <v>4191</v>
      </c>
      <c r="V57" s="31" t="s">
        <v>4191</v>
      </c>
      <c r="W57" s="28" t="s">
        <v>4191</v>
      </c>
      <c r="X57" s="3" t="str">
        <f ca="1">IF(OR(September_SotM[[#This Row],[Song 1]]="TBD", September_SotM[[#This Row],[Song 2]]="TBD"), "TBD", _xlfn.CONCAT(IF(_xlfn.XOR(ISBLANK(September_SotM[[#This Row],[J]]), ISBLANK(September_SotM[[#This Row],[J ]])), "", "J "), IF(_xlfn.XOR(ISBLANK(September_SotM[[#This Row],[D]]), ISBLANK(September_SotM[[#This Row],[D ]])), "", "D "), IF(_xlfn.XOR(ISBLANK(September_SotM[[#This Row],[L]]), ISBLANK(September_SotM[[#This Row],[L ]])), "", "L "), IF(_xlfn.XOR(ISBLANK(September_SotM[[#This Row],[S]]), ISBLANK(September_SotM[[#This Row],[S ]])), "", "S "), IF(_xlfn.XOR(ISBLANK(September_SotM[[#This Row],[H]]), ISBLANK(September_SotM[[#This Row],[H ]])), "", "H ")))</f>
        <v/>
      </c>
      <c r="Z57" s="109">
        <f t="shared" si="18"/>
        <v>12</v>
      </c>
      <c r="AA57" s="85">
        <v>45540</v>
      </c>
      <c r="AB57" t="str">
        <v>currydestroyer27</v>
      </c>
      <c r="AC57" s="3">
        <v>2.4</v>
      </c>
      <c r="AD57" s="86">
        <v>0.8</v>
      </c>
      <c r="AE57" s="123" t="str">
        <v>Don't Stop The Music</v>
      </c>
      <c r="AF57" t="str">
        <v>Rihanna</v>
      </c>
      <c r="AG57" s="100">
        <f t="shared" si="19"/>
        <v>9</v>
      </c>
      <c r="AI57" s="141">
        <f>September_SotM[[#This Row],[Max Seed]]/2 + 1</f>
        <v>3</v>
      </c>
      <c r="AJ57" s="135" t="str">
        <f ca="1">IF(September_SotM[[#This Row],[Num]]&gt;=$A$13, "-", IF(September_SotM[[#This Row],[Score 1]]&gt;=3, September_SotM[[#This Row],[Song 2]], IF(September_SotM[[#This Row],[Score 2]]&gt;=3, September_SotM[[#This Row],[Song 1]], "TBD")))</f>
        <v>Alright</v>
      </c>
      <c r="AK57" s="124">
        <f ca="1">IFERROR(VLOOKUP(September_Results[[#This Row],[Song Title]], $AE$54:$AG$70, 3, FALSE)-September_Results[[#This Row],[Result]], "TBD")</f>
        <v>2</v>
      </c>
      <c r="AL57" s="125" t="str">
        <f ca="1">IF(September_Results[[#This Row],[Diff]]&lt;0,"↓",IF(September_Results[[#This Row],[Diff]]=0,"-","↑"))</f>
        <v>↑</v>
      </c>
    </row>
    <row r="58" spans="1:38" ht="15" customHeight="1">
      <c r="A58" s="118" t="str">
        <f>_xlfn.CONCAT("Seed ", September_SotM[[#This Row],[Top Seed]], " vs ", September_SotM[[#This Row],[Low Seed]])</f>
        <v>Seed 4 vs 5</v>
      </c>
      <c r="B58" s="119">
        <v>4</v>
      </c>
      <c r="C58" s="119">
        <f>FLOOR(LOG(September_SotM[[#This Row],[Num]], 2), 1)</f>
        <v>2</v>
      </c>
      <c r="D58" s="119">
        <f>2^(September_SotM[[#This Row],[Round]]+1)</f>
        <v>8</v>
      </c>
      <c r="E58" s="119">
        <f>September_SotM[[#This Row],[Max Seed]]-September_SotM[[#This Row],[Num]]</f>
        <v>4</v>
      </c>
      <c r="F58" s="119">
        <f>September_SotM[[#This Row],[Max Seed]]-September_SotM[[#This Row],[Top Seed]]+1</f>
        <v>5</v>
      </c>
      <c r="G58" s="119" t="b">
        <f>IF(September_SotM[[#This Row],[Round]]=$C$53, TRUE(), IF(September_SotM[[#This Row],[Round]]=$B$53, September_SotM[[#This Row],[Top Seed]]&lt;=2*September_SotM[[#This Row],[Max Seed]]-$A$53, FALSE()))</f>
        <v>0</v>
      </c>
      <c r="H58" s="119" t="b">
        <f>IF(September_SotM[[#This Row],[Round]]=$C$53, TRUE(), IF(September_SotM[[#This Row],[Round]]=$B$53, September_SotM[[#This Row],[Low Seed]]&lt;=2*September_SotM[[#This Row],[Max Seed]]-$A$53, FALSE()))</f>
        <v>0</v>
      </c>
      <c r="I58" s="28"/>
      <c r="J58" s="31"/>
      <c r="K58" s="33"/>
      <c r="L58" s="35"/>
      <c r="M58" s="37"/>
      <c r="N58" s="120" t="str">
        <f ca="1">IF(September_SotM[[#This Row],[Num]]&gt;=$A$53, "-", IF(September_SotM[[#This Row],[Initial 1]], VLOOKUP(September_SotM[[#This Row],[Top Seed]], $Z$54:$AE$70, 6, FALSE), OFFSET(September_SotM[[#This Row],[Winner]], September_SotM[[#This Row],[Max Seed]], 0)))</f>
        <v>Party Monster</v>
      </c>
      <c r="O58" s="118">
        <f>COUNTIF(September_SotM[[#This Row],[J]:[H]],"x")</f>
        <v>0</v>
      </c>
      <c r="P58" s="119" t="str">
        <f ca="1">IF(September_SotM[[#This Row],[Num]]&gt;=$A$53, "-", IF(September_SotM[[#This Row],[Score 1]]&gt;=3, September_SotM[[#This Row],[Song 1]], IF(September_SotM[[#This Row],[Score 2]]&gt;=3, September_SotM[[#This Row],[Song 2]], "TBD")))</f>
        <v>Don't Stop The Music</v>
      </c>
      <c r="Q58" s="121">
        <f>COUNTIF(September_SotM[[#This Row],[H ]:[J ]],"x")</f>
        <v>5</v>
      </c>
      <c r="R58" s="118" t="str">
        <f ca="1">IF(September_SotM[[#This Row],[Num]]&gt;=$A$53, "-", IF(September_SotM[[#This Row],[Initial 2]], VLOOKUP(September_SotM[[#This Row],[Low Seed]], $Z$54:$AE$70, 6, FALSE), OFFSET(September_SotM[[#This Row],[Winner]], 2*(September_SotM[[#This Row],[Max Seed]]-September_SotM[[#This Row],[Low Seed]])+1, 0)))</f>
        <v>Don't Stop The Music</v>
      </c>
      <c r="S58" s="37" t="s">
        <v>4191</v>
      </c>
      <c r="T58" s="35" t="s">
        <v>4191</v>
      </c>
      <c r="U58" s="33" t="s">
        <v>4191</v>
      </c>
      <c r="V58" s="31" t="s">
        <v>4191</v>
      </c>
      <c r="W58" s="28" t="s">
        <v>4191</v>
      </c>
      <c r="X58" s="3" t="str">
        <f ca="1">IF(OR(September_SotM[[#This Row],[Song 1]]="TBD", September_SotM[[#This Row],[Song 2]]="TBD"), "TBD", _xlfn.CONCAT(IF(_xlfn.XOR(ISBLANK(September_SotM[[#This Row],[J]]), ISBLANK(September_SotM[[#This Row],[J ]])), "", "J "), IF(_xlfn.XOR(ISBLANK(September_SotM[[#This Row],[D]]), ISBLANK(September_SotM[[#This Row],[D ]])), "", "D "), IF(_xlfn.XOR(ISBLANK(September_SotM[[#This Row],[L]]), ISBLANK(September_SotM[[#This Row],[L ]])), "", "L "), IF(_xlfn.XOR(ISBLANK(September_SotM[[#This Row],[S]]), ISBLANK(September_SotM[[#This Row],[S ]])), "", "S "), IF(_xlfn.XOR(ISBLANK(September_SotM[[#This Row],[H]]), ISBLANK(September_SotM[[#This Row],[H ]])), "", "H ")))</f>
        <v/>
      </c>
      <c r="Z58" s="109">
        <f t="shared" si="18"/>
        <v>15</v>
      </c>
      <c r="AA58" s="85">
        <v>45544</v>
      </c>
      <c r="AB58" t="str">
        <v>samuelbattista</v>
      </c>
      <c r="AC58" s="3">
        <v>2.6</v>
      </c>
      <c r="AD58" s="86">
        <v>0.8</v>
      </c>
      <c r="AE58" s="123" t="str">
        <v>Seventh Heaven</v>
      </c>
      <c r="AF58" t="str">
        <v>INOHA</v>
      </c>
      <c r="AG58" s="100">
        <f t="shared" si="19"/>
        <v>9</v>
      </c>
      <c r="AI58" s="141">
        <f>September_SotM[[#This Row],[Max Seed]]/2 + 1</f>
        <v>5</v>
      </c>
      <c r="AJ58" s="135" t="str">
        <f ca="1">IF(September_SotM[[#This Row],[Num]]&gt;=$A$13, "-", IF(September_SotM[[#This Row],[Score 1]]&gt;=3, September_SotM[[#This Row],[Song 2]], IF(September_SotM[[#This Row],[Score 2]]&gt;=3, September_SotM[[#This Row],[Song 1]], "TBD")))</f>
        <v>Party Monster</v>
      </c>
      <c r="AK58" s="124">
        <f ca="1">IFERROR(VLOOKUP(September_Results[[#This Row],[Song Title]], $AE$54:$AG$70, 3, FALSE)-September_Results[[#This Row],[Result]], "TBD")</f>
        <v>4</v>
      </c>
      <c r="AL58" s="125" t="str">
        <f ca="1">IF(September_Results[[#This Row],[Diff]]&lt;0,"↓",IF(September_Results[[#This Row],[Diff]]=0,"-","↑"))</f>
        <v>↑</v>
      </c>
    </row>
    <row r="59" spans="1:38" ht="15" customHeight="1">
      <c r="A59" s="118" t="str">
        <f>_xlfn.CONCAT("Seed ", September_SotM[[#This Row],[Top Seed]], " vs ", September_SotM[[#This Row],[Low Seed]])</f>
        <v>Seed 3 vs 6</v>
      </c>
      <c r="B59" s="119">
        <v>5</v>
      </c>
      <c r="C59" s="119">
        <f>FLOOR(LOG(September_SotM[[#This Row],[Num]], 2), 1)</f>
        <v>2</v>
      </c>
      <c r="D59" s="119">
        <f>2^(September_SotM[[#This Row],[Round]]+1)</f>
        <v>8</v>
      </c>
      <c r="E59" s="119">
        <f>September_SotM[[#This Row],[Max Seed]]-September_SotM[[#This Row],[Num]]</f>
        <v>3</v>
      </c>
      <c r="F59" s="119">
        <f>September_SotM[[#This Row],[Max Seed]]-September_SotM[[#This Row],[Top Seed]]+1</f>
        <v>6</v>
      </c>
      <c r="G59" s="119" t="b">
        <f>IF(September_SotM[[#This Row],[Round]]=$C$53, TRUE(), IF(September_SotM[[#This Row],[Round]]=$B$53, September_SotM[[#This Row],[Top Seed]]&lt;=2*September_SotM[[#This Row],[Max Seed]]-$A$53, FALSE()))</f>
        <v>0</v>
      </c>
      <c r="H59" s="119" t="b">
        <f>IF(September_SotM[[#This Row],[Round]]=$C$53, TRUE(), IF(September_SotM[[#This Row],[Round]]=$B$53, September_SotM[[#This Row],[Low Seed]]&lt;=2*September_SotM[[#This Row],[Max Seed]]-$A$53, FALSE()))</f>
        <v>0</v>
      </c>
      <c r="I59" s="28"/>
      <c r="J59" s="31" t="s">
        <v>4191</v>
      </c>
      <c r="K59" s="33" t="s">
        <v>4191</v>
      </c>
      <c r="L59" s="35" t="s">
        <v>4191</v>
      </c>
      <c r="M59" s="37" t="s">
        <v>4191</v>
      </c>
      <c r="N59" s="120" t="str">
        <f ca="1">IF(September_SotM[[#This Row],[Num]]&gt;=$A$53, "-", IF(September_SotM[[#This Row],[Initial 1]], VLOOKUP(September_SotM[[#This Row],[Top Seed]], $Z$54:$AE$70, 6, FALSE), OFFSET(September_SotM[[#This Row],[Winner]], September_SotM[[#This Row],[Max Seed]], 0)))</f>
        <v>Edge of Seventeen</v>
      </c>
      <c r="O59" s="118">
        <f>COUNTIF(September_SotM[[#This Row],[J]:[H]],"x")</f>
        <v>4</v>
      </c>
      <c r="P59" s="119" t="str">
        <f ca="1">IF(September_SotM[[#This Row],[Num]]&gt;=$A$53, "-", IF(September_SotM[[#This Row],[Score 1]]&gt;=3, September_SotM[[#This Row],[Song 1]], IF(September_SotM[[#This Row],[Score 2]]&gt;=3, September_SotM[[#This Row],[Song 2]], "TBD")))</f>
        <v>Edge of Seventeen</v>
      </c>
      <c r="Q59" s="121">
        <f>COUNTIF(September_SotM[[#This Row],[H ]:[J ]],"x")</f>
        <v>1</v>
      </c>
      <c r="R59" s="118" t="str">
        <f ca="1">IF(September_SotM[[#This Row],[Num]]&gt;=$A$53, "-", IF(September_SotM[[#This Row],[Initial 2]], VLOOKUP(September_SotM[[#This Row],[Low Seed]], $Z$54:$AE$70, 6, FALSE), OFFSET(September_SotM[[#This Row],[Winner]], 2*(September_SotM[[#This Row],[Max Seed]]-September_SotM[[#This Row],[Low Seed]])+1, 0)))</f>
        <v>Ping Pong Phase</v>
      </c>
      <c r="S59" s="37"/>
      <c r="T59" s="35"/>
      <c r="U59" s="33"/>
      <c r="V59" s="31"/>
      <c r="W59" s="28" t="s">
        <v>4191</v>
      </c>
      <c r="X59" s="3" t="str">
        <f ca="1">IF(OR(September_SotM[[#This Row],[Song 1]]="TBD", September_SotM[[#This Row],[Song 2]]="TBD"), "TBD", _xlfn.CONCAT(IF(_xlfn.XOR(ISBLANK(September_SotM[[#This Row],[J]]), ISBLANK(September_SotM[[#This Row],[J ]])), "", "J "), IF(_xlfn.XOR(ISBLANK(September_SotM[[#This Row],[D]]), ISBLANK(September_SotM[[#This Row],[D ]])), "", "D "), IF(_xlfn.XOR(ISBLANK(September_SotM[[#This Row],[L]]), ISBLANK(September_SotM[[#This Row],[L ]])), "", "L "), IF(_xlfn.XOR(ISBLANK(September_SotM[[#This Row],[S]]), ISBLANK(September_SotM[[#This Row],[S ]])), "", "S "), IF(_xlfn.XOR(ISBLANK(September_SotM[[#This Row],[H]]), ISBLANK(September_SotM[[#This Row],[H ]])), "", "H ")))</f>
        <v/>
      </c>
      <c r="Z59" s="109">
        <f t="shared" si="18"/>
        <v>4</v>
      </c>
      <c r="AA59" s="85">
        <v>45545</v>
      </c>
      <c r="AB59" t="str">
        <v>danram</v>
      </c>
      <c r="AC59" s="3">
        <v>1.8</v>
      </c>
      <c r="AD59" s="86">
        <v>0.9797958971132712</v>
      </c>
      <c r="AE59" s="123" t="str">
        <v>Feel the Fiyaaaaah</v>
      </c>
      <c r="AF59" t="str">
        <v>Metro Boomin, A$AP Rocky, Takeoff</v>
      </c>
      <c r="AG59" s="100">
        <f t="shared" si="19"/>
        <v>3</v>
      </c>
      <c r="AI59" s="141">
        <f>September_SotM[[#This Row],[Max Seed]]/2 + 1</f>
        <v>5</v>
      </c>
      <c r="AJ59" s="135" t="str">
        <f ca="1">IF(September_SotM[[#This Row],[Num]]&gt;=$A$13, "-", IF(September_SotM[[#This Row],[Score 1]]&gt;=3, September_SotM[[#This Row],[Song 2]], IF(September_SotM[[#This Row],[Score 2]]&gt;=3, September_SotM[[#This Row],[Song 1]], "TBD")))</f>
        <v>Ping Pong Phase</v>
      </c>
      <c r="AK59" s="124">
        <f ca="1">IFERROR(VLOOKUP(September_Results[[#This Row],[Song Title]], $AE$54:$AG$70, 3, FALSE)-September_Results[[#This Row],[Result]], "TBD")</f>
        <v>0</v>
      </c>
      <c r="AL59" s="125" t="str">
        <f ca="1">IF(September_Results[[#This Row],[Diff]]&lt;0,"↓",IF(September_Results[[#This Row],[Diff]]=0,"-","↑"))</f>
        <v>-</v>
      </c>
    </row>
    <row r="60" spans="1:38" ht="15" customHeight="1">
      <c r="A60" s="118" t="str">
        <f>_xlfn.CONCAT("Seed ", September_SotM[[#This Row],[Top Seed]], " vs ", September_SotM[[#This Row],[Low Seed]])</f>
        <v>Seed 2 vs 7</v>
      </c>
      <c r="B60" s="119">
        <v>6</v>
      </c>
      <c r="C60" s="119">
        <f>FLOOR(LOG(September_SotM[[#This Row],[Num]], 2), 1)</f>
        <v>2</v>
      </c>
      <c r="D60" s="119">
        <f>2^(September_SotM[[#This Row],[Round]]+1)</f>
        <v>8</v>
      </c>
      <c r="E60" s="119">
        <f>September_SotM[[#This Row],[Max Seed]]-September_SotM[[#This Row],[Num]]</f>
        <v>2</v>
      </c>
      <c r="F60" s="119">
        <f>September_SotM[[#This Row],[Max Seed]]-September_SotM[[#This Row],[Top Seed]]+1</f>
        <v>7</v>
      </c>
      <c r="G60" s="119" t="b">
        <f>IF(September_SotM[[#This Row],[Round]]=$C$53, TRUE(), IF(September_SotM[[#This Row],[Round]]=$B$53, September_SotM[[#This Row],[Top Seed]]&lt;=2*September_SotM[[#This Row],[Max Seed]]-$A$53, FALSE()))</f>
        <v>0</v>
      </c>
      <c r="H60" s="119" t="b">
        <f>IF(September_SotM[[#This Row],[Round]]=$C$53, TRUE(), IF(September_SotM[[#This Row],[Round]]=$B$53, September_SotM[[#This Row],[Low Seed]]&lt;=2*September_SotM[[#This Row],[Max Seed]]-$A$53, FALSE()))</f>
        <v>0</v>
      </c>
      <c r="I60" s="28"/>
      <c r="J60" s="31"/>
      <c r="K60" s="33"/>
      <c r="L60" s="35" t="s">
        <v>4191</v>
      </c>
      <c r="M60" s="37"/>
      <c r="N60" s="120" t="str">
        <f ca="1">IF(September_SotM[[#This Row],[Num]]&gt;=$A$53, "-", IF(September_SotM[[#This Row],[Initial 1]], VLOOKUP(September_SotM[[#This Row],[Top Seed]], $Z$54:$AE$70, 6, FALSE), OFFSET(September_SotM[[#This Row],[Winner]], September_SotM[[#This Row],[Max Seed]], 0)))</f>
        <v>Seventh Heaven</v>
      </c>
      <c r="O60" s="118">
        <f>COUNTIF(September_SotM[[#This Row],[J]:[H]],"x")</f>
        <v>1</v>
      </c>
      <c r="P60" s="119" t="str">
        <f ca="1">IF(September_SotM[[#This Row],[Num]]&gt;=$A$53, "-", IF(September_SotM[[#This Row],[Score 1]]&gt;=3, September_SotM[[#This Row],[Song 1]], IF(September_SotM[[#This Row],[Score 2]]&gt;=3, September_SotM[[#This Row],[Song 2]], "TBD")))</f>
        <v>Leave Before You Love Me</v>
      </c>
      <c r="Q60" s="121">
        <f>COUNTIF(September_SotM[[#This Row],[H ]:[J ]],"x")</f>
        <v>4</v>
      </c>
      <c r="R60" s="118" t="str">
        <f ca="1">IF(September_SotM[[#This Row],[Num]]&gt;=$A$53, "-", IF(September_SotM[[#This Row],[Initial 2]], VLOOKUP(September_SotM[[#This Row],[Low Seed]], $Z$54:$AE$70, 6, FALSE), OFFSET(September_SotM[[#This Row],[Winner]], 2*(September_SotM[[#This Row],[Max Seed]]-September_SotM[[#This Row],[Low Seed]])+1, 0)))</f>
        <v>Leave Before You Love Me</v>
      </c>
      <c r="S60" s="37" t="s">
        <v>4191</v>
      </c>
      <c r="T60" s="35"/>
      <c r="U60" s="33" t="s">
        <v>4191</v>
      </c>
      <c r="V60" s="31" t="s">
        <v>4191</v>
      </c>
      <c r="W60" s="28" t="s">
        <v>4191</v>
      </c>
      <c r="X60" s="3" t="str">
        <f ca="1">IF(OR(September_SotM[[#This Row],[Song 1]]="TBD", September_SotM[[#This Row],[Song 2]]="TBD"), "TBD", _xlfn.CONCAT(IF(_xlfn.XOR(ISBLANK(September_SotM[[#This Row],[J]]), ISBLANK(September_SotM[[#This Row],[J ]])), "", "J "), IF(_xlfn.XOR(ISBLANK(September_SotM[[#This Row],[D]]), ISBLANK(September_SotM[[#This Row],[D ]])), "", "D "), IF(_xlfn.XOR(ISBLANK(September_SotM[[#This Row],[L]]), ISBLANK(September_SotM[[#This Row],[L ]])), "", "L "), IF(_xlfn.XOR(ISBLANK(September_SotM[[#This Row],[S]]), ISBLANK(September_SotM[[#This Row],[S ]])), "", "S "), IF(_xlfn.XOR(ISBLANK(September_SotM[[#This Row],[H]]), ISBLANK(September_SotM[[#This Row],[H ]])), "", "H ")))</f>
        <v/>
      </c>
      <c r="Z60" s="109">
        <f t="shared" si="18"/>
        <v>5</v>
      </c>
      <c r="AA60" s="85">
        <v>45546</v>
      </c>
      <c r="AB60" t="str">
        <v>danram</v>
      </c>
      <c r="AC60" s="3">
        <v>1.8</v>
      </c>
      <c r="AD60" s="86">
        <v>0.9797958971132712</v>
      </c>
      <c r="AE60" s="123" t="str">
        <v>夜に駆ける</v>
      </c>
      <c r="AF60" t="str">
        <v>Yoasobi</v>
      </c>
      <c r="AG60" s="100">
        <f t="shared" si="19"/>
        <v>5</v>
      </c>
      <c r="AI60" s="141">
        <f>September_SotM[[#This Row],[Max Seed]]/2 + 1</f>
        <v>5</v>
      </c>
      <c r="AJ60" s="135" t="str">
        <f ca="1">IF(September_SotM[[#This Row],[Num]]&gt;=$A$13, "-", IF(September_SotM[[#This Row],[Score 1]]&gt;=3, September_SotM[[#This Row],[Song 2]], IF(September_SotM[[#This Row],[Score 2]]&gt;=3, September_SotM[[#This Row],[Song 1]], "TBD")))</f>
        <v>Seventh Heaven</v>
      </c>
      <c r="AK60" s="124">
        <f ca="1">IFERROR(VLOOKUP(September_Results[[#This Row],[Song Title]], $AE$54:$AG$70, 3, FALSE)-September_Results[[#This Row],[Result]], "TBD")</f>
        <v>4</v>
      </c>
      <c r="AL60" s="125" t="str">
        <f ca="1">IF(September_Results[[#This Row],[Diff]]&lt;0,"↓",IF(September_Results[[#This Row],[Diff]]=0,"-","↑"))</f>
        <v>↑</v>
      </c>
    </row>
    <row r="61" spans="1:38" ht="15" customHeight="1">
      <c r="A61" s="118" t="str">
        <f>_xlfn.CONCAT("Seed ", September_SotM[[#This Row],[Top Seed]], " vs ", September_SotM[[#This Row],[Low Seed]])</f>
        <v>Seed 1 vs 8</v>
      </c>
      <c r="B61" s="119">
        <v>7</v>
      </c>
      <c r="C61" s="119">
        <f>FLOOR(LOG(September_SotM[[#This Row],[Num]], 2), 1)</f>
        <v>2</v>
      </c>
      <c r="D61" s="119">
        <f>2^(September_SotM[[#This Row],[Round]]+1)</f>
        <v>8</v>
      </c>
      <c r="E61" s="119">
        <f>September_SotM[[#This Row],[Max Seed]]-September_SotM[[#This Row],[Num]]</f>
        <v>1</v>
      </c>
      <c r="F61" s="119">
        <f>September_SotM[[#This Row],[Max Seed]]-September_SotM[[#This Row],[Top Seed]]+1</f>
        <v>8</v>
      </c>
      <c r="G61" s="119" t="b">
        <f>IF(September_SotM[[#This Row],[Round]]=$C$53, TRUE(), IF(September_SotM[[#This Row],[Round]]=$B$53, September_SotM[[#This Row],[Top Seed]]&lt;=2*September_SotM[[#This Row],[Max Seed]]-$A$53, FALSE()))</f>
        <v>0</v>
      </c>
      <c r="H61" s="119" t="b">
        <f>IF(September_SotM[[#This Row],[Round]]=$C$53, TRUE(), IF(September_SotM[[#This Row],[Round]]=$B$53, September_SotM[[#This Row],[Low Seed]]&lt;=2*September_SotM[[#This Row],[Max Seed]]-$A$53, FALSE()))</f>
        <v>0</v>
      </c>
      <c r="I61" s="28"/>
      <c r="J61" s="31" t="s">
        <v>4191</v>
      </c>
      <c r="K61" s="33"/>
      <c r="L61" s="35"/>
      <c r="M61" s="37"/>
      <c r="N61" s="120" t="str">
        <f ca="1">IF(September_SotM[[#This Row],[Num]]&gt;=$A$53, "-", IF(September_SotM[[#This Row],[Initial 1]], VLOOKUP(September_SotM[[#This Row],[Top Seed]], $Z$54:$AE$70, 6, FALSE), OFFSET(September_SotM[[#This Row],[Winner]], September_SotM[[#This Row],[Max Seed]], 0)))</f>
        <v>Sprinter</v>
      </c>
      <c r="O61" s="118">
        <f>COUNTIF(September_SotM[[#This Row],[J]:[H]],"x")</f>
        <v>1</v>
      </c>
      <c r="P61" s="119" t="str">
        <f ca="1">IF(September_SotM[[#This Row],[Num]]&gt;=$A$53, "-", IF(September_SotM[[#This Row],[Score 1]]&gt;=3, September_SotM[[#This Row],[Song 1]], IF(September_SotM[[#This Row],[Score 2]]&gt;=3, September_SotM[[#This Row],[Song 2]], "TBD")))</f>
        <v>Alright</v>
      </c>
      <c r="Q61" s="121">
        <f>COUNTIF(September_SotM[[#This Row],[H ]:[J ]],"x")</f>
        <v>4</v>
      </c>
      <c r="R61" s="118" t="str">
        <f ca="1">IF(September_SotM[[#This Row],[Num]]&gt;=$A$53, "-", IF(September_SotM[[#This Row],[Initial 2]], VLOOKUP(September_SotM[[#This Row],[Low Seed]], $Z$54:$AE$70, 6, FALSE), OFFSET(September_SotM[[#This Row],[Winner]], 2*(September_SotM[[#This Row],[Max Seed]]-September_SotM[[#This Row],[Low Seed]])+1, 0)))</f>
        <v>Alright</v>
      </c>
      <c r="S61" s="37" t="s">
        <v>4191</v>
      </c>
      <c r="T61" s="35" t="s">
        <v>4191</v>
      </c>
      <c r="U61" s="33" t="s">
        <v>4191</v>
      </c>
      <c r="V61" s="31"/>
      <c r="W61" s="28" t="s">
        <v>4191</v>
      </c>
      <c r="X61" s="3" t="str">
        <f ca="1">IF(OR(September_SotM[[#This Row],[Song 1]]="TBD", September_SotM[[#This Row],[Song 2]]="TBD"), "TBD", _xlfn.CONCAT(IF(_xlfn.XOR(ISBLANK(September_SotM[[#This Row],[J]]), ISBLANK(September_SotM[[#This Row],[J ]])), "", "J "), IF(_xlfn.XOR(ISBLANK(September_SotM[[#This Row],[D]]), ISBLANK(September_SotM[[#This Row],[D ]])), "", "D "), IF(_xlfn.XOR(ISBLANK(September_SotM[[#This Row],[L]]), ISBLANK(September_SotM[[#This Row],[L ]])), "", "L "), IF(_xlfn.XOR(ISBLANK(September_SotM[[#This Row],[S]]), ISBLANK(September_SotM[[#This Row],[S ]])), "", "S "), IF(_xlfn.XOR(ISBLANK(September_SotM[[#This Row],[H]]), ISBLANK(September_SotM[[#This Row],[H ]])), "", "H ")))</f>
        <v/>
      </c>
      <c r="Z61" s="109">
        <f t="shared" si="18"/>
        <v>1</v>
      </c>
      <c r="AA61" s="85">
        <v>45547</v>
      </c>
      <c r="AB61" t="str">
        <v>samuelbattista</v>
      </c>
      <c r="AC61" s="3">
        <v>1.4</v>
      </c>
      <c r="AD61" s="86">
        <v>0.4898979485566356</v>
      </c>
      <c r="AE61" s="123" t="str">
        <v>Sprinter</v>
      </c>
      <c r="AF61" t="str">
        <v>Dave, Central Cee</v>
      </c>
      <c r="AG61" s="100">
        <f t="shared" si="19"/>
        <v>1</v>
      </c>
      <c r="AI61" s="141">
        <f>September_SotM[[#This Row],[Max Seed]]/2 + 1</f>
        <v>5</v>
      </c>
      <c r="AJ61" s="135" t="str">
        <f ca="1">IF(September_SotM[[#This Row],[Num]]&gt;=$A$13, "-", IF(September_SotM[[#This Row],[Score 1]]&gt;=3, September_SotM[[#This Row],[Song 2]], IF(September_SotM[[#This Row],[Score 2]]&gt;=3, September_SotM[[#This Row],[Song 1]], "TBD")))</f>
        <v>Sprinter</v>
      </c>
      <c r="AK61" s="124">
        <f ca="1">IFERROR(VLOOKUP(September_Results[[#This Row],[Song Title]], $AE$54:$AG$70, 3, FALSE)-September_Results[[#This Row],[Result]], "TBD")</f>
        <v>-4</v>
      </c>
      <c r="AL61" s="125" t="str">
        <f ca="1">IF(September_Results[[#This Row],[Diff]]&lt;0,"↓",IF(September_Results[[#This Row],[Diff]]=0,"-","↑"))</f>
        <v>↓</v>
      </c>
    </row>
    <row r="62" spans="1:38" ht="15" customHeight="1">
      <c r="A62" s="118" t="str">
        <f>_xlfn.CONCAT("Seed ", September_SotM[[#This Row],[Top Seed]], " vs ", September_SotM[[#This Row],[Low Seed]])</f>
        <v>Seed 8 vs 9</v>
      </c>
      <c r="B62" s="119">
        <v>8</v>
      </c>
      <c r="C62" s="119">
        <f>FLOOR(LOG(September_SotM[[#This Row],[Num]], 2), 1)</f>
        <v>3</v>
      </c>
      <c r="D62" s="119">
        <f>2^(September_SotM[[#This Row],[Round]]+1)</f>
        <v>16</v>
      </c>
      <c r="E62" s="119">
        <f>September_SotM[[#This Row],[Max Seed]]-September_SotM[[#This Row],[Num]]</f>
        <v>8</v>
      </c>
      <c r="F62" s="119">
        <f>September_SotM[[#This Row],[Max Seed]]-September_SotM[[#This Row],[Top Seed]]+1</f>
        <v>9</v>
      </c>
      <c r="G62" s="119" t="b">
        <f>IF(September_SotM[[#This Row],[Round]]=$C$53, TRUE(), IF(September_SotM[[#This Row],[Round]]=$B$53, September_SotM[[#This Row],[Top Seed]]&lt;=2*September_SotM[[#This Row],[Max Seed]]-$A$53, FALSE()))</f>
        <v>1</v>
      </c>
      <c r="H62" s="119" t="b">
        <f>IF(September_SotM[[#This Row],[Round]]=$C$53, TRUE(), IF(September_SotM[[#This Row],[Round]]=$B$53, September_SotM[[#This Row],[Low Seed]]&lt;=2*September_SotM[[#This Row],[Max Seed]]-$A$53, FALSE()))</f>
        <v>1</v>
      </c>
      <c r="I62" s="28" t="s">
        <v>4191</v>
      </c>
      <c r="J62" s="31"/>
      <c r="K62" s="33" t="s">
        <v>4191</v>
      </c>
      <c r="L62" s="35" t="s">
        <v>4191</v>
      </c>
      <c r="M62" s="37"/>
      <c r="N62" s="120" t="str">
        <f ca="1">IF(September_SotM[[#This Row],[Num]]&gt;=$A$53, "-", IF(September_SotM[[#This Row],[Initial 1]], VLOOKUP(September_SotM[[#This Row],[Top Seed]], $Z$54:$AE$70, 6, FALSE), OFFSET(September_SotM[[#This Row],[Winner]], September_SotM[[#This Row],[Max Seed]], 0)))</f>
        <v>Alright</v>
      </c>
      <c r="O62" s="118">
        <f>COUNTIF(September_SotM[[#This Row],[J]:[H]],"x")</f>
        <v>3</v>
      </c>
      <c r="P62" s="119" t="str">
        <f ca="1">IF(September_SotM[[#This Row],[Num]]&gt;=$A$53, "-", IF(September_SotM[[#This Row],[Score 1]]&gt;=3, September_SotM[[#This Row],[Song 1]], IF(September_SotM[[#This Row],[Score 2]]&gt;=3, September_SotM[[#This Row],[Song 2]], "TBD")))</f>
        <v>Alright</v>
      </c>
      <c r="Q62" s="121">
        <f>COUNTIF(September_SotM[[#This Row],[H ]:[J ]],"x")</f>
        <v>2</v>
      </c>
      <c r="R62" s="118" t="str">
        <f ca="1">IF(September_SotM[[#This Row],[Num]]&gt;=$A$53, "-", IF(September_SotM[[#This Row],[Initial 2]], VLOOKUP(September_SotM[[#This Row],[Low Seed]], $Z$54:$AE$70, 6, FALSE), OFFSET(September_SotM[[#This Row],[Winner]], 2*(September_SotM[[#This Row],[Max Seed]]-September_SotM[[#This Row],[Low Seed]])+1, 0)))</f>
        <v>Raindrops</v>
      </c>
      <c r="S62" s="37" t="s">
        <v>4191</v>
      </c>
      <c r="T62" s="35"/>
      <c r="U62" s="33"/>
      <c r="V62" s="31" t="s">
        <v>4191</v>
      </c>
      <c r="W62" s="28"/>
      <c r="X62" s="3" t="str">
        <f ca="1">IF(OR(September_SotM[[#This Row],[Song 1]]="TBD", September_SotM[[#This Row],[Song 2]]="TBD"), "TBD", _xlfn.CONCAT(IF(_xlfn.XOR(ISBLANK(September_SotM[[#This Row],[J]]), ISBLANK(September_SotM[[#This Row],[J ]])), "", "J "), IF(_xlfn.XOR(ISBLANK(September_SotM[[#This Row],[D]]), ISBLANK(September_SotM[[#This Row],[D ]])), "", "D "), IF(_xlfn.XOR(ISBLANK(September_SotM[[#This Row],[L]]), ISBLANK(September_SotM[[#This Row],[L ]])), "", "L "), IF(_xlfn.XOR(ISBLANK(September_SotM[[#This Row],[S]]), ISBLANK(September_SotM[[#This Row],[S ]])), "", "S "), IF(_xlfn.XOR(ISBLANK(September_SotM[[#This Row],[H]]), ISBLANK(September_SotM[[#This Row],[H ]])), "", "H ")))</f>
        <v/>
      </c>
      <c r="Z62" s="109">
        <f t="shared" si="18"/>
        <v>9</v>
      </c>
      <c r="AA62" s="85">
        <v>45551</v>
      </c>
      <c r="AB62" t="str">
        <v>currydestroyer27</v>
      </c>
      <c r="AC62" s="3">
        <v>2.2000000000000002</v>
      </c>
      <c r="AD62" s="86">
        <v>0.74833147735478833</v>
      </c>
      <c r="AE62" s="123" t="str">
        <v>Raindrops</v>
      </c>
      <c r="AF62" t="str">
        <v>Metro Boomin, Travis Scott</v>
      </c>
      <c r="AG62" s="100">
        <f t="shared" si="19"/>
        <v>9</v>
      </c>
      <c r="AI62" s="141">
        <f>September_SotM[[#This Row],[Max Seed]]/2 + 1</f>
        <v>9</v>
      </c>
      <c r="AJ62" s="135" t="str">
        <f ca="1">IF(September_SotM[[#This Row],[Num]]&gt;=$A$13, "-", IF(September_SotM[[#This Row],[Score 1]]&gt;=3, September_SotM[[#This Row],[Song 2]], IF(September_SotM[[#This Row],[Score 2]]&gt;=3, September_SotM[[#This Row],[Song 1]], "TBD")))</f>
        <v>Raindrops</v>
      </c>
      <c r="AK62" s="124">
        <f ca="1">IFERROR(VLOOKUP(September_Results[[#This Row],[Song Title]], $AE$54:$AG$70, 3, FALSE)-September_Results[[#This Row],[Result]], "TBD")</f>
        <v>0</v>
      </c>
      <c r="AL62" s="125" t="str">
        <f ca="1">IF(September_Results[[#This Row],[Diff]]&lt;0,"↓",IF(September_Results[[#This Row],[Diff]]=0,"-","↑"))</f>
        <v>-</v>
      </c>
    </row>
    <row r="63" spans="1:38" ht="15" customHeight="1">
      <c r="A63" s="118" t="str">
        <f>_xlfn.CONCAT("Seed ", September_SotM[[#This Row],[Top Seed]], " vs ", September_SotM[[#This Row],[Low Seed]])</f>
        <v>Seed 7 vs 10</v>
      </c>
      <c r="B63" s="119">
        <v>9</v>
      </c>
      <c r="C63" s="119">
        <f>FLOOR(LOG(September_SotM[[#This Row],[Num]], 2), 1)</f>
        <v>3</v>
      </c>
      <c r="D63" s="119">
        <f>2^(September_SotM[[#This Row],[Round]]+1)</f>
        <v>16</v>
      </c>
      <c r="E63" s="119">
        <f>September_SotM[[#This Row],[Max Seed]]-September_SotM[[#This Row],[Num]]</f>
        <v>7</v>
      </c>
      <c r="F63" s="119">
        <f>September_SotM[[#This Row],[Max Seed]]-September_SotM[[#This Row],[Top Seed]]+1</f>
        <v>10</v>
      </c>
      <c r="G63" s="119" t="b">
        <f>IF(September_SotM[[#This Row],[Round]]=$C$53, TRUE(), IF(September_SotM[[#This Row],[Round]]=$B$53, September_SotM[[#This Row],[Top Seed]]&lt;=2*September_SotM[[#This Row],[Max Seed]]-$A$53, FALSE()))</f>
        <v>1</v>
      </c>
      <c r="H63" s="119" t="b">
        <f>IF(September_SotM[[#This Row],[Round]]=$C$53, TRUE(), IF(September_SotM[[#This Row],[Round]]=$B$53, September_SotM[[#This Row],[Low Seed]]&lt;=2*September_SotM[[#This Row],[Max Seed]]-$A$53, FALSE()))</f>
        <v>1</v>
      </c>
      <c r="I63" s="28"/>
      <c r="J63" s="31" t="s">
        <v>4191</v>
      </c>
      <c r="K63" s="33"/>
      <c r="L63" s="35" t="s">
        <v>4191</v>
      </c>
      <c r="M63" s="37" t="s">
        <v>4191</v>
      </c>
      <c r="N63" s="120" t="str">
        <f ca="1">IF(September_SotM[[#This Row],[Num]]&gt;=$A$53, "-", IF(September_SotM[[#This Row],[Initial 1]], VLOOKUP(September_SotM[[#This Row],[Top Seed]], $Z$54:$AE$70, 6, FALSE), OFFSET(September_SotM[[#This Row],[Winner]], September_SotM[[#This Row],[Max Seed]], 0)))</f>
        <v>Leave Before You Love Me</v>
      </c>
      <c r="O63" s="118">
        <f>COUNTIF(September_SotM[[#This Row],[J]:[H]],"x")</f>
        <v>3</v>
      </c>
      <c r="P63" s="119" t="str">
        <f ca="1">IF(September_SotM[[#This Row],[Num]]&gt;=$A$53, "-", IF(September_SotM[[#This Row],[Score 1]]&gt;=3, September_SotM[[#This Row],[Song 1]], IF(September_SotM[[#This Row],[Score 2]]&gt;=3, September_SotM[[#This Row],[Song 2]], "TBD")))</f>
        <v>Leave Before You Love Me</v>
      </c>
      <c r="Q63" s="121">
        <f>COUNTIF(September_SotM[[#This Row],[H ]:[J ]],"x")</f>
        <v>2</v>
      </c>
      <c r="R63" s="118" t="str">
        <f ca="1">IF(September_SotM[[#This Row],[Num]]&gt;=$A$53, "-", IF(September_SotM[[#This Row],[Initial 2]], VLOOKUP(September_SotM[[#This Row],[Low Seed]], $Z$54:$AE$70, 6, FALSE), OFFSET(September_SotM[[#This Row],[Winner]], 2*(September_SotM[[#This Row],[Max Seed]]-September_SotM[[#This Row],[Low Seed]])+1, 0)))</f>
        <v>Nobody's Business</v>
      </c>
      <c r="S63" s="37"/>
      <c r="T63" s="35"/>
      <c r="U63" s="33" t="s">
        <v>4191</v>
      </c>
      <c r="V63" s="31"/>
      <c r="W63" s="28" t="s">
        <v>4191</v>
      </c>
      <c r="X63" s="3" t="str">
        <f ca="1">IF(OR(September_SotM[[#This Row],[Song 1]]="TBD", September_SotM[[#This Row],[Song 2]]="TBD"), "TBD", _xlfn.CONCAT(IF(_xlfn.XOR(ISBLANK(September_SotM[[#This Row],[J]]), ISBLANK(September_SotM[[#This Row],[J ]])), "", "J "), IF(_xlfn.XOR(ISBLANK(September_SotM[[#This Row],[D]]), ISBLANK(September_SotM[[#This Row],[D ]])), "", "D "), IF(_xlfn.XOR(ISBLANK(September_SotM[[#This Row],[L]]), ISBLANK(September_SotM[[#This Row],[L ]])), "", "L "), IF(_xlfn.XOR(ISBLANK(September_SotM[[#This Row],[S]]), ISBLANK(September_SotM[[#This Row],[S ]])), "", "S "), IF(_xlfn.XOR(ISBLANK(September_SotM[[#This Row],[H]]), ISBLANK(September_SotM[[#This Row],[H ]])), "", "H ")))</f>
        <v/>
      </c>
      <c r="Z63" s="109">
        <f t="shared" si="18"/>
        <v>3</v>
      </c>
      <c r="AA63" s="85">
        <v>45552</v>
      </c>
      <c r="AB63" t="str">
        <v>samuelbattista</v>
      </c>
      <c r="AC63" s="3">
        <v>1.8</v>
      </c>
      <c r="AD63" s="86">
        <v>0.74833147735478833</v>
      </c>
      <c r="AE63" s="123" t="str">
        <v>Edge of Seventeen</v>
      </c>
      <c r="AF63" t="str">
        <v>Stevie Nicks</v>
      </c>
      <c r="AG63" s="100">
        <f t="shared" si="19"/>
        <v>3</v>
      </c>
      <c r="AI63" s="141">
        <f>September_SotM[[#This Row],[Max Seed]]/2 + 1</f>
        <v>9</v>
      </c>
      <c r="AJ63" s="135" t="str">
        <f ca="1">IF(September_SotM[[#This Row],[Num]]&gt;=$A$13, "-", IF(September_SotM[[#This Row],[Score 1]]&gt;=3, September_SotM[[#This Row],[Song 2]], IF(September_SotM[[#This Row],[Score 2]]&gt;=3, September_SotM[[#This Row],[Song 1]], "TBD")))</f>
        <v>Nobody's Business</v>
      </c>
      <c r="AK63" s="124">
        <f ca="1">IFERROR(VLOOKUP(September_Results[[#This Row],[Song Title]], $AE$54:$AG$70, 3, FALSE)-September_Results[[#This Row],[Result]], "TBD")</f>
        <v>0</v>
      </c>
      <c r="AL63" s="125" t="str">
        <f ca="1">IF(September_Results[[#This Row],[Diff]]&lt;0,"↓",IF(September_Results[[#This Row],[Diff]]=0,"-","↑"))</f>
        <v>-</v>
      </c>
    </row>
    <row r="64" spans="1:38">
      <c r="A64" s="118" t="str">
        <f>_xlfn.CONCAT("Seed ", September_SotM[[#This Row],[Top Seed]], " vs ", September_SotM[[#This Row],[Low Seed]])</f>
        <v>Seed 6 vs 11</v>
      </c>
      <c r="B64" s="119">
        <v>10</v>
      </c>
      <c r="C64" s="119">
        <f>FLOOR(LOG(September_SotM[[#This Row],[Num]], 2), 1)</f>
        <v>3</v>
      </c>
      <c r="D64" s="119">
        <f>2^(September_SotM[[#This Row],[Round]]+1)</f>
        <v>16</v>
      </c>
      <c r="E64" s="119">
        <f>September_SotM[[#This Row],[Max Seed]]-September_SotM[[#This Row],[Num]]</f>
        <v>6</v>
      </c>
      <c r="F64" s="119">
        <f>September_SotM[[#This Row],[Max Seed]]-September_SotM[[#This Row],[Top Seed]]+1</f>
        <v>11</v>
      </c>
      <c r="G64" s="119" t="b">
        <f>IF(September_SotM[[#This Row],[Round]]=$C$53, TRUE(), IF(September_SotM[[#This Row],[Round]]=$B$53, September_SotM[[#This Row],[Top Seed]]&lt;=2*September_SotM[[#This Row],[Max Seed]]-$A$53, FALSE()))</f>
        <v>1</v>
      </c>
      <c r="H64" s="119" t="b">
        <f>IF(September_SotM[[#This Row],[Round]]=$C$53, TRUE(), IF(September_SotM[[#This Row],[Round]]=$B$53, September_SotM[[#This Row],[Low Seed]]&lt;=2*September_SotM[[#This Row],[Max Seed]]-$A$53, FALSE()))</f>
        <v>1</v>
      </c>
      <c r="I64" s="28" t="s">
        <v>4191</v>
      </c>
      <c r="J64" s="31" t="s">
        <v>4191</v>
      </c>
      <c r="K64" s="33"/>
      <c r="L64" s="35"/>
      <c r="M64" s="37" t="s">
        <v>4191</v>
      </c>
      <c r="N64" s="120" t="str">
        <f ca="1">IF(September_SotM[[#This Row],[Num]]&gt;=$A$53, "-", IF(September_SotM[[#This Row],[Initial 1]], VLOOKUP(September_SotM[[#This Row],[Top Seed]], $Z$54:$AE$70, 6, FALSE), OFFSET(September_SotM[[#This Row],[Winner]], September_SotM[[#This Row],[Max Seed]], 0)))</f>
        <v>Ping Pong Phase</v>
      </c>
      <c r="O64" s="118">
        <f>COUNTIF(September_SotM[[#This Row],[J]:[H]],"x")</f>
        <v>3</v>
      </c>
      <c r="P64" s="119" t="str">
        <f ca="1">IF(September_SotM[[#This Row],[Num]]&gt;=$A$53, "-", IF(September_SotM[[#This Row],[Score 1]]&gt;=3, September_SotM[[#This Row],[Song 1]], IF(September_SotM[[#This Row],[Score 2]]&gt;=3, September_SotM[[#This Row],[Song 2]], "TBD")))</f>
        <v>Ping Pong Phase</v>
      </c>
      <c r="Q64" s="121">
        <f>COUNTIF(September_SotM[[#This Row],[H ]:[J ]],"x")</f>
        <v>2</v>
      </c>
      <c r="R64" s="118" t="str">
        <f ca="1">IF(September_SotM[[#This Row],[Num]]&gt;=$A$53, "-", IF(September_SotM[[#This Row],[Initial 2]], VLOOKUP(September_SotM[[#This Row],[Low Seed]], $Z$54:$AE$70, 6, FALSE), OFFSET(September_SotM[[#This Row],[Winner]], 2*(September_SotM[[#This Row],[Max Seed]]-September_SotM[[#This Row],[Low Seed]])+1, 0)))</f>
        <v>Single Again</v>
      </c>
      <c r="S64" s="37"/>
      <c r="T64" s="35" t="s">
        <v>4191</v>
      </c>
      <c r="U64" s="33" t="s">
        <v>4191</v>
      </c>
      <c r="V64" s="31"/>
      <c r="W64" s="28"/>
      <c r="X64" s="3" t="str">
        <f ca="1">IF(OR(September_SotM[[#This Row],[Song 1]]="TBD", September_SotM[[#This Row],[Song 2]]="TBD"), "TBD", _xlfn.CONCAT(IF(_xlfn.XOR(ISBLANK(September_SotM[[#This Row],[J]]), ISBLANK(September_SotM[[#This Row],[J ]])), "", "J "), IF(_xlfn.XOR(ISBLANK(September_SotM[[#This Row],[D]]), ISBLANK(September_SotM[[#This Row],[D ]])), "", "D "), IF(_xlfn.XOR(ISBLANK(September_SotM[[#This Row],[L]]), ISBLANK(September_SotM[[#This Row],[L ]])), "", "L "), IF(_xlfn.XOR(ISBLANK(September_SotM[[#This Row],[S]]), ISBLANK(September_SotM[[#This Row],[S ]])), "", "S "), IF(_xlfn.XOR(ISBLANK(September_SotM[[#This Row],[H]]), ISBLANK(September_SotM[[#This Row],[H ]])), "", "H ")))</f>
        <v/>
      </c>
      <c r="Z64" s="109">
        <f t="shared" si="18"/>
        <v>13</v>
      </c>
      <c r="AA64" s="85">
        <v>45553</v>
      </c>
      <c r="AB64" t="str">
        <v>currydestroyer27</v>
      </c>
      <c r="AC64" s="3">
        <v>2.4</v>
      </c>
      <c r="AD64" s="86">
        <v>1.019803902718557</v>
      </c>
      <c r="AE64" s="123" t="str">
        <v>Party Monster</v>
      </c>
      <c r="AF64" t="str">
        <v>The Weeknd</v>
      </c>
      <c r="AG64" s="100">
        <f t="shared" si="19"/>
        <v>9</v>
      </c>
      <c r="AI64" s="141">
        <f>September_SotM[[#This Row],[Max Seed]]/2 + 1</f>
        <v>9</v>
      </c>
      <c r="AJ64" s="135" t="str">
        <f ca="1">IF(September_SotM[[#This Row],[Num]]&gt;=$A$13, "-", IF(September_SotM[[#This Row],[Score 1]]&gt;=3, September_SotM[[#This Row],[Song 2]], IF(September_SotM[[#This Row],[Score 2]]&gt;=3, September_SotM[[#This Row],[Song 1]], "TBD")))</f>
        <v>Single Again</v>
      </c>
      <c r="AK64" s="124">
        <f ca="1">IFERROR(VLOOKUP(September_Results[[#This Row],[Song Title]], $AE$54:$AG$70, 3, FALSE)-September_Results[[#This Row],[Result]], "TBD")</f>
        <v>0</v>
      </c>
      <c r="AL64" s="125" t="str">
        <f ca="1">IF(September_Results[[#This Row],[Diff]]&lt;0,"↓",IF(September_Results[[#This Row],[Diff]]=0,"-","↑"))</f>
        <v>-</v>
      </c>
    </row>
    <row r="65" spans="1:38" ht="15" customHeight="1">
      <c r="A65" s="118" t="str">
        <f>_xlfn.CONCAT("Seed ", September_SotM[[#This Row],[Top Seed]], " vs ", September_SotM[[#This Row],[Low Seed]])</f>
        <v>Seed 5 vs 12</v>
      </c>
      <c r="B65" s="119">
        <v>11</v>
      </c>
      <c r="C65" s="119">
        <f>FLOOR(LOG(September_SotM[[#This Row],[Num]], 2), 1)</f>
        <v>3</v>
      </c>
      <c r="D65" s="119">
        <f>2^(September_SotM[[#This Row],[Round]]+1)</f>
        <v>16</v>
      </c>
      <c r="E65" s="119">
        <f>September_SotM[[#This Row],[Max Seed]]-September_SotM[[#This Row],[Num]]</f>
        <v>5</v>
      </c>
      <c r="F65" s="119">
        <f>September_SotM[[#This Row],[Max Seed]]-September_SotM[[#This Row],[Top Seed]]+1</f>
        <v>12</v>
      </c>
      <c r="G65" s="119" t="b">
        <f>IF(September_SotM[[#This Row],[Round]]=$C$53, TRUE(), IF(September_SotM[[#This Row],[Round]]=$B$53, September_SotM[[#This Row],[Top Seed]]&lt;=2*September_SotM[[#This Row],[Max Seed]]-$A$53, FALSE()))</f>
        <v>1</v>
      </c>
      <c r="H65" s="119" t="b">
        <f>IF(September_SotM[[#This Row],[Round]]=$C$53, TRUE(), IF(September_SotM[[#This Row],[Round]]=$B$53, September_SotM[[#This Row],[Low Seed]]&lt;=2*September_SotM[[#This Row],[Max Seed]]-$A$53, FALSE()))</f>
        <v>1</v>
      </c>
      <c r="I65" s="28" t="s">
        <v>4191</v>
      </c>
      <c r="J65" s="31"/>
      <c r="K65" s="33"/>
      <c r="L65" s="35"/>
      <c r="M65" s="37" t="s">
        <v>4191</v>
      </c>
      <c r="N65" s="120" t="str">
        <f ca="1">IF(September_SotM[[#This Row],[Num]]&gt;=$A$53, "-", IF(September_SotM[[#This Row],[Initial 1]], VLOOKUP(September_SotM[[#This Row],[Top Seed]], $Z$54:$AE$70, 6, FALSE), OFFSET(September_SotM[[#This Row],[Winner]], September_SotM[[#This Row],[Max Seed]], 0)))</f>
        <v>夜に駆ける</v>
      </c>
      <c r="O65" s="118">
        <f>COUNTIF(September_SotM[[#This Row],[J]:[H]],"x")</f>
        <v>2</v>
      </c>
      <c r="P65" s="119" t="str">
        <f ca="1">IF(September_SotM[[#This Row],[Num]]&gt;=$A$53, "-", IF(September_SotM[[#This Row],[Score 1]]&gt;=3, September_SotM[[#This Row],[Song 1]], IF(September_SotM[[#This Row],[Score 2]]&gt;=3, September_SotM[[#This Row],[Song 2]], "TBD")))</f>
        <v>Don't Stop The Music</v>
      </c>
      <c r="Q65" s="121">
        <f>COUNTIF(September_SotM[[#This Row],[H ]:[J ]],"x")</f>
        <v>3</v>
      </c>
      <c r="R65" s="118" t="str">
        <f ca="1">IF(September_SotM[[#This Row],[Num]]&gt;=$A$53, "-", IF(September_SotM[[#This Row],[Initial 2]], VLOOKUP(September_SotM[[#This Row],[Low Seed]], $Z$54:$AE$70, 6, FALSE), OFFSET(September_SotM[[#This Row],[Winner]], 2*(September_SotM[[#This Row],[Max Seed]]-September_SotM[[#This Row],[Low Seed]])+1, 0)))</f>
        <v>Don't Stop The Music</v>
      </c>
      <c r="S65" s="37"/>
      <c r="T65" s="35" t="s">
        <v>4191</v>
      </c>
      <c r="U65" s="33" t="s">
        <v>4191</v>
      </c>
      <c r="V65" s="31" t="s">
        <v>4191</v>
      </c>
      <c r="W65" s="28"/>
      <c r="X65" s="3" t="str">
        <f ca="1">IF(OR(September_SotM[[#This Row],[Song 1]]="TBD", September_SotM[[#This Row],[Song 2]]="TBD"), "TBD", _xlfn.CONCAT(IF(_xlfn.XOR(ISBLANK(September_SotM[[#This Row],[J]]), ISBLANK(September_SotM[[#This Row],[J ]])), "", "J "), IF(_xlfn.XOR(ISBLANK(September_SotM[[#This Row],[D]]), ISBLANK(September_SotM[[#This Row],[D ]])), "", "D "), IF(_xlfn.XOR(ISBLANK(September_SotM[[#This Row],[L]]), ISBLANK(September_SotM[[#This Row],[L ]])), "", "L "), IF(_xlfn.XOR(ISBLANK(September_SotM[[#This Row],[S]]), ISBLANK(September_SotM[[#This Row],[S ]])), "", "S "), IF(_xlfn.XOR(ISBLANK(September_SotM[[#This Row],[H]]), ISBLANK(September_SotM[[#This Row],[H ]])), "", "H ")))</f>
        <v/>
      </c>
      <c r="Z65" s="109">
        <f t="shared" si="18"/>
        <v>6</v>
      </c>
      <c r="AA65" s="85">
        <v>45554</v>
      </c>
      <c r="AB65" t="str">
        <v>alappatjoe</v>
      </c>
      <c r="AC65" s="3">
        <v>1.8</v>
      </c>
      <c r="AD65" s="86">
        <v>1.1661903789690602</v>
      </c>
      <c r="AE65" s="123" t="str">
        <v>Ping Pong Phase</v>
      </c>
      <c r="AF65" t="str">
        <v>Kensuke Ushio</v>
      </c>
      <c r="AG65" s="100">
        <f t="shared" si="19"/>
        <v>5</v>
      </c>
      <c r="AI65" s="141">
        <f>September_SotM[[#This Row],[Max Seed]]/2 + 1</f>
        <v>9</v>
      </c>
      <c r="AJ65" s="135" t="str">
        <f ca="1">IF(September_SotM[[#This Row],[Num]]&gt;=$A$13, "-", IF(September_SotM[[#This Row],[Score 1]]&gt;=3, September_SotM[[#This Row],[Song 2]], IF(September_SotM[[#This Row],[Score 2]]&gt;=3, September_SotM[[#This Row],[Song 1]], "TBD")))</f>
        <v>夜に駆ける</v>
      </c>
      <c r="AK65" s="124">
        <f ca="1">IFERROR(VLOOKUP(September_Results[[#This Row],[Song Title]], $AE$54:$AG$70, 3, FALSE)-September_Results[[#This Row],[Result]], "TBD")</f>
        <v>-4</v>
      </c>
      <c r="AL65" s="125" t="str">
        <f ca="1">IF(September_Results[[#This Row],[Diff]]&lt;0,"↓",IF(September_Results[[#This Row],[Diff]]=0,"-","↑"))</f>
        <v>↓</v>
      </c>
    </row>
    <row r="66" spans="1:38">
      <c r="A66" s="118" t="str">
        <f>_xlfn.CONCAT("Seed ", September_SotM[[#This Row],[Top Seed]], " vs ", September_SotM[[#This Row],[Low Seed]])</f>
        <v>Seed 4 vs 13</v>
      </c>
      <c r="B66" s="119">
        <v>12</v>
      </c>
      <c r="C66" s="119">
        <f>FLOOR(LOG(September_SotM[[#This Row],[Num]], 2), 1)</f>
        <v>3</v>
      </c>
      <c r="D66" s="119">
        <f>2^(September_SotM[[#This Row],[Round]]+1)</f>
        <v>16</v>
      </c>
      <c r="E66" s="119">
        <f>September_SotM[[#This Row],[Max Seed]]-September_SotM[[#This Row],[Num]]</f>
        <v>4</v>
      </c>
      <c r="F66" s="119">
        <f>September_SotM[[#This Row],[Max Seed]]-September_SotM[[#This Row],[Top Seed]]+1</f>
        <v>13</v>
      </c>
      <c r="G66" s="119" t="b">
        <f>IF(September_SotM[[#This Row],[Round]]=$C$53, TRUE(), IF(September_SotM[[#This Row],[Round]]=$B$53, September_SotM[[#This Row],[Top Seed]]&lt;=2*September_SotM[[#This Row],[Max Seed]]-$A$53, FALSE()))</f>
        <v>1</v>
      </c>
      <c r="H66" s="119" t="b">
        <f>IF(September_SotM[[#This Row],[Round]]=$C$53, TRUE(), IF(September_SotM[[#This Row],[Round]]=$B$53, September_SotM[[#This Row],[Low Seed]]&lt;=2*September_SotM[[#This Row],[Max Seed]]-$A$53, FALSE()))</f>
        <v>1</v>
      </c>
      <c r="I66" s="28"/>
      <c r="J66" s="31" t="s">
        <v>4191</v>
      </c>
      <c r="K66" s="33"/>
      <c r="L66" s="35" t="s">
        <v>4191</v>
      </c>
      <c r="M66" s="37"/>
      <c r="N66" s="120" t="str">
        <f ca="1">IF(September_SotM[[#This Row],[Num]]&gt;=$A$53, "-", IF(September_SotM[[#This Row],[Initial 1]], VLOOKUP(September_SotM[[#This Row],[Top Seed]], $Z$54:$AE$70, 6, FALSE), OFFSET(September_SotM[[#This Row],[Winner]], September_SotM[[#This Row],[Max Seed]], 0)))</f>
        <v>Feel the Fiyaaaaah</v>
      </c>
      <c r="O66" s="118">
        <f>COUNTIF(September_SotM[[#This Row],[J]:[H]],"x")</f>
        <v>2</v>
      </c>
      <c r="P66" s="119" t="str">
        <f ca="1">IF(September_SotM[[#This Row],[Num]]&gt;=$A$53, "-", IF(September_SotM[[#This Row],[Score 1]]&gt;=3, September_SotM[[#This Row],[Song 1]], IF(September_SotM[[#This Row],[Score 2]]&gt;=3, September_SotM[[#This Row],[Song 2]], "TBD")))</f>
        <v>Party Monster</v>
      </c>
      <c r="Q66" s="121">
        <f>COUNTIF(September_SotM[[#This Row],[H ]:[J ]],"x")</f>
        <v>3</v>
      </c>
      <c r="R66" s="118" t="str">
        <f ca="1">IF(September_SotM[[#This Row],[Num]]&gt;=$A$53, "-", IF(September_SotM[[#This Row],[Initial 2]], VLOOKUP(September_SotM[[#This Row],[Low Seed]], $Z$54:$AE$70, 6, FALSE), OFFSET(September_SotM[[#This Row],[Winner]], 2*(September_SotM[[#This Row],[Max Seed]]-September_SotM[[#This Row],[Low Seed]])+1, 0)))</f>
        <v>Party Monster</v>
      </c>
      <c r="S66" s="37" t="s">
        <v>4191</v>
      </c>
      <c r="T66" s="35"/>
      <c r="U66" s="33" t="s">
        <v>4191</v>
      </c>
      <c r="V66" s="31"/>
      <c r="W66" s="28" t="s">
        <v>4191</v>
      </c>
      <c r="X66" s="3" t="str">
        <f ca="1">IF(OR(September_SotM[[#This Row],[Song 1]]="TBD", September_SotM[[#This Row],[Song 2]]="TBD"), "TBD", _xlfn.CONCAT(IF(_xlfn.XOR(ISBLANK(September_SotM[[#This Row],[J]]), ISBLANK(September_SotM[[#This Row],[J ]])), "", "J "), IF(_xlfn.XOR(ISBLANK(September_SotM[[#This Row],[D]]), ISBLANK(September_SotM[[#This Row],[D ]])), "", "D "), IF(_xlfn.XOR(ISBLANK(September_SotM[[#This Row],[L]]), ISBLANK(September_SotM[[#This Row],[L ]])), "", "L "), IF(_xlfn.XOR(ISBLANK(September_SotM[[#This Row],[S]]), ISBLANK(September_SotM[[#This Row],[S ]])), "", "S "), IF(_xlfn.XOR(ISBLANK(September_SotM[[#This Row],[H]]), ISBLANK(September_SotM[[#This Row],[H ]])), "", "H ")))</f>
        <v/>
      </c>
      <c r="Z66" s="109">
        <f t="shared" si="18"/>
        <v>2</v>
      </c>
      <c r="AA66" s="85">
        <v>45558</v>
      </c>
      <c r="AB66" t="str">
        <v>samuelbattista</v>
      </c>
      <c r="AC66" s="3">
        <v>1.4</v>
      </c>
      <c r="AD66" s="86">
        <v>0.4898979485566356</v>
      </c>
      <c r="AE66" s="123" t="str">
        <v xml:space="preserve">Sunday Morning </v>
      </c>
      <c r="AF66" t="str">
        <v>Maroon 5</v>
      </c>
      <c r="AG66" s="100">
        <f t="shared" si="19"/>
        <v>2</v>
      </c>
      <c r="AI66" s="141">
        <f>September_SotM[[#This Row],[Max Seed]]/2 + 1</f>
        <v>9</v>
      </c>
      <c r="AJ66" s="135" t="str">
        <f ca="1">IF(September_SotM[[#This Row],[Num]]&gt;=$A$13, "-", IF(September_SotM[[#This Row],[Score 1]]&gt;=3, September_SotM[[#This Row],[Song 2]], IF(September_SotM[[#This Row],[Score 2]]&gt;=3, September_SotM[[#This Row],[Song 1]], "TBD")))</f>
        <v>Feel the Fiyaaaaah</v>
      </c>
      <c r="AK66" s="124">
        <f ca="1">IFERROR(VLOOKUP(September_Results[[#This Row],[Song Title]], $AE$54:$AG$70, 3, FALSE)-September_Results[[#This Row],[Result]], "TBD")</f>
        <v>-6</v>
      </c>
      <c r="AL66" s="125" t="str">
        <f ca="1">IF(September_Results[[#This Row],[Diff]]&lt;0,"↓",IF(September_Results[[#This Row],[Diff]]=0,"-","↑"))</f>
        <v>↓</v>
      </c>
    </row>
    <row r="67" spans="1:38">
      <c r="A67" s="118" t="str">
        <f>_xlfn.CONCAT("Seed ", September_SotM[[#This Row],[Top Seed]], " vs ", September_SotM[[#This Row],[Low Seed]])</f>
        <v>Seed 3 vs 14</v>
      </c>
      <c r="B67" s="119">
        <v>13</v>
      </c>
      <c r="C67" s="119">
        <f>FLOOR(LOG(September_SotM[[#This Row],[Num]], 2), 1)</f>
        <v>3</v>
      </c>
      <c r="D67" s="119">
        <f>2^(September_SotM[[#This Row],[Round]]+1)</f>
        <v>16</v>
      </c>
      <c r="E67" s="119">
        <f>September_SotM[[#This Row],[Max Seed]]-September_SotM[[#This Row],[Num]]</f>
        <v>3</v>
      </c>
      <c r="F67" s="119">
        <f>September_SotM[[#This Row],[Max Seed]]-September_SotM[[#This Row],[Top Seed]]+1</f>
        <v>14</v>
      </c>
      <c r="G67" s="119" t="b">
        <f>IF(September_SotM[[#This Row],[Round]]=$C$53, TRUE(), IF(September_SotM[[#This Row],[Round]]=$B$53, September_SotM[[#This Row],[Top Seed]]&lt;=2*September_SotM[[#This Row],[Max Seed]]-$A$53, FALSE()))</f>
        <v>1</v>
      </c>
      <c r="H67" s="119" t="b">
        <f>IF(September_SotM[[#This Row],[Round]]=$C$53, TRUE(), IF(September_SotM[[#This Row],[Round]]=$B$53, September_SotM[[#This Row],[Low Seed]]&lt;=2*September_SotM[[#This Row],[Max Seed]]-$A$53, FALSE()))</f>
        <v>1</v>
      </c>
      <c r="I67" s="28"/>
      <c r="J67" s="31" t="s">
        <v>4191</v>
      </c>
      <c r="K67" s="33" t="s">
        <v>4191</v>
      </c>
      <c r="L67" s="35" t="s">
        <v>4191</v>
      </c>
      <c r="M67" s="37" t="s">
        <v>4191</v>
      </c>
      <c r="N67" s="120" t="str">
        <f ca="1">IF(September_SotM[[#This Row],[Num]]&gt;=$A$53, "-", IF(September_SotM[[#This Row],[Initial 1]], VLOOKUP(September_SotM[[#This Row],[Top Seed]], $Z$54:$AE$70, 6, FALSE), OFFSET(September_SotM[[#This Row],[Winner]], September_SotM[[#This Row],[Max Seed]], 0)))</f>
        <v>Edge of Seventeen</v>
      </c>
      <c r="O67" s="118">
        <f>COUNTIF(September_SotM[[#This Row],[J]:[H]],"x")</f>
        <v>4</v>
      </c>
      <c r="P67" s="119" t="str">
        <f ca="1">IF(September_SotM[[#This Row],[Num]]&gt;=$A$53, "-", IF(September_SotM[[#This Row],[Score 1]]&gt;=3, September_SotM[[#This Row],[Song 1]], IF(September_SotM[[#This Row],[Score 2]]&gt;=3, September_SotM[[#This Row],[Song 2]], "TBD")))</f>
        <v>Edge of Seventeen</v>
      </c>
      <c r="Q67" s="121">
        <f>COUNTIF(September_SotM[[#This Row],[H ]:[J ]],"x")</f>
        <v>1</v>
      </c>
      <c r="R67" s="118" t="str">
        <f ca="1">IF(September_SotM[[#This Row],[Num]]&gt;=$A$53, "-", IF(September_SotM[[#This Row],[Initial 2]], VLOOKUP(September_SotM[[#This Row],[Low Seed]], $Z$54:$AE$70, 6, FALSE), OFFSET(September_SotM[[#This Row],[Winner]], 2*(September_SotM[[#This Row],[Max Seed]]-September_SotM[[#This Row],[Low Seed]])+1, 0)))</f>
        <v>Lady Writer</v>
      </c>
      <c r="S67" s="37"/>
      <c r="T67" s="35"/>
      <c r="U67" s="33"/>
      <c r="V67" s="31"/>
      <c r="W67" s="28" t="s">
        <v>4191</v>
      </c>
      <c r="X67" s="3" t="str">
        <f ca="1">IF(OR(September_SotM[[#This Row],[Song 1]]="TBD", September_SotM[[#This Row],[Song 2]]="TBD"), "TBD", _xlfn.CONCAT(IF(_xlfn.XOR(ISBLANK(September_SotM[[#This Row],[J]]), ISBLANK(September_SotM[[#This Row],[J ]])), "", "J "), IF(_xlfn.XOR(ISBLANK(September_SotM[[#This Row],[D]]), ISBLANK(September_SotM[[#This Row],[D ]])), "", "D "), IF(_xlfn.XOR(ISBLANK(September_SotM[[#This Row],[L]]), ISBLANK(September_SotM[[#This Row],[L ]])), "", "L "), IF(_xlfn.XOR(ISBLANK(September_SotM[[#This Row],[S]]), ISBLANK(September_SotM[[#This Row],[S ]])), "", "S "), IF(_xlfn.XOR(ISBLANK(September_SotM[[#This Row],[H]]), ISBLANK(September_SotM[[#This Row],[H ]])), "", "H ")))</f>
        <v/>
      </c>
      <c r="Z67" s="109">
        <f t="shared" si="18"/>
        <v>8</v>
      </c>
      <c r="AA67" s="85">
        <v>45559</v>
      </c>
      <c r="AB67" t="str">
        <v>samuelbattista</v>
      </c>
      <c r="AC67" s="3">
        <v>2</v>
      </c>
      <c r="AD67" s="86">
        <v>0.89442719099991586</v>
      </c>
      <c r="AE67" s="123" t="str">
        <v>Alright</v>
      </c>
      <c r="AF67" t="str">
        <v>Kendrick Lamar</v>
      </c>
      <c r="AG67" s="100">
        <f t="shared" si="19"/>
        <v>5</v>
      </c>
      <c r="AI67" s="141">
        <f>September_SotM[[#This Row],[Max Seed]]/2 + 1</f>
        <v>9</v>
      </c>
      <c r="AJ67" s="135" t="str">
        <f ca="1">IF(September_SotM[[#This Row],[Num]]&gt;=$A$13, "-", IF(September_SotM[[#This Row],[Score 1]]&gt;=3, September_SotM[[#This Row],[Song 2]], IF(September_SotM[[#This Row],[Score 2]]&gt;=3, September_SotM[[#This Row],[Song 1]], "TBD")))</f>
        <v>Lady Writer</v>
      </c>
      <c r="AK67" s="124">
        <f ca="1">IFERROR(VLOOKUP(September_Results[[#This Row],[Song Title]], $AE$54:$AG$70, 3, FALSE)-September_Results[[#This Row],[Result]], "TBD")</f>
        <v>0</v>
      </c>
      <c r="AL67" s="125" t="str">
        <f ca="1">IF(September_Results[[#This Row],[Diff]]&lt;0,"↓",IF(September_Results[[#This Row],[Diff]]=0,"-","↑"))</f>
        <v>-</v>
      </c>
    </row>
    <row r="68" spans="1:38" ht="15" customHeight="1">
      <c r="A68" s="118" t="str">
        <f>_xlfn.CONCAT("Seed ", September_SotM[[#This Row],[Top Seed]], " vs ", September_SotM[[#This Row],[Low Seed]])</f>
        <v>Seed 2 vs 15</v>
      </c>
      <c r="B68" s="119">
        <v>14</v>
      </c>
      <c r="C68" s="119">
        <f>FLOOR(LOG(September_SotM[[#This Row],[Num]], 2), 1)</f>
        <v>3</v>
      </c>
      <c r="D68" s="119">
        <f>2^(September_SotM[[#This Row],[Round]]+1)</f>
        <v>16</v>
      </c>
      <c r="E68" s="119">
        <f>September_SotM[[#This Row],[Max Seed]]-September_SotM[[#This Row],[Num]]</f>
        <v>2</v>
      </c>
      <c r="F68" s="119">
        <f>September_SotM[[#This Row],[Max Seed]]-September_SotM[[#This Row],[Top Seed]]+1</f>
        <v>15</v>
      </c>
      <c r="G68" s="119" t="b">
        <f>IF(September_SotM[[#This Row],[Round]]=$C$53, TRUE(), IF(September_SotM[[#This Row],[Round]]=$B$53, September_SotM[[#This Row],[Top Seed]]&lt;=2*September_SotM[[#This Row],[Max Seed]]-$A$53, FALSE()))</f>
        <v>1</v>
      </c>
      <c r="H68" s="119" t="b">
        <f>IF(September_SotM[[#This Row],[Round]]=$C$53, TRUE(), IF(September_SotM[[#This Row],[Round]]=$B$53, September_SotM[[#This Row],[Low Seed]]&lt;=2*September_SotM[[#This Row],[Max Seed]]-$A$53, FALSE()))</f>
        <v>1</v>
      </c>
      <c r="I68" s="28"/>
      <c r="J68" s="31"/>
      <c r="K68" s="33" t="s">
        <v>4191</v>
      </c>
      <c r="L68" s="35" t="s">
        <v>4191</v>
      </c>
      <c r="M68" s="37"/>
      <c r="N68" s="120" t="str">
        <f ca="1">IF(September_SotM[[#This Row],[Num]]&gt;=$A$53, "-", IF(September_SotM[[#This Row],[Initial 1]], VLOOKUP(September_SotM[[#This Row],[Top Seed]], $Z$54:$AE$70, 6, FALSE), OFFSET(September_SotM[[#This Row],[Winner]], September_SotM[[#This Row],[Max Seed]], 0)))</f>
        <v xml:space="preserve">Sunday Morning </v>
      </c>
      <c r="O68" s="118">
        <f>COUNTIF(September_SotM[[#This Row],[J]:[H]],"x")</f>
        <v>2</v>
      </c>
      <c r="P68" s="119" t="str">
        <f ca="1">IF(September_SotM[[#This Row],[Num]]&gt;=$A$53, "-", IF(September_SotM[[#This Row],[Score 1]]&gt;=3, September_SotM[[#This Row],[Song 1]], IF(September_SotM[[#This Row],[Score 2]]&gt;=3, September_SotM[[#This Row],[Song 2]], "TBD")))</f>
        <v>Seventh Heaven</v>
      </c>
      <c r="Q68" s="121">
        <f>COUNTIF(September_SotM[[#This Row],[H ]:[J ]],"x")</f>
        <v>3</v>
      </c>
      <c r="R68" s="118" t="str">
        <f ca="1">IF(September_SotM[[#This Row],[Num]]&gt;=$A$53, "-", IF(September_SotM[[#This Row],[Initial 2]], VLOOKUP(September_SotM[[#This Row],[Low Seed]], $Z$54:$AE$70, 6, FALSE), OFFSET(September_SotM[[#This Row],[Winner]], 2*(September_SotM[[#This Row],[Max Seed]]-September_SotM[[#This Row],[Low Seed]])+1, 0)))</f>
        <v>Seventh Heaven</v>
      </c>
      <c r="S68" s="37" t="s">
        <v>4191</v>
      </c>
      <c r="T68" s="35"/>
      <c r="U68" s="33"/>
      <c r="V68" s="31" t="s">
        <v>4191</v>
      </c>
      <c r="W68" s="28" t="s">
        <v>4191</v>
      </c>
      <c r="X68" s="3" t="str">
        <f ca="1">IF(OR(September_SotM[[#This Row],[Song 1]]="TBD", September_SotM[[#This Row],[Song 2]]="TBD"), "TBD", _xlfn.CONCAT(IF(_xlfn.XOR(ISBLANK(September_SotM[[#This Row],[J]]), ISBLANK(September_SotM[[#This Row],[J ]])), "", "J "), IF(_xlfn.XOR(ISBLANK(September_SotM[[#This Row],[D]]), ISBLANK(September_SotM[[#This Row],[D ]])), "", "D "), IF(_xlfn.XOR(ISBLANK(September_SotM[[#This Row],[L]]), ISBLANK(September_SotM[[#This Row],[L ]])), "", "L "), IF(_xlfn.XOR(ISBLANK(September_SotM[[#This Row],[S]]), ISBLANK(September_SotM[[#This Row],[S ]])), "", "S "), IF(_xlfn.XOR(ISBLANK(September_SotM[[#This Row],[H]]), ISBLANK(September_SotM[[#This Row],[H ]])), "", "H ")))</f>
        <v/>
      </c>
      <c r="Z68" s="109">
        <f t="shared" si="18"/>
        <v>7</v>
      </c>
      <c r="AA68" s="85">
        <v>45560</v>
      </c>
      <c r="AB68" t="str">
        <v>danram</v>
      </c>
      <c r="AC68" s="3">
        <v>2</v>
      </c>
      <c r="AD68" s="86">
        <v>0.63245553203367588</v>
      </c>
      <c r="AE68" s="123" t="str">
        <v>Leave Before You Love Me</v>
      </c>
      <c r="AF68" t="str">
        <v>Marshmello, Jonas Brothers</v>
      </c>
      <c r="AG68" s="100">
        <f t="shared" si="19"/>
        <v>5</v>
      </c>
      <c r="AI68" s="141">
        <f>September_SotM[[#This Row],[Max Seed]]/2 + 1</f>
        <v>9</v>
      </c>
      <c r="AJ68" s="135" t="str">
        <f ca="1">IF(September_SotM[[#This Row],[Num]]&gt;=$A$13, "-", IF(September_SotM[[#This Row],[Score 1]]&gt;=3, September_SotM[[#This Row],[Song 2]], IF(September_SotM[[#This Row],[Score 2]]&gt;=3, September_SotM[[#This Row],[Song 1]], "TBD")))</f>
        <v xml:space="preserve">Sunday Morning </v>
      </c>
      <c r="AK68" s="124">
        <f ca="1">IFERROR(VLOOKUP(September_Results[[#This Row],[Song Title]], $AE$54:$AG$70, 3, FALSE)-September_Results[[#This Row],[Result]], "TBD")</f>
        <v>-7</v>
      </c>
      <c r="AL68" s="125" t="str">
        <f ca="1">IF(September_Results[[#This Row],[Diff]]&lt;0,"↓",IF(September_Results[[#This Row],[Diff]]=0,"-","↑"))</f>
        <v>↓</v>
      </c>
    </row>
    <row r="69" spans="1:38" ht="15" customHeight="1">
      <c r="A69" s="118" t="str">
        <f>_xlfn.CONCAT("Seed ", September_SotM[[#This Row],[Top Seed]], " vs ", September_SotM[[#This Row],[Low Seed]])</f>
        <v>Seed 1 vs 16</v>
      </c>
      <c r="B69" s="119">
        <v>15</v>
      </c>
      <c r="C69" s="119">
        <f>FLOOR(LOG(September_SotM[[#This Row],[Num]], 2), 1)</f>
        <v>3</v>
      </c>
      <c r="D69" s="119">
        <f>2^(September_SotM[[#This Row],[Round]]+1)</f>
        <v>16</v>
      </c>
      <c r="E69" s="119">
        <f>September_SotM[[#This Row],[Max Seed]]-September_SotM[[#This Row],[Num]]</f>
        <v>1</v>
      </c>
      <c r="F69" s="119">
        <f>September_SotM[[#This Row],[Max Seed]]-September_SotM[[#This Row],[Top Seed]]+1</f>
        <v>16</v>
      </c>
      <c r="G69" s="119" t="b">
        <f>IF(September_SotM[[#This Row],[Round]]=$C$53, TRUE(), IF(September_SotM[[#This Row],[Round]]=$B$53, September_SotM[[#This Row],[Top Seed]]&lt;=2*September_SotM[[#This Row],[Max Seed]]-$A$53, FALSE()))</f>
        <v>1</v>
      </c>
      <c r="H69" s="119" t="b">
        <f>IF(September_SotM[[#This Row],[Round]]=$C$53, TRUE(), IF(September_SotM[[#This Row],[Round]]=$B$53, September_SotM[[#This Row],[Low Seed]]&lt;=2*September_SotM[[#This Row],[Max Seed]]-$A$53, FALSE()))</f>
        <v>0</v>
      </c>
      <c r="I69" s="28"/>
      <c r="J69" s="31" t="s">
        <v>4191</v>
      </c>
      <c r="K69" s="33"/>
      <c r="L69" s="35" t="s">
        <v>4191</v>
      </c>
      <c r="M69" s="37" t="s">
        <v>4191</v>
      </c>
      <c r="N69" s="120" t="str">
        <f ca="1">IF(September_SotM[[#This Row],[Num]]&gt;=$A$53, "-", IF(September_SotM[[#This Row],[Initial 1]], VLOOKUP(September_SotM[[#This Row],[Top Seed]], $Z$54:$AE$70, 6, FALSE), OFFSET(September_SotM[[#This Row],[Winner]], September_SotM[[#This Row],[Max Seed]], 0)))</f>
        <v>Sprinter</v>
      </c>
      <c r="O69" s="118">
        <f>COUNTIF(September_SotM[[#This Row],[J]:[H]],"x")</f>
        <v>3</v>
      </c>
      <c r="P69" s="119" t="str">
        <f ca="1">IF(September_SotM[[#This Row],[Num]]&gt;=$A$53, "-", IF(September_SotM[[#This Row],[Score 1]]&gt;=3, September_SotM[[#This Row],[Song 1]], IF(September_SotM[[#This Row],[Score 2]]&gt;=3, September_SotM[[#This Row],[Song 2]], "TBD")))</f>
        <v>Sprinter</v>
      </c>
      <c r="Q69" s="121">
        <f>COUNTIF(September_SotM[[#This Row],[H ]:[J ]],"x")</f>
        <v>2</v>
      </c>
      <c r="R69" s="118" t="str">
        <f ca="1">IF(September_SotM[[#This Row],[Num]]&gt;=$A$53, "-", IF(September_SotM[[#This Row],[Initial 2]], VLOOKUP(September_SotM[[#This Row],[Low Seed]], $Z$54:$AE$70, 6, FALSE), OFFSET(September_SotM[[#This Row],[Winner]], 2*(September_SotM[[#This Row],[Max Seed]]-September_SotM[[#This Row],[Low Seed]])+1, 0)))</f>
        <v>cloud 11</v>
      </c>
      <c r="S69" s="37"/>
      <c r="T69" s="35"/>
      <c r="U69" s="33" t="s">
        <v>4191</v>
      </c>
      <c r="V69" s="31"/>
      <c r="W69" s="28" t="s">
        <v>4191</v>
      </c>
      <c r="X69" s="3" t="str">
        <f ca="1">IF(OR(September_SotM[[#This Row],[Song 1]]="TBD", September_SotM[[#This Row],[Song 2]]="TBD"), "TBD", _xlfn.CONCAT(IF(_xlfn.XOR(ISBLANK(September_SotM[[#This Row],[J]]), ISBLANK(September_SotM[[#This Row],[J ]])), "", "J "), IF(_xlfn.XOR(ISBLANK(September_SotM[[#This Row],[D]]), ISBLANK(September_SotM[[#This Row],[D ]])), "", "D "), IF(_xlfn.XOR(ISBLANK(September_SotM[[#This Row],[L]]), ISBLANK(September_SotM[[#This Row],[L ]])), "", "L "), IF(_xlfn.XOR(ISBLANK(September_SotM[[#This Row],[S]]), ISBLANK(September_SotM[[#This Row],[S ]])), "", "S "), IF(_xlfn.XOR(ISBLANK(September_SotM[[#This Row],[H]]), ISBLANK(September_SotM[[#This Row],[H ]])), "", "H ")))</f>
        <v/>
      </c>
      <c r="Z69" s="109">
        <f t="shared" si="18"/>
        <v>10</v>
      </c>
      <c r="AA69" s="85">
        <v>45561</v>
      </c>
      <c r="AB69" t="str">
        <v>alappatjoe</v>
      </c>
      <c r="AC69" s="3">
        <v>2.2000000000000002</v>
      </c>
      <c r="AD69" s="86">
        <v>0.9797958971132712</v>
      </c>
      <c r="AE69" s="123" t="str">
        <v>Nobody's Business</v>
      </c>
      <c r="AF69" t="str">
        <v>Rihanna, Chris Brown</v>
      </c>
      <c r="AG69" s="100">
        <f t="shared" si="19"/>
        <v>9</v>
      </c>
      <c r="AI69" s="141">
        <f>September_SotM[[#This Row],[Max Seed]]/2 + 1</f>
        <v>9</v>
      </c>
      <c r="AJ69" s="135" t="str">
        <f ca="1">IF(September_SotM[[#This Row],[Num]]&gt;=$A$13, "-", IF(September_SotM[[#This Row],[Score 1]]&gt;=3, September_SotM[[#This Row],[Song 2]], IF(September_SotM[[#This Row],[Score 2]]&gt;=3, September_SotM[[#This Row],[Song 1]], "TBD")))</f>
        <v>cloud 11</v>
      </c>
      <c r="AK69" s="124">
        <f ca="1">IFERROR(VLOOKUP(September_Results[[#This Row],[Song Title]], $AE$54:$AG$70, 3, FALSE)-September_Results[[#This Row],[Result]], "TBD")</f>
        <v>8</v>
      </c>
      <c r="AL69" s="125" t="str">
        <f ca="1">IF(September_Results[[#This Row],[Diff]]&lt;0,"↓",IF(September_Results[[#This Row],[Diff]]=0,"-","↑"))</f>
        <v>↑</v>
      </c>
    </row>
    <row r="70" spans="1:38" ht="15" customHeight="1">
      <c r="A70" s="118" t="str">
        <f>_xlfn.CONCAT("Seed ", September_SotM[[#This Row],[Top Seed]], " vs ", September_SotM[[#This Row],[Low Seed]])</f>
        <v>Seed 16 vs 17</v>
      </c>
      <c r="B70" s="119">
        <v>16</v>
      </c>
      <c r="C70" s="119">
        <f>FLOOR(LOG(September_SotM[[#This Row],[Num]], 2), 1)</f>
        <v>4</v>
      </c>
      <c r="D70" s="119">
        <f>2^(September_SotM[[#This Row],[Round]]+1)</f>
        <v>32</v>
      </c>
      <c r="E70" s="119">
        <f>September_SotM[[#This Row],[Max Seed]]-September_SotM[[#This Row],[Num]]</f>
        <v>16</v>
      </c>
      <c r="F70" s="119">
        <f>September_SotM[[#This Row],[Max Seed]]-September_SotM[[#This Row],[Top Seed]]+1</f>
        <v>17</v>
      </c>
      <c r="G70" s="119" t="b">
        <f>IF(September_SotM[[#This Row],[Round]]=$C$53, TRUE(), IF(September_SotM[[#This Row],[Round]]=$B$53, September_SotM[[#This Row],[Top Seed]]&lt;=2*September_SotM[[#This Row],[Max Seed]]-$A$53, FALSE()))</f>
        <v>1</v>
      </c>
      <c r="H70" s="119" t="b">
        <f>IF(September_SotM[[#This Row],[Round]]=$C$53, TRUE(), IF(September_SotM[[#This Row],[Round]]=$B$53, September_SotM[[#This Row],[Low Seed]]&lt;=2*September_SotM[[#This Row],[Max Seed]]-$A$53, FALSE()))</f>
        <v>1</v>
      </c>
      <c r="I70" s="28"/>
      <c r="J70" s="31"/>
      <c r="K70" s="33"/>
      <c r="L70" s="35" t="s">
        <v>4191</v>
      </c>
      <c r="M70" s="37"/>
      <c r="N70" s="120" t="str">
        <f ca="1">IF(September_SotM[[#This Row],[Num]]&gt;=$A$53, "-", IF(September_SotM[[#This Row],[Initial 1]], VLOOKUP(September_SotM[[#This Row],[Top Seed]], $Z$54:$AE$70, 6, FALSE), OFFSET(September_SotM[[#This Row],[Winner]], September_SotM[[#This Row],[Max Seed]], 0)))</f>
        <v>Real Love Baby</v>
      </c>
      <c r="O70" s="118">
        <f>COUNTIF(September_SotM[[#This Row],[J]:[H]],"x")</f>
        <v>1</v>
      </c>
      <c r="P70" s="119" t="str">
        <f ca="1">IF(September_SotM[[#This Row],[Num]]&gt;=$A$53, "-", IF(September_SotM[[#This Row],[Score 1]]&gt;=3, September_SotM[[#This Row],[Song 1]], IF(September_SotM[[#This Row],[Score 2]]&gt;=3, September_SotM[[#This Row],[Song 2]], "TBD")))</f>
        <v>cloud 11</v>
      </c>
      <c r="Q70" s="121">
        <f>COUNTIF(September_SotM[[#This Row],[H ]:[J ]],"x")</f>
        <v>4</v>
      </c>
      <c r="R70" s="118" t="str">
        <f ca="1">IF(September_SotM[[#This Row],[Num]]&gt;=$A$53, "-", IF(September_SotM[[#This Row],[Initial 2]], VLOOKUP(September_SotM[[#This Row],[Low Seed]], $Z$54:$AE$70, 6, FALSE), OFFSET(September_SotM[[#This Row],[Winner]], 2*(September_SotM[[#This Row],[Max Seed]]-September_SotM[[#This Row],[Low Seed]])+1, 0)))</f>
        <v>cloud 11</v>
      </c>
      <c r="S70" s="37" t="s">
        <v>4191</v>
      </c>
      <c r="T70" s="35"/>
      <c r="U70" s="33" t="s">
        <v>4191</v>
      </c>
      <c r="V70" s="31" t="s">
        <v>4191</v>
      </c>
      <c r="W70" s="28" t="s">
        <v>4191</v>
      </c>
      <c r="X70" s="3" t="str">
        <f ca="1">IF(OR(September_SotM[[#This Row],[Song 1]]="TBD", September_SotM[[#This Row],[Song 2]]="TBD"), "TBD", _xlfn.CONCAT(IF(_xlfn.XOR(ISBLANK(September_SotM[[#This Row],[J]]), ISBLANK(September_SotM[[#This Row],[J ]])), "", "J "), IF(_xlfn.XOR(ISBLANK(September_SotM[[#This Row],[D]]), ISBLANK(September_SotM[[#This Row],[D ]])), "", "D "), IF(_xlfn.XOR(ISBLANK(September_SotM[[#This Row],[L]]), ISBLANK(September_SotM[[#This Row],[L ]])), "", "L "), IF(_xlfn.XOR(ISBLANK(September_SotM[[#This Row],[S]]), ISBLANK(September_SotM[[#This Row],[S ]])), "", "S "), IF(_xlfn.XOR(ISBLANK(September_SotM[[#This Row],[H]]), ISBLANK(September_SotM[[#This Row],[H ]])), "", "H ")))</f>
        <v/>
      </c>
      <c r="Z70" s="110">
        <f t="shared" si="18"/>
        <v>17</v>
      </c>
      <c r="AA70" s="156">
        <v>45565</v>
      </c>
      <c r="AB70" s="157" t="str">
        <v>loganworsdell</v>
      </c>
      <c r="AC70" s="101">
        <v>2.8</v>
      </c>
      <c r="AD70" s="158">
        <v>1.1661903789690602</v>
      </c>
      <c r="AE70" s="159" t="str">
        <v>cloud 11</v>
      </c>
      <c r="AF70" s="157" t="str">
        <v>thủy</v>
      </c>
      <c r="AG70" s="102">
        <f t="shared" si="19"/>
        <v>17</v>
      </c>
      <c r="AI70" s="141">
        <f>September_SotM[[#This Row],[Max Seed]]/2 + 1</f>
        <v>17</v>
      </c>
      <c r="AJ70" s="135" t="str">
        <f ca="1">IF(September_SotM[[#This Row],[Num]]&gt;=$A$13, "-", IF(September_SotM[[#This Row],[Score 1]]&gt;=3, September_SotM[[#This Row],[Song 2]], IF(September_SotM[[#This Row],[Score 2]]&gt;=3, September_SotM[[#This Row],[Song 1]], "TBD")))</f>
        <v>Real Love Baby</v>
      </c>
      <c r="AK70" s="124">
        <f ca="1">IFERROR(VLOOKUP(September_Results[[#This Row],[Song Title]], $AE$54:$AG$70, 3, FALSE)-September_Results[[#This Row],[Result]], "TBD")</f>
        <v>-8</v>
      </c>
      <c r="AL70" s="125" t="str">
        <f ca="1">IF(September_Results[[#This Row],[Diff]]&lt;0,"↓",IF(September_Results[[#This Row],[Diff]]=0,"-","↑"))</f>
        <v>↓</v>
      </c>
    </row>
    <row r="72" spans="1:38" ht="15" customHeight="1">
      <c r="A72" s="301">
        <f>MAX(Z73:Z91)</f>
        <v>19</v>
      </c>
      <c r="B72" s="301">
        <f>FLOOR(LOG(A72, 2), 1)-1</f>
        <v>3</v>
      </c>
      <c r="C72" s="301">
        <f t="shared" ref="C72" si="20">_xlfn.CEILING.MATH(LOG(A72, 2), 1)-1</f>
        <v>4</v>
      </c>
      <c r="D72" s="301"/>
      <c r="E72" s="301"/>
      <c r="F72" s="301"/>
      <c r="G72" s="301"/>
      <c r="H72" s="301"/>
      <c r="I72" s="347" t="s">
        <v>4198</v>
      </c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01"/>
      <c r="Z72" s="148" t="s">
        <v>4163</v>
      </c>
      <c r="AA72" s="149" t="s">
        <v>29</v>
      </c>
      <c r="AB72" s="150" t="s">
        <v>32</v>
      </c>
      <c r="AC72" s="151" t="s">
        <v>33</v>
      </c>
      <c r="AD72" s="152" t="s">
        <v>34</v>
      </c>
      <c r="AE72" s="153" t="s">
        <v>4161</v>
      </c>
      <c r="AF72" s="154" t="s">
        <v>36</v>
      </c>
      <c r="AG72" s="155" t="s">
        <v>4164</v>
      </c>
      <c r="AI72" s="136" t="s">
        <v>4165</v>
      </c>
      <c r="AJ72" s="137" t="s">
        <v>35</v>
      </c>
      <c r="AK72" s="138" t="s">
        <v>4166</v>
      </c>
      <c r="AL72" s="139" t="s">
        <v>4167</v>
      </c>
    </row>
    <row r="73" spans="1:38" ht="15" customHeight="1">
      <c r="A73" s="301" t="s">
        <v>4168</v>
      </c>
      <c r="B73" s="301" t="s">
        <v>4169</v>
      </c>
      <c r="C73" s="301" t="s">
        <v>4170</v>
      </c>
      <c r="D73" s="301" t="s">
        <v>4171</v>
      </c>
      <c r="E73" s="301" t="s">
        <v>4172</v>
      </c>
      <c r="F73" s="301" t="s">
        <v>4173</v>
      </c>
      <c r="G73" s="133" t="s">
        <v>4174</v>
      </c>
      <c r="H73" s="133" t="s">
        <v>4175</v>
      </c>
      <c r="I73" s="133" t="s">
        <v>4176</v>
      </c>
      <c r="J73" s="133" t="s">
        <v>4177</v>
      </c>
      <c r="K73" s="133" t="s">
        <v>4178</v>
      </c>
      <c r="L73" s="133" t="s">
        <v>4179</v>
      </c>
      <c r="M73" s="133" t="s">
        <v>4180</v>
      </c>
      <c r="N73" s="301" t="s">
        <v>4181</v>
      </c>
      <c r="O73" s="133" t="s">
        <v>4182</v>
      </c>
      <c r="P73" s="301" t="s">
        <v>47</v>
      </c>
      <c r="Q73" s="133" t="s">
        <v>4183</v>
      </c>
      <c r="R73" s="301" t="s">
        <v>4184</v>
      </c>
      <c r="S73" s="133" t="s">
        <v>4185</v>
      </c>
      <c r="T73" s="133" t="s">
        <v>4186</v>
      </c>
      <c r="U73" s="133" t="s">
        <v>4187</v>
      </c>
      <c r="V73" s="133" t="s">
        <v>4188</v>
      </c>
      <c r="W73" s="133" t="s">
        <v>4189</v>
      </c>
      <c r="X73" s="133" t="s">
        <v>4190</v>
      </c>
      <c r="Z73" s="109">
        <f>IF(AC73&gt;0, COUNTIF(AC$73:AC$91, "&lt;"&amp;AC73) + COUNTIFS(AC$73:AC$91, AC73, AD$73:AD$91, "&lt;"&amp;AD73) + COUNTIFS(AC$73:AC$91, AC73, AD$73:AD$91, AD73, AA$73:AA$91, "&lt;"&amp;AA73) + 1, "TBD")</f>
        <v>15</v>
      </c>
      <c r="AA73" s="85" cm="1">
        <f t="array" ref="AA73:AF91">_xlfn._xlws.FILTER(Data[Date]:Data[Artist], (Data[Date]&gt;=DATE(2024,10,1))*(Data[Date]&lt;=DATE(2024,10,31))*(Data[Winner]=TRUE()), "TBD")</f>
        <v>45566</v>
      </c>
      <c r="AB73" s="123" t="str">
        <v>samuelbattista</v>
      </c>
      <c r="AC73" s="3">
        <v>2.2000000000000002</v>
      </c>
      <c r="AD73" s="86">
        <v>1.6</v>
      </c>
      <c r="AE73" s="123" t="str">
        <v>Teenage Dirtbag</v>
      </c>
      <c r="AF73" t="str">
        <v>Wheatus</v>
      </c>
      <c r="AG73" s="100">
        <f>IFERROR(IF(Z73&gt;1, 2^(FLOOR(LOG(Z73-1,2),1))+1, 1), "TBD")</f>
        <v>9</v>
      </c>
      <c r="AI73" s="141">
        <v>1</v>
      </c>
      <c r="AJ73" s="135" t="str">
        <f ca="1">P74</f>
        <v>Kiss Me Thru The Phone</v>
      </c>
      <c r="AK73" s="124">
        <f ca="1">IFERROR(VLOOKUP(October_Results[[#This Row],[Song Title]], $AE$73:$AG$91, 3, FALSE)-October_Results[[#This Row],[Result]], "TBD")</f>
        <v>1</v>
      </c>
      <c r="AL73" s="125" t="str">
        <f ca="1">IF(October_Results[[#This Row],[Diff]]&lt;0,"↓",IF(October_Results[[#This Row],[Diff]]=0,"-","↑"))</f>
        <v>↑</v>
      </c>
    </row>
    <row r="74" spans="1:38" ht="15" customHeight="1">
      <c r="A74" s="118" t="str">
        <f>_xlfn.CONCAT("Seed ", October_SotM[[#This Row],[Top Seed]], " vs ", October_SotM[[#This Row],[Low Seed]])</f>
        <v>Seed 1 vs 2</v>
      </c>
      <c r="B74" s="119">
        <v>1</v>
      </c>
      <c r="C74" s="119">
        <f>FLOOR(LOG(October_SotM[[#This Row],[Num]], 2), 1)</f>
        <v>0</v>
      </c>
      <c r="D74" s="119">
        <f>2^(October_SotM[[#This Row],[Round]]+1)</f>
        <v>2</v>
      </c>
      <c r="E74" s="119">
        <f>October_SotM[[#This Row],[Max Seed]]-October_SotM[[#This Row],[Num]]</f>
        <v>1</v>
      </c>
      <c r="F74" s="119">
        <f>October_SotM[[#This Row],[Max Seed]]-October_SotM[[#This Row],[Top Seed]]+1</f>
        <v>2</v>
      </c>
      <c r="G74" s="119" t="b">
        <f>IF(October_SotM[[#This Row],[Round]]=$C$72, TRUE(), IF(October_SotM[[#This Row],[Round]]=$B$72, October_SotM[[#This Row],[Top Seed]]&lt;=2*October_SotM[[#This Row],[Max Seed]]-$A$72, FALSE()))</f>
        <v>0</v>
      </c>
      <c r="H74" s="119" t="b">
        <f>IF(October_SotM[[#This Row],[Round]]=$C$72, TRUE(), IF(October_SotM[[#This Row],[Round]]=$B$72, October_SotM[[#This Row],[Low Seed]]&lt;=2*October_SotM[[#This Row],[Max Seed]]-$A$72, FALSE()))</f>
        <v>0</v>
      </c>
      <c r="I74" s="28" t="s">
        <v>4191</v>
      </c>
      <c r="J74" s="31"/>
      <c r="K74" s="33" t="s">
        <v>4191</v>
      </c>
      <c r="L74" s="35"/>
      <c r="M74" s="37"/>
      <c r="N74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Let's Groove</v>
      </c>
      <c r="O74" s="118">
        <f>COUNTIF(October_SotM[[#This Row],[J]:[H]],"x")</f>
        <v>2</v>
      </c>
      <c r="P74" s="119" t="str">
        <f ca="1">IF(October_SotM[[#This Row],[Num]]&gt;=$A$72, "-", IF(October_SotM[[#This Row],[Score 1]]&gt;=3, October_SotM[[#This Row],[Song 1]], IF(October_SotM[[#This Row],[Score 2]]&gt;=3, October_SotM[[#This Row],[Song 2]], "TBD")))</f>
        <v>Kiss Me Thru The Phone</v>
      </c>
      <c r="Q74" s="121">
        <f>COUNTIF(October_SotM[[#This Row],[H ]:[J ]],"x")</f>
        <v>3</v>
      </c>
      <c r="R74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Kiss Me Thru The Phone</v>
      </c>
      <c r="S74" s="37" t="s">
        <v>4191</v>
      </c>
      <c r="T74" s="35" t="s">
        <v>4191</v>
      </c>
      <c r="U74" s="33"/>
      <c r="V74" s="31" t="s">
        <v>4191</v>
      </c>
      <c r="W74" s="28"/>
      <c r="X74" s="212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74" s="109">
        <f t="shared" ref="Z74:Z91" si="21">IF(AC74&gt;0, COUNTIF(AC$73:AC$91, "&lt;"&amp;AC74) + COUNTIFS(AC$73:AC$91, AC74, AD$73:AD$91, "&lt;"&amp;AD74) + COUNTIFS(AC$73:AC$91, AC74, AD$73:AD$91, AD74, AA$73:AA$91, "&lt;"&amp;AA74) + 1, "TBD")</f>
        <v>14</v>
      </c>
      <c r="AA74" s="85">
        <v>45567</v>
      </c>
      <c r="AB74" s="123" t="str">
        <v>samuelbattista</v>
      </c>
      <c r="AC74" s="3">
        <v>2.2000000000000002</v>
      </c>
      <c r="AD74" s="86">
        <v>1.4696938456699069</v>
      </c>
      <c r="AE74" s="123" t="str">
        <v>Juna</v>
      </c>
      <c r="AF74" t="str">
        <v>Clairo</v>
      </c>
      <c r="AG74" s="100">
        <f t="shared" ref="AG74:AG91" si="22">IFERROR(IF(Z74&gt;1, 2^(FLOOR(LOG(Z74-1,2),1))+1, 1), "TBD")</f>
        <v>9</v>
      </c>
      <c r="AI74" s="141">
        <f>October_SotM[[#This Row],[Max Seed]]/2 + 1</f>
        <v>2</v>
      </c>
      <c r="AJ74" s="135" t="str">
        <f ca="1">IF(October_SotM[[#This Row],[Num]]&gt;=$A$72, "-", IF(October_SotM[[#This Row],[Score 1]]&gt;=3, October_SotM[[#This Row],[Song 2]], IF(October_SotM[[#This Row],[Score 2]]&gt;=3, October_SotM[[#This Row],[Song 1]], "TBD")))</f>
        <v>Let's Groove</v>
      </c>
      <c r="AK74" s="124">
        <f ca="1">IFERROR(VLOOKUP(October_Results[[#This Row],[Song Title]], $AE$73:$AG$91, 3, FALSE)-October_Results[[#This Row],[Result]], "TBD")</f>
        <v>15</v>
      </c>
      <c r="AL74" s="125" t="str">
        <f ca="1">IF(October_Results[[#This Row],[Diff]]&lt;0,"↓",IF(October_Results[[#This Row],[Diff]]=0,"-","↑"))</f>
        <v>↑</v>
      </c>
    </row>
    <row r="75" spans="1:38" ht="15" customHeight="1">
      <c r="A75" s="118" t="str">
        <f>_xlfn.CONCAT("Seed ", October_SotM[[#This Row],[Top Seed]], " vs ", October_SotM[[#This Row],[Low Seed]])</f>
        <v>Seed 2 vs 3</v>
      </c>
      <c r="B75" s="119">
        <v>2</v>
      </c>
      <c r="C75" s="119">
        <f>FLOOR(LOG(October_SotM[[#This Row],[Num]], 2), 1)</f>
        <v>1</v>
      </c>
      <c r="D75" s="119">
        <f>2^(October_SotM[[#This Row],[Round]]+1)</f>
        <v>4</v>
      </c>
      <c r="E75" s="119">
        <f>October_SotM[[#This Row],[Max Seed]]-October_SotM[[#This Row],[Num]]</f>
        <v>2</v>
      </c>
      <c r="F75" s="119">
        <f>October_SotM[[#This Row],[Max Seed]]-October_SotM[[#This Row],[Top Seed]]+1</f>
        <v>3</v>
      </c>
      <c r="G75" s="119" t="b">
        <f>IF(October_SotM[[#This Row],[Round]]=$C$72, TRUE(), IF(October_SotM[[#This Row],[Round]]=$B$72, October_SotM[[#This Row],[Top Seed]]&lt;=2*October_SotM[[#This Row],[Max Seed]]-$A$72, FALSE()))</f>
        <v>0</v>
      </c>
      <c r="H75" s="119" t="b">
        <f>IF(October_SotM[[#This Row],[Round]]=$C$72, TRUE(), IF(October_SotM[[#This Row],[Round]]=$B$72, October_SotM[[#This Row],[Low Seed]]&lt;=2*October_SotM[[#This Row],[Max Seed]]-$A$72, FALSE()))</f>
        <v>0</v>
      </c>
      <c r="I75" s="28" t="s">
        <v>4191</v>
      </c>
      <c r="J75" s="31" t="s">
        <v>4191</v>
      </c>
      <c r="K75" s="33" t="s">
        <v>4191</v>
      </c>
      <c r="L75" s="35" t="s">
        <v>4191</v>
      </c>
      <c r="M75" s="37" t="s">
        <v>4191</v>
      </c>
      <c r="N75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Kiss Me Thru The Phone</v>
      </c>
      <c r="O75" s="118">
        <f>COUNTIF(October_SotM[[#This Row],[J]:[H]],"x")</f>
        <v>5</v>
      </c>
      <c r="P75" s="119" t="str">
        <f ca="1">IF(October_SotM[[#This Row],[Num]]&gt;=$A$72, "-", IF(October_SotM[[#This Row],[Score 1]]&gt;=3, October_SotM[[#This Row],[Song 1]], IF(October_SotM[[#This Row],[Score 2]]&gt;=3, October_SotM[[#This Row],[Song 2]], "TBD")))</f>
        <v>Kiss Me Thru The Phone</v>
      </c>
      <c r="Q75" s="121">
        <f>COUNTIF(October_SotM[[#This Row],[H ]:[J ]],"x")</f>
        <v>0</v>
      </c>
      <c r="R75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Someday</v>
      </c>
      <c r="S75" s="37"/>
      <c r="T75" s="35"/>
      <c r="U75" s="33"/>
      <c r="V75" s="31"/>
      <c r="W75" s="28"/>
      <c r="X75" s="119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75" s="109">
        <f t="shared" si="21"/>
        <v>2</v>
      </c>
      <c r="AA75" s="85">
        <v>45568</v>
      </c>
      <c r="AB75" t="str">
        <v>currydestroyer27</v>
      </c>
      <c r="AC75" s="3">
        <v>1.8</v>
      </c>
      <c r="AD75" s="86">
        <v>0.4</v>
      </c>
      <c r="AE75" s="123" t="str">
        <v>Kiss Me Thru The Phone</v>
      </c>
      <c r="AF75" t="str">
        <v>Soulja Boy, Sammie</v>
      </c>
      <c r="AG75" s="100">
        <f t="shared" si="22"/>
        <v>2</v>
      </c>
      <c r="AI75" s="141">
        <f>October_SotM[[#This Row],[Max Seed]]/2 + 1</f>
        <v>3</v>
      </c>
      <c r="AJ75" s="135" t="str">
        <f ca="1">IF(October_SotM[[#This Row],[Num]]&gt;=$A$72, "-", IF(October_SotM[[#This Row],[Score 1]]&gt;=3, October_SotM[[#This Row],[Song 2]], IF(October_SotM[[#This Row],[Score 2]]&gt;=3, October_SotM[[#This Row],[Song 1]], "TBD")))</f>
        <v>Someday</v>
      </c>
      <c r="AK75" s="124">
        <f ca="1">IFERROR(VLOOKUP(October_Results[[#This Row],[Song Title]], $AE$73:$AG$91, 3, FALSE)-October_Results[[#This Row],[Result]], "TBD")</f>
        <v>6</v>
      </c>
      <c r="AL75" s="125" t="str">
        <f ca="1">IF(October_Results[[#This Row],[Diff]]&lt;0,"↓",IF(October_Results[[#This Row],[Diff]]=0,"-","↑"))</f>
        <v>↑</v>
      </c>
    </row>
    <row r="76" spans="1:38" ht="15" customHeight="1">
      <c r="A76" s="118" t="str">
        <f>_xlfn.CONCAT("Seed ", October_SotM[[#This Row],[Top Seed]], " vs ", October_SotM[[#This Row],[Low Seed]])</f>
        <v>Seed 1 vs 4</v>
      </c>
      <c r="B76" s="119">
        <v>3</v>
      </c>
      <c r="C76" s="119">
        <f>FLOOR(LOG(October_SotM[[#This Row],[Num]], 2), 1)</f>
        <v>1</v>
      </c>
      <c r="D76" s="119">
        <f>2^(October_SotM[[#This Row],[Round]]+1)</f>
        <v>4</v>
      </c>
      <c r="E76" s="119">
        <f>October_SotM[[#This Row],[Max Seed]]-October_SotM[[#This Row],[Num]]</f>
        <v>1</v>
      </c>
      <c r="F76" s="119">
        <f>October_SotM[[#This Row],[Max Seed]]-October_SotM[[#This Row],[Top Seed]]+1</f>
        <v>4</v>
      </c>
      <c r="G76" s="119" t="b">
        <f>IF(October_SotM[[#This Row],[Round]]=$C$72, TRUE(), IF(October_SotM[[#This Row],[Round]]=$B$72, October_SotM[[#This Row],[Top Seed]]&lt;=2*October_SotM[[#This Row],[Max Seed]]-$A$72, FALSE()))</f>
        <v>0</v>
      </c>
      <c r="H76" s="119" t="b">
        <f>IF(October_SotM[[#This Row],[Round]]=$C$72, TRUE(), IF(October_SotM[[#This Row],[Round]]=$B$72, October_SotM[[#This Row],[Low Seed]]&lt;=2*October_SotM[[#This Row],[Max Seed]]-$A$72, FALSE()))</f>
        <v>0</v>
      </c>
      <c r="I76" s="28" t="s">
        <v>4191</v>
      </c>
      <c r="J76" s="31"/>
      <c r="K76" s="33" t="s">
        <v>4191</v>
      </c>
      <c r="L76" s="35" t="s">
        <v>4191</v>
      </c>
      <c r="M76" s="37"/>
      <c r="N76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Let's Groove</v>
      </c>
      <c r="O76" s="118">
        <f>COUNTIF(October_SotM[[#This Row],[J]:[H]],"x")</f>
        <v>3</v>
      </c>
      <c r="P76" s="119" t="str">
        <f ca="1">IF(October_SotM[[#This Row],[Num]]&gt;=$A$72, "-", IF(October_SotM[[#This Row],[Score 1]]&gt;=3, October_SotM[[#This Row],[Song 1]], IF(October_SotM[[#This Row],[Score 2]]&gt;=3, October_SotM[[#This Row],[Song 2]], "TBD")))</f>
        <v>Let's Groove</v>
      </c>
      <c r="Q76" s="121">
        <f>COUNTIF(October_SotM[[#This Row],[H ]:[J ]],"x")</f>
        <v>2</v>
      </c>
      <c r="R76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What You Know</v>
      </c>
      <c r="S76" s="37" t="s">
        <v>4191</v>
      </c>
      <c r="T76" s="35"/>
      <c r="U76" s="33"/>
      <c r="V76" s="31" t="s">
        <v>4191</v>
      </c>
      <c r="W76" s="28"/>
      <c r="X76" s="119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76" s="109">
        <f t="shared" si="21"/>
        <v>11</v>
      </c>
      <c r="AA76" s="85">
        <v>45572</v>
      </c>
      <c r="AB76" t="str">
        <v>danram</v>
      </c>
      <c r="AC76" s="3">
        <v>2.2000000000000002</v>
      </c>
      <c r="AD76" s="86">
        <v>0.74833147735478833</v>
      </c>
      <c r="AE76" s="123" t="str">
        <v>Someday</v>
      </c>
      <c r="AF76" t="str">
        <v>The Strokes</v>
      </c>
      <c r="AG76" s="100">
        <f t="shared" si="22"/>
        <v>9</v>
      </c>
      <c r="AI76" s="141">
        <f>October_SotM[[#This Row],[Max Seed]]/2 + 1</f>
        <v>3</v>
      </c>
      <c r="AJ76" s="135" t="str">
        <f ca="1">IF(October_SotM[[#This Row],[Num]]&gt;=$A$72, "-", IF(October_SotM[[#This Row],[Score 1]]&gt;=3, October_SotM[[#This Row],[Song 2]], IF(October_SotM[[#This Row],[Score 2]]&gt;=3, October_SotM[[#This Row],[Song 1]], "TBD")))</f>
        <v>What You Know</v>
      </c>
      <c r="AK76" s="124">
        <f ca="1">IFERROR(VLOOKUP(October_Results[[#This Row],[Song Title]], $AE$73:$AG$91, 3, FALSE)-October_Results[[#This Row],[Result]], "TBD")</f>
        <v>0</v>
      </c>
      <c r="AL76" s="125" t="str">
        <f ca="1">IF(October_Results[[#This Row],[Diff]]&lt;0,"↓",IF(October_Results[[#This Row],[Diff]]=0,"-","↑"))</f>
        <v>-</v>
      </c>
    </row>
    <row r="77" spans="1:38" ht="15" customHeight="1">
      <c r="A77" s="118" t="str">
        <f>_xlfn.CONCAT("Seed ", October_SotM[[#This Row],[Top Seed]], " vs ", October_SotM[[#This Row],[Low Seed]])</f>
        <v>Seed 4 vs 5</v>
      </c>
      <c r="B77" s="119">
        <v>4</v>
      </c>
      <c r="C77" s="119">
        <f>FLOOR(LOG(October_SotM[[#This Row],[Num]], 2), 1)</f>
        <v>2</v>
      </c>
      <c r="D77" s="119">
        <f>2^(October_SotM[[#This Row],[Round]]+1)</f>
        <v>8</v>
      </c>
      <c r="E77" s="119">
        <f>October_SotM[[#This Row],[Max Seed]]-October_SotM[[#This Row],[Num]]</f>
        <v>4</v>
      </c>
      <c r="F77" s="119">
        <f>October_SotM[[#This Row],[Max Seed]]-October_SotM[[#This Row],[Top Seed]]+1</f>
        <v>5</v>
      </c>
      <c r="G77" s="119" t="b">
        <f>IF(October_SotM[[#This Row],[Round]]=$C$72, TRUE(), IF(October_SotM[[#This Row],[Round]]=$B$72, October_SotM[[#This Row],[Top Seed]]&lt;=2*October_SotM[[#This Row],[Max Seed]]-$A$72, FALSE()))</f>
        <v>0</v>
      </c>
      <c r="H77" s="119" t="b">
        <f>IF(October_SotM[[#This Row],[Round]]=$C$72, TRUE(), IF(October_SotM[[#This Row],[Round]]=$B$72, October_SotM[[#This Row],[Low Seed]]&lt;=2*October_SotM[[#This Row],[Max Seed]]-$A$72, FALSE()))</f>
        <v>0</v>
      </c>
      <c r="I77" s="28" t="s">
        <v>4191</v>
      </c>
      <c r="J77" s="31"/>
      <c r="K77" s="33" t="s">
        <v>4191</v>
      </c>
      <c r="L77" s="35"/>
      <c r="M77" s="37" t="s">
        <v>4191</v>
      </c>
      <c r="N77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What You Know</v>
      </c>
      <c r="O77" s="118">
        <f>COUNTIF(October_SotM[[#This Row],[J]:[H]],"x")</f>
        <v>3</v>
      </c>
      <c r="P77" s="119" t="str">
        <f ca="1">IF(October_SotM[[#This Row],[Num]]&gt;=$A$72, "-", IF(October_SotM[[#This Row],[Score 1]]&gt;=3, October_SotM[[#This Row],[Song 1]], IF(October_SotM[[#This Row],[Score 2]]&gt;=3, October_SotM[[#This Row],[Song 2]], "TBD")))</f>
        <v>What You Know</v>
      </c>
      <c r="Q77" s="121">
        <f>COUNTIF(October_SotM[[#This Row],[H ]:[J ]],"x")</f>
        <v>2</v>
      </c>
      <c r="R77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遙か彼方</v>
      </c>
      <c r="S77" s="37"/>
      <c r="T77" s="35" t="s">
        <v>4191</v>
      </c>
      <c r="U77" s="33"/>
      <c r="V77" s="31" t="s">
        <v>4191</v>
      </c>
      <c r="W77" s="28"/>
      <c r="X77" s="119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77" s="109">
        <f t="shared" si="21"/>
        <v>4</v>
      </c>
      <c r="AA77" s="85">
        <v>45573</v>
      </c>
      <c r="AB77" t="str">
        <v>currydestroyer27</v>
      </c>
      <c r="AC77" s="3">
        <v>1.8</v>
      </c>
      <c r="AD77" s="86">
        <v>0.74833147735478833</v>
      </c>
      <c r="AE77" s="123" t="str">
        <v>What You Know</v>
      </c>
      <c r="AF77" t="str">
        <v>Two Door Cinema Club</v>
      </c>
      <c r="AG77" s="100">
        <f t="shared" si="22"/>
        <v>3</v>
      </c>
      <c r="AI77" s="141">
        <f>October_SotM[[#This Row],[Max Seed]]/2 + 1</f>
        <v>5</v>
      </c>
      <c r="AJ77" s="135" t="str">
        <f ca="1">IF(October_SotM[[#This Row],[Num]]&gt;=$A$72, "-", IF(October_SotM[[#This Row],[Score 1]]&gt;=3, October_SotM[[#This Row],[Song 2]], IF(October_SotM[[#This Row],[Score 2]]&gt;=3, October_SotM[[#This Row],[Song 1]], "TBD")))</f>
        <v>遙か彼方</v>
      </c>
      <c r="AK77" s="124">
        <f ca="1">IFERROR(VLOOKUP(October_Results[[#This Row],[Song Title]], $AE$73:$AG$91, 3, FALSE)-October_Results[[#This Row],[Result]], "TBD")</f>
        <v>0</v>
      </c>
      <c r="AL77" s="125" t="str">
        <f ca="1">IF(October_Results[[#This Row],[Diff]]&lt;0,"↓",IF(October_Results[[#This Row],[Diff]]=0,"-","↑"))</f>
        <v>-</v>
      </c>
    </row>
    <row r="78" spans="1:38" ht="15" customHeight="1">
      <c r="A78" s="118" t="str">
        <f>_xlfn.CONCAT("Seed ", October_SotM[[#This Row],[Top Seed]], " vs ", October_SotM[[#This Row],[Low Seed]])</f>
        <v>Seed 3 vs 6</v>
      </c>
      <c r="B78" s="119">
        <v>5</v>
      </c>
      <c r="C78" s="119">
        <f>FLOOR(LOG(October_SotM[[#This Row],[Num]], 2), 1)</f>
        <v>2</v>
      </c>
      <c r="D78" s="119">
        <f>2^(October_SotM[[#This Row],[Round]]+1)</f>
        <v>8</v>
      </c>
      <c r="E78" s="119">
        <f>October_SotM[[#This Row],[Max Seed]]-October_SotM[[#This Row],[Num]]</f>
        <v>3</v>
      </c>
      <c r="F78" s="119">
        <f>October_SotM[[#This Row],[Max Seed]]-October_SotM[[#This Row],[Top Seed]]+1</f>
        <v>6</v>
      </c>
      <c r="G78" s="119" t="b">
        <f>IF(October_SotM[[#This Row],[Round]]=$C$72, TRUE(), IF(October_SotM[[#This Row],[Round]]=$B$72, October_SotM[[#This Row],[Top Seed]]&lt;=2*October_SotM[[#This Row],[Max Seed]]-$A$72, FALSE()))</f>
        <v>0</v>
      </c>
      <c r="H78" s="119" t="b">
        <f>IF(October_SotM[[#This Row],[Round]]=$C$72, TRUE(), IF(October_SotM[[#This Row],[Round]]=$B$72, October_SotM[[#This Row],[Low Seed]]&lt;=2*October_SotM[[#This Row],[Max Seed]]-$A$72, FALSE()))</f>
        <v>0</v>
      </c>
      <c r="I78" s="28" t="s">
        <v>4191</v>
      </c>
      <c r="J78" s="31"/>
      <c r="K78" s="33"/>
      <c r="L78" s="35" t="s">
        <v>4191</v>
      </c>
      <c r="M78" s="37"/>
      <c r="N78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Juna</v>
      </c>
      <c r="O78" s="118">
        <f>COUNTIF(October_SotM[[#This Row],[J]:[H]],"x")</f>
        <v>2</v>
      </c>
      <c r="P78" s="119" t="str">
        <f ca="1">IF(October_SotM[[#This Row],[Num]]&gt;=$A$72, "-", IF(October_SotM[[#This Row],[Score 1]]&gt;=3, October_SotM[[#This Row],[Song 1]], IF(October_SotM[[#This Row],[Score 2]]&gt;=3, October_SotM[[#This Row],[Song 2]], "TBD")))</f>
        <v>Someday</v>
      </c>
      <c r="Q78" s="121">
        <f>COUNTIF(October_SotM[[#This Row],[H ]:[J ]],"x")</f>
        <v>3</v>
      </c>
      <c r="R78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Someday</v>
      </c>
      <c r="S78" s="37" t="s">
        <v>4191</v>
      </c>
      <c r="T78" s="35"/>
      <c r="U78" s="33" t="s">
        <v>4191</v>
      </c>
      <c r="V78" s="31" t="s">
        <v>4191</v>
      </c>
      <c r="W78" s="28"/>
      <c r="X78" s="119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78" s="109">
        <f t="shared" si="21"/>
        <v>5</v>
      </c>
      <c r="AA78" s="85">
        <v>45574</v>
      </c>
      <c r="AB78" t="str">
        <v>danram</v>
      </c>
      <c r="AC78" s="3">
        <v>1.8</v>
      </c>
      <c r="AD78" s="86">
        <v>0.74833147735478833</v>
      </c>
      <c r="AE78" s="123" t="str">
        <v>遙か彼方</v>
      </c>
      <c r="AF78" t="str">
        <v>Asian Kung-Fu Generation</v>
      </c>
      <c r="AG78" s="100">
        <f t="shared" si="22"/>
        <v>5</v>
      </c>
      <c r="AI78" s="141">
        <f>October_SotM[[#This Row],[Max Seed]]/2 + 1</f>
        <v>5</v>
      </c>
      <c r="AJ78" s="135" t="str">
        <f ca="1">IF(October_SotM[[#This Row],[Num]]&gt;=$A$72, "-", IF(October_SotM[[#This Row],[Score 1]]&gt;=3, October_SotM[[#This Row],[Song 2]], IF(October_SotM[[#This Row],[Score 2]]&gt;=3, October_SotM[[#This Row],[Song 1]], "TBD")))</f>
        <v>Juna</v>
      </c>
      <c r="AK78" s="124">
        <f ca="1">IFERROR(VLOOKUP(October_Results[[#This Row],[Song Title]], $AE$73:$AG$91, 3, FALSE)-October_Results[[#This Row],[Result]], "TBD")</f>
        <v>4</v>
      </c>
      <c r="AL78" s="125" t="str">
        <f ca="1">IF(October_Results[[#This Row],[Diff]]&lt;0,"↓",IF(October_Results[[#This Row],[Diff]]=0,"-","↑"))</f>
        <v>↑</v>
      </c>
    </row>
    <row r="79" spans="1:38" ht="15" customHeight="1">
      <c r="A79" s="118" t="str">
        <f>_xlfn.CONCAT("Seed ", October_SotM[[#This Row],[Top Seed]], " vs ", October_SotM[[#This Row],[Low Seed]])</f>
        <v>Seed 2 vs 7</v>
      </c>
      <c r="B79" s="119">
        <v>6</v>
      </c>
      <c r="C79" s="119">
        <f>FLOOR(LOG(October_SotM[[#This Row],[Num]], 2), 1)</f>
        <v>2</v>
      </c>
      <c r="D79" s="119">
        <f>2^(October_SotM[[#This Row],[Round]]+1)</f>
        <v>8</v>
      </c>
      <c r="E79" s="119">
        <f>October_SotM[[#This Row],[Max Seed]]-October_SotM[[#This Row],[Num]]</f>
        <v>2</v>
      </c>
      <c r="F79" s="119">
        <f>October_SotM[[#This Row],[Max Seed]]-October_SotM[[#This Row],[Top Seed]]+1</f>
        <v>7</v>
      </c>
      <c r="G79" s="119" t="b">
        <f>IF(October_SotM[[#This Row],[Round]]=$C$72, TRUE(), IF(October_SotM[[#This Row],[Round]]=$B$72, October_SotM[[#This Row],[Top Seed]]&lt;=2*October_SotM[[#This Row],[Max Seed]]-$A$72, FALSE()))</f>
        <v>0</v>
      </c>
      <c r="H79" s="119" t="b">
        <f>IF(October_SotM[[#This Row],[Round]]=$C$72, TRUE(), IF(October_SotM[[#This Row],[Round]]=$B$72, October_SotM[[#This Row],[Low Seed]]&lt;=2*October_SotM[[#This Row],[Max Seed]]-$A$72, FALSE()))</f>
        <v>0</v>
      </c>
      <c r="I79" s="28"/>
      <c r="J79" s="31" t="s">
        <v>4191</v>
      </c>
      <c r="K79" s="33" t="s">
        <v>4191</v>
      </c>
      <c r="L79" s="35"/>
      <c r="M79" s="37" t="s">
        <v>4191</v>
      </c>
      <c r="N79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Kiss Me Thru The Phone</v>
      </c>
      <c r="O79" s="118">
        <f>COUNTIF(October_SotM[[#This Row],[J]:[H]],"x")</f>
        <v>3</v>
      </c>
      <c r="P79" s="119" t="str">
        <f ca="1">IF(October_SotM[[#This Row],[Num]]&gt;=$A$72, "-", IF(October_SotM[[#This Row],[Score 1]]&gt;=3, October_SotM[[#This Row],[Song 1]], IF(October_SotM[[#This Row],[Score 2]]&gt;=3, October_SotM[[#This Row],[Song 2]], "TBD")))</f>
        <v>Kiss Me Thru The Phone</v>
      </c>
      <c r="Q79" s="121">
        <f>COUNTIF(October_SotM[[#This Row],[H ]:[J ]],"x")</f>
        <v>2</v>
      </c>
      <c r="R79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Homecoming</v>
      </c>
      <c r="S79" s="37"/>
      <c r="T79" s="35" t="s">
        <v>4191</v>
      </c>
      <c r="U79" s="33"/>
      <c r="V79" s="31"/>
      <c r="W79" s="28" t="s">
        <v>4191</v>
      </c>
      <c r="X79" s="119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79" s="109">
        <f t="shared" si="21"/>
        <v>16</v>
      </c>
      <c r="AA79" s="85">
        <v>45575</v>
      </c>
      <c r="AB79" t="str">
        <v>samuelbattista</v>
      </c>
      <c r="AC79" s="3">
        <v>2.6</v>
      </c>
      <c r="AD79" s="86">
        <v>1.3564659966250536</v>
      </c>
      <c r="AE79" s="123" t="str">
        <v>Noddin'</v>
      </c>
      <c r="AF79" t="str">
        <v>Millennial Trash</v>
      </c>
      <c r="AG79" s="100">
        <f t="shared" si="22"/>
        <v>9</v>
      </c>
      <c r="AI79" s="141">
        <f>October_SotM[[#This Row],[Max Seed]]/2 + 1</f>
        <v>5</v>
      </c>
      <c r="AJ79" s="135" t="str">
        <f ca="1">IF(October_SotM[[#This Row],[Num]]&gt;=$A$72, "-", IF(October_SotM[[#This Row],[Score 1]]&gt;=3, October_SotM[[#This Row],[Song 2]], IF(October_SotM[[#This Row],[Score 2]]&gt;=3, October_SotM[[#This Row],[Song 1]], "TBD")))</f>
        <v>Homecoming</v>
      </c>
      <c r="AK79" s="124">
        <f ca="1">IFERROR(VLOOKUP(October_Results[[#This Row],[Song Title]], $AE$73:$AG$91, 3, FALSE)-October_Results[[#This Row],[Result]], "TBD")</f>
        <v>4</v>
      </c>
      <c r="AL79" s="125" t="str">
        <f ca="1">IF(October_Results[[#This Row],[Diff]]&lt;0,"↓",IF(October_Results[[#This Row],[Diff]]=0,"-","↑"))</f>
        <v>↑</v>
      </c>
    </row>
    <row r="80" spans="1:38" ht="15" customHeight="1">
      <c r="A80" s="118" t="str">
        <f>_xlfn.CONCAT("Seed ", October_SotM[[#This Row],[Top Seed]], " vs ", October_SotM[[#This Row],[Low Seed]])</f>
        <v>Seed 1 vs 8</v>
      </c>
      <c r="B80" s="119">
        <v>7</v>
      </c>
      <c r="C80" s="119">
        <f>FLOOR(LOG(October_SotM[[#This Row],[Num]], 2), 1)</f>
        <v>2</v>
      </c>
      <c r="D80" s="119">
        <f>2^(October_SotM[[#This Row],[Round]]+1)</f>
        <v>8</v>
      </c>
      <c r="E80" s="119">
        <f>October_SotM[[#This Row],[Max Seed]]-October_SotM[[#This Row],[Num]]</f>
        <v>1</v>
      </c>
      <c r="F80" s="119">
        <f>October_SotM[[#This Row],[Max Seed]]-October_SotM[[#This Row],[Top Seed]]+1</f>
        <v>8</v>
      </c>
      <c r="G80" s="119" t="b">
        <f>IF(October_SotM[[#This Row],[Round]]=$C$72, TRUE(), IF(October_SotM[[#This Row],[Round]]=$B$72, October_SotM[[#This Row],[Top Seed]]&lt;=2*October_SotM[[#This Row],[Max Seed]]-$A$72, FALSE()))</f>
        <v>0</v>
      </c>
      <c r="H80" s="119" t="b">
        <f>IF(October_SotM[[#This Row],[Round]]=$C$72, TRUE(), IF(October_SotM[[#This Row],[Round]]=$B$72, October_SotM[[#This Row],[Low Seed]]&lt;=2*October_SotM[[#This Row],[Max Seed]]-$A$72, FALSE()))</f>
        <v>0</v>
      </c>
      <c r="I80" s="28" t="s">
        <v>4191</v>
      </c>
      <c r="J80" s="31" t="s">
        <v>4191</v>
      </c>
      <c r="K80" s="33" t="s">
        <v>4191</v>
      </c>
      <c r="L80" s="35"/>
      <c r="M80" s="37"/>
      <c r="N80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Let's Groove</v>
      </c>
      <c r="O80" s="118">
        <f>COUNTIF(October_SotM[[#This Row],[J]:[H]],"x")</f>
        <v>3</v>
      </c>
      <c r="P80" s="119" t="str">
        <f ca="1">IF(October_SotM[[#This Row],[Num]]&gt;=$A$72, "-", IF(October_SotM[[#This Row],[Score 1]]&gt;=3, October_SotM[[#This Row],[Song 1]], IF(October_SotM[[#This Row],[Score 2]]&gt;=3, October_SotM[[#This Row],[Song 2]], "TBD")))</f>
        <v>Let's Groove</v>
      </c>
      <c r="Q80" s="121">
        <f>COUNTIF(October_SotM[[#This Row],[H ]:[J ]],"x")</f>
        <v>2</v>
      </c>
      <c r="R80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Bring Me To Life</v>
      </c>
      <c r="S80" s="37" t="s">
        <v>4191</v>
      </c>
      <c r="T80" s="35" t="s">
        <v>4191</v>
      </c>
      <c r="U80" s="33"/>
      <c r="V80" s="31"/>
      <c r="W80" s="28"/>
      <c r="X80" s="119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80" s="109">
        <f t="shared" si="21"/>
        <v>3</v>
      </c>
      <c r="AA80" s="85">
        <v>45579</v>
      </c>
      <c r="AB80" t="str">
        <v>loganworsdell</v>
      </c>
      <c r="AC80" s="3">
        <v>1.8</v>
      </c>
      <c r="AD80" s="86">
        <v>0.4</v>
      </c>
      <c r="AE80" s="123" t="str">
        <v>The Number You Have Dialed Is Not in Service</v>
      </c>
      <c r="AF80" t="str">
        <v>$uicideboy$</v>
      </c>
      <c r="AG80" s="100">
        <f t="shared" si="22"/>
        <v>3</v>
      </c>
      <c r="AI80" s="141">
        <f>October_SotM[[#This Row],[Max Seed]]/2 + 1</f>
        <v>5</v>
      </c>
      <c r="AJ80" s="135" t="str">
        <f ca="1">IF(October_SotM[[#This Row],[Num]]&gt;=$A$72, "-", IF(October_SotM[[#This Row],[Score 1]]&gt;=3, October_SotM[[#This Row],[Song 2]], IF(October_SotM[[#This Row],[Score 2]]&gt;=3, October_SotM[[#This Row],[Song 1]], "TBD")))</f>
        <v>Bring Me To Life</v>
      </c>
      <c r="AK80" s="124">
        <f ca="1">IFERROR(VLOOKUP(October_Results[[#This Row],[Song Title]], $AE$73:$AG$91, 3, FALSE)-October_Results[[#This Row],[Result]], "TBD")</f>
        <v>4</v>
      </c>
      <c r="AL80" s="125" t="str">
        <f ca="1">IF(October_Results[[#This Row],[Diff]]&lt;0,"↓",IF(October_Results[[#This Row],[Diff]]=0,"-","↑"))</f>
        <v>↑</v>
      </c>
    </row>
    <row r="81" spans="1:38" ht="15" customHeight="1">
      <c r="A81" s="118" t="str">
        <f>_xlfn.CONCAT("Seed ", October_SotM[[#This Row],[Top Seed]], " vs ", October_SotM[[#This Row],[Low Seed]])</f>
        <v>Seed 8 vs 9</v>
      </c>
      <c r="B81" s="119">
        <v>8</v>
      </c>
      <c r="C81" s="119">
        <f>FLOOR(LOG(October_SotM[[#This Row],[Num]], 2), 1)</f>
        <v>3</v>
      </c>
      <c r="D81" s="119">
        <f>2^(October_SotM[[#This Row],[Round]]+1)</f>
        <v>16</v>
      </c>
      <c r="E81" s="119">
        <f>October_SotM[[#This Row],[Max Seed]]-October_SotM[[#This Row],[Num]]</f>
        <v>8</v>
      </c>
      <c r="F81" s="119">
        <f>October_SotM[[#This Row],[Max Seed]]-October_SotM[[#This Row],[Top Seed]]+1</f>
        <v>9</v>
      </c>
      <c r="G81" s="119" t="b">
        <f>IF(October_SotM[[#This Row],[Round]]=$C$72, TRUE(), IF(October_SotM[[#This Row],[Round]]=$B$72, October_SotM[[#This Row],[Top Seed]]&lt;=2*October_SotM[[#This Row],[Max Seed]]-$A$72, FALSE()))</f>
        <v>1</v>
      </c>
      <c r="H81" s="119" t="b">
        <f>IF(October_SotM[[#This Row],[Round]]=$C$72, TRUE(), IF(October_SotM[[#This Row],[Round]]=$B$72, October_SotM[[#This Row],[Low Seed]]&lt;=2*October_SotM[[#This Row],[Max Seed]]-$A$72, FALSE()))</f>
        <v>1</v>
      </c>
      <c r="I81" s="28" t="s">
        <v>4191</v>
      </c>
      <c r="J81" s="31"/>
      <c r="K81" s="33"/>
      <c r="L81" s="35"/>
      <c r="M81" s="37" t="s">
        <v>4191</v>
      </c>
      <c r="N81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FEELING LUCKY</v>
      </c>
      <c r="O81" s="118">
        <f>COUNTIF(October_SotM[[#This Row],[J]:[H]],"x")</f>
        <v>2</v>
      </c>
      <c r="P81" s="119" t="str">
        <f ca="1">IF(October_SotM[[#This Row],[Num]]&gt;=$A$72, "-", IF(October_SotM[[#This Row],[Score 1]]&gt;=3, October_SotM[[#This Row],[Song 1]], IF(October_SotM[[#This Row],[Score 2]]&gt;=3, October_SotM[[#This Row],[Song 2]], "TBD")))</f>
        <v>Bring Me To Life</v>
      </c>
      <c r="Q81" s="121">
        <f>COUNTIF(October_SotM[[#This Row],[H ]:[J ]],"x")</f>
        <v>3</v>
      </c>
      <c r="R81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Bring Me To Life</v>
      </c>
      <c r="S81" s="37"/>
      <c r="T81" s="35" t="s">
        <v>4191</v>
      </c>
      <c r="U81" s="33" t="s">
        <v>4191</v>
      </c>
      <c r="V81" s="31" t="s">
        <v>4191</v>
      </c>
      <c r="W81" s="28"/>
      <c r="X81" s="119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81" s="109">
        <f t="shared" si="21"/>
        <v>13</v>
      </c>
      <c r="AA81" s="85">
        <v>45580</v>
      </c>
      <c r="AB81" t="str">
        <v>danram</v>
      </c>
      <c r="AC81" s="3">
        <v>2.2000000000000002</v>
      </c>
      <c r="AD81" s="86">
        <v>1.1661903789690602</v>
      </c>
      <c r="AE81" s="123" t="str">
        <v>A Little Respect</v>
      </c>
      <c r="AF81" t="str">
        <v>Erasure</v>
      </c>
      <c r="AG81" s="100">
        <f t="shared" si="22"/>
        <v>9</v>
      </c>
      <c r="AI81" s="141">
        <f>October_SotM[[#This Row],[Max Seed]]/2 + 1</f>
        <v>9</v>
      </c>
      <c r="AJ81" s="135" t="str">
        <f ca="1">IF(October_SotM[[#This Row],[Num]]&gt;=$A$72, "-", IF(October_SotM[[#This Row],[Score 1]]&gt;=3, October_SotM[[#This Row],[Song 2]], IF(October_SotM[[#This Row],[Score 2]]&gt;=3, October_SotM[[#This Row],[Song 1]], "TBD")))</f>
        <v>FEELING LUCKY</v>
      </c>
      <c r="AK81" s="124">
        <f ca="1">IFERROR(VLOOKUP(October_Results[[#This Row],[Song Title]], $AE$73:$AG$91, 3, FALSE)-October_Results[[#This Row],[Result]], "TBD")</f>
        <v>-4</v>
      </c>
      <c r="AL81" s="125" t="str">
        <f ca="1">IF(October_Results[[#This Row],[Diff]]&lt;0,"↓",IF(October_Results[[#This Row],[Diff]]=0,"-","↑"))</f>
        <v>↓</v>
      </c>
    </row>
    <row r="82" spans="1:38" ht="15" customHeight="1">
      <c r="A82" s="118" t="str">
        <f>_xlfn.CONCAT("Seed ", October_SotM[[#This Row],[Top Seed]], " vs ", October_SotM[[#This Row],[Low Seed]])</f>
        <v>Seed 7 vs 10</v>
      </c>
      <c r="B82" s="119">
        <v>9</v>
      </c>
      <c r="C82" s="119">
        <f>FLOOR(LOG(October_SotM[[#This Row],[Num]], 2), 1)</f>
        <v>3</v>
      </c>
      <c r="D82" s="119">
        <f>2^(October_SotM[[#This Row],[Round]]+1)</f>
        <v>16</v>
      </c>
      <c r="E82" s="119">
        <f>October_SotM[[#This Row],[Max Seed]]-October_SotM[[#This Row],[Num]]</f>
        <v>7</v>
      </c>
      <c r="F82" s="119">
        <f>October_SotM[[#This Row],[Max Seed]]-October_SotM[[#This Row],[Top Seed]]+1</f>
        <v>10</v>
      </c>
      <c r="G82" s="119" t="b">
        <f>IF(October_SotM[[#This Row],[Round]]=$C$72, TRUE(), IF(October_SotM[[#This Row],[Round]]=$B$72, October_SotM[[#This Row],[Top Seed]]&lt;=2*October_SotM[[#This Row],[Max Seed]]-$A$72, FALSE()))</f>
        <v>1</v>
      </c>
      <c r="H82" s="119" t="b">
        <f>IF(October_SotM[[#This Row],[Round]]=$C$72, TRUE(), IF(October_SotM[[#This Row],[Round]]=$B$72, October_SotM[[#This Row],[Low Seed]]&lt;=2*October_SotM[[#This Row],[Max Seed]]-$A$72, FALSE()))</f>
        <v>1</v>
      </c>
      <c r="I82" s="28"/>
      <c r="J82" s="31"/>
      <c r="K82" s="33" t="s">
        <v>4191</v>
      </c>
      <c r="L82" s="35" t="s">
        <v>4191</v>
      </c>
      <c r="M82" s="37"/>
      <c r="N82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places to be</v>
      </c>
      <c r="O82" s="118">
        <f>COUNTIF(October_SotM[[#This Row],[J]:[H]],"x")</f>
        <v>2</v>
      </c>
      <c r="P82" s="119" t="str">
        <f ca="1">IF(October_SotM[[#This Row],[Num]]&gt;=$A$72, "-", IF(October_SotM[[#This Row],[Score 1]]&gt;=3, October_SotM[[#This Row],[Song 1]], IF(October_SotM[[#This Row],[Score 2]]&gt;=3, October_SotM[[#This Row],[Song 2]], "TBD")))</f>
        <v>Homecoming</v>
      </c>
      <c r="Q82" s="121">
        <f>COUNTIF(October_SotM[[#This Row],[H ]:[J ]],"x")</f>
        <v>3</v>
      </c>
      <c r="R82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Homecoming</v>
      </c>
      <c r="S82" s="37" t="s">
        <v>4191</v>
      </c>
      <c r="T82" s="35"/>
      <c r="U82" s="33"/>
      <c r="V82" s="31" t="s">
        <v>4191</v>
      </c>
      <c r="W82" s="28" t="s">
        <v>4191</v>
      </c>
      <c r="X82" s="119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82" s="109">
        <f t="shared" si="21"/>
        <v>7</v>
      </c>
      <c r="AA82" s="85">
        <v>45581</v>
      </c>
      <c r="AB82" t="str">
        <v>loganworsdell</v>
      </c>
      <c r="AC82" s="3">
        <v>2</v>
      </c>
      <c r="AD82" s="86">
        <v>0.63245553203367588</v>
      </c>
      <c r="AE82" s="123" t="str">
        <v>places to be</v>
      </c>
      <c r="AF82" t="str">
        <v>Fred again.., Anderson. Paak, CHIKA</v>
      </c>
      <c r="AG82" s="100">
        <f t="shared" si="22"/>
        <v>5</v>
      </c>
      <c r="AI82" s="141">
        <f>October_SotM[[#This Row],[Max Seed]]/2 + 1</f>
        <v>9</v>
      </c>
      <c r="AJ82" s="135" t="str">
        <f ca="1">IF(October_SotM[[#This Row],[Num]]&gt;=$A$72, "-", IF(October_SotM[[#This Row],[Score 1]]&gt;=3, October_SotM[[#This Row],[Song 2]], IF(October_SotM[[#This Row],[Score 2]]&gt;=3, October_SotM[[#This Row],[Song 1]], "TBD")))</f>
        <v>places to be</v>
      </c>
      <c r="AK82" s="124">
        <f ca="1">IFERROR(VLOOKUP(October_Results[[#This Row],[Song Title]], $AE$73:$AG$91, 3, FALSE)-October_Results[[#This Row],[Result]], "TBD")</f>
        <v>-4</v>
      </c>
      <c r="AL82" s="125" t="str">
        <f ca="1">IF(October_Results[[#This Row],[Diff]]&lt;0,"↓",IF(October_Results[[#This Row],[Diff]]=0,"-","↑"))</f>
        <v>↓</v>
      </c>
    </row>
    <row r="83" spans="1:38" ht="15" customHeight="1">
      <c r="A83" s="118" t="str">
        <f>_xlfn.CONCAT("Seed ", October_SotM[[#This Row],[Top Seed]], " vs ", October_SotM[[#This Row],[Low Seed]])</f>
        <v>Seed 6 vs 11</v>
      </c>
      <c r="B83" s="119">
        <v>10</v>
      </c>
      <c r="C83" s="119">
        <f>FLOOR(LOG(October_SotM[[#This Row],[Num]], 2), 1)</f>
        <v>3</v>
      </c>
      <c r="D83" s="119">
        <f>2^(October_SotM[[#This Row],[Round]]+1)</f>
        <v>16</v>
      </c>
      <c r="E83" s="119">
        <f>October_SotM[[#This Row],[Max Seed]]-October_SotM[[#This Row],[Num]]</f>
        <v>6</v>
      </c>
      <c r="F83" s="119">
        <f>October_SotM[[#This Row],[Max Seed]]-October_SotM[[#This Row],[Top Seed]]+1</f>
        <v>11</v>
      </c>
      <c r="G83" s="119" t="b">
        <f>IF(October_SotM[[#This Row],[Round]]=$C$72, TRUE(), IF(October_SotM[[#This Row],[Round]]=$B$72, October_SotM[[#This Row],[Top Seed]]&lt;=2*October_SotM[[#This Row],[Max Seed]]-$A$72, FALSE()))</f>
        <v>1</v>
      </c>
      <c r="H83" s="119" t="b">
        <f>IF(October_SotM[[#This Row],[Round]]=$C$72, TRUE(), IF(October_SotM[[#This Row],[Round]]=$B$72, October_SotM[[#This Row],[Low Seed]]&lt;=2*October_SotM[[#This Row],[Max Seed]]-$A$72, FALSE()))</f>
        <v>1</v>
      </c>
      <c r="I83" s="28" t="s">
        <v>4191</v>
      </c>
      <c r="J83" s="31"/>
      <c r="K83" s="33" t="s">
        <v>4191</v>
      </c>
      <c r="L83" s="35"/>
      <c r="M83" s="37"/>
      <c r="N83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QUE RICO CH**GAMOS</v>
      </c>
      <c r="O83" s="118">
        <f>COUNTIF(October_SotM[[#This Row],[J]:[H]],"x")</f>
        <v>2</v>
      </c>
      <c r="P83" s="119" t="str">
        <f ca="1">IF(October_SotM[[#This Row],[Num]]&gt;=$A$72, "-", IF(October_SotM[[#This Row],[Score 1]]&gt;=3, October_SotM[[#This Row],[Song 1]], IF(October_SotM[[#This Row],[Score 2]]&gt;=3, October_SotM[[#This Row],[Song 2]], "TBD")))</f>
        <v>Someday</v>
      </c>
      <c r="Q83" s="121">
        <f>COUNTIF(October_SotM[[#This Row],[H ]:[J ]],"x")</f>
        <v>3</v>
      </c>
      <c r="R83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Someday</v>
      </c>
      <c r="S83" s="37" t="s">
        <v>4191</v>
      </c>
      <c r="T83" s="35" t="s">
        <v>4191</v>
      </c>
      <c r="U83" s="33"/>
      <c r="V83" s="31" t="s">
        <v>4191</v>
      </c>
      <c r="W83" s="28"/>
      <c r="X83" s="119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83" s="109">
        <f t="shared" si="21"/>
        <v>12</v>
      </c>
      <c r="AA83" s="85">
        <v>45582</v>
      </c>
      <c r="AB83" t="str">
        <v>danram</v>
      </c>
      <c r="AC83" s="3">
        <v>2.2000000000000002</v>
      </c>
      <c r="AD83" s="86">
        <v>0.74833147735478833</v>
      </c>
      <c r="AE83" s="123" t="str">
        <v>Mon Amour - Remix</v>
      </c>
      <c r="AF83" t="str">
        <v>zzoilo, Aitana</v>
      </c>
      <c r="AG83" s="100">
        <f t="shared" si="22"/>
        <v>9</v>
      </c>
      <c r="AI83" s="141">
        <f>October_SotM[[#This Row],[Max Seed]]/2 + 1</f>
        <v>9</v>
      </c>
      <c r="AJ83" s="135" t="str">
        <f ca="1">IF(October_SotM[[#This Row],[Num]]&gt;=$A$72, "-", IF(October_SotM[[#This Row],[Score 1]]&gt;=3, October_SotM[[#This Row],[Song 2]], IF(October_SotM[[#This Row],[Score 2]]&gt;=3, October_SotM[[#This Row],[Song 1]], "TBD")))</f>
        <v>QUE RICO CH**GAMOS</v>
      </c>
      <c r="AK83" s="124">
        <f ca="1">IFERROR(VLOOKUP(October_Results[[#This Row],[Song Title]], $AE$73:$AG$91, 3, FALSE)-October_Results[[#This Row],[Result]], "TBD")</f>
        <v>-4</v>
      </c>
      <c r="AL83" s="125" t="str">
        <f ca="1">IF(October_Results[[#This Row],[Diff]]&lt;0,"↓",IF(October_Results[[#This Row],[Diff]]=0,"-","↑"))</f>
        <v>↓</v>
      </c>
    </row>
    <row r="84" spans="1:38" ht="15" customHeight="1">
      <c r="A84" s="118" t="str">
        <f>_xlfn.CONCAT("Seed ", October_SotM[[#This Row],[Top Seed]], " vs ", October_SotM[[#This Row],[Low Seed]])</f>
        <v>Seed 5 vs 12</v>
      </c>
      <c r="B84" s="119">
        <v>11</v>
      </c>
      <c r="C84" s="119">
        <f>FLOOR(LOG(October_SotM[[#This Row],[Num]], 2), 1)</f>
        <v>3</v>
      </c>
      <c r="D84" s="119">
        <f>2^(October_SotM[[#This Row],[Round]]+1)</f>
        <v>16</v>
      </c>
      <c r="E84" s="119">
        <f>October_SotM[[#This Row],[Max Seed]]-October_SotM[[#This Row],[Num]]</f>
        <v>5</v>
      </c>
      <c r="F84" s="119">
        <f>October_SotM[[#This Row],[Max Seed]]-October_SotM[[#This Row],[Top Seed]]+1</f>
        <v>12</v>
      </c>
      <c r="G84" s="119" t="b">
        <f>IF(October_SotM[[#This Row],[Round]]=$C$72, TRUE(), IF(October_SotM[[#This Row],[Round]]=$B$72, October_SotM[[#This Row],[Top Seed]]&lt;=2*October_SotM[[#This Row],[Max Seed]]-$A$72, FALSE()))</f>
        <v>1</v>
      </c>
      <c r="H84" s="119" t="b">
        <f>IF(October_SotM[[#This Row],[Round]]=$C$72, TRUE(), IF(October_SotM[[#This Row],[Round]]=$B$72, October_SotM[[#This Row],[Low Seed]]&lt;=2*October_SotM[[#This Row],[Max Seed]]-$A$72, FALSE()))</f>
        <v>1</v>
      </c>
      <c r="I84" s="28"/>
      <c r="J84" s="31" t="s">
        <v>4191</v>
      </c>
      <c r="K84" s="33" t="s">
        <v>4191</v>
      </c>
      <c r="L84" s="35" t="s">
        <v>4191</v>
      </c>
      <c r="M84" s="37" t="s">
        <v>4191</v>
      </c>
      <c r="N84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遙か彼方</v>
      </c>
      <c r="O84" s="118">
        <f>COUNTIF(October_SotM[[#This Row],[J]:[H]],"x")</f>
        <v>4</v>
      </c>
      <c r="P84" s="119" t="str">
        <f ca="1">IF(October_SotM[[#This Row],[Num]]&gt;=$A$72, "-", IF(October_SotM[[#This Row],[Score 1]]&gt;=3, October_SotM[[#This Row],[Song 1]], IF(October_SotM[[#This Row],[Score 2]]&gt;=3, October_SotM[[#This Row],[Song 2]], "TBD")))</f>
        <v>遙か彼方</v>
      </c>
      <c r="Q84" s="121">
        <f>COUNTIF(October_SotM[[#This Row],[H ]:[J ]],"x")</f>
        <v>1</v>
      </c>
      <c r="R84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Mon Amour - Remix</v>
      </c>
      <c r="S84" s="37"/>
      <c r="T84" s="35"/>
      <c r="U84" s="33"/>
      <c r="V84" s="31"/>
      <c r="W84" s="28" t="s">
        <v>4191</v>
      </c>
      <c r="X84" s="119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84" s="109">
        <f t="shared" si="21"/>
        <v>6</v>
      </c>
      <c r="AA84" s="85">
        <v>45586</v>
      </c>
      <c r="AB84" t="str">
        <v>danram</v>
      </c>
      <c r="AC84" s="3">
        <v>1.8</v>
      </c>
      <c r="AD84" s="86">
        <v>0.74833147735478833</v>
      </c>
      <c r="AE84" s="123" t="str">
        <v>QUE RICO CH**GAMOS</v>
      </c>
      <c r="AF84" t="str">
        <v>Rauw Alejandro</v>
      </c>
      <c r="AG84" s="100">
        <f t="shared" si="22"/>
        <v>5</v>
      </c>
      <c r="AI84" s="141">
        <f>October_SotM[[#This Row],[Max Seed]]/2 + 1</f>
        <v>9</v>
      </c>
      <c r="AJ84" s="135" t="str">
        <f ca="1">IF(October_SotM[[#This Row],[Num]]&gt;=$A$72, "-", IF(October_SotM[[#This Row],[Score 1]]&gt;=3, October_SotM[[#This Row],[Song 2]], IF(October_SotM[[#This Row],[Score 2]]&gt;=3, October_SotM[[#This Row],[Song 1]], "TBD")))</f>
        <v>Mon Amour - Remix</v>
      </c>
      <c r="AK84" s="124">
        <f ca="1">IFERROR(VLOOKUP(October_Results[[#This Row],[Song Title]], $AE$73:$AG$91, 3, FALSE)-October_Results[[#This Row],[Result]], "TBD")</f>
        <v>0</v>
      </c>
      <c r="AL84" s="125" t="str">
        <f ca="1">IF(October_Results[[#This Row],[Diff]]&lt;0,"↓",IF(October_Results[[#This Row],[Diff]]=0,"-","↑"))</f>
        <v>-</v>
      </c>
    </row>
    <row r="85" spans="1:38" ht="15" customHeight="1">
      <c r="A85" s="118" t="str">
        <f>_xlfn.CONCAT("Seed ", October_SotM[[#This Row],[Top Seed]], " vs ", October_SotM[[#This Row],[Low Seed]])</f>
        <v>Seed 4 vs 13</v>
      </c>
      <c r="B85" s="119">
        <v>12</v>
      </c>
      <c r="C85" s="119">
        <f>FLOOR(LOG(October_SotM[[#This Row],[Num]], 2), 1)</f>
        <v>3</v>
      </c>
      <c r="D85" s="119">
        <f>2^(October_SotM[[#This Row],[Round]]+1)</f>
        <v>16</v>
      </c>
      <c r="E85" s="119">
        <f>October_SotM[[#This Row],[Max Seed]]-October_SotM[[#This Row],[Num]]</f>
        <v>4</v>
      </c>
      <c r="F85" s="119">
        <f>October_SotM[[#This Row],[Max Seed]]-October_SotM[[#This Row],[Top Seed]]+1</f>
        <v>13</v>
      </c>
      <c r="G85" s="119" t="b">
        <f>IF(October_SotM[[#This Row],[Round]]=$C$72, TRUE(), IF(October_SotM[[#This Row],[Round]]=$B$72, October_SotM[[#This Row],[Top Seed]]&lt;=2*October_SotM[[#This Row],[Max Seed]]-$A$72, FALSE()))</f>
        <v>1</v>
      </c>
      <c r="H85" s="119" t="b">
        <f>IF(October_SotM[[#This Row],[Round]]=$C$72, TRUE(), IF(October_SotM[[#This Row],[Round]]=$B$72, October_SotM[[#This Row],[Low Seed]]&lt;=2*October_SotM[[#This Row],[Max Seed]]-$A$72, FALSE()))</f>
        <v>1</v>
      </c>
      <c r="I85" s="28" t="s">
        <v>4191</v>
      </c>
      <c r="J85" s="31"/>
      <c r="K85" s="33" t="s">
        <v>4191</v>
      </c>
      <c r="L85" s="35"/>
      <c r="M85" s="37" t="s">
        <v>4191</v>
      </c>
      <c r="N85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What You Know</v>
      </c>
      <c r="O85" s="118">
        <f>COUNTIF(October_SotM[[#This Row],[J]:[H]],"x")</f>
        <v>3</v>
      </c>
      <c r="P85" s="119" t="str">
        <f ca="1">IF(October_SotM[[#This Row],[Num]]&gt;=$A$72, "-", IF(October_SotM[[#This Row],[Score 1]]&gt;=3, October_SotM[[#This Row],[Song 1]], IF(October_SotM[[#This Row],[Score 2]]&gt;=3, October_SotM[[#This Row],[Song 2]], "TBD")))</f>
        <v>What You Know</v>
      </c>
      <c r="Q85" s="121">
        <f>COUNTIF(October_SotM[[#This Row],[H ]:[J ]],"x")</f>
        <v>2</v>
      </c>
      <c r="R85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A Little Respect</v>
      </c>
      <c r="S85" s="37"/>
      <c r="T85" s="35" t="s">
        <v>4191</v>
      </c>
      <c r="U85" s="33"/>
      <c r="V85" s="31" t="s">
        <v>4191</v>
      </c>
      <c r="W85" s="28"/>
      <c r="X85" s="119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85" s="109">
        <f t="shared" si="21"/>
        <v>17</v>
      </c>
      <c r="AA85" s="85">
        <v>45587</v>
      </c>
      <c r="AB85" t="str">
        <v>loganworsdell</v>
      </c>
      <c r="AC85" s="3">
        <v>2.6</v>
      </c>
      <c r="AD85" s="86">
        <v>1.3564659966250536</v>
      </c>
      <c r="AE85" s="123" t="str">
        <v>Let's Groove</v>
      </c>
      <c r="AF85" t="str">
        <v>Earth, Wind &amp; Fire</v>
      </c>
      <c r="AG85" s="100">
        <f t="shared" si="22"/>
        <v>17</v>
      </c>
      <c r="AI85" s="141">
        <f>October_SotM[[#This Row],[Max Seed]]/2 + 1</f>
        <v>9</v>
      </c>
      <c r="AJ85" s="135" t="str">
        <f ca="1">IF(October_SotM[[#This Row],[Num]]&gt;=$A$72, "-", IF(October_SotM[[#This Row],[Score 1]]&gt;=3, October_SotM[[#This Row],[Song 2]], IF(October_SotM[[#This Row],[Score 2]]&gt;=3, October_SotM[[#This Row],[Song 1]], "TBD")))</f>
        <v>A Little Respect</v>
      </c>
      <c r="AK85" s="124">
        <f ca="1">IFERROR(VLOOKUP(October_Results[[#This Row],[Song Title]], $AE$73:$AG$91, 3, FALSE)-October_Results[[#This Row],[Result]], "TBD")</f>
        <v>0</v>
      </c>
      <c r="AL85" s="125" t="str">
        <f ca="1">IF(October_Results[[#This Row],[Diff]]&lt;0,"↓",IF(October_Results[[#This Row],[Diff]]=0,"-","↑"))</f>
        <v>-</v>
      </c>
    </row>
    <row r="86" spans="1:38" ht="15" customHeight="1">
      <c r="A86" s="118" t="str">
        <f>_xlfn.CONCAT("Seed ", October_SotM[[#This Row],[Top Seed]], " vs ", October_SotM[[#This Row],[Low Seed]])</f>
        <v>Seed 3 vs 14</v>
      </c>
      <c r="B86" s="119">
        <v>13</v>
      </c>
      <c r="C86" s="119">
        <f>FLOOR(LOG(October_SotM[[#This Row],[Num]], 2), 1)</f>
        <v>3</v>
      </c>
      <c r="D86" s="119">
        <f>2^(October_SotM[[#This Row],[Round]]+1)</f>
        <v>16</v>
      </c>
      <c r="E86" s="119">
        <f>October_SotM[[#This Row],[Max Seed]]-October_SotM[[#This Row],[Num]]</f>
        <v>3</v>
      </c>
      <c r="F86" s="119">
        <f>October_SotM[[#This Row],[Max Seed]]-October_SotM[[#This Row],[Top Seed]]+1</f>
        <v>14</v>
      </c>
      <c r="G86" s="119" t="b">
        <f>IF(October_SotM[[#This Row],[Round]]=$C$72, TRUE(), IF(October_SotM[[#This Row],[Round]]=$B$72, October_SotM[[#This Row],[Top Seed]]&lt;=2*October_SotM[[#This Row],[Max Seed]]-$A$72, FALSE()))</f>
        <v>1</v>
      </c>
      <c r="H86" s="119" t="b">
        <f>IF(October_SotM[[#This Row],[Round]]=$C$72, TRUE(), IF(October_SotM[[#This Row],[Round]]=$B$72, October_SotM[[#This Row],[Low Seed]]&lt;=2*October_SotM[[#This Row],[Max Seed]]-$A$72, FALSE()))</f>
        <v>0</v>
      </c>
      <c r="I86" s="28"/>
      <c r="J86" s="31"/>
      <c r="K86" s="33" t="s">
        <v>4191</v>
      </c>
      <c r="L86" s="35"/>
      <c r="M86" s="37"/>
      <c r="N86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The Number You Have Dialed Is Not in Service</v>
      </c>
      <c r="O86" s="118">
        <f>COUNTIF(October_SotM[[#This Row],[J]:[H]],"x")</f>
        <v>1</v>
      </c>
      <c r="P86" s="119" t="str">
        <f ca="1">IF(October_SotM[[#This Row],[Num]]&gt;=$A$72, "-", IF(October_SotM[[#This Row],[Score 1]]&gt;=3, October_SotM[[#This Row],[Song 1]], IF(October_SotM[[#This Row],[Score 2]]&gt;=3, October_SotM[[#This Row],[Song 2]], "TBD")))</f>
        <v>Juna</v>
      </c>
      <c r="Q86" s="121">
        <f>COUNTIF(October_SotM[[#This Row],[H ]:[J ]],"x")</f>
        <v>4</v>
      </c>
      <c r="R86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Juna</v>
      </c>
      <c r="S86" s="37" t="s">
        <v>4191</v>
      </c>
      <c r="T86" s="35" t="s">
        <v>4191</v>
      </c>
      <c r="U86" s="33"/>
      <c r="V86" s="31" t="s">
        <v>4191</v>
      </c>
      <c r="W86" s="28" t="s">
        <v>4191</v>
      </c>
      <c r="X86" s="119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86" s="109">
        <f t="shared" si="21"/>
        <v>9</v>
      </c>
      <c r="AA86" s="85">
        <v>45588</v>
      </c>
      <c r="AB86" t="str">
        <v>samuelbattista</v>
      </c>
      <c r="AC86" s="3">
        <v>2</v>
      </c>
      <c r="AD86" s="86">
        <v>1.0954451150103321</v>
      </c>
      <c r="AE86" s="123" t="str">
        <v>Bring Me To Life</v>
      </c>
      <c r="AF86" t="str">
        <v>Evanescence</v>
      </c>
      <c r="AG86" s="100">
        <f t="shared" si="22"/>
        <v>9</v>
      </c>
      <c r="AI86" s="141">
        <f>October_SotM[[#This Row],[Max Seed]]/2 + 1</f>
        <v>9</v>
      </c>
      <c r="AJ86" s="135" t="str">
        <f ca="1">IF(October_SotM[[#This Row],[Num]]&gt;=$A$72, "-", IF(October_SotM[[#This Row],[Score 1]]&gt;=3, October_SotM[[#This Row],[Song 2]], IF(October_SotM[[#This Row],[Score 2]]&gt;=3, October_SotM[[#This Row],[Song 1]], "TBD")))</f>
        <v>The Number You Have Dialed Is Not in Service</v>
      </c>
      <c r="AK86" s="124">
        <f ca="1">IFERROR(VLOOKUP(October_Results[[#This Row],[Song Title]], $AE$73:$AG$91, 3, FALSE)-October_Results[[#This Row],[Result]], "TBD")</f>
        <v>-6</v>
      </c>
      <c r="AL86" s="125" t="str">
        <f ca="1">IF(October_Results[[#This Row],[Diff]]&lt;0,"↓",IF(October_Results[[#This Row],[Diff]]=0,"-","↑"))</f>
        <v>↓</v>
      </c>
    </row>
    <row r="87" spans="1:38" ht="15" customHeight="1">
      <c r="A87" s="118" t="str">
        <f>_xlfn.CONCAT("Seed ", October_SotM[[#This Row],[Top Seed]], " vs ", October_SotM[[#This Row],[Low Seed]])</f>
        <v>Seed 2 vs 15</v>
      </c>
      <c r="B87" s="119">
        <v>14</v>
      </c>
      <c r="C87" s="119">
        <f>FLOOR(LOG(October_SotM[[#This Row],[Num]], 2), 1)</f>
        <v>3</v>
      </c>
      <c r="D87" s="119">
        <f>2^(October_SotM[[#This Row],[Round]]+1)</f>
        <v>16</v>
      </c>
      <c r="E87" s="119">
        <f>October_SotM[[#This Row],[Max Seed]]-October_SotM[[#This Row],[Num]]</f>
        <v>2</v>
      </c>
      <c r="F87" s="119">
        <f>October_SotM[[#This Row],[Max Seed]]-October_SotM[[#This Row],[Top Seed]]+1</f>
        <v>15</v>
      </c>
      <c r="G87" s="119" t="b">
        <f>IF(October_SotM[[#This Row],[Round]]=$C$72, TRUE(), IF(October_SotM[[#This Row],[Round]]=$B$72, October_SotM[[#This Row],[Top Seed]]&lt;=2*October_SotM[[#This Row],[Max Seed]]-$A$72, FALSE()))</f>
        <v>1</v>
      </c>
      <c r="H87" s="119" t="b">
        <f>IF(October_SotM[[#This Row],[Round]]=$C$72, TRUE(), IF(October_SotM[[#This Row],[Round]]=$B$72, October_SotM[[#This Row],[Low Seed]]&lt;=2*October_SotM[[#This Row],[Max Seed]]-$A$72, FALSE()))</f>
        <v>0</v>
      </c>
      <c r="I87" s="28"/>
      <c r="J87" s="31" t="s">
        <v>4191</v>
      </c>
      <c r="K87" s="33"/>
      <c r="L87" s="35" t="s">
        <v>4191</v>
      </c>
      <c r="M87" s="37" t="s">
        <v>4191</v>
      </c>
      <c r="N87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Kiss Me Thru The Phone</v>
      </c>
      <c r="O87" s="118">
        <f>COUNTIF(October_SotM[[#This Row],[J]:[H]],"x")</f>
        <v>3</v>
      </c>
      <c r="P87" s="119" t="str">
        <f ca="1">IF(October_SotM[[#This Row],[Num]]&gt;=$A$72, "-", IF(October_SotM[[#This Row],[Score 1]]&gt;=3, October_SotM[[#This Row],[Song 1]], IF(October_SotM[[#This Row],[Score 2]]&gt;=3, October_SotM[[#This Row],[Song 2]], "TBD")))</f>
        <v>Kiss Me Thru The Phone</v>
      </c>
      <c r="Q87" s="121">
        <f>COUNTIF(October_SotM[[#This Row],[H ]:[J ]],"x")</f>
        <v>2</v>
      </c>
      <c r="R87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It's Going Down Now</v>
      </c>
      <c r="S87" s="37"/>
      <c r="T87" s="35"/>
      <c r="U87" s="33" t="s">
        <v>4191</v>
      </c>
      <c r="V87" s="31"/>
      <c r="W87" s="28" t="s">
        <v>4191</v>
      </c>
      <c r="X87" s="119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87" s="109">
        <f t="shared" si="21"/>
        <v>1</v>
      </c>
      <c r="AA87" s="85">
        <v>45589</v>
      </c>
      <c r="AB87" t="str">
        <v>danram</v>
      </c>
      <c r="AC87" s="3">
        <v>1.6</v>
      </c>
      <c r="AD87" s="86">
        <v>0.8</v>
      </c>
      <c r="AE87" s="123" t="str">
        <v>P.Y.T.(Pretty Young Thing)</v>
      </c>
      <c r="AF87" t="str">
        <v>Michael Jackson</v>
      </c>
      <c r="AG87" s="100">
        <f t="shared" si="22"/>
        <v>1</v>
      </c>
      <c r="AI87" s="141">
        <f>October_SotM[[#This Row],[Max Seed]]/2 + 1</f>
        <v>9</v>
      </c>
      <c r="AJ87" s="135" t="str">
        <f ca="1">IF(October_SotM[[#This Row],[Num]]&gt;=$A$72, "-", IF(October_SotM[[#This Row],[Score 1]]&gt;=3, October_SotM[[#This Row],[Song 2]], IF(October_SotM[[#This Row],[Score 2]]&gt;=3, October_SotM[[#This Row],[Song 1]], "TBD")))</f>
        <v>It's Going Down Now</v>
      </c>
      <c r="AK87" s="124">
        <f ca="1">IFERROR(VLOOKUP(October_Results[[#This Row],[Song Title]], $AE$73:$AG$91, 3, FALSE)-October_Results[[#This Row],[Result]], "TBD")</f>
        <v>8</v>
      </c>
      <c r="AL87" s="125" t="str">
        <f ca="1">IF(October_Results[[#This Row],[Diff]]&lt;0,"↓",IF(October_Results[[#This Row],[Diff]]=0,"-","↑"))</f>
        <v>↑</v>
      </c>
    </row>
    <row r="88" spans="1:38" ht="15" customHeight="1">
      <c r="A88" s="118" t="str">
        <f>_xlfn.CONCAT("Seed ", October_SotM[[#This Row],[Top Seed]], " vs ", October_SotM[[#This Row],[Low Seed]])</f>
        <v>Seed 1 vs 16</v>
      </c>
      <c r="B88" s="119">
        <v>15</v>
      </c>
      <c r="C88" s="119">
        <f>FLOOR(LOG(October_SotM[[#This Row],[Num]], 2), 1)</f>
        <v>3</v>
      </c>
      <c r="D88" s="119">
        <f>2^(October_SotM[[#This Row],[Round]]+1)</f>
        <v>16</v>
      </c>
      <c r="E88" s="119">
        <f>October_SotM[[#This Row],[Max Seed]]-October_SotM[[#This Row],[Num]]</f>
        <v>1</v>
      </c>
      <c r="F88" s="119">
        <f>October_SotM[[#This Row],[Max Seed]]-October_SotM[[#This Row],[Top Seed]]+1</f>
        <v>16</v>
      </c>
      <c r="G88" s="119" t="b">
        <f>IF(October_SotM[[#This Row],[Round]]=$C$72, TRUE(), IF(October_SotM[[#This Row],[Round]]=$B$72, October_SotM[[#This Row],[Top Seed]]&lt;=2*October_SotM[[#This Row],[Max Seed]]-$A$72, FALSE()))</f>
        <v>1</v>
      </c>
      <c r="H88" s="119" t="b">
        <f>IF(October_SotM[[#This Row],[Round]]=$C$72, TRUE(), IF(October_SotM[[#This Row],[Round]]=$B$72, October_SotM[[#This Row],[Low Seed]]&lt;=2*October_SotM[[#This Row],[Max Seed]]-$A$72, FALSE()))</f>
        <v>0</v>
      </c>
      <c r="I88" s="28"/>
      <c r="J88" s="31" t="s">
        <v>4191</v>
      </c>
      <c r="K88" s="33"/>
      <c r="L88" s="35"/>
      <c r="M88" s="37" t="s">
        <v>4191</v>
      </c>
      <c r="N88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P.Y.T.(Pretty Young Thing)</v>
      </c>
      <c r="O88" s="118">
        <f>COUNTIF(October_SotM[[#This Row],[J]:[H]],"x")</f>
        <v>2</v>
      </c>
      <c r="P88" s="119" t="str">
        <f ca="1">IF(October_SotM[[#This Row],[Num]]&gt;=$A$72, "-", IF(October_SotM[[#This Row],[Score 1]]&gt;=3, October_SotM[[#This Row],[Song 1]], IF(October_SotM[[#This Row],[Score 2]]&gt;=3, October_SotM[[#This Row],[Song 2]], "TBD")))</f>
        <v>Let's Groove</v>
      </c>
      <c r="Q88" s="121">
        <f>COUNTIF(October_SotM[[#This Row],[H ]:[J ]],"x")</f>
        <v>3</v>
      </c>
      <c r="R88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Let's Groove</v>
      </c>
      <c r="S88" s="37"/>
      <c r="T88" s="35" t="s">
        <v>4191</v>
      </c>
      <c r="U88" s="33" t="s">
        <v>4191</v>
      </c>
      <c r="V88" s="31"/>
      <c r="W88" s="28" t="s">
        <v>4191</v>
      </c>
      <c r="X88" s="119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88" s="109">
        <f t="shared" si="21"/>
        <v>10</v>
      </c>
      <c r="AA88" s="85">
        <v>45593</v>
      </c>
      <c r="AB88" t="str">
        <v>alappatjoe</v>
      </c>
      <c r="AC88" s="3">
        <v>2</v>
      </c>
      <c r="AD88" s="86">
        <v>1.0954451150103321</v>
      </c>
      <c r="AE88" s="123" t="str">
        <v>Homecoming</v>
      </c>
      <c r="AF88" t="str">
        <v>Kanye West</v>
      </c>
      <c r="AG88" s="100">
        <f t="shared" si="22"/>
        <v>9</v>
      </c>
      <c r="AI88" s="141">
        <f>October_SotM[[#This Row],[Max Seed]]/2 + 1</f>
        <v>9</v>
      </c>
      <c r="AJ88" s="135" t="str">
        <f ca="1">IF(October_SotM[[#This Row],[Num]]&gt;=$A$72, "-", IF(October_SotM[[#This Row],[Score 1]]&gt;=3, October_SotM[[#This Row],[Song 2]], IF(October_SotM[[#This Row],[Score 2]]&gt;=3, October_SotM[[#This Row],[Song 1]], "TBD")))</f>
        <v>P.Y.T.(Pretty Young Thing)</v>
      </c>
      <c r="AK88" s="124">
        <f ca="1">IFERROR(VLOOKUP(October_Results[[#This Row],[Song Title]], $AE$73:$AG$91, 3, FALSE)-October_Results[[#This Row],[Result]], "TBD")</f>
        <v>-8</v>
      </c>
      <c r="AL88" s="125" t="str">
        <f ca="1">IF(October_Results[[#This Row],[Diff]]&lt;0,"↓",IF(October_Results[[#This Row],[Diff]]=0,"-","↑"))</f>
        <v>↓</v>
      </c>
    </row>
    <row r="89" spans="1:38" ht="15" customHeight="1">
      <c r="A89" s="118" t="str">
        <f>_xlfn.CONCAT("Seed ", October_SotM[[#This Row],[Top Seed]], " vs ", October_SotM[[#This Row],[Low Seed]])</f>
        <v>Seed 16 vs 17</v>
      </c>
      <c r="B89" s="119">
        <v>16</v>
      </c>
      <c r="C89" s="119">
        <f>FLOOR(LOG(October_SotM[[#This Row],[Num]], 2), 1)</f>
        <v>4</v>
      </c>
      <c r="D89" s="119">
        <f>2^(October_SotM[[#This Row],[Round]]+1)</f>
        <v>32</v>
      </c>
      <c r="E89" s="119">
        <f>October_SotM[[#This Row],[Max Seed]]-October_SotM[[#This Row],[Num]]</f>
        <v>16</v>
      </c>
      <c r="F89" s="119">
        <f>October_SotM[[#This Row],[Max Seed]]-October_SotM[[#This Row],[Top Seed]]+1</f>
        <v>17</v>
      </c>
      <c r="G89" s="119" t="b">
        <f>IF(October_SotM[[#This Row],[Round]]=$C$72, TRUE(), IF(October_SotM[[#This Row],[Round]]=$B$72, October_SotM[[#This Row],[Top Seed]]&lt;=2*October_SotM[[#This Row],[Max Seed]]-$A$72, FALSE()))</f>
        <v>1</v>
      </c>
      <c r="H89" s="119" t="b">
        <f>IF(October_SotM[[#This Row],[Round]]=$C$72, TRUE(), IF(October_SotM[[#This Row],[Round]]=$B$72, October_SotM[[#This Row],[Low Seed]]&lt;=2*October_SotM[[#This Row],[Max Seed]]-$A$72, FALSE()))</f>
        <v>1</v>
      </c>
      <c r="I89" s="28"/>
      <c r="J89" s="31"/>
      <c r="K89" s="33"/>
      <c r="L89" s="35" t="s">
        <v>4191</v>
      </c>
      <c r="M89" s="37" t="s">
        <v>4191</v>
      </c>
      <c r="N89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Noddin'</v>
      </c>
      <c r="O89" s="118">
        <f>COUNTIF(October_SotM[[#This Row],[J]:[H]],"x")</f>
        <v>2</v>
      </c>
      <c r="P89" s="119" t="str">
        <f ca="1">IF(October_SotM[[#This Row],[Num]]&gt;=$A$72, "-", IF(October_SotM[[#This Row],[Score 1]]&gt;=3, October_SotM[[#This Row],[Song 1]], IF(October_SotM[[#This Row],[Score 2]]&gt;=3, October_SotM[[#This Row],[Song 2]], "TBD")))</f>
        <v>Let's Groove</v>
      </c>
      <c r="Q89" s="121">
        <f>COUNTIF(October_SotM[[#This Row],[H ]:[J ]],"x")</f>
        <v>3</v>
      </c>
      <c r="R89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Let's Groove</v>
      </c>
      <c r="S89" s="37"/>
      <c r="T89" s="35"/>
      <c r="U89" s="33" t="s">
        <v>4191</v>
      </c>
      <c r="V89" s="31" t="s">
        <v>4191</v>
      </c>
      <c r="W89" s="28" t="s">
        <v>4191</v>
      </c>
      <c r="X89" s="119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89" s="109">
        <f t="shared" si="21"/>
        <v>18</v>
      </c>
      <c r="AA89" s="85">
        <v>45594</v>
      </c>
      <c r="AB89" t="str">
        <v>currydestroyer27</v>
      </c>
      <c r="AC89" s="3">
        <v>2.6</v>
      </c>
      <c r="AD89" s="86">
        <v>1.3564659966250536</v>
      </c>
      <c r="AE89" s="123" t="str">
        <v>It's Going Down Now</v>
      </c>
      <c r="AF89" t="str">
        <v>ATLUS GAME MUSIC, Lotus Juice,アトラスサウンドチーム, 高橋あず美</v>
      </c>
      <c r="AG89" s="100">
        <f t="shared" si="22"/>
        <v>17</v>
      </c>
      <c r="AI89" s="141">
        <f>October_SotM[[#This Row],[Max Seed]]/2 + 1</f>
        <v>17</v>
      </c>
      <c r="AJ89" s="135" t="str">
        <f ca="1">IF(October_SotM[[#This Row],[Num]]&gt;=$A$72, "-", IF(October_SotM[[#This Row],[Score 1]]&gt;=3, October_SotM[[#This Row],[Song 2]], IF(October_SotM[[#This Row],[Score 2]]&gt;=3, October_SotM[[#This Row],[Song 1]], "TBD")))</f>
        <v>Noddin'</v>
      </c>
      <c r="AK89" s="124">
        <f ca="1">IFERROR(VLOOKUP(October_Results[[#This Row],[Song Title]], $AE$73:$AG$91, 3, FALSE)-October_Results[[#This Row],[Result]], "TBD")</f>
        <v>-8</v>
      </c>
      <c r="AL89" s="125" t="str">
        <f ca="1">IF(October_Results[[#This Row],[Diff]]&lt;0,"↓",IF(October_Results[[#This Row],[Diff]]=0,"-","↑"))</f>
        <v>↓</v>
      </c>
    </row>
    <row r="90" spans="1:38" ht="15" customHeight="1">
      <c r="A90" s="118" t="str">
        <f>_xlfn.CONCAT("Seed ", October_SotM[[#This Row],[Top Seed]], " vs ", October_SotM[[#This Row],[Low Seed]])</f>
        <v>Seed 15 vs 18</v>
      </c>
      <c r="B90" s="119">
        <v>17</v>
      </c>
      <c r="C90" s="119">
        <f>FLOOR(LOG(October_SotM[[#This Row],[Num]], 2), 1)</f>
        <v>4</v>
      </c>
      <c r="D90" s="119">
        <f>2^(October_SotM[[#This Row],[Round]]+1)</f>
        <v>32</v>
      </c>
      <c r="E90" s="119">
        <f>October_SotM[[#This Row],[Max Seed]]-October_SotM[[#This Row],[Num]]</f>
        <v>15</v>
      </c>
      <c r="F90" s="119">
        <f>October_SotM[[#This Row],[Max Seed]]-October_SotM[[#This Row],[Top Seed]]+1</f>
        <v>18</v>
      </c>
      <c r="G90" s="119" t="b">
        <f>IF(October_SotM[[#This Row],[Round]]=$C$72, TRUE(), IF(October_SotM[[#This Row],[Round]]=$B$72, October_SotM[[#This Row],[Top Seed]]&lt;=2*October_SotM[[#This Row],[Max Seed]]-$A$72, FALSE()))</f>
        <v>1</v>
      </c>
      <c r="H90" s="119" t="b">
        <f>IF(October_SotM[[#This Row],[Round]]=$C$72, TRUE(), IF(October_SotM[[#This Row],[Round]]=$B$72, October_SotM[[#This Row],[Low Seed]]&lt;=2*October_SotM[[#This Row],[Max Seed]]-$A$72, FALSE()))</f>
        <v>1</v>
      </c>
      <c r="I90" s="28"/>
      <c r="J90" s="31" t="s">
        <v>4191</v>
      </c>
      <c r="K90" s="33"/>
      <c r="L90" s="35" t="s">
        <v>4191</v>
      </c>
      <c r="M90" s="37"/>
      <c r="N90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Teenage Dirtbag</v>
      </c>
      <c r="O90" s="118">
        <f>COUNTIF(October_SotM[[#This Row],[J]:[H]],"x")</f>
        <v>2</v>
      </c>
      <c r="P90" s="119" t="str">
        <f ca="1">IF(October_SotM[[#This Row],[Num]]&gt;=$A$72, "-", IF(October_SotM[[#This Row],[Score 1]]&gt;=3, October_SotM[[#This Row],[Song 1]], IF(October_SotM[[#This Row],[Score 2]]&gt;=3, October_SotM[[#This Row],[Song 2]], "TBD")))</f>
        <v>It's Going Down Now</v>
      </c>
      <c r="Q90" s="121">
        <f>COUNTIF(October_SotM[[#This Row],[H ]:[J ]],"x")</f>
        <v>3</v>
      </c>
      <c r="R90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It's Going Down Now</v>
      </c>
      <c r="S90" s="37" t="s">
        <v>4191</v>
      </c>
      <c r="T90" s="35"/>
      <c r="U90" s="33" t="s">
        <v>4191</v>
      </c>
      <c r="V90" s="31"/>
      <c r="W90" s="28" t="s">
        <v>4191</v>
      </c>
      <c r="X90" s="119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90" s="109">
        <f t="shared" si="21"/>
        <v>8</v>
      </c>
      <c r="AA90" s="85">
        <v>45595</v>
      </c>
      <c r="AB90" t="str">
        <v>loganworsdell</v>
      </c>
      <c r="AC90" s="3">
        <v>2</v>
      </c>
      <c r="AD90" s="86">
        <v>0.63245553203367588</v>
      </c>
      <c r="AE90" s="123" t="str">
        <v>FEELING LUCKY</v>
      </c>
      <c r="AF90" t="str">
        <v>berryblue</v>
      </c>
      <c r="AG90" s="100">
        <f t="shared" si="22"/>
        <v>5</v>
      </c>
      <c r="AI90" s="141">
        <f>October_SotM[[#This Row],[Max Seed]]/2 + 1</f>
        <v>17</v>
      </c>
      <c r="AJ90" s="135" t="str">
        <f ca="1">IF(October_SotM[[#This Row],[Num]]&gt;=$A$72, "-", IF(October_SotM[[#This Row],[Score 1]]&gt;=3, October_SotM[[#This Row],[Song 2]], IF(October_SotM[[#This Row],[Score 2]]&gt;=3, October_SotM[[#This Row],[Song 1]], "TBD")))</f>
        <v>Teenage Dirtbag</v>
      </c>
      <c r="AK90" s="124">
        <f ca="1">IFERROR(VLOOKUP(October_Results[[#This Row],[Song Title]], $AE$73:$AG$91, 3, FALSE)-October_Results[[#This Row],[Result]], "TBD")</f>
        <v>-8</v>
      </c>
      <c r="AL90" s="125" t="str">
        <f ca="1">IF(October_Results[[#This Row],[Diff]]&lt;0,"↓",IF(October_Results[[#This Row],[Diff]]=0,"-","↑"))</f>
        <v>↓</v>
      </c>
    </row>
    <row r="91" spans="1:38" ht="15" customHeight="1">
      <c r="A91" s="118" t="str">
        <f>_xlfn.CONCAT("Seed ", October_SotM[[#This Row],[Top Seed]], " vs ", October_SotM[[#This Row],[Low Seed]])</f>
        <v>Seed 14 vs 19</v>
      </c>
      <c r="B91" s="119">
        <v>18</v>
      </c>
      <c r="C91" s="119">
        <f>FLOOR(LOG(October_SotM[[#This Row],[Num]], 2), 1)</f>
        <v>4</v>
      </c>
      <c r="D91" s="119">
        <f>2^(October_SotM[[#This Row],[Round]]+1)</f>
        <v>32</v>
      </c>
      <c r="E91" s="119">
        <f>October_SotM[[#This Row],[Max Seed]]-October_SotM[[#This Row],[Num]]</f>
        <v>14</v>
      </c>
      <c r="F91" s="119">
        <f>October_SotM[[#This Row],[Max Seed]]-October_SotM[[#This Row],[Top Seed]]+1</f>
        <v>19</v>
      </c>
      <c r="G91" s="119" t="b">
        <f>IF(October_SotM[[#This Row],[Round]]=$C$72, TRUE(), IF(October_SotM[[#This Row],[Round]]=$B$72, October_SotM[[#This Row],[Top Seed]]&lt;=2*October_SotM[[#This Row],[Max Seed]]-$A$72, FALSE()))</f>
        <v>1</v>
      </c>
      <c r="H91" s="119" t="b">
        <f>IF(October_SotM[[#This Row],[Round]]=$C$72, TRUE(), IF(October_SotM[[#This Row],[Round]]=$B$72, October_SotM[[#This Row],[Low Seed]]&lt;=2*October_SotM[[#This Row],[Max Seed]]-$A$72, FALSE()))</f>
        <v>1</v>
      </c>
      <c r="I91" s="28"/>
      <c r="J91" s="31" t="s">
        <v>4191</v>
      </c>
      <c r="K91" s="33" t="s">
        <v>4191</v>
      </c>
      <c r="L91" s="35" t="s">
        <v>4191</v>
      </c>
      <c r="M91" s="37" t="s">
        <v>4191</v>
      </c>
      <c r="N91" s="120" t="str">
        <f ca="1">IF(October_SotM[[#This Row],[Num]]&gt;=$A$72, "-", IF(October_SotM[[#This Row],[Initial 1]], VLOOKUP(October_SotM[[#This Row],[Top Seed]], $Z$73:$AE$91, 6, FALSE), OFFSET(October_SotM[[#This Row],[Winner]], October_SotM[[#This Row],[Max Seed]], 0)))</f>
        <v>Juna</v>
      </c>
      <c r="O91" s="118">
        <f>COUNTIF(October_SotM[[#This Row],[J]:[H]],"x")</f>
        <v>4</v>
      </c>
      <c r="P91" s="119" t="str">
        <f ca="1">IF(October_SotM[[#This Row],[Num]]&gt;=$A$72, "-", IF(October_SotM[[#This Row],[Score 1]]&gt;=3, October_SotM[[#This Row],[Song 1]], IF(October_SotM[[#This Row],[Score 2]]&gt;=3, October_SotM[[#This Row],[Song 2]], "TBD")))</f>
        <v>Juna</v>
      </c>
      <c r="Q91" s="121">
        <f>COUNTIF(October_SotM[[#This Row],[H ]:[J ]],"x")</f>
        <v>1</v>
      </c>
      <c r="R91" s="118" t="str">
        <f ca="1">IF(October_SotM[[#This Row],[Num]]&gt;=$A$72, "-", IF(October_SotM[[#This Row],[Initial 2]], VLOOKUP(October_SotM[[#This Row],[Low Seed]], $Z$73:$AE$91, 6, FALSE), OFFSET(October_SotM[[#This Row],[Winner]], 2*(October_SotM[[#This Row],[Max Seed]]-October_SotM[[#This Row],[Low Seed]])+1, 0)))</f>
        <v>Spooky Scary Skeletons (Tombstone Remix)</v>
      </c>
      <c r="S91" s="37"/>
      <c r="T91" s="35"/>
      <c r="U91" s="33"/>
      <c r="V91" s="31"/>
      <c r="W91" s="28" t="s">
        <v>4191</v>
      </c>
      <c r="X91" s="129" t="str">
        <f ca="1">IF(OR(October_SotM[[#This Row],[Song 1]]="TBD", October_SotM[[#This Row],[Song 2]]="TBD"), "TBD", _xlfn.CONCAT(IF(_xlfn.XOR(ISBLANK(October_SotM[[#This Row],[J]]), ISBLANK(October_SotM[[#This Row],[J ]])), "", "J "), IF(_xlfn.XOR(ISBLANK(October_SotM[[#This Row],[D]]), ISBLANK(October_SotM[[#This Row],[D ]])), "", "D "), IF(_xlfn.XOR(ISBLANK(October_SotM[[#This Row],[L]]), ISBLANK(October_SotM[[#This Row],[L ]])), "", "L "), IF(_xlfn.XOR(ISBLANK(October_SotM[[#This Row],[S]]), ISBLANK(October_SotM[[#This Row],[S ]])), "", "S "), IF(_xlfn.XOR(ISBLANK(October_SotM[[#This Row],[H]]), ISBLANK(October_SotM[[#This Row],[H ]])), "", "H ")))</f>
        <v/>
      </c>
      <c r="Z91" s="110">
        <f t="shared" si="21"/>
        <v>19</v>
      </c>
      <c r="AA91" s="156">
        <v>45596</v>
      </c>
      <c r="AB91" s="157" t="str">
        <v>alappatjoe</v>
      </c>
      <c r="AC91" s="101">
        <v>2.6</v>
      </c>
      <c r="AD91" s="158">
        <v>1.3564659966250536</v>
      </c>
      <c r="AE91" s="159" t="str">
        <v>Spooky Scary Skeletons (Tombstone Remix)</v>
      </c>
      <c r="AF91" s="157" t="str">
        <v>Andrew Gold</v>
      </c>
      <c r="AG91" s="102">
        <f t="shared" si="22"/>
        <v>17</v>
      </c>
      <c r="AI91" s="141">
        <f>October_SotM[[#This Row],[Max Seed]]/2 + 1</f>
        <v>17</v>
      </c>
      <c r="AJ91" s="135" t="str">
        <f ca="1">IF(October_SotM[[#This Row],[Num]]&gt;=$A$72, "-", IF(October_SotM[[#This Row],[Score 1]]&gt;=3, October_SotM[[#This Row],[Song 2]], IF(October_SotM[[#This Row],[Score 2]]&gt;=3, October_SotM[[#This Row],[Song 1]], "TBD")))</f>
        <v>Spooky Scary Skeletons (Tombstone Remix)</v>
      </c>
      <c r="AK91" s="124">
        <f ca="1">IFERROR(VLOOKUP(October_Results[[#This Row],[Song Title]], $AE$73:$AG$91, 3, FALSE)-October_Results[[#This Row],[Result]], "TBD")</f>
        <v>0</v>
      </c>
      <c r="AL91" s="125" t="str">
        <f ca="1">IF(October_Results[[#This Row],[Diff]]&lt;0,"↓",IF(October_Results[[#This Row],[Diff]]=0,"-","↑"))</f>
        <v>-</v>
      </c>
    </row>
    <row r="93" spans="1:38" ht="15" customHeight="1">
      <c r="A93" s="301">
        <f>MAX(Z94:Z109)</f>
        <v>16</v>
      </c>
      <c r="B93" s="301">
        <f>FLOOR(LOG(A93, 2), 1)-1</f>
        <v>3</v>
      </c>
      <c r="C93" s="301">
        <f>_xlfn.CEILING.MATH(LOG(A93, 2), 1)-1</f>
        <v>3</v>
      </c>
      <c r="D93" s="301"/>
      <c r="E93" s="301"/>
      <c r="F93" s="301"/>
      <c r="G93" s="301"/>
      <c r="H93" s="301"/>
      <c r="I93" s="347" t="s">
        <v>4199</v>
      </c>
      <c r="J93" s="347"/>
      <c r="K93" s="347"/>
      <c r="L93" s="347"/>
      <c r="M93" s="347"/>
      <c r="N93" s="347"/>
      <c r="O93" s="347"/>
      <c r="P93" s="347"/>
      <c r="Q93" s="347"/>
      <c r="R93" s="347"/>
      <c r="S93" s="347"/>
      <c r="T93" s="347"/>
      <c r="U93" s="347"/>
      <c r="V93" s="347"/>
      <c r="W93" s="347"/>
      <c r="X93" s="301"/>
      <c r="Z93" s="148" t="s">
        <v>4163</v>
      </c>
      <c r="AA93" s="149" t="s">
        <v>29</v>
      </c>
      <c r="AB93" s="150" t="s">
        <v>32</v>
      </c>
      <c r="AC93" s="151" t="s">
        <v>33</v>
      </c>
      <c r="AD93" s="152" t="s">
        <v>34</v>
      </c>
      <c r="AE93" s="153" t="s">
        <v>4161</v>
      </c>
      <c r="AF93" s="154" t="s">
        <v>36</v>
      </c>
      <c r="AG93" s="155" t="s">
        <v>4164</v>
      </c>
      <c r="AI93" s="163" t="s">
        <v>4165</v>
      </c>
      <c r="AJ93" s="137" t="s">
        <v>35</v>
      </c>
      <c r="AK93" s="138" t="s">
        <v>4166</v>
      </c>
      <c r="AL93" s="139" t="s">
        <v>4167</v>
      </c>
    </row>
    <row r="94" spans="1:38" ht="15" customHeight="1">
      <c r="A94" s="301" t="s">
        <v>4168</v>
      </c>
      <c r="B94" s="301" t="s">
        <v>4169</v>
      </c>
      <c r="C94" s="301" t="s">
        <v>4170</v>
      </c>
      <c r="D94" s="301" t="s">
        <v>4171</v>
      </c>
      <c r="E94" s="301" t="s">
        <v>4172</v>
      </c>
      <c r="F94" s="301" t="s">
        <v>4173</v>
      </c>
      <c r="G94" s="133" t="s">
        <v>4174</v>
      </c>
      <c r="H94" s="133" t="s">
        <v>4175</v>
      </c>
      <c r="I94" s="133" t="s">
        <v>4176</v>
      </c>
      <c r="J94" s="133" t="s">
        <v>4177</v>
      </c>
      <c r="K94" s="133" t="s">
        <v>4178</v>
      </c>
      <c r="L94" s="133" t="s">
        <v>4179</v>
      </c>
      <c r="M94" s="133" t="s">
        <v>4180</v>
      </c>
      <c r="N94" s="301" t="s">
        <v>4181</v>
      </c>
      <c r="O94" s="133" t="s">
        <v>4182</v>
      </c>
      <c r="P94" s="301" t="s">
        <v>47</v>
      </c>
      <c r="Q94" s="133" t="s">
        <v>4183</v>
      </c>
      <c r="R94" s="301" t="s">
        <v>4184</v>
      </c>
      <c r="S94" s="133" t="s">
        <v>4185</v>
      </c>
      <c r="T94" s="133" t="s">
        <v>4186</v>
      </c>
      <c r="U94" s="133" t="s">
        <v>4187</v>
      </c>
      <c r="V94" s="133" t="s">
        <v>4188</v>
      </c>
      <c r="W94" s="133" t="s">
        <v>4189</v>
      </c>
      <c r="X94" s="133" t="s">
        <v>4190</v>
      </c>
      <c r="Z94" s="109">
        <f>IF(AC94&gt;0, COUNTIF(AC$94:AC$109, "&lt;"&amp;AC94) + COUNTIFS(AC$94:AC$109, AC94, AD$94:AD$109, "&lt;"&amp;AD94) + COUNTIFS(AC$94:AC$109, AC94, AD$94:AD$109, AD94, AA$94:AA$109, "&lt;"&amp;AA94) + 1, "TBD")</f>
        <v>15</v>
      </c>
      <c r="AA94" s="85" cm="1">
        <f t="array" ref="AA94:AF109">_xlfn._xlws.FILTER(Data[Date]:Data[Artist], (Data[Date]&gt;=DATE(2024,11,1))*(Data[Date]&lt;=DATE(2024,11,30))*(Data[Winner]=TRUE()), "TBD")</f>
        <v>45600</v>
      </c>
      <c r="AB94" s="123" t="str">
        <v>samuelbattista</v>
      </c>
      <c r="AC94" s="3">
        <v>2.6</v>
      </c>
      <c r="AD94" s="86">
        <v>1.3564659966250536</v>
      </c>
      <c r="AE94" s="123" t="str">
        <v>Phantom Island</v>
      </c>
      <c r="AF94" t="str">
        <v>King Gizzard &amp; The Lizard Wizard</v>
      </c>
      <c r="AG94" s="100">
        <f>IFERROR(IF(Z94&gt;1, 2^(FLOOR(LOG(Z94-1,2),1))+1, 1), "TBD")</f>
        <v>9</v>
      </c>
      <c r="AI94" s="140">
        <v>1</v>
      </c>
      <c r="AJ94" s="135" t="str">
        <f ca="1">P95</f>
        <v>Next Exit</v>
      </c>
      <c r="AK94" s="124">
        <f ca="1">IFERROR(VLOOKUP(November_Results[[#This Row],[Song Title]], $AE$94:$AG$109, 3, FALSE)-November_Results[[#This Row],[Result]], "TBD")</f>
        <v>0</v>
      </c>
      <c r="AL94" s="125" t="str">
        <f ca="1">IF(November_Results[[#This Row],[Diff]]&lt;0,"↓",IF(November_Results[[#This Row],[Diff]]=0,"-","↑"))</f>
        <v>-</v>
      </c>
    </row>
    <row r="95" spans="1:38" ht="15" customHeight="1">
      <c r="A95" s="131" t="str">
        <f>_xlfn.CONCAT("Seed ", November_SotM[[#This Row],[Top Seed]], " vs ", November_SotM[[#This Row],[Low Seed]])</f>
        <v>Seed 1 vs 2</v>
      </c>
      <c r="B95" s="129">
        <v>1</v>
      </c>
      <c r="C95" s="129">
        <f>FLOOR(LOG(November_SotM[[#This Row],[Num]], 2), 1)</f>
        <v>0</v>
      </c>
      <c r="D95" s="129">
        <f>2^(November_SotM[[#This Row],[Round]]+1)</f>
        <v>2</v>
      </c>
      <c r="E95" s="129">
        <f>November_SotM[[#This Row],[Max Seed]]-November_SotM[[#This Row],[Num]]</f>
        <v>1</v>
      </c>
      <c r="F95" s="129">
        <f>November_SotM[[#This Row],[Max Seed]]-November_SotM[[#This Row],[Top Seed]]+1</f>
        <v>2</v>
      </c>
      <c r="G95" s="129" t="b">
        <f>IF(November_SotM[[#This Row],[Round]]=$C$93, TRUE(), IF(November_SotM[[#This Row],[Round]]=$B$93, November_SotM[[#This Row],[Top Seed]]&lt;=2*November_SotM[[#This Row],[Max Seed]]-$A$93, FALSE()))</f>
        <v>0</v>
      </c>
      <c r="H95" s="129" t="b">
        <f>IF(November_SotM[[#This Row],[Round]]=$C$93, TRUE(), IF(November_SotM[[#This Row],[Round]]=$B$93, November_SotM[[#This Row],[Low Seed]]&lt;=2*November_SotM[[#This Row],[Max Seed]]-$A$93, FALSE()))</f>
        <v>0</v>
      </c>
      <c r="I95" s="65" t="s">
        <v>4191</v>
      </c>
      <c r="J95" s="66" t="s">
        <v>4191</v>
      </c>
      <c r="K95" s="67" t="s">
        <v>4191</v>
      </c>
      <c r="L95" s="68"/>
      <c r="M95" s="69"/>
      <c r="N95" s="130" t="str">
        <f ca="1">IF(November_SotM[[#This Row],[Num]]&gt;=$A$93, "-", IF(November_SotM[[#This Row],[Initial 1]], VLOOKUP(November_SotM[[#This Row],[Top Seed]], $Z$94:$AE$109, 6, FALSE), OFFSET(November_SotM[[#This Row],[Winner]], November_SotM[[#This Row],[Max Seed]], 0)))</f>
        <v>Next Exit</v>
      </c>
      <c r="O95" s="131">
        <f>COUNTIF(November_SotM[[#This Row],[J]:[H]],"x")</f>
        <v>3</v>
      </c>
      <c r="P95" s="129" t="str">
        <f ca="1">IF(November_SotM[[#This Row],[Num]]&gt;=$A$72, "-", IF(November_SotM[[#This Row],[Score 1]]&gt;=3, November_SotM[[#This Row],[Song 1]], IF(November_SotM[[#This Row],[Score 2]]&gt;=3, November_SotM[[#This Row],[Song 2]], "TBD")))</f>
        <v>Next Exit</v>
      </c>
      <c r="Q95" s="132">
        <f>COUNTIF(November_SotM[[#This Row],[H ]:[J ]],"x")</f>
        <v>2</v>
      </c>
      <c r="R95" s="131" t="str">
        <f ca="1">IF(November_SotM[[#This Row],[Num]]&gt;=$A$93, "-", IF(November_SotM[[#This Row],[Initial 2]], VLOOKUP(November_SotM[[#This Row],[Low Seed]], $Z$94:$AE$109, 6, FALSE), OFFSET(November_SotM[[#This Row],[Winner]], 2*(November_SotM[[#This Row],[Max Seed]]-November_SotM[[#This Row],[Low Seed]])+1, 0)))</f>
        <v>Welcome to the Black Parade</v>
      </c>
      <c r="S95" s="69" t="s">
        <v>4191</v>
      </c>
      <c r="T95" s="68" t="s">
        <v>4191</v>
      </c>
      <c r="U95" s="67"/>
      <c r="V95" s="66"/>
      <c r="W95" s="65"/>
      <c r="X95" s="3" t="str">
        <f ca="1">IF(OR(November_SotM[[#This Row],[Song 1]]="TBD", November_SotM[[#This Row],[Song 2]]="TBD"), "TBD", _xlfn.CONCAT(IF(_xlfn.XOR(ISBLANK(November_SotM[[#This Row],[J]]), ISBLANK(November_SotM[[#This Row],[J ]])), "", "J "), IF(_xlfn.XOR(ISBLANK(November_SotM[[#This Row],[D]]), ISBLANK(November_SotM[[#This Row],[D ]])), "", "D "), IF(_xlfn.XOR(ISBLANK(November_SotM[[#This Row],[L]]), ISBLANK(November_SotM[[#This Row],[L ]])), "", "L "), IF(_xlfn.XOR(ISBLANK(November_SotM[[#This Row],[S]]), ISBLANK(November_SotM[[#This Row],[S ]])), "", "S "), IF(_xlfn.XOR(ISBLANK(November_SotM[[#This Row],[H]]), ISBLANK(November_SotM[[#This Row],[H ]])), "", "H ")))</f>
        <v/>
      </c>
      <c r="Z95" s="109">
        <f t="shared" ref="Z95:Z109" si="23">IF(AC95&gt;0, COUNTIF(AC$94:AC$109, "&lt;"&amp;AC95) + COUNTIFS(AC$94:AC$109, AC95, AD$94:AD$109, "&lt;"&amp;AD95) + COUNTIFS(AC$94:AC$109, AC95, AD$94:AD$109, AD95, AA$94:AA$109, "&lt;"&amp;AA95) + 1, "TBD")</f>
        <v>2</v>
      </c>
      <c r="AA95" s="85">
        <v>45601</v>
      </c>
      <c r="AB95" s="123" t="str">
        <v>samuelbattista</v>
      </c>
      <c r="AC95" s="3">
        <v>1.8</v>
      </c>
      <c r="AD95" s="86">
        <v>0.9797958971132712</v>
      </c>
      <c r="AE95" s="123" t="str">
        <v>In the Party</v>
      </c>
      <c r="AF95" t="str">
        <v>Dev Lemons, Billy Lemos</v>
      </c>
      <c r="AG95" s="100">
        <f t="shared" ref="AG95:AG109" si="24">IFERROR(IF(Z95&gt;1, 2^(FLOOR(LOG(Z95-1,2),1))+1, 1), "TBD")</f>
        <v>2</v>
      </c>
      <c r="AI95" s="140">
        <f>November_SotM[[#This Row],[Max Seed]]/2 + 1</f>
        <v>2</v>
      </c>
      <c r="AJ95" s="135" t="str">
        <f ca="1">IF(November_SotM[[#This Row],[Num]]&gt;=$A$72, "-", IF(November_SotM[[#This Row],[Score 1]]&gt;=3, November_SotM[[#This Row],[Song 2]], IF(November_SotM[[#This Row],[Score 2]]&gt;=3, November_SotM[[#This Row],[Song 1]], "TBD")))</f>
        <v>Welcome to the Black Parade</v>
      </c>
      <c r="AK95" s="124">
        <f ca="1">IFERROR(VLOOKUP(November_Results[[#This Row],[Song Title]], $AE$94:$AG$109, 3, FALSE)-November_Results[[#This Row],[Result]], "TBD")</f>
        <v>7</v>
      </c>
      <c r="AL95" s="125" t="str">
        <f ca="1">IF(November_Results[[#This Row],[Diff]]&lt;0,"↓",IF(November_Results[[#This Row],[Diff]]=0,"-","↑"))</f>
        <v>↑</v>
      </c>
    </row>
    <row r="96" spans="1:38" ht="15" customHeight="1">
      <c r="A96" s="131" t="str">
        <f>_xlfn.CONCAT("Seed ", November_SotM[[#This Row],[Top Seed]], " vs ", November_SotM[[#This Row],[Low Seed]])</f>
        <v>Seed 2 vs 3</v>
      </c>
      <c r="B96" s="129">
        <v>2</v>
      </c>
      <c r="C96" s="129">
        <f>FLOOR(LOG(November_SotM[[#This Row],[Num]], 2), 1)</f>
        <v>1</v>
      </c>
      <c r="D96" s="129">
        <f>2^(November_SotM[[#This Row],[Round]]+1)</f>
        <v>4</v>
      </c>
      <c r="E96" s="129">
        <f>November_SotM[[#This Row],[Max Seed]]-November_SotM[[#This Row],[Num]]</f>
        <v>2</v>
      </c>
      <c r="F96" s="129">
        <f>November_SotM[[#This Row],[Max Seed]]-November_SotM[[#This Row],[Top Seed]]+1</f>
        <v>3</v>
      </c>
      <c r="G96" s="129" t="b">
        <f>IF(November_SotM[[#This Row],[Round]]=$C$93, TRUE(), IF(November_SotM[[#This Row],[Round]]=$B$93, November_SotM[[#This Row],[Top Seed]]&lt;=2*November_SotM[[#This Row],[Max Seed]]-$A$93, FALSE()))</f>
        <v>0</v>
      </c>
      <c r="H96" s="129" t="b">
        <f>IF(November_SotM[[#This Row],[Round]]=$C$93, TRUE(), IF(November_SotM[[#This Row],[Round]]=$B$93, November_SotM[[#This Row],[Low Seed]]&lt;=2*November_SotM[[#This Row],[Max Seed]]-$A$93, FALSE()))</f>
        <v>0</v>
      </c>
      <c r="I96" s="65" t="s">
        <v>4191</v>
      </c>
      <c r="J96" s="66"/>
      <c r="K96" s="67" t="s">
        <v>4191</v>
      </c>
      <c r="L96" s="68" t="s">
        <v>4191</v>
      </c>
      <c r="M96" s="69"/>
      <c r="N96" s="130" t="str">
        <f ca="1">IF(November_SotM[[#This Row],[Num]]&gt;=$A$93, "-", IF(November_SotM[[#This Row],[Initial 1]], VLOOKUP(November_SotM[[#This Row],[Top Seed]], $Z$94:$AE$109, 6, FALSE), OFFSET(November_SotM[[#This Row],[Winner]], November_SotM[[#This Row],[Max Seed]], 0)))</f>
        <v>Welcome to the Black Parade</v>
      </c>
      <c r="O96" s="131">
        <f>COUNTIF(November_SotM[[#This Row],[J]:[H]],"x")</f>
        <v>3</v>
      </c>
      <c r="P96" s="129" t="str">
        <f ca="1">IF(November_SotM[[#This Row],[Num]]&gt;=$A$72, "-", IF(November_SotM[[#This Row],[Score 1]]&gt;=3, November_SotM[[#This Row],[Song 1]], IF(November_SotM[[#This Row],[Score 2]]&gt;=3, November_SotM[[#This Row],[Song 2]], "TBD")))</f>
        <v>Welcome to the Black Parade</v>
      </c>
      <c r="Q96" s="132">
        <f>COUNTIF(November_SotM[[#This Row],[H ]:[J ]],"x")</f>
        <v>1</v>
      </c>
      <c r="R96" s="131" t="str">
        <f ca="1">IF(November_SotM[[#This Row],[Num]]&gt;=$A$93, "-", IF(November_SotM[[#This Row],[Initial 2]], VLOOKUP(November_SotM[[#This Row],[Low Seed]], $Z$94:$AE$109, 6, FALSE), OFFSET(November_SotM[[#This Row],[Winner]], 2*(November_SotM[[#This Row],[Max Seed]]-November_SotM[[#This Row],[Low Seed]])+1, 0)))</f>
        <v>Zombie</v>
      </c>
      <c r="S96" s="69" t="s">
        <v>4191</v>
      </c>
      <c r="T96" s="68"/>
      <c r="U96" s="67"/>
      <c r="V96" s="66"/>
      <c r="W96" s="65"/>
      <c r="X96" s="3" t="str">
        <f ca="1">IF(OR(November_SotM[[#This Row],[Song 1]]="TBD", November_SotM[[#This Row],[Song 2]]="TBD"), "TBD", _xlfn.CONCAT(IF(_xlfn.XOR(ISBLANK(November_SotM[[#This Row],[J]]), ISBLANK(November_SotM[[#This Row],[J ]])), "", "J "), IF(_xlfn.XOR(ISBLANK(November_SotM[[#This Row],[D]]), ISBLANK(November_SotM[[#This Row],[D ]])), "", "D "), IF(_xlfn.XOR(ISBLANK(November_SotM[[#This Row],[L]]), ISBLANK(November_SotM[[#This Row],[L ]])), "", "L "), IF(_xlfn.XOR(ISBLANK(November_SotM[[#This Row],[S]]), ISBLANK(November_SotM[[#This Row],[S ]])), "", "S "), IF(_xlfn.XOR(ISBLANK(November_SotM[[#This Row],[H]]), ISBLANK(November_SotM[[#This Row],[H ]])), "", "H ")))</f>
        <v xml:space="preserve">D </v>
      </c>
      <c r="Z96" s="109">
        <f t="shared" si="23"/>
        <v>1</v>
      </c>
      <c r="AA96" s="85">
        <v>45602</v>
      </c>
      <c r="AB96" t="str">
        <v>danram</v>
      </c>
      <c r="AC96" s="3">
        <v>1.8</v>
      </c>
      <c r="AD96" s="86">
        <v>0.74833147735478833</v>
      </c>
      <c r="AE96" s="123" t="str">
        <v>Next Exit</v>
      </c>
      <c r="AF96" t="str">
        <v>Vacations</v>
      </c>
      <c r="AG96" s="100">
        <f t="shared" si="24"/>
        <v>1</v>
      </c>
      <c r="AI96" s="140">
        <f>November_SotM[[#This Row],[Max Seed]]/2 + 1</f>
        <v>3</v>
      </c>
      <c r="AJ96" s="135" t="str">
        <f ca="1">IF(November_SotM[[#This Row],[Num]]&gt;=$A$72, "-", IF(November_SotM[[#This Row],[Score 1]]&gt;=3, November_SotM[[#This Row],[Song 2]], IF(November_SotM[[#This Row],[Score 2]]&gt;=3, November_SotM[[#This Row],[Song 1]], "TBD")))</f>
        <v>Zombie</v>
      </c>
      <c r="AK96" s="124">
        <f ca="1">IFERROR(VLOOKUP(November_Results[[#This Row],[Song Title]], $AE$94:$AG$109, 3, FALSE)-November_Results[[#This Row],[Result]], "TBD")</f>
        <v>2</v>
      </c>
      <c r="AL96" s="125" t="str">
        <f ca="1">IF(November_Results[[#This Row],[Diff]]&lt;0,"↓",IF(November_Results[[#This Row],[Diff]]=0,"-","↑"))</f>
        <v>↑</v>
      </c>
    </row>
    <row r="97" spans="1:38" ht="15" customHeight="1">
      <c r="A97" s="168" t="str">
        <f>_xlfn.CONCAT("Seed ", November_SotM[[#This Row],[Top Seed]], " vs ", November_SotM[[#This Row],[Low Seed]])</f>
        <v>Seed 1 vs 4</v>
      </c>
      <c r="B97" s="129">
        <v>3</v>
      </c>
      <c r="C97" s="169">
        <f>FLOOR(LOG(November_SotM[[#This Row],[Num]], 2), 1)</f>
        <v>1</v>
      </c>
      <c r="D97" s="169">
        <f>2^(November_SotM[[#This Row],[Round]]+1)</f>
        <v>4</v>
      </c>
      <c r="E97" s="169">
        <f>November_SotM[[#This Row],[Max Seed]]-November_SotM[[#This Row],[Num]]</f>
        <v>1</v>
      </c>
      <c r="F97" s="169">
        <f>November_SotM[[#This Row],[Max Seed]]-November_SotM[[#This Row],[Top Seed]]+1</f>
        <v>4</v>
      </c>
      <c r="G97" s="169" t="b">
        <f>IF(November_SotM[[#This Row],[Round]]=$C$93, TRUE(), IF(November_SotM[[#This Row],[Round]]=$B$93, November_SotM[[#This Row],[Top Seed]]&lt;=2*November_SotM[[#This Row],[Max Seed]]-$A$93, FALSE()))</f>
        <v>0</v>
      </c>
      <c r="H97" s="169" t="b">
        <f>IF(November_SotM[[#This Row],[Round]]=$C$93, TRUE(), IF(November_SotM[[#This Row],[Round]]=$B$93, November_SotM[[#This Row],[Low Seed]]&lt;=2*November_SotM[[#This Row],[Max Seed]]-$A$93, FALSE()))</f>
        <v>0</v>
      </c>
      <c r="I97" s="170" t="s">
        <v>4191</v>
      </c>
      <c r="J97" s="171" t="s">
        <v>4191</v>
      </c>
      <c r="K97" s="172" t="s">
        <v>4191</v>
      </c>
      <c r="L97" s="173"/>
      <c r="M97" s="174" t="s">
        <v>4191</v>
      </c>
      <c r="N97" s="175" t="str">
        <f ca="1">IF(November_SotM[[#This Row],[Num]]&gt;=$A$93, "-", IF(November_SotM[[#This Row],[Initial 1]], VLOOKUP(November_SotM[[#This Row],[Top Seed]], $Z$94:$AE$109, 6, FALSE), OFFSET(November_SotM[[#This Row],[Winner]], November_SotM[[#This Row],[Max Seed]], 0)))</f>
        <v>Next Exit</v>
      </c>
      <c r="O97" s="168">
        <f>COUNTIF(November_SotM[[#This Row],[J]:[H]],"x")</f>
        <v>4</v>
      </c>
      <c r="P97" s="169" t="str">
        <f ca="1">IF(November_SotM[[#This Row],[Num]]&gt;=$A$72, "-", IF(November_SotM[[#This Row],[Score 1]]&gt;=3, November_SotM[[#This Row],[Song 1]], IF(November_SotM[[#This Row],[Score 2]]&gt;=3, November_SotM[[#This Row],[Song 2]], "TBD")))</f>
        <v>Next Exit</v>
      </c>
      <c r="Q97" s="176">
        <f>COUNTIF(November_SotM[[#This Row],[H ]:[J ]],"x")</f>
        <v>1</v>
      </c>
      <c r="R97" s="168" t="str">
        <f ca="1">IF(November_SotM[[#This Row],[Num]]&gt;=$A$93, "-", IF(November_SotM[[#This Row],[Initial 2]], VLOOKUP(November_SotM[[#This Row],[Low Seed]], $Z$94:$AE$109, 6, FALSE), OFFSET(November_SotM[[#This Row],[Winner]], 2*(November_SotM[[#This Row],[Max Seed]]-November_SotM[[#This Row],[Low Seed]])+1, 0)))</f>
        <v>In Bloom</v>
      </c>
      <c r="S97" s="174"/>
      <c r="T97" s="173" t="s">
        <v>4191</v>
      </c>
      <c r="U97" s="172"/>
      <c r="V97" s="171"/>
      <c r="W97" s="170"/>
      <c r="X97" s="3" t="str">
        <f ca="1">IF(OR(November_SotM[[#This Row],[Song 1]]="TBD", November_SotM[[#This Row],[Song 2]]="TBD"), "TBD", _xlfn.CONCAT(IF(_xlfn.XOR(ISBLANK(November_SotM[[#This Row],[J]]), ISBLANK(November_SotM[[#This Row],[J ]])), "", "J "), IF(_xlfn.XOR(ISBLANK(November_SotM[[#This Row],[D]]), ISBLANK(November_SotM[[#This Row],[D ]])), "", "D "), IF(_xlfn.XOR(ISBLANK(November_SotM[[#This Row],[L]]), ISBLANK(November_SotM[[#This Row],[L ]])), "", "L "), IF(_xlfn.XOR(ISBLANK(November_SotM[[#This Row],[S]]), ISBLANK(November_SotM[[#This Row],[S ]])), "", "S "), IF(_xlfn.XOR(ISBLANK(November_SotM[[#This Row],[H]]), ISBLANK(November_SotM[[#This Row],[H ]])), "", "H ")))</f>
        <v/>
      </c>
      <c r="Z97" s="109">
        <f t="shared" si="23"/>
        <v>4</v>
      </c>
      <c r="AA97" s="85">
        <v>45603</v>
      </c>
      <c r="AB97" t="str">
        <v>danram</v>
      </c>
      <c r="AC97" s="3">
        <v>2</v>
      </c>
      <c r="AD97" s="86">
        <v>1.0954451150103321</v>
      </c>
      <c r="AE97" s="123" t="str">
        <v>Free Bird</v>
      </c>
      <c r="AF97" t="str">
        <v>Lynyrd Skynyrd</v>
      </c>
      <c r="AG97" s="100">
        <f t="shared" si="24"/>
        <v>3</v>
      </c>
      <c r="AI97" s="140">
        <f>November_SotM[[#This Row],[Max Seed]]/2 + 1</f>
        <v>3</v>
      </c>
      <c r="AJ97" s="135" t="str">
        <f ca="1">IF(November_SotM[[#This Row],[Num]]&gt;=$A$72, "-", IF(November_SotM[[#This Row],[Score 1]]&gt;=3, November_SotM[[#This Row],[Song 2]], IF(November_SotM[[#This Row],[Score 2]]&gt;=3, November_SotM[[#This Row],[Song 1]], "TBD")))</f>
        <v>In Bloom</v>
      </c>
      <c r="AK97" s="124">
        <f ca="1">IFERROR(VLOOKUP(November_Results[[#This Row],[Song Title]], $AE$94:$AG$109, 3, FALSE)-November_Results[[#This Row],[Result]], "TBD")</f>
        <v>6</v>
      </c>
      <c r="AL97" s="125" t="str">
        <f ca="1">IF(November_Results[[#This Row],[Diff]]&lt;0,"↓",IF(November_Results[[#This Row],[Diff]]=0,"-","↑"))</f>
        <v>↑</v>
      </c>
    </row>
    <row r="98" spans="1:38" ht="15" customHeight="1">
      <c r="A98" s="168" t="str">
        <f>_xlfn.CONCAT("Seed ", November_SotM[[#This Row],[Top Seed]], " vs ", November_SotM[[#This Row],[Low Seed]])</f>
        <v>Seed 4 vs 5</v>
      </c>
      <c r="B98" s="129">
        <v>4</v>
      </c>
      <c r="C98" s="169">
        <f>FLOOR(LOG(November_SotM[[#This Row],[Num]], 2), 1)</f>
        <v>2</v>
      </c>
      <c r="D98" s="169">
        <f>2^(November_SotM[[#This Row],[Round]]+1)</f>
        <v>8</v>
      </c>
      <c r="E98" s="169">
        <f>November_SotM[[#This Row],[Max Seed]]-November_SotM[[#This Row],[Num]]</f>
        <v>4</v>
      </c>
      <c r="F98" s="169">
        <f>November_SotM[[#This Row],[Max Seed]]-November_SotM[[#This Row],[Top Seed]]+1</f>
        <v>5</v>
      </c>
      <c r="G98" s="169" t="b">
        <f>IF(November_SotM[[#This Row],[Round]]=$C$93, TRUE(), IF(November_SotM[[#This Row],[Round]]=$B$93, November_SotM[[#This Row],[Top Seed]]&lt;=2*November_SotM[[#This Row],[Max Seed]]-$A$93, FALSE()))</f>
        <v>0</v>
      </c>
      <c r="H98" s="169" t="b">
        <f>IF(November_SotM[[#This Row],[Round]]=$C$93, TRUE(), IF(November_SotM[[#This Row],[Round]]=$B$93, November_SotM[[#This Row],[Low Seed]]&lt;=2*November_SotM[[#This Row],[Max Seed]]-$A$93, FALSE()))</f>
        <v>0</v>
      </c>
      <c r="I98" s="170"/>
      <c r="J98" s="171" t="s">
        <v>4191</v>
      </c>
      <c r="K98" s="172" t="s">
        <v>4191</v>
      </c>
      <c r="L98" s="173" t="s">
        <v>4191</v>
      </c>
      <c r="M98" s="174" t="s">
        <v>4191</v>
      </c>
      <c r="N98" s="175" t="str">
        <f ca="1">IF(November_SotM[[#This Row],[Num]]&gt;=$A$93, "-", IF(November_SotM[[#This Row],[Initial 1]], VLOOKUP(November_SotM[[#This Row],[Top Seed]], $Z$94:$AE$109, 6, FALSE), OFFSET(November_SotM[[#This Row],[Winner]], November_SotM[[#This Row],[Max Seed]], 0)))</f>
        <v>In Bloom</v>
      </c>
      <c r="O98" s="168">
        <f>COUNTIF(November_SotM[[#This Row],[J]:[H]],"x")</f>
        <v>4</v>
      </c>
      <c r="P98" s="169" t="str">
        <f ca="1">IF(November_SotM[[#This Row],[Num]]&gt;=$A$72, "-", IF(November_SotM[[#This Row],[Score 1]]&gt;=3, November_SotM[[#This Row],[Song 1]], IF(November_SotM[[#This Row],[Score 2]]&gt;=3, November_SotM[[#This Row],[Song 2]], "TBD")))</f>
        <v>In Bloom</v>
      </c>
      <c r="Q98" s="176">
        <f>COUNTIF(November_SotM[[#This Row],[H ]:[J ]],"x")</f>
        <v>1</v>
      </c>
      <c r="R98" s="168" t="str">
        <f ca="1">IF(November_SotM[[#This Row],[Num]]&gt;=$A$93, "-", IF(November_SotM[[#This Row],[Initial 2]], VLOOKUP(November_SotM[[#This Row],[Low Seed]], $Z$94:$AE$109, 6, FALSE), OFFSET(November_SotM[[#This Row],[Winner]], 2*(November_SotM[[#This Row],[Max Seed]]-November_SotM[[#This Row],[Low Seed]])+1, 0)))</f>
        <v>Working Man</v>
      </c>
      <c r="S98" s="174"/>
      <c r="T98" s="173"/>
      <c r="U98" s="172"/>
      <c r="V98" s="171"/>
      <c r="W98" s="170" t="s">
        <v>4191</v>
      </c>
      <c r="X98" s="3" t="str">
        <f ca="1">IF(OR(November_SotM[[#This Row],[Song 1]]="TBD", November_SotM[[#This Row],[Song 2]]="TBD"), "TBD", _xlfn.CONCAT(IF(_xlfn.XOR(ISBLANK(November_SotM[[#This Row],[J]]), ISBLANK(November_SotM[[#This Row],[J ]])), "", "J "), IF(_xlfn.XOR(ISBLANK(November_SotM[[#This Row],[D]]), ISBLANK(November_SotM[[#This Row],[D ]])), "", "D "), IF(_xlfn.XOR(ISBLANK(November_SotM[[#This Row],[L]]), ISBLANK(November_SotM[[#This Row],[L ]])), "", "L "), IF(_xlfn.XOR(ISBLANK(November_SotM[[#This Row],[S]]), ISBLANK(November_SotM[[#This Row],[S ]])), "", "S "), IF(_xlfn.XOR(ISBLANK(November_SotM[[#This Row],[H]]), ISBLANK(November_SotM[[#This Row],[H ]])), "", "H ")))</f>
        <v/>
      </c>
      <c r="Z98" s="109">
        <f t="shared" si="23"/>
        <v>8</v>
      </c>
      <c r="AA98" s="85">
        <v>45607</v>
      </c>
      <c r="AB98" t="str">
        <v>alappatjoe</v>
      </c>
      <c r="AC98" s="3">
        <v>2.4</v>
      </c>
      <c r="AD98" s="86">
        <v>1.019803902718557</v>
      </c>
      <c r="AE98" s="123" t="str">
        <v>Coffee</v>
      </c>
      <c r="AF98" t="str">
        <v>a!ka</v>
      </c>
      <c r="AG98" s="100">
        <f t="shared" si="24"/>
        <v>5</v>
      </c>
      <c r="AI98" s="140">
        <f>November_SotM[[#This Row],[Max Seed]]/2 + 1</f>
        <v>5</v>
      </c>
      <c r="AJ98" s="135" t="str">
        <f ca="1">IF(November_SotM[[#This Row],[Num]]&gt;=$A$72, "-", IF(November_SotM[[#This Row],[Score 1]]&gt;=3, November_SotM[[#This Row],[Song 2]], IF(November_SotM[[#This Row],[Score 2]]&gt;=3, November_SotM[[#This Row],[Song 1]], "TBD")))</f>
        <v>Working Man</v>
      </c>
      <c r="AK98" s="124">
        <f ca="1">IFERROR(VLOOKUP(November_Results[[#This Row],[Song Title]], $AE$94:$AG$109, 3, FALSE)-November_Results[[#This Row],[Result]], "TBD")</f>
        <v>0</v>
      </c>
      <c r="AL98" s="125" t="str">
        <f ca="1">IF(November_Results[[#This Row],[Diff]]&lt;0,"↓",IF(November_Results[[#This Row],[Diff]]=0,"-","↑"))</f>
        <v>-</v>
      </c>
    </row>
    <row r="99" spans="1:38" ht="15" customHeight="1">
      <c r="A99" s="168" t="str">
        <f>_xlfn.CONCAT("Seed ", November_SotM[[#This Row],[Top Seed]], " vs ", November_SotM[[#This Row],[Low Seed]])</f>
        <v>Seed 3 vs 6</v>
      </c>
      <c r="B99" s="129">
        <v>5</v>
      </c>
      <c r="C99" s="169">
        <f>FLOOR(LOG(November_SotM[[#This Row],[Num]], 2), 1)</f>
        <v>2</v>
      </c>
      <c r="D99" s="169">
        <f>2^(November_SotM[[#This Row],[Round]]+1)</f>
        <v>8</v>
      </c>
      <c r="E99" s="169">
        <f>November_SotM[[#This Row],[Max Seed]]-November_SotM[[#This Row],[Num]]</f>
        <v>3</v>
      </c>
      <c r="F99" s="169">
        <f>November_SotM[[#This Row],[Max Seed]]-November_SotM[[#This Row],[Top Seed]]+1</f>
        <v>6</v>
      </c>
      <c r="G99" s="169" t="b">
        <f>IF(November_SotM[[#This Row],[Round]]=$C$93, TRUE(), IF(November_SotM[[#This Row],[Round]]=$B$93, November_SotM[[#This Row],[Top Seed]]&lt;=2*November_SotM[[#This Row],[Max Seed]]-$A$93, FALSE()))</f>
        <v>0</v>
      </c>
      <c r="H99" s="169" t="b">
        <f>IF(November_SotM[[#This Row],[Round]]=$C$93, TRUE(), IF(November_SotM[[#This Row],[Round]]=$B$93, November_SotM[[#This Row],[Low Seed]]&lt;=2*November_SotM[[#This Row],[Max Seed]]-$A$93, FALSE()))</f>
        <v>0</v>
      </c>
      <c r="I99" s="170" t="s">
        <v>4191</v>
      </c>
      <c r="J99" s="171"/>
      <c r="K99" s="172"/>
      <c r="L99" s="173"/>
      <c r="M99" s="174"/>
      <c r="N99" s="175" t="str">
        <f ca="1">IF(November_SotM[[#This Row],[Num]]&gt;=$A$93, "-", IF(November_SotM[[#This Row],[Initial 1]], VLOOKUP(November_SotM[[#This Row],[Top Seed]], $Z$94:$AE$109, 6, FALSE), OFFSET(November_SotM[[#This Row],[Winner]], November_SotM[[#This Row],[Max Seed]], 0)))</f>
        <v>Mayonaka no Door / Stay With Me</v>
      </c>
      <c r="O99" s="168">
        <f>COUNTIF(November_SotM[[#This Row],[J]:[H]],"x")</f>
        <v>1</v>
      </c>
      <c r="P99" s="169" t="str">
        <f ca="1">IF(November_SotM[[#This Row],[Num]]&gt;=$A$72, "-", IF(November_SotM[[#This Row],[Score 1]]&gt;=3, November_SotM[[#This Row],[Song 1]], IF(November_SotM[[#This Row],[Score 2]]&gt;=3, November_SotM[[#This Row],[Song 2]], "TBD")))</f>
        <v>Zombie</v>
      </c>
      <c r="Q99" s="176">
        <f>COUNTIF(November_SotM[[#This Row],[H ]:[J ]],"x")</f>
        <v>4</v>
      </c>
      <c r="R99" s="168" t="str">
        <f ca="1">IF(November_SotM[[#This Row],[Num]]&gt;=$A$93, "-", IF(November_SotM[[#This Row],[Initial 2]], VLOOKUP(November_SotM[[#This Row],[Low Seed]], $Z$94:$AE$109, 6, FALSE), OFFSET(November_SotM[[#This Row],[Winner]], 2*(November_SotM[[#This Row],[Max Seed]]-November_SotM[[#This Row],[Low Seed]])+1, 0)))</f>
        <v>Zombie</v>
      </c>
      <c r="S99" s="174" t="s">
        <v>4191</v>
      </c>
      <c r="T99" s="173" t="s">
        <v>4191</v>
      </c>
      <c r="U99" s="172" t="s">
        <v>4191</v>
      </c>
      <c r="V99" s="171" t="s">
        <v>4191</v>
      </c>
      <c r="W99" s="170"/>
      <c r="X99" s="3" t="str">
        <f ca="1">IF(OR(November_SotM[[#This Row],[Song 1]]="TBD", November_SotM[[#This Row],[Song 2]]="TBD"), "TBD", _xlfn.CONCAT(IF(_xlfn.XOR(ISBLANK(November_SotM[[#This Row],[J]]), ISBLANK(November_SotM[[#This Row],[J ]])), "", "J "), IF(_xlfn.XOR(ISBLANK(November_SotM[[#This Row],[D]]), ISBLANK(November_SotM[[#This Row],[D ]])), "", "D "), IF(_xlfn.XOR(ISBLANK(November_SotM[[#This Row],[L]]), ISBLANK(November_SotM[[#This Row],[L ]])), "", "L "), IF(_xlfn.XOR(ISBLANK(November_SotM[[#This Row],[S]]), ISBLANK(November_SotM[[#This Row],[S ]])), "", "S "), IF(_xlfn.XOR(ISBLANK(November_SotM[[#This Row],[H]]), ISBLANK(November_SotM[[#This Row],[H ]])), "", "H ")))</f>
        <v/>
      </c>
      <c r="Z99" s="109">
        <f t="shared" si="23"/>
        <v>9</v>
      </c>
      <c r="AA99" s="85">
        <v>45608</v>
      </c>
      <c r="AB99" t="str">
        <v>alappatjoe</v>
      </c>
      <c r="AC99" s="3">
        <v>2.4</v>
      </c>
      <c r="AD99" s="86">
        <v>1.019803902718557</v>
      </c>
      <c r="AE99" s="123" t="str">
        <v>Buttons</v>
      </c>
      <c r="AF99" t="str">
        <v>Lyn Lapid</v>
      </c>
      <c r="AG99" s="100">
        <f t="shared" si="24"/>
        <v>9</v>
      </c>
      <c r="AI99" s="140">
        <f>November_SotM[[#This Row],[Max Seed]]/2 + 1</f>
        <v>5</v>
      </c>
      <c r="AJ99" s="135" t="str">
        <f ca="1">IF(November_SotM[[#This Row],[Num]]&gt;=$A$72, "-", IF(November_SotM[[#This Row],[Score 1]]&gt;=3, November_SotM[[#This Row],[Song 2]], IF(November_SotM[[#This Row],[Score 2]]&gt;=3, November_SotM[[#This Row],[Song 1]], "TBD")))</f>
        <v>Mayonaka no Door / Stay With Me</v>
      </c>
      <c r="AK99" s="124">
        <f ca="1">IFERROR(VLOOKUP(November_Results[[#This Row],[Song Title]], $AE$94:$AG$109, 3, FALSE)-November_Results[[#This Row],[Result]], "TBD")</f>
        <v>-2</v>
      </c>
      <c r="AL99" s="125" t="str">
        <f ca="1">IF(November_Results[[#This Row],[Diff]]&lt;0,"↓",IF(November_Results[[#This Row],[Diff]]=0,"-","↑"))</f>
        <v>↓</v>
      </c>
    </row>
    <row r="100" spans="1:38" ht="15" customHeight="1">
      <c r="A100" s="168" t="str">
        <f>_xlfn.CONCAT("Seed ", November_SotM[[#This Row],[Top Seed]], " vs ", November_SotM[[#This Row],[Low Seed]])</f>
        <v>Seed 2 vs 7</v>
      </c>
      <c r="B100" s="129">
        <v>6</v>
      </c>
      <c r="C100" s="169">
        <f>FLOOR(LOG(November_SotM[[#This Row],[Num]], 2), 1)</f>
        <v>2</v>
      </c>
      <c r="D100" s="169">
        <f>2^(November_SotM[[#This Row],[Round]]+1)</f>
        <v>8</v>
      </c>
      <c r="E100" s="169">
        <f>November_SotM[[#This Row],[Max Seed]]-November_SotM[[#This Row],[Num]]</f>
        <v>2</v>
      </c>
      <c r="F100" s="169">
        <f>November_SotM[[#This Row],[Max Seed]]-November_SotM[[#This Row],[Top Seed]]+1</f>
        <v>7</v>
      </c>
      <c r="G100" s="169" t="b">
        <f>IF(November_SotM[[#This Row],[Round]]=$C$93, TRUE(), IF(November_SotM[[#This Row],[Round]]=$B$93, November_SotM[[#This Row],[Top Seed]]&lt;=2*November_SotM[[#This Row],[Max Seed]]-$A$93, FALSE()))</f>
        <v>0</v>
      </c>
      <c r="H100" s="169" t="b">
        <f>IF(November_SotM[[#This Row],[Round]]=$C$93, TRUE(), IF(November_SotM[[#This Row],[Round]]=$B$93, November_SotM[[#This Row],[Low Seed]]&lt;=2*November_SotM[[#This Row],[Max Seed]]-$A$93, FALSE()))</f>
        <v>0</v>
      </c>
      <c r="I100" s="170" t="s">
        <v>4191</v>
      </c>
      <c r="J100" s="171"/>
      <c r="K100" s="172" t="s">
        <v>4191</v>
      </c>
      <c r="L100" s="173"/>
      <c r="M100" s="174"/>
      <c r="N100" s="175" t="str">
        <f ca="1">IF(November_SotM[[#This Row],[Num]]&gt;=$A$93, "-", IF(November_SotM[[#This Row],[Initial 1]], VLOOKUP(November_SotM[[#This Row],[Top Seed]], $Z$94:$AE$109, 6, FALSE), OFFSET(November_SotM[[#This Row],[Winner]], November_SotM[[#This Row],[Max Seed]], 0)))</f>
        <v>In the Party</v>
      </c>
      <c r="O100" s="168">
        <f>COUNTIF(November_SotM[[#This Row],[J]:[H]],"x")</f>
        <v>2</v>
      </c>
      <c r="P100" s="169" t="str">
        <f ca="1">IF(November_SotM[[#This Row],[Num]]&gt;=$A$72, "-", IF(November_SotM[[#This Row],[Score 1]]&gt;=3, November_SotM[[#This Row],[Song 1]], IF(November_SotM[[#This Row],[Score 2]]&gt;=3, November_SotM[[#This Row],[Song 2]], "TBD")))</f>
        <v>Welcome to the Black Parade</v>
      </c>
      <c r="Q100" s="176">
        <f>COUNTIF(November_SotM[[#This Row],[H ]:[J ]],"x")</f>
        <v>3</v>
      </c>
      <c r="R100" s="168" t="str">
        <f ca="1">IF(November_SotM[[#This Row],[Num]]&gt;=$A$93, "-", IF(November_SotM[[#This Row],[Initial 2]], VLOOKUP(November_SotM[[#This Row],[Low Seed]], $Z$94:$AE$109, 6, FALSE), OFFSET(November_SotM[[#This Row],[Winner]], 2*(November_SotM[[#This Row],[Max Seed]]-November_SotM[[#This Row],[Low Seed]])+1, 0)))</f>
        <v>Welcome to the Black Parade</v>
      </c>
      <c r="S100" s="174" t="s">
        <v>4191</v>
      </c>
      <c r="T100" s="173" t="s">
        <v>4191</v>
      </c>
      <c r="U100" s="172"/>
      <c r="V100" s="171" t="s">
        <v>4191</v>
      </c>
      <c r="W100" s="170"/>
      <c r="X100" s="3" t="str">
        <f ca="1">IF(OR(November_SotM[[#This Row],[Song 1]]="TBD", November_SotM[[#This Row],[Song 2]]="TBD"), "TBD", _xlfn.CONCAT(IF(_xlfn.XOR(ISBLANK(November_SotM[[#This Row],[J]]), ISBLANK(November_SotM[[#This Row],[J ]])), "", "J "), IF(_xlfn.XOR(ISBLANK(November_SotM[[#This Row],[D]]), ISBLANK(November_SotM[[#This Row],[D ]])), "", "D "), IF(_xlfn.XOR(ISBLANK(November_SotM[[#This Row],[L]]), ISBLANK(November_SotM[[#This Row],[L ]])), "", "L "), IF(_xlfn.XOR(ISBLANK(November_SotM[[#This Row],[S]]), ISBLANK(November_SotM[[#This Row],[S ]])), "", "S "), IF(_xlfn.XOR(ISBLANK(November_SotM[[#This Row],[H]]), ISBLANK(November_SotM[[#This Row],[H ]])), "", "H ")))</f>
        <v/>
      </c>
      <c r="Z100" s="109">
        <f t="shared" si="23"/>
        <v>10</v>
      </c>
      <c r="AA100" s="85">
        <v>45609</v>
      </c>
      <c r="AB100" t="str">
        <v>samuelbattista</v>
      </c>
      <c r="AC100" s="3">
        <v>2.4</v>
      </c>
      <c r="AD100" s="86">
        <v>1.2</v>
      </c>
      <c r="AE100" s="123" t="str">
        <v>Welcome to the Black Parade</v>
      </c>
      <c r="AF100" t="str">
        <v>My Chemical Romance</v>
      </c>
      <c r="AG100" s="100">
        <f t="shared" si="24"/>
        <v>9</v>
      </c>
      <c r="AI100" s="140">
        <f>November_SotM[[#This Row],[Max Seed]]/2 + 1</f>
        <v>5</v>
      </c>
      <c r="AJ100" s="135" t="str">
        <f ca="1">IF(November_SotM[[#This Row],[Num]]&gt;=$A$72, "-", IF(November_SotM[[#This Row],[Score 1]]&gt;=3, November_SotM[[#This Row],[Song 2]], IF(November_SotM[[#This Row],[Score 2]]&gt;=3, November_SotM[[#This Row],[Song 1]], "TBD")))</f>
        <v>In the Party</v>
      </c>
      <c r="AK100" s="124">
        <f ca="1">IFERROR(VLOOKUP(November_Results[[#This Row],[Song Title]], $AE$94:$AG$109, 3, FALSE)-November_Results[[#This Row],[Result]], "TBD")</f>
        <v>-3</v>
      </c>
      <c r="AL100" s="125" t="str">
        <f ca="1">IF(November_Results[[#This Row],[Diff]]&lt;0,"↓",IF(November_Results[[#This Row],[Diff]]=0,"-","↑"))</f>
        <v>↓</v>
      </c>
    </row>
    <row r="101" spans="1:38" ht="15" customHeight="1">
      <c r="A101" s="168" t="str">
        <f>_xlfn.CONCAT("Seed ", November_SotM[[#This Row],[Top Seed]], " vs ", November_SotM[[#This Row],[Low Seed]])</f>
        <v>Seed 1 vs 8</v>
      </c>
      <c r="B101" s="129">
        <v>7</v>
      </c>
      <c r="C101" s="169">
        <f>FLOOR(LOG(November_SotM[[#This Row],[Num]], 2), 1)</f>
        <v>2</v>
      </c>
      <c r="D101" s="169">
        <f>2^(November_SotM[[#This Row],[Round]]+1)</f>
        <v>8</v>
      </c>
      <c r="E101" s="169">
        <f>November_SotM[[#This Row],[Max Seed]]-November_SotM[[#This Row],[Num]]</f>
        <v>1</v>
      </c>
      <c r="F101" s="169">
        <f>November_SotM[[#This Row],[Max Seed]]-November_SotM[[#This Row],[Top Seed]]+1</f>
        <v>8</v>
      </c>
      <c r="G101" s="169" t="b">
        <f>IF(November_SotM[[#This Row],[Round]]=$C$93, TRUE(), IF(November_SotM[[#This Row],[Round]]=$B$93, November_SotM[[#This Row],[Top Seed]]&lt;=2*November_SotM[[#This Row],[Max Seed]]-$A$93, FALSE()))</f>
        <v>0</v>
      </c>
      <c r="H101" s="169" t="b">
        <f>IF(November_SotM[[#This Row],[Round]]=$C$93, TRUE(), IF(November_SotM[[#This Row],[Round]]=$B$93, November_SotM[[#This Row],[Low Seed]]&lt;=2*November_SotM[[#This Row],[Max Seed]]-$A$93, FALSE()))</f>
        <v>0</v>
      </c>
      <c r="I101" s="170"/>
      <c r="J101" s="171" t="s">
        <v>4191</v>
      </c>
      <c r="K101" s="172" t="s">
        <v>4191</v>
      </c>
      <c r="L101" s="173" t="s">
        <v>4191</v>
      </c>
      <c r="M101" s="174" t="s">
        <v>4191</v>
      </c>
      <c r="N101" s="175" t="str">
        <f ca="1">IF(November_SotM[[#This Row],[Num]]&gt;=$A$93, "-", IF(November_SotM[[#This Row],[Initial 1]], VLOOKUP(November_SotM[[#This Row],[Top Seed]], $Z$94:$AE$109, 6, FALSE), OFFSET(November_SotM[[#This Row],[Winner]], November_SotM[[#This Row],[Max Seed]], 0)))</f>
        <v>Next Exit</v>
      </c>
      <c r="O101" s="168">
        <f>COUNTIF(November_SotM[[#This Row],[J]:[H]],"x")</f>
        <v>4</v>
      </c>
      <c r="P101" s="169" t="str">
        <f ca="1">IF(November_SotM[[#This Row],[Num]]&gt;=$A$72, "-", IF(November_SotM[[#This Row],[Score 1]]&gt;=3, November_SotM[[#This Row],[Song 1]], IF(November_SotM[[#This Row],[Score 2]]&gt;=3, November_SotM[[#This Row],[Song 2]], "TBD")))</f>
        <v>Next Exit</v>
      </c>
      <c r="Q101" s="176">
        <f>COUNTIF(November_SotM[[#This Row],[H ]:[J ]],"x")</f>
        <v>1</v>
      </c>
      <c r="R101" s="168" t="str">
        <f ca="1">IF(November_SotM[[#This Row],[Num]]&gt;=$A$93, "-", IF(November_SotM[[#This Row],[Initial 2]], VLOOKUP(November_SotM[[#This Row],[Low Seed]], $Z$94:$AE$109, 6, FALSE), OFFSET(November_SotM[[#This Row],[Winner]], 2*(November_SotM[[#This Row],[Max Seed]]-November_SotM[[#This Row],[Low Seed]])+1, 0)))</f>
        <v>Coffee</v>
      </c>
      <c r="S101" s="174"/>
      <c r="T101" s="173"/>
      <c r="U101" s="172"/>
      <c r="V101" s="171"/>
      <c r="W101" s="170" t="s">
        <v>4191</v>
      </c>
      <c r="X101" s="3" t="str">
        <f ca="1">IF(OR(November_SotM[[#This Row],[Song 1]]="TBD", November_SotM[[#This Row],[Song 2]]="TBD"), "TBD", _xlfn.CONCAT(IF(_xlfn.XOR(ISBLANK(November_SotM[[#This Row],[J]]), ISBLANK(November_SotM[[#This Row],[J ]])), "", "J "), IF(_xlfn.XOR(ISBLANK(November_SotM[[#This Row],[D]]), ISBLANK(November_SotM[[#This Row],[D ]])), "", "D "), IF(_xlfn.XOR(ISBLANK(November_SotM[[#This Row],[L]]), ISBLANK(November_SotM[[#This Row],[L ]])), "", "L "), IF(_xlfn.XOR(ISBLANK(November_SotM[[#This Row],[S]]), ISBLANK(November_SotM[[#This Row],[S ]])), "", "S "), IF(_xlfn.XOR(ISBLANK(November_SotM[[#This Row],[H]]), ISBLANK(November_SotM[[#This Row],[H ]])), "", "H ")))</f>
        <v/>
      </c>
      <c r="Z101" s="109">
        <f t="shared" si="23"/>
        <v>6</v>
      </c>
      <c r="AA101" s="85">
        <v>45610</v>
      </c>
      <c r="AB101" t="str">
        <v>danram</v>
      </c>
      <c r="AC101" s="3">
        <v>2.2000000000000002</v>
      </c>
      <c r="AD101" s="86">
        <v>1.4696938456699069</v>
      </c>
      <c r="AE101" s="123" t="str">
        <v>Zombie</v>
      </c>
      <c r="AF101" t="str">
        <v>The Cranberries</v>
      </c>
      <c r="AG101" s="100">
        <f t="shared" si="24"/>
        <v>5</v>
      </c>
      <c r="AI101" s="140">
        <f>November_SotM[[#This Row],[Max Seed]]/2 + 1</f>
        <v>5</v>
      </c>
      <c r="AJ101" s="135" t="str">
        <f ca="1">IF(November_SotM[[#This Row],[Num]]&gt;=$A$72, "-", IF(November_SotM[[#This Row],[Score 1]]&gt;=3, November_SotM[[#This Row],[Song 2]], IF(November_SotM[[#This Row],[Score 2]]&gt;=3, November_SotM[[#This Row],[Song 1]], "TBD")))</f>
        <v>Coffee</v>
      </c>
      <c r="AK101" s="124">
        <f ca="1">IFERROR(VLOOKUP(November_Results[[#This Row],[Song Title]], $AE$94:$AG$109, 3, FALSE)-November_Results[[#This Row],[Result]], "TBD")</f>
        <v>0</v>
      </c>
      <c r="AL101" s="125" t="str">
        <f ca="1">IF(November_Results[[#This Row],[Diff]]&lt;0,"↓",IF(November_Results[[#This Row],[Diff]]=0,"-","↑"))</f>
        <v>-</v>
      </c>
    </row>
    <row r="102" spans="1:38" ht="15" customHeight="1">
      <c r="A102" s="168" t="str">
        <f>_xlfn.CONCAT("Seed ", November_SotM[[#This Row],[Top Seed]], " vs ", November_SotM[[#This Row],[Low Seed]])</f>
        <v>Seed 8 vs 9</v>
      </c>
      <c r="B102" s="129">
        <v>8</v>
      </c>
      <c r="C102" s="169">
        <f>FLOOR(LOG(November_SotM[[#This Row],[Num]], 2), 1)</f>
        <v>3</v>
      </c>
      <c r="D102" s="169">
        <f>2^(November_SotM[[#This Row],[Round]]+1)</f>
        <v>16</v>
      </c>
      <c r="E102" s="169">
        <f>November_SotM[[#This Row],[Max Seed]]-November_SotM[[#This Row],[Num]]</f>
        <v>8</v>
      </c>
      <c r="F102" s="169">
        <f>November_SotM[[#This Row],[Max Seed]]-November_SotM[[#This Row],[Top Seed]]+1</f>
        <v>9</v>
      </c>
      <c r="G102" s="169" t="b">
        <f>IF(November_SotM[[#This Row],[Round]]=$C$93, TRUE(), IF(November_SotM[[#This Row],[Round]]=$B$93, November_SotM[[#This Row],[Top Seed]]&lt;=2*November_SotM[[#This Row],[Max Seed]]-$A$93, FALSE()))</f>
        <v>1</v>
      </c>
      <c r="H102" s="169" t="b">
        <f>IF(November_SotM[[#This Row],[Round]]=$C$93, TRUE(), IF(November_SotM[[#This Row],[Round]]=$B$93, November_SotM[[#This Row],[Low Seed]]&lt;=2*November_SotM[[#This Row],[Max Seed]]-$A$93, FALSE()))</f>
        <v>1</v>
      </c>
      <c r="I102" s="170" t="s">
        <v>4191</v>
      </c>
      <c r="J102" s="171"/>
      <c r="K102" s="172" t="s">
        <v>4191</v>
      </c>
      <c r="L102" s="173"/>
      <c r="M102" s="174" t="s">
        <v>4191</v>
      </c>
      <c r="N102" s="175" t="str">
        <f ca="1">IF(November_SotM[[#This Row],[Num]]&gt;=$A$93, "-", IF(November_SotM[[#This Row],[Initial 1]], VLOOKUP(November_SotM[[#This Row],[Top Seed]], $Z$94:$AE$109, 6, FALSE), OFFSET(November_SotM[[#This Row],[Winner]], November_SotM[[#This Row],[Max Seed]], 0)))</f>
        <v>Coffee</v>
      </c>
      <c r="O102" s="168">
        <f>COUNTIF(November_SotM[[#This Row],[J]:[H]],"x")</f>
        <v>3</v>
      </c>
      <c r="P102" s="169" t="str">
        <f ca="1">IF(November_SotM[[#This Row],[Num]]&gt;=$A$72, "-", IF(November_SotM[[#This Row],[Score 1]]&gt;=3, November_SotM[[#This Row],[Song 1]], IF(November_SotM[[#This Row],[Score 2]]&gt;=3, November_SotM[[#This Row],[Song 2]], "TBD")))</f>
        <v>Coffee</v>
      </c>
      <c r="Q102" s="176">
        <f>COUNTIF(November_SotM[[#This Row],[H ]:[J ]],"x")</f>
        <v>2</v>
      </c>
      <c r="R102" s="168" t="str">
        <f ca="1">IF(November_SotM[[#This Row],[Num]]&gt;=$A$93, "-", IF(November_SotM[[#This Row],[Initial 2]], VLOOKUP(November_SotM[[#This Row],[Low Seed]], $Z$94:$AE$109, 6, FALSE), OFFSET(November_SotM[[#This Row],[Winner]], 2*(November_SotM[[#This Row],[Max Seed]]-November_SotM[[#This Row],[Low Seed]])+1, 0)))</f>
        <v>Buttons</v>
      </c>
      <c r="S102" s="174"/>
      <c r="T102" s="173" t="s">
        <v>4191</v>
      </c>
      <c r="U102" s="172"/>
      <c r="V102" s="171" t="s">
        <v>4191</v>
      </c>
      <c r="W102" s="170"/>
      <c r="X102" s="3" t="str">
        <f ca="1">IF(OR(November_SotM[[#This Row],[Song 1]]="TBD", November_SotM[[#This Row],[Song 2]]="TBD"), "TBD", _xlfn.CONCAT(IF(_xlfn.XOR(ISBLANK(November_SotM[[#This Row],[J]]), ISBLANK(November_SotM[[#This Row],[J ]])), "", "J "), IF(_xlfn.XOR(ISBLANK(November_SotM[[#This Row],[D]]), ISBLANK(November_SotM[[#This Row],[D ]])), "", "D "), IF(_xlfn.XOR(ISBLANK(November_SotM[[#This Row],[L]]), ISBLANK(November_SotM[[#This Row],[L ]])), "", "L "), IF(_xlfn.XOR(ISBLANK(November_SotM[[#This Row],[S]]), ISBLANK(November_SotM[[#This Row],[S ]])), "", "S "), IF(_xlfn.XOR(ISBLANK(November_SotM[[#This Row],[H]]), ISBLANK(November_SotM[[#This Row],[H ]])), "", "H ")))</f>
        <v/>
      </c>
      <c r="Z102" s="109">
        <f t="shared" si="23"/>
        <v>7</v>
      </c>
      <c r="AA102" s="85">
        <v>45614</v>
      </c>
      <c r="AB102" t="str">
        <v>loganworsdell</v>
      </c>
      <c r="AC102" s="3">
        <v>2.2000000000000002</v>
      </c>
      <c r="AD102" s="86">
        <v>1.4696938456699069</v>
      </c>
      <c r="AE102" s="123" t="str">
        <v>\ \ \</v>
      </c>
      <c r="AF102" t="str">
        <v>c678924</v>
      </c>
      <c r="AG102" s="100">
        <f t="shared" si="24"/>
        <v>5</v>
      </c>
      <c r="AI102" s="140">
        <f>November_SotM[[#This Row],[Max Seed]]/2 + 1</f>
        <v>9</v>
      </c>
      <c r="AJ102" s="135" t="str">
        <f ca="1">IF(November_SotM[[#This Row],[Num]]&gt;=$A$72, "-", IF(November_SotM[[#This Row],[Score 1]]&gt;=3, November_SotM[[#This Row],[Song 2]], IF(November_SotM[[#This Row],[Score 2]]&gt;=3, November_SotM[[#This Row],[Song 1]], "TBD")))</f>
        <v>Buttons</v>
      </c>
      <c r="AK102" s="124">
        <f ca="1">IFERROR(VLOOKUP(November_Results[[#This Row],[Song Title]], $AE$94:$AG$109, 3, FALSE)-November_Results[[#This Row],[Result]], "TBD")</f>
        <v>0</v>
      </c>
      <c r="AL102" s="125" t="str">
        <f ca="1">IF(November_Results[[#This Row],[Diff]]&lt;0,"↓",IF(November_Results[[#This Row],[Diff]]=0,"-","↑"))</f>
        <v>-</v>
      </c>
    </row>
    <row r="103" spans="1:38" ht="15" customHeight="1">
      <c r="A103" s="168" t="str">
        <f>_xlfn.CONCAT("Seed ", November_SotM[[#This Row],[Top Seed]], " vs ", November_SotM[[#This Row],[Low Seed]])</f>
        <v>Seed 7 vs 10</v>
      </c>
      <c r="B103" s="129">
        <v>9</v>
      </c>
      <c r="C103" s="169">
        <f>FLOOR(LOG(November_SotM[[#This Row],[Num]], 2), 1)</f>
        <v>3</v>
      </c>
      <c r="D103" s="169">
        <f>2^(November_SotM[[#This Row],[Round]]+1)</f>
        <v>16</v>
      </c>
      <c r="E103" s="169">
        <f>November_SotM[[#This Row],[Max Seed]]-November_SotM[[#This Row],[Num]]</f>
        <v>7</v>
      </c>
      <c r="F103" s="169">
        <f>November_SotM[[#This Row],[Max Seed]]-November_SotM[[#This Row],[Top Seed]]+1</f>
        <v>10</v>
      </c>
      <c r="G103" s="169" t="b">
        <f>IF(November_SotM[[#This Row],[Round]]=$C$93, TRUE(), IF(November_SotM[[#This Row],[Round]]=$B$93, November_SotM[[#This Row],[Top Seed]]&lt;=2*November_SotM[[#This Row],[Max Seed]]-$A$93, FALSE()))</f>
        <v>1</v>
      </c>
      <c r="H103" s="169" t="b">
        <f>IF(November_SotM[[#This Row],[Round]]=$C$93, TRUE(), IF(November_SotM[[#This Row],[Round]]=$B$93, November_SotM[[#This Row],[Low Seed]]&lt;=2*November_SotM[[#This Row],[Max Seed]]-$A$93, FALSE()))</f>
        <v>1</v>
      </c>
      <c r="I103" s="170" t="s">
        <v>4191</v>
      </c>
      <c r="J103" s="171"/>
      <c r="K103" s="172" t="s">
        <v>4191</v>
      </c>
      <c r="L103" s="173"/>
      <c r="M103" s="174"/>
      <c r="N103" s="175" t="str">
        <f ca="1">IF(November_SotM[[#This Row],[Num]]&gt;=$A$93, "-", IF(November_SotM[[#This Row],[Initial 1]], VLOOKUP(November_SotM[[#This Row],[Top Seed]], $Z$94:$AE$109, 6, FALSE), OFFSET(November_SotM[[#This Row],[Winner]], November_SotM[[#This Row],[Max Seed]], 0)))</f>
        <v>\ \ \</v>
      </c>
      <c r="O103" s="168">
        <f>COUNTIF(November_SotM[[#This Row],[J]:[H]],"x")</f>
        <v>2</v>
      </c>
      <c r="P103" s="169" t="str">
        <f ca="1">IF(November_SotM[[#This Row],[Num]]&gt;=$A$72, "-", IF(November_SotM[[#This Row],[Score 1]]&gt;=3, November_SotM[[#This Row],[Song 1]], IF(November_SotM[[#This Row],[Score 2]]&gt;=3, November_SotM[[#This Row],[Song 2]], "TBD")))</f>
        <v>Welcome to the Black Parade</v>
      </c>
      <c r="Q103" s="176">
        <f>COUNTIF(November_SotM[[#This Row],[H ]:[J ]],"x")</f>
        <v>3</v>
      </c>
      <c r="R103" s="168" t="str">
        <f ca="1">IF(November_SotM[[#This Row],[Num]]&gt;=$A$93, "-", IF(November_SotM[[#This Row],[Initial 2]], VLOOKUP(November_SotM[[#This Row],[Low Seed]], $Z$94:$AE$109, 6, FALSE), OFFSET(November_SotM[[#This Row],[Winner]], 2*(November_SotM[[#This Row],[Max Seed]]-November_SotM[[#This Row],[Low Seed]])+1, 0)))</f>
        <v>Welcome to the Black Parade</v>
      </c>
      <c r="S103" s="174" t="s">
        <v>4191</v>
      </c>
      <c r="T103" s="173" t="s">
        <v>4191</v>
      </c>
      <c r="U103" s="172"/>
      <c r="V103" s="171" t="s">
        <v>4191</v>
      </c>
      <c r="W103" s="170"/>
      <c r="X103" s="3" t="str">
        <f ca="1">IF(OR(November_SotM[[#This Row],[Song 1]]="TBD", November_SotM[[#This Row],[Song 2]]="TBD"), "TBD", _xlfn.CONCAT(IF(_xlfn.XOR(ISBLANK(November_SotM[[#This Row],[J]]), ISBLANK(November_SotM[[#This Row],[J ]])), "", "J "), IF(_xlfn.XOR(ISBLANK(November_SotM[[#This Row],[D]]), ISBLANK(November_SotM[[#This Row],[D ]])), "", "D "), IF(_xlfn.XOR(ISBLANK(November_SotM[[#This Row],[L]]), ISBLANK(November_SotM[[#This Row],[L ]])), "", "L "), IF(_xlfn.XOR(ISBLANK(November_SotM[[#This Row],[S]]), ISBLANK(November_SotM[[#This Row],[S ]])), "", "S "), IF(_xlfn.XOR(ISBLANK(November_SotM[[#This Row],[H]]), ISBLANK(November_SotM[[#This Row],[H ]])), "", "H ")))</f>
        <v/>
      </c>
      <c r="Z103" s="109">
        <f t="shared" si="23"/>
        <v>16</v>
      </c>
      <c r="AA103" s="85">
        <v>45615</v>
      </c>
      <c r="AB103" t="str">
        <v>alappatjoe</v>
      </c>
      <c r="AC103" s="3">
        <v>2.6</v>
      </c>
      <c r="AD103" s="86">
        <v>1.3564659966250536</v>
      </c>
      <c r="AE103" s="123" t="str">
        <v>last night's mascara</v>
      </c>
      <c r="AF103" t="str">
        <v>Griff</v>
      </c>
      <c r="AG103" s="100">
        <f t="shared" si="24"/>
        <v>9</v>
      </c>
      <c r="AI103" s="140">
        <f>November_SotM[[#This Row],[Max Seed]]/2 + 1</f>
        <v>9</v>
      </c>
      <c r="AJ103" s="135" t="str">
        <f ca="1">IF(November_SotM[[#This Row],[Num]]&gt;=$A$72, "-", IF(November_SotM[[#This Row],[Score 1]]&gt;=3, November_SotM[[#This Row],[Song 2]], IF(November_SotM[[#This Row],[Score 2]]&gt;=3, November_SotM[[#This Row],[Song 1]], "TBD")))</f>
        <v>\ \ \</v>
      </c>
      <c r="AK103" s="124">
        <f ca="1">IFERROR(VLOOKUP(November_Results[[#This Row],[Song Title]], $AE$94:$AG$109, 3, FALSE)-November_Results[[#This Row],[Result]], "TBD")</f>
        <v>-4</v>
      </c>
      <c r="AL103" s="125" t="str">
        <f ca="1">IF(November_Results[[#This Row],[Diff]]&lt;0,"↓",IF(November_Results[[#This Row],[Diff]]=0,"-","↑"))</f>
        <v>↓</v>
      </c>
    </row>
    <row r="104" spans="1:38" ht="15" customHeight="1">
      <c r="A104" s="168" t="str">
        <f>_xlfn.CONCAT("Seed ", November_SotM[[#This Row],[Top Seed]], " vs ", November_SotM[[#This Row],[Low Seed]])</f>
        <v>Seed 6 vs 11</v>
      </c>
      <c r="B104" s="129">
        <v>10</v>
      </c>
      <c r="C104" s="169">
        <f>FLOOR(LOG(November_SotM[[#This Row],[Num]], 2), 1)</f>
        <v>3</v>
      </c>
      <c r="D104" s="169">
        <f>2^(November_SotM[[#This Row],[Round]]+1)</f>
        <v>16</v>
      </c>
      <c r="E104" s="169">
        <f>November_SotM[[#This Row],[Max Seed]]-November_SotM[[#This Row],[Num]]</f>
        <v>6</v>
      </c>
      <c r="F104" s="169">
        <f>November_SotM[[#This Row],[Max Seed]]-November_SotM[[#This Row],[Top Seed]]+1</f>
        <v>11</v>
      </c>
      <c r="G104" s="169" t="b">
        <f>IF(November_SotM[[#This Row],[Round]]=$C$93, TRUE(), IF(November_SotM[[#This Row],[Round]]=$B$93, November_SotM[[#This Row],[Top Seed]]&lt;=2*November_SotM[[#This Row],[Max Seed]]-$A$93, FALSE()))</f>
        <v>1</v>
      </c>
      <c r="H104" s="169" t="b">
        <f>IF(November_SotM[[#This Row],[Round]]=$C$93, TRUE(), IF(November_SotM[[#This Row],[Round]]=$B$93, November_SotM[[#This Row],[Low Seed]]&lt;=2*November_SotM[[#This Row],[Max Seed]]-$A$93, FALSE()))</f>
        <v>1</v>
      </c>
      <c r="I104" s="170"/>
      <c r="J104" s="171" t="s">
        <v>4191</v>
      </c>
      <c r="K104" s="172" t="s">
        <v>4191</v>
      </c>
      <c r="L104" s="173" t="s">
        <v>4191</v>
      </c>
      <c r="M104" s="174" t="s">
        <v>4191</v>
      </c>
      <c r="N104" s="175" t="str">
        <f ca="1">IF(November_SotM[[#This Row],[Num]]&gt;=$A$93, "-", IF(November_SotM[[#This Row],[Initial 1]], VLOOKUP(November_SotM[[#This Row],[Top Seed]], $Z$94:$AE$109, 6, FALSE), OFFSET(November_SotM[[#This Row],[Winner]], November_SotM[[#This Row],[Max Seed]], 0)))</f>
        <v>Zombie</v>
      </c>
      <c r="O104" s="168">
        <f>COUNTIF(November_SotM[[#This Row],[J]:[H]],"x")</f>
        <v>4</v>
      </c>
      <c r="P104" s="169" t="str">
        <f ca="1">IF(November_SotM[[#This Row],[Num]]&gt;=$A$72, "-", IF(November_SotM[[#This Row],[Score 1]]&gt;=3, November_SotM[[#This Row],[Song 1]], IF(November_SotM[[#This Row],[Score 2]]&gt;=3, November_SotM[[#This Row],[Song 2]], "TBD")))</f>
        <v>Zombie</v>
      </c>
      <c r="Q104" s="176">
        <f>COUNTIF(November_SotM[[#This Row],[H ]:[J ]],"x")</f>
        <v>1</v>
      </c>
      <c r="R104" s="168" t="str">
        <f ca="1">IF(November_SotM[[#This Row],[Num]]&gt;=$A$93, "-", IF(November_SotM[[#This Row],[Initial 2]], VLOOKUP(November_SotM[[#This Row],[Low Seed]], $Z$94:$AE$109, 6, FALSE), OFFSET(November_SotM[[#This Row],[Winner]], 2*(November_SotM[[#This Row],[Max Seed]]-November_SotM[[#This Row],[Low Seed]])+1, 0)))</f>
        <v>i KnOW itS LatE...♥︎(❀❛ ֊ ❛„)♡</v>
      </c>
      <c r="S104" s="174"/>
      <c r="T104" s="173"/>
      <c r="U104" s="172"/>
      <c r="V104" s="171"/>
      <c r="W104" s="170" t="s">
        <v>4191</v>
      </c>
      <c r="X104" s="3" t="str">
        <f ca="1">IF(OR(November_SotM[[#This Row],[Song 1]]="TBD", November_SotM[[#This Row],[Song 2]]="TBD"), "TBD", _xlfn.CONCAT(IF(_xlfn.XOR(ISBLANK(November_SotM[[#This Row],[J]]), ISBLANK(November_SotM[[#This Row],[J ]])), "", "J "), IF(_xlfn.XOR(ISBLANK(November_SotM[[#This Row],[D]]), ISBLANK(November_SotM[[#This Row],[D ]])), "", "D "), IF(_xlfn.XOR(ISBLANK(November_SotM[[#This Row],[L]]), ISBLANK(November_SotM[[#This Row],[L ]])), "", "L "), IF(_xlfn.XOR(ISBLANK(November_SotM[[#This Row],[S]]), ISBLANK(November_SotM[[#This Row],[S ]])), "", "S "), IF(_xlfn.XOR(ISBLANK(November_SotM[[#This Row],[H]]), ISBLANK(November_SotM[[#This Row],[H ]])), "", "H ")))</f>
        <v/>
      </c>
      <c r="Z104" s="109">
        <f t="shared" si="23"/>
        <v>3</v>
      </c>
      <c r="AA104" s="85">
        <v>45616</v>
      </c>
      <c r="AB104" t="str">
        <v>currydestroyer27</v>
      </c>
      <c r="AC104" s="3">
        <v>2</v>
      </c>
      <c r="AD104" s="86">
        <v>0.63245553203367588</v>
      </c>
      <c r="AE104" s="123" t="str">
        <v>Mayonaka no Door / Stay With Me</v>
      </c>
      <c r="AF104" t="str">
        <v>Miki Matsubara</v>
      </c>
      <c r="AG104" s="100">
        <f t="shared" si="24"/>
        <v>3</v>
      </c>
      <c r="AI104" s="140">
        <f>November_SotM[[#This Row],[Max Seed]]/2 + 1</f>
        <v>9</v>
      </c>
      <c r="AJ104" s="135" t="str">
        <f ca="1">IF(November_SotM[[#This Row],[Num]]&gt;=$A$72, "-", IF(November_SotM[[#This Row],[Score 1]]&gt;=3, November_SotM[[#This Row],[Song 2]], IF(November_SotM[[#This Row],[Score 2]]&gt;=3, November_SotM[[#This Row],[Song 1]], "TBD")))</f>
        <v>i KnOW itS LatE...♥︎(❀❛ ֊ ❛„)♡</v>
      </c>
      <c r="AK104" s="124">
        <f ca="1">IFERROR(VLOOKUP(November_Results[[#This Row],[Song Title]], $AE$94:$AG$109, 3, FALSE)-November_Results[[#This Row],[Result]], "TBD")</f>
        <v>0</v>
      </c>
      <c r="AL104" s="125" t="str">
        <f ca="1">IF(November_Results[[#This Row],[Diff]]&lt;0,"↓",IF(November_Results[[#This Row],[Diff]]=0,"-","↑"))</f>
        <v>-</v>
      </c>
    </row>
    <row r="105" spans="1:38" ht="15" customHeight="1">
      <c r="A105" s="168" t="str">
        <f>_xlfn.CONCAT("Seed ", November_SotM[[#This Row],[Top Seed]], " vs ", November_SotM[[#This Row],[Low Seed]])</f>
        <v>Seed 5 vs 12</v>
      </c>
      <c r="B105" s="129">
        <v>11</v>
      </c>
      <c r="C105" s="169">
        <f>FLOOR(LOG(November_SotM[[#This Row],[Num]], 2), 1)</f>
        <v>3</v>
      </c>
      <c r="D105" s="169">
        <f>2^(November_SotM[[#This Row],[Round]]+1)</f>
        <v>16</v>
      </c>
      <c r="E105" s="169">
        <f>November_SotM[[#This Row],[Max Seed]]-November_SotM[[#This Row],[Num]]</f>
        <v>5</v>
      </c>
      <c r="F105" s="169">
        <f>November_SotM[[#This Row],[Max Seed]]-November_SotM[[#This Row],[Top Seed]]+1</f>
        <v>12</v>
      </c>
      <c r="G105" s="169" t="b">
        <f>IF(November_SotM[[#This Row],[Round]]=$C$93, TRUE(), IF(November_SotM[[#This Row],[Round]]=$B$93, November_SotM[[#This Row],[Top Seed]]&lt;=2*November_SotM[[#This Row],[Max Seed]]-$A$93, FALSE()))</f>
        <v>1</v>
      </c>
      <c r="H105" s="169" t="b">
        <f>IF(November_SotM[[#This Row],[Round]]=$C$93, TRUE(), IF(November_SotM[[#This Row],[Round]]=$B$93, November_SotM[[#This Row],[Low Seed]]&lt;=2*November_SotM[[#This Row],[Max Seed]]-$A$93, FALSE()))</f>
        <v>1</v>
      </c>
      <c r="I105" s="170" t="s">
        <v>4191</v>
      </c>
      <c r="J105" s="171" t="s">
        <v>4191</v>
      </c>
      <c r="K105" s="172"/>
      <c r="L105" s="173" t="s">
        <v>4191</v>
      </c>
      <c r="M105" s="174"/>
      <c r="N105" s="175" t="str">
        <f ca="1">IF(November_SotM[[#This Row],[Num]]&gt;=$A$93, "-", IF(November_SotM[[#This Row],[Initial 1]], VLOOKUP(November_SotM[[#This Row],[Top Seed]], $Z$94:$AE$109, 6, FALSE), OFFSET(November_SotM[[#This Row],[Winner]], November_SotM[[#This Row],[Max Seed]], 0)))</f>
        <v>Working Man</v>
      </c>
      <c r="O105" s="168">
        <f>COUNTIF(November_SotM[[#This Row],[J]:[H]],"x")</f>
        <v>3</v>
      </c>
      <c r="P105" s="169" t="str">
        <f ca="1">IF(November_SotM[[#This Row],[Num]]&gt;=$A$72, "-", IF(November_SotM[[#This Row],[Score 1]]&gt;=3, November_SotM[[#This Row],[Song 1]], IF(November_SotM[[#This Row],[Score 2]]&gt;=3, November_SotM[[#This Row],[Song 2]], "TBD")))</f>
        <v>Working Man</v>
      </c>
      <c r="Q105" s="176">
        <f>COUNTIF(November_SotM[[#This Row],[H ]:[J ]],"x")</f>
        <v>2</v>
      </c>
      <c r="R105" s="168" t="str">
        <f ca="1">IF(November_SotM[[#This Row],[Num]]&gt;=$A$93, "-", IF(November_SotM[[#This Row],[Initial 2]], VLOOKUP(November_SotM[[#This Row],[Low Seed]], $Z$94:$AE$109, 6, FALSE), OFFSET(November_SotM[[#This Row],[Winner]], 2*(November_SotM[[#This Row],[Max Seed]]-November_SotM[[#This Row],[Low Seed]])+1, 0)))</f>
        <v>cOoL WATeR foR thE nIGHT</v>
      </c>
      <c r="S105" s="174" t="s">
        <v>4191</v>
      </c>
      <c r="T105" s="173"/>
      <c r="U105" s="172" t="s">
        <v>4191</v>
      </c>
      <c r="V105" s="171"/>
      <c r="W105" s="170"/>
      <c r="X105" s="3" t="str">
        <f ca="1">IF(OR(November_SotM[[#This Row],[Song 1]]="TBD", November_SotM[[#This Row],[Song 2]]="TBD"), "TBD", _xlfn.CONCAT(IF(_xlfn.XOR(ISBLANK(November_SotM[[#This Row],[J]]), ISBLANK(November_SotM[[#This Row],[J ]])), "", "J "), IF(_xlfn.XOR(ISBLANK(November_SotM[[#This Row],[D]]), ISBLANK(November_SotM[[#This Row],[D ]])), "", "D "), IF(_xlfn.XOR(ISBLANK(November_SotM[[#This Row],[L]]), ISBLANK(November_SotM[[#This Row],[L ]])), "", "L "), IF(_xlfn.XOR(ISBLANK(November_SotM[[#This Row],[S]]), ISBLANK(November_SotM[[#This Row],[S ]])), "", "S "), IF(_xlfn.XOR(ISBLANK(November_SotM[[#This Row],[H]]), ISBLANK(November_SotM[[#This Row],[H ]])), "", "H ")))</f>
        <v/>
      </c>
      <c r="Z105" s="109">
        <f t="shared" si="23"/>
        <v>5</v>
      </c>
      <c r="AA105" s="85">
        <v>45617</v>
      </c>
      <c r="AB105" t="str">
        <v>samuelbattista</v>
      </c>
      <c r="AC105" s="3">
        <v>2.2000000000000002</v>
      </c>
      <c r="AD105" s="86">
        <v>0.74833147735478833</v>
      </c>
      <c r="AE105" s="123" t="str">
        <v>Working Man</v>
      </c>
      <c r="AF105" t="str">
        <v>Rush</v>
      </c>
      <c r="AG105" s="100">
        <f t="shared" si="24"/>
        <v>5</v>
      </c>
      <c r="AI105" s="140">
        <f>November_SotM[[#This Row],[Max Seed]]/2 + 1</f>
        <v>9</v>
      </c>
      <c r="AJ105" s="135" t="str">
        <f ca="1">IF(November_SotM[[#This Row],[Num]]&gt;=$A$72, "-", IF(November_SotM[[#This Row],[Score 1]]&gt;=3, November_SotM[[#This Row],[Song 2]], IF(November_SotM[[#This Row],[Score 2]]&gt;=3, November_SotM[[#This Row],[Song 1]], "TBD")))</f>
        <v>cOoL WATeR foR thE nIGHT</v>
      </c>
      <c r="AK105" s="124">
        <f ca="1">IFERROR(VLOOKUP(November_Results[[#This Row],[Song Title]], $AE$94:$AG$109, 3, FALSE)-November_Results[[#This Row],[Result]], "TBD")</f>
        <v>0</v>
      </c>
      <c r="AL105" s="125" t="str">
        <f ca="1">IF(November_Results[[#This Row],[Diff]]&lt;0,"↓",IF(November_Results[[#This Row],[Diff]]=0,"-","↑"))</f>
        <v>-</v>
      </c>
    </row>
    <row r="106" spans="1:38" ht="15" customHeight="1">
      <c r="A106" s="168" t="str">
        <f>_xlfn.CONCAT("Seed ", November_SotM[[#This Row],[Top Seed]], " vs ", November_SotM[[#This Row],[Low Seed]])</f>
        <v>Seed 4 vs 13</v>
      </c>
      <c r="B106" s="129">
        <v>12</v>
      </c>
      <c r="C106" s="169">
        <f>FLOOR(LOG(November_SotM[[#This Row],[Num]], 2), 1)</f>
        <v>3</v>
      </c>
      <c r="D106" s="169">
        <f>2^(November_SotM[[#This Row],[Round]]+1)</f>
        <v>16</v>
      </c>
      <c r="E106" s="169">
        <f>November_SotM[[#This Row],[Max Seed]]-November_SotM[[#This Row],[Num]]</f>
        <v>4</v>
      </c>
      <c r="F106" s="169">
        <f>November_SotM[[#This Row],[Max Seed]]-November_SotM[[#This Row],[Top Seed]]+1</f>
        <v>13</v>
      </c>
      <c r="G106" s="169" t="b">
        <f>IF(November_SotM[[#This Row],[Round]]=$C$93, TRUE(), IF(November_SotM[[#This Row],[Round]]=$B$93, November_SotM[[#This Row],[Top Seed]]&lt;=2*November_SotM[[#This Row],[Max Seed]]-$A$93, FALSE()))</f>
        <v>1</v>
      </c>
      <c r="H106" s="169" t="b">
        <f>IF(November_SotM[[#This Row],[Round]]=$C$93, TRUE(), IF(November_SotM[[#This Row],[Round]]=$B$93, November_SotM[[#This Row],[Low Seed]]&lt;=2*November_SotM[[#This Row],[Max Seed]]-$A$93, FALSE()))</f>
        <v>1</v>
      </c>
      <c r="I106" s="170"/>
      <c r="J106" s="171"/>
      <c r="K106" s="172"/>
      <c r="L106" s="173"/>
      <c r="M106" s="174"/>
      <c r="N106" s="175" t="str">
        <f ca="1">IF(November_SotM[[#This Row],[Num]]&gt;=$A$93, "-", IF(November_SotM[[#This Row],[Initial 1]], VLOOKUP(November_SotM[[#This Row],[Top Seed]], $Z$94:$AE$109, 6, FALSE), OFFSET(November_SotM[[#This Row],[Winner]], November_SotM[[#This Row],[Max Seed]], 0)))</f>
        <v>Free Bird</v>
      </c>
      <c r="O106" s="168">
        <f>COUNTIF(November_SotM[[#This Row],[J]:[H]],"x")</f>
        <v>0</v>
      </c>
      <c r="P106" s="169" t="str">
        <f ca="1">IF(November_SotM[[#This Row],[Num]]&gt;=$A$72, "-", IF(November_SotM[[#This Row],[Score 1]]&gt;=3, November_SotM[[#This Row],[Song 1]], IF(November_SotM[[#This Row],[Score 2]]&gt;=3, November_SotM[[#This Row],[Song 2]], "TBD")))</f>
        <v>In Bloom</v>
      </c>
      <c r="Q106" s="176">
        <f>COUNTIF(November_SotM[[#This Row],[H ]:[J ]],"x")</f>
        <v>5</v>
      </c>
      <c r="R106" s="168" t="str">
        <f ca="1">IF(November_SotM[[#This Row],[Num]]&gt;=$A$93, "-", IF(November_SotM[[#This Row],[Initial 2]], VLOOKUP(November_SotM[[#This Row],[Low Seed]], $Z$94:$AE$109, 6, FALSE), OFFSET(November_SotM[[#This Row],[Winner]], 2*(November_SotM[[#This Row],[Max Seed]]-November_SotM[[#This Row],[Low Seed]])+1, 0)))</f>
        <v>In Bloom</v>
      </c>
      <c r="S106" s="174" t="s">
        <v>4191</v>
      </c>
      <c r="T106" s="173" t="s">
        <v>4191</v>
      </c>
      <c r="U106" s="172" t="s">
        <v>4191</v>
      </c>
      <c r="V106" s="171" t="s">
        <v>4191</v>
      </c>
      <c r="W106" s="170" t="s">
        <v>4191</v>
      </c>
      <c r="X106" s="3" t="str">
        <f ca="1">IF(OR(November_SotM[[#This Row],[Song 1]]="TBD", November_SotM[[#This Row],[Song 2]]="TBD"), "TBD", _xlfn.CONCAT(IF(_xlfn.XOR(ISBLANK(November_SotM[[#This Row],[J]]), ISBLANK(November_SotM[[#This Row],[J ]])), "", "J "), IF(_xlfn.XOR(ISBLANK(November_SotM[[#This Row],[D]]), ISBLANK(November_SotM[[#This Row],[D ]])), "", "D "), IF(_xlfn.XOR(ISBLANK(November_SotM[[#This Row],[L]]), ISBLANK(November_SotM[[#This Row],[L ]])), "", "L "), IF(_xlfn.XOR(ISBLANK(November_SotM[[#This Row],[S]]), ISBLANK(November_SotM[[#This Row],[S ]])), "", "S "), IF(_xlfn.XOR(ISBLANK(November_SotM[[#This Row],[H]]), ISBLANK(November_SotM[[#This Row],[H ]])), "", "H ")))</f>
        <v/>
      </c>
      <c r="Z106" s="109">
        <f t="shared" si="23"/>
        <v>13</v>
      </c>
      <c r="AA106" s="85">
        <v>45621</v>
      </c>
      <c r="AB106" t="str">
        <v>samuelbattista</v>
      </c>
      <c r="AC106" s="3">
        <v>2.4</v>
      </c>
      <c r="AD106" s="86">
        <v>1.4966629547095767</v>
      </c>
      <c r="AE106" s="123" t="str">
        <v>In Bloom</v>
      </c>
      <c r="AF106" t="str">
        <v>Nirvana</v>
      </c>
      <c r="AG106" s="100">
        <f t="shared" si="24"/>
        <v>9</v>
      </c>
      <c r="AI106" s="140">
        <f>November_SotM[[#This Row],[Max Seed]]/2 + 1</f>
        <v>9</v>
      </c>
      <c r="AJ106" s="135" t="str">
        <f ca="1">IF(November_SotM[[#This Row],[Num]]&gt;=$A$72, "-", IF(November_SotM[[#This Row],[Score 1]]&gt;=3, November_SotM[[#This Row],[Song 2]], IF(November_SotM[[#This Row],[Score 2]]&gt;=3, November_SotM[[#This Row],[Song 1]], "TBD")))</f>
        <v>Free Bird</v>
      </c>
      <c r="AK106" s="124">
        <f ca="1">IFERROR(VLOOKUP(November_Results[[#This Row],[Song Title]], $AE$94:$AG$109, 3, FALSE)-November_Results[[#This Row],[Result]], "TBD")</f>
        <v>-6</v>
      </c>
      <c r="AL106" s="125" t="str">
        <f ca="1">IF(November_Results[[#This Row],[Diff]]&lt;0,"↓",IF(November_Results[[#This Row],[Diff]]=0,"-","↑"))</f>
        <v>↓</v>
      </c>
    </row>
    <row r="107" spans="1:38" ht="15" customHeight="1">
      <c r="A107" s="168" t="str">
        <f>_xlfn.CONCAT("Seed ", November_SotM[[#This Row],[Top Seed]], " vs ", November_SotM[[#This Row],[Low Seed]])</f>
        <v>Seed 3 vs 14</v>
      </c>
      <c r="B107" s="129">
        <v>13</v>
      </c>
      <c r="C107" s="169">
        <f>FLOOR(LOG(November_SotM[[#This Row],[Num]], 2), 1)</f>
        <v>3</v>
      </c>
      <c r="D107" s="169">
        <f>2^(November_SotM[[#This Row],[Round]]+1)</f>
        <v>16</v>
      </c>
      <c r="E107" s="169">
        <f>November_SotM[[#This Row],[Max Seed]]-November_SotM[[#This Row],[Num]]</f>
        <v>3</v>
      </c>
      <c r="F107" s="169">
        <f>November_SotM[[#This Row],[Max Seed]]-November_SotM[[#This Row],[Top Seed]]+1</f>
        <v>14</v>
      </c>
      <c r="G107" s="169" t="b">
        <f>IF(November_SotM[[#This Row],[Round]]=$C$93, TRUE(), IF(November_SotM[[#This Row],[Round]]=$B$93, November_SotM[[#This Row],[Top Seed]]&lt;=2*November_SotM[[#This Row],[Max Seed]]-$A$93, FALSE()))</f>
        <v>1</v>
      </c>
      <c r="H107" s="169" t="b">
        <f>IF(November_SotM[[#This Row],[Round]]=$C$93, TRUE(), IF(November_SotM[[#This Row],[Round]]=$B$93, November_SotM[[#This Row],[Low Seed]]&lt;=2*November_SotM[[#This Row],[Max Seed]]-$A$93, FALSE()))</f>
        <v>1</v>
      </c>
      <c r="I107" s="170" t="s">
        <v>4191</v>
      </c>
      <c r="J107" s="171"/>
      <c r="K107" s="172" t="s">
        <v>4191</v>
      </c>
      <c r="L107" s="173"/>
      <c r="M107" s="174" t="s">
        <v>4191</v>
      </c>
      <c r="N107" s="175" t="str">
        <f ca="1">IF(November_SotM[[#This Row],[Num]]&gt;=$A$93, "-", IF(November_SotM[[#This Row],[Initial 1]], VLOOKUP(November_SotM[[#This Row],[Top Seed]], $Z$94:$AE$109, 6, FALSE), OFFSET(November_SotM[[#This Row],[Winner]], November_SotM[[#This Row],[Max Seed]], 0)))</f>
        <v>Mayonaka no Door / Stay With Me</v>
      </c>
      <c r="O107" s="168">
        <f>COUNTIF(November_SotM[[#This Row],[J]:[H]],"x")</f>
        <v>3</v>
      </c>
      <c r="P107" s="169" t="str">
        <f ca="1">IF(November_SotM[[#This Row],[Num]]&gt;=$A$72, "-", IF(November_SotM[[#This Row],[Score 1]]&gt;=3, November_SotM[[#This Row],[Song 1]], IF(November_SotM[[#This Row],[Score 2]]&gt;=3, November_SotM[[#This Row],[Song 2]], "TBD")))</f>
        <v>Mayonaka no Door / Stay With Me</v>
      </c>
      <c r="Q107" s="176">
        <f>COUNTIF(November_SotM[[#This Row],[H ]:[J ]],"x")</f>
        <v>1</v>
      </c>
      <c r="R107" s="168" t="str">
        <f ca="1">IF(November_SotM[[#This Row],[Num]]&gt;=$A$93, "-", IF(November_SotM[[#This Row],[Initial 2]], VLOOKUP(November_SotM[[#This Row],[Low Seed]], $Z$94:$AE$109, 6, FALSE), OFFSET(November_SotM[[#This Row],[Winner]], 2*(November_SotM[[#This Row],[Max Seed]]-November_SotM[[#This Row],[Low Seed]])+1, 0)))</f>
        <v>Never Gonna Be Alone</v>
      </c>
      <c r="S107" s="174"/>
      <c r="T107" s="173" t="s">
        <v>4191</v>
      </c>
      <c r="U107" s="172"/>
      <c r="V107" s="171"/>
      <c r="W107" s="170"/>
      <c r="X107" s="3" t="str">
        <f ca="1">IF(OR(November_SotM[[#This Row],[Song 1]]="TBD", November_SotM[[#This Row],[Song 2]]="TBD"), "TBD", _xlfn.CONCAT(IF(_xlfn.XOR(ISBLANK(November_SotM[[#This Row],[J]]), ISBLANK(November_SotM[[#This Row],[J ]])), "", "J "), IF(_xlfn.XOR(ISBLANK(November_SotM[[#This Row],[D]]), ISBLANK(November_SotM[[#This Row],[D ]])), "", "D "), IF(_xlfn.XOR(ISBLANK(November_SotM[[#This Row],[L]]), ISBLANK(November_SotM[[#This Row],[L ]])), "", "L "), IF(_xlfn.XOR(ISBLANK(November_SotM[[#This Row],[S]]), ISBLANK(November_SotM[[#This Row],[S ]])), "", "S "), IF(_xlfn.XOR(ISBLANK(November_SotM[[#This Row],[H]]), ISBLANK(November_SotM[[#This Row],[H ]])), "", "H ")))</f>
        <v xml:space="preserve">D </v>
      </c>
      <c r="Z107" s="109">
        <f t="shared" si="23"/>
        <v>14</v>
      </c>
      <c r="AA107" s="85">
        <v>45622</v>
      </c>
      <c r="AB107" t="str">
        <v>samuelbattista</v>
      </c>
      <c r="AC107" s="3">
        <v>2.6</v>
      </c>
      <c r="AD107" s="86">
        <v>0.8</v>
      </c>
      <c r="AE107" s="123" t="str">
        <v>Never Gonna Be Alone</v>
      </c>
      <c r="AF107" t="str">
        <v>Jacob Collier, Lizzy McAlpine, John Mayer</v>
      </c>
      <c r="AG107" s="100">
        <f t="shared" si="24"/>
        <v>9</v>
      </c>
      <c r="AI107" s="140">
        <f>November_SotM[[#This Row],[Max Seed]]/2 + 1</f>
        <v>9</v>
      </c>
      <c r="AJ107" s="135" t="str">
        <f ca="1">IF(November_SotM[[#This Row],[Num]]&gt;=$A$72, "-", IF(November_SotM[[#This Row],[Score 1]]&gt;=3, November_SotM[[#This Row],[Song 2]], IF(November_SotM[[#This Row],[Score 2]]&gt;=3, November_SotM[[#This Row],[Song 1]], "TBD")))</f>
        <v>Never Gonna Be Alone</v>
      </c>
      <c r="AK107" s="124">
        <f ca="1">IFERROR(VLOOKUP(November_Results[[#This Row],[Song Title]], $AE$94:$AG$109, 3, FALSE)-November_Results[[#This Row],[Result]], "TBD")</f>
        <v>0</v>
      </c>
      <c r="AL107" s="125" t="str">
        <f ca="1">IF(November_Results[[#This Row],[Diff]]&lt;0,"↓",IF(November_Results[[#This Row],[Diff]]=0,"-","↑"))</f>
        <v>-</v>
      </c>
    </row>
    <row r="108" spans="1:38" ht="15" customHeight="1">
      <c r="A108" s="168" t="str">
        <f>_xlfn.CONCAT("Seed ", November_SotM[[#This Row],[Top Seed]], " vs ", November_SotM[[#This Row],[Low Seed]])</f>
        <v>Seed 2 vs 15</v>
      </c>
      <c r="B108" s="129">
        <v>14</v>
      </c>
      <c r="C108" s="169">
        <f>FLOOR(LOG(November_SotM[[#This Row],[Num]], 2), 1)</f>
        <v>3</v>
      </c>
      <c r="D108" s="169">
        <f>2^(November_SotM[[#This Row],[Round]]+1)</f>
        <v>16</v>
      </c>
      <c r="E108" s="169">
        <f>November_SotM[[#This Row],[Max Seed]]-November_SotM[[#This Row],[Num]]</f>
        <v>2</v>
      </c>
      <c r="F108" s="169">
        <f>November_SotM[[#This Row],[Max Seed]]-November_SotM[[#This Row],[Top Seed]]+1</f>
        <v>15</v>
      </c>
      <c r="G108" s="169" t="b">
        <f>IF(November_SotM[[#This Row],[Round]]=$C$93, TRUE(), IF(November_SotM[[#This Row],[Round]]=$B$93, November_SotM[[#This Row],[Top Seed]]&lt;=2*November_SotM[[#This Row],[Max Seed]]-$A$93, FALSE()))</f>
        <v>1</v>
      </c>
      <c r="H108" s="169" t="b">
        <f>IF(November_SotM[[#This Row],[Round]]=$C$93, TRUE(), IF(November_SotM[[#This Row],[Round]]=$B$93, November_SotM[[#This Row],[Low Seed]]&lt;=2*November_SotM[[#This Row],[Max Seed]]-$A$93, FALSE()))</f>
        <v>1</v>
      </c>
      <c r="I108" s="170"/>
      <c r="J108" s="171"/>
      <c r="K108" s="172" t="s">
        <v>4191</v>
      </c>
      <c r="L108" s="173" t="s">
        <v>4191</v>
      </c>
      <c r="M108" s="174" t="s">
        <v>4191</v>
      </c>
      <c r="N108" s="175" t="str">
        <f ca="1">IF(November_SotM[[#This Row],[Num]]&gt;=$A$93, "-", IF(November_SotM[[#This Row],[Initial 1]], VLOOKUP(November_SotM[[#This Row],[Top Seed]], $Z$94:$AE$109, 6, FALSE), OFFSET(November_SotM[[#This Row],[Winner]], November_SotM[[#This Row],[Max Seed]], 0)))</f>
        <v>In the Party</v>
      </c>
      <c r="O108" s="168">
        <f>COUNTIF(November_SotM[[#This Row],[J]:[H]],"x")</f>
        <v>3</v>
      </c>
      <c r="P108" s="169" t="str">
        <f ca="1">IF(November_SotM[[#This Row],[Num]]&gt;=$A$72, "-", IF(November_SotM[[#This Row],[Score 1]]&gt;=3, November_SotM[[#This Row],[Song 1]], IF(November_SotM[[#This Row],[Score 2]]&gt;=3, November_SotM[[#This Row],[Song 2]], "TBD")))</f>
        <v>In the Party</v>
      </c>
      <c r="Q108" s="176">
        <f>COUNTIF(November_SotM[[#This Row],[H ]:[J ]],"x")</f>
        <v>1</v>
      </c>
      <c r="R108" s="168" t="str">
        <f ca="1">IF(November_SotM[[#This Row],[Num]]&gt;=$A$93, "-", IF(November_SotM[[#This Row],[Initial 2]], VLOOKUP(November_SotM[[#This Row],[Low Seed]], $Z$94:$AE$109, 6, FALSE), OFFSET(November_SotM[[#This Row],[Winner]], 2*(November_SotM[[#This Row],[Max Seed]]-November_SotM[[#This Row],[Low Seed]])+1, 0)))</f>
        <v>Phantom Island</v>
      </c>
      <c r="S108" s="174"/>
      <c r="T108" s="173"/>
      <c r="U108" s="172"/>
      <c r="V108" s="171"/>
      <c r="W108" s="170" t="s">
        <v>4191</v>
      </c>
      <c r="X108" s="3" t="str">
        <f ca="1">IF(OR(November_SotM[[#This Row],[Song 1]]="TBD", November_SotM[[#This Row],[Song 2]]="TBD"), "TBD", _xlfn.CONCAT(IF(_xlfn.XOR(ISBLANK(November_SotM[[#This Row],[J]]), ISBLANK(November_SotM[[#This Row],[J ]])), "", "J "), IF(_xlfn.XOR(ISBLANK(November_SotM[[#This Row],[D]]), ISBLANK(November_SotM[[#This Row],[D ]])), "", "D "), IF(_xlfn.XOR(ISBLANK(November_SotM[[#This Row],[L]]), ISBLANK(November_SotM[[#This Row],[L ]])), "", "L "), IF(_xlfn.XOR(ISBLANK(November_SotM[[#This Row],[S]]), ISBLANK(November_SotM[[#This Row],[S ]])), "", "S "), IF(_xlfn.XOR(ISBLANK(November_SotM[[#This Row],[H]]), ISBLANK(November_SotM[[#This Row],[H ]])), "", "H ")))</f>
        <v xml:space="preserve">D </v>
      </c>
      <c r="Z108" s="109">
        <f t="shared" si="23"/>
        <v>11</v>
      </c>
      <c r="AA108" s="85">
        <v>45623</v>
      </c>
      <c r="AB108" t="str">
        <v>loganworsdell</v>
      </c>
      <c r="AC108" s="3">
        <v>2.4</v>
      </c>
      <c r="AD108" s="86">
        <v>1.3564659966250536</v>
      </c>
      <c r="AE108" s="123" t="str">
        <v>i KnOW itS LatE...♥︎(❀❛ ֊ ❛„)♡</v>
      </c>
      <c r="AF108" t="str">
        <v>1999 WRITE THE FUTURE</v>
      </c>
      <c r="AG108" s="100">
        <f t="shared" si="24"/>
        <v>9</v>
      </c>
      <c r="AI108" s="140">
        <f>November_SotM[[#This Row],[Max Seed]]/2 + 1</f>
        <v>9</v>
      </c>
      <c r="AJ108" s="135" t="str">
        <f ca="1">IF(November_SotM[[#This Row],[Num]]&gt;=$A$72, "-", IF(November_SotM[[#This Row],[Score 1]]&gt;=3, November_SotM[[#This Row],[Song 2]], IF(November_SotM[[#This Row],[Score 2]]&gt;=3, November_SotM[[#This Row],[Song 1]], "TBD")))</f>
        <v>Phantom Island</v>
      </c>
      <c r="AK108" s="124">
        <f ca="1">IFERROR(VLOOKUP(November_Results[[#This Row],[Song Title]], $AE$94:$AG$109, 3, FALSE)-November_Results[[#This Row],[Result]], "TBD")</f>
        <v>0</v>
      </c>
      <c r="AL108" s="125" t="str">
        <f ca="1">IF(November_Results[[#This Row],[Diff]]&lt;0,"↓",IF(November_Results[[#This Row],[Diff]]=0,"-","↑"))</f>
        <v>-</v>
      </c>
    </row>
    <row r="109" spans="1:38" ht="15" customHeight="1">
      <c r="A109" s="168" t="str">
        <f>_xlfn.CONCAT("Seed ", November_SotM[[#This Row],[Top Seed]], " vs ", November_SotM[[#This Row],[Low Seed]])</f>
        <v>Seed 1 vs 16</v>
      </c>
      <c r="B109" s="129">
        <v>15</v>
      </c>
      <c r="C109" s="169">
        <f>FLOOR(LOG(November_SotM[[#This Row],[Num]], 2), 1)</f>
        <v>3</v>
      </c>
      <c r="D109" s="169">
        <f>2^(November_SotM[[#This Row],[Round]]+1)</f>
        <v>16</v>
      </c>
      <c r="E109" s="169">
        <f>November_SotM[[#This Row],[Max Seed]]-November_SotM[[#This Row],[Num]]</f>
        <v>1</v>
      </c>
      <c r="F109" s="169">
        <f>November_SotM[[#This Row],[Max Seed]]-November_SotM[[#This Row],[Top Seed]]+1</f>
        <v>16</v>
      </c>
      <c r="G109" s="169" t="b">
        <f>IF(November_SotM[[#This Row],[Round]]=$C$93, TRUE(), IF(November_SotM[[#This Row],[Round]]=$B$93, November_SotM[[#This Row],[Top Seed]]&lt;=2*November_SotM[[#This Row],[Max Seed]]-$A$93, FALSE()))</f>
        <v>1</v>
      </c>
      <c r="H109" s="169" t="b">
        <f>IF(November_SotM[[#This Row],[Round]]=$C$93, TRUE(), IF(November_SotM[[#This Row],[Round]]=$B$93, November_SotM[[#This Row],[Low Seed]]&lt;=2*November_SotM[[#This Row],[Max Seed]]-$A$93, FALSE()))</f>
        <v>1</v>
      </c>
      <c r="I109" s="170"/>
      <c r="J109" s="171" t="s">
        <v>4191</v>
      </c>
      <c r="K109" s="172" t="s">
        <v>4191</v>
      </c>
      <c r="L109" s="173" t="s">
        <v>4191</v>
      </c>
      <c r="M109" s="174" t="s">
        <v>4191</v>
      </c>
      <c r="N109" s="175" t="str">
        <f ca="1">IF(November_SotM[[#This Row],[Num]]&gt;=$A$93, "-", IF(November_SotM[[#This Row],[Initial 1]], VLOOKUP(November_SotM[[#This Row],[Top Seed]], $Z$94:$AE$109, 6, FALSE), OFFSET(November_SotM[[#This Row],[Winner]], November_SotM[[#This Row],[Max Seed]], 0)))</f>
        <v>Next Exit</v>
      </c>
      <c r="O109" s="168">
        <f>COUNTIF(November_SotM[[#This Row],[J]:[H]],"x")</f>
        <v>4</v>
      </c>
      <c r="P109" s="169" t="str">
        <f ca="1">IF(November_SotM[[#This Row],[Num]]&gt;=$A$72, "-", IF(November_SotM[[#This Row],[Score 1]]&gt;=3, November_SotM[[#This Row],[Song 1]], IF(November_SotM[[#This Row],[Score 2]]&gt;=3, November_SotM[[#This Row],[Song 2]], "TBD")))</f>
        <v>Next Exit</v>
      </c>
      <c r="Q109" s="176">
        <f>COUNTIF(November_SotM[[#This Row],[H ]:[J ]],"x")</f>
        <v>1</v>
      </c>
      <c r="R109" s="168" t="str">
        <f ca="1">IF(November_SotM[[#This Row],[Num]]&gt;=$A$93, "-", IF(November_SotM[[#This Row],[Initial 2]], VLOOKUP(November_SotM[[#This Row],[Low Seed]], $Z$94:$AE$109, 6, FALSE), OFFSET(November_SotM[[#This Row],[Winner]], 2*(November_SotM[[#This Row],[Max Seed]]-November_SotM[[#This Row],[Low Seed]])+1, 0)))</f>
        <v>last night's mascara</v>
      </c>
      <c r="S109" s="174"/>
      <c r="T109" s="173"/>
      <c r="U109" s="172"/>
      <c r="V109" s="171"/>
      <c r="W109" s="170" t="s">
        <v>4191</v>
      </c>
      <c r="X109" s="3" t="str">
        <f ca="1">IF(OR(November_SotM[[#This Row],[Song 1]]="TBD", November_SotM[[#This Row],[Song 2]]="TBD"), "TBD", _xlfn.CONCAT(IF(_xlfn.XOR(ISBLANK(November_SotM[[#This Row],[J]]), ISBLANK(November_SotM[[#This Row],[J ]])), "", "J "), IF(_xlfn.XOR(ISBLANK(November_SotM[[#This Row],[D]]), ISBLANK(November_SotM[[#This Row],[D ]])), "", "D "), IF(_xlfn.XOR(ISBLANK(November_SotM[[#This Row],[L]]), ISBLANK(November_SotM[[#This Row],[L ]])), "", "L "), IF(_xlfn.XOR(ISBLANK(November_SotM[[#This Row],[S]]), ISBLANK(November_SotM[[#This Row],[S ]])), "", "S "), IF(_xlfn.XOR(ISBLANK(November_SotM[[#This Row],[H]]), ISBLANK(November_SotM[[#This Row],[H ]])), "", "H ")))</f>
        <v/>
      </c>
      <c r="Z109" s="110">
        <f t="shared" si="23"/>
        <v>12</v>
      </c>
      <c r="AA109" s="156">
        <v>45624</v>
      </c>
      <c r="AB109" s="157" t="str">
        <v>loganworsdell</v>
      </c>
      <c r="AC109" s="101">
        <v>2.4</v>
      </c>
      <c r="AD109" s="158">
        <v>1.3564659966250536</v>
      </c>
      <c r="AE109" s="159" t="str">
        <v>cOoL WATeR foR thE nIGHT</v>
      </c>
      <c r="AF109" s="157" t="str">
        <v>1999 WRITE THE FUTURE</v>
      </c>
      <c r="AG109" s="102">
        <f t="shared" si="24"/>
        <v>9</v>
      </c>
      <c r="AI109" s="140">
        <f>November_SotM[[#This Row],[Max Seed]]/2 + 1</f>
        <v>9</v>
      </c>
      <c r="AJ109" s="135" t="str">
        <f ca="1">IF(November_SotM[[#This Row],[Num]]&gt;=$A$72, "-", IF(November_SotM[[#This Row],[Score 1]]&gt;=3, November_SotM[[#This Row],[Song 2]], IF(November_SotM[[#This Row],[Score 2]]&gt;=3, November_SotM[[#This Row],[Song 1]], "TBD")))</f>
        <v>last night's mascara</v>
      </c>
      <c r="AK109" s="124">
        <f ca="1">IFERROR(VLOOKUP(November_Results[[#This Row],[Song Title]], $AE$94:$AG$109, 3, FALSE)-November_Results[[#This Row],[Result]], "TBD")</f>
        <v>0</v>
      </c>
      <c r="AL109" s="125" t="str">
        <f ca="1">IF(November_Results[[#This Row],[Diff]]&lt;0,"↓",IF(November_Results[[#This Row],[Diff]]=0,"-","↑"))</f>
        <v>-</v>
      </c>
    </row>
    <row r="111" spans="1:38" ht="15" customHeight="1">
      <c r="A111" s="301">
        <f>MAX(Z112:Z127)</f>
        <v>12</v>
      </c>
      <c r="B111" s="301">
        <f>FLOOR(LOG(A111, 2), 1)-1</f>
        <v>2</v>
      </c>
      <c r="C111" s="301">
        <f>_xlfn.CEILING.MATH(LOG(A111, 2), 1)-1</f>
        <v>3</v>
      </c>
      <c r="D111" s="301"/>
      <c r="E111" s="301"/>
      <c r="F111" s="301"/>
      <c r="G111" s="301"/>
      <c r="H111" s="301"/>
      <c r="I111" s="347" t="s">
        <v>4200</v>
      </c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01"/>
      <c r="Z111" s="148" t="s">
        <v>4163</v>
      </c>
      <c r="AA111" s="149" t="s">
        <v>29</v>
      </c>
      <c r="AB111" s="150" t="s">
        <v>32</v>
      </c>
      <c r="AC111" s="151" t="s">
        <v>33</v>
      </c>
      <c r="AD111" s="152" t="s">
        <v>34</v>
      </c>
      <c r="AE111" s="153" t="s">
        <v>4161</v>
      </c>
      <c r="AF111" s="154" t="s">
        <v>36</v>
      </c>
      <c r="AG111" s="155" t="s">
        <v>4164</v>
      </c>
      <c r="AI111" s="163" t="s">
        <v>4165</v>
      </c>
      <c r="AJ111" s="137" t="s">
        <v>35</v>
      </c>
      <c r="AK111" s="138" t="s">
        <v>4166</v>
      </c>
      <c r="AL111" s="139" t="s">
        <v>4167</v>
      </c>
    </row>
    <row r="112" spans="1:38" ht="15" customHeight="1">
      <c r="A112" s="301" t="s">
        <v>4168</v>
      </c>
      <c r="B112" s="301" t="s">
        <v>4169</v>
      </c>
      <c r="C112" s="301" t="s">
        <v>4170</v>
      </c>
      <c r="D112" s="301" t="s">
        <v>4171</v>
      </c>
      <c r="E112" s="301" t="s">
        <v>4172</v>
      </c>
      <c r="F112" s="301" t="s">
        <v>4173</v>
      </c>
      <c r="G112" s="133" t="s">
        <v>4174</v>
      </c>
      <c r="H112" s="133" t="s">
        <v>4175</v>
      </c>
      <c r="I112" s="133" t="s">
        <v>4176</v>
      </c>
      <c r="J112" s="133" t="s">
        <v>4177</v>
      </c>
      <c r="K112" s="133" t="s">
        <v>4178</v>
      </c>
      <c r="L112" s="133" t="s">
        <v>4179</v>
      </c>
      <c r="M112" s="133" t="s">
        <v>4180</v>
      </c>
      <c r="N112" s="301" t="s">
        <v>4181</v>
      </c>
      <c r="O112" s="133" t="s">
        <v>4182</v>
      </c>
      <c r="P112" s="301" t="s">
        <v>47</v>
      </c>
      <c r="Q112" s="133" t="s">
        <v>4183</v>
      </c>
      <c r="R112" s="301" t="s">
        <v>4184</v>
      </c>
      <c r="S112" s="133" t="s">
        <v>4185</v>
      </c>
      <c r="T112" s="133" t="s">
        <v>4186</v>
      </c>
      <c r="U112" s="133" t="s">
        <v>4187</v>
      </c>
      <c r="V112" s="133" t="s">
        <v>4188</v>
      </c>
      <c r="W112" s="133" t="s">
        <v>4189</v>
      </c>
      <c r="X112" s="133" t="s">
        <v>4190</v>
      </c>
      <c r="Z112" s="109">
        <f>IF(AC112&gt;0, COUNTIF(AC$112:AC$123, "&lt;"&amp;AC112) + COUNTIFS(AC$112:AC$123, AC112, AD$112:AD$123, "&lt;"&amp;AD112) + COUNTIFS(AC$112:AC$123, AC112, AD$112:AD$123, AD112, AA$112:AA$123, "&lt;"&amp;AA112) + 1, "TBD")</f>
        <v>2</v>
      </c>
      <c r="AA112" s="85" cm="1">
        <f t="array" ref="AA112:AF123">_xlfn._xlws.FILTER(Data[Date]:Data[Artist], (Data[Date]&gt;=DATE(2024,12,1))*(Data[Date]&lt;=DATE(2024,12,31))*(Data[Winner]=TRUE()), "TBD")</f>
        <v>45628</v>
      </c>
      <c r="AB112" s="123" t="str">
        <v>alappatjoe</v>
      </c>
      <c r="AC112" s="3">
        <v>1.6</v>
      </c>
      <c r="AD112" s="86">
        <v>0.4898979485566356</v>
      </c>
      <c r="AE112" s="123" t="str">
        <v>Disco Ulysses (Instrumental)</v>
      </c>
      <c r="AF112" t="str">
        <v>Vulfpeck</v>
      </c>
      <c r="AG112" s="100">
        <f>IFERROR(IF(Z112&gt;1, 2^(FLOOR(LOG(Z112-1,2),1))+1, 1), "TBD")</f>
        <v>2</v>
      </c>
      <c r="AI112" s="140">
        <v>1</v>
      </c>
      <c r="AJ112" s="135" t="str">
        <f ca="1">P113</f>
        <v>KICK BACK</v>
      </c>
      <c r="AK112" s="124">
        <f ca="1">IFERROR(VLOOKUP(December_Results[[#This Row],[Song Title]], $AE$112:$AG$123, 3, FALSE)-December_Results[[#This Row],[Result]], "TBD")</f>
        <v>8</v>
      </c>
      <c r="AL112" s="125" t="str">
        <f ca="1">IF(December_Results[[#This Row],[Diff]]&lt;0,"↓",IF(December_Results[[#This Row],[Diff]]=0,"-","↑"))</f>
        <v>↑</v>
      </c>
    </row>
    <row r="113" spans="1:38" ht="15" customHeight="1">
      <c r="A113" s="105" t="str">
        <f>_xlfn.CONCAT("Seed ", December_SotM[[#This Row],[Top Seed]], " vs ", December_SotM[[#This Row],[Low Seed]])</f>
        <v>Seed 1 vs 2</v>
      </c>
      <c r="B113" s="115">
        <v>1</v>
      </c>
      <c r="C113" s="115">
        <f>FLOOR(LOG(December_SotM[[#This Row],[Num]], 2), 1)</f>
        <v>0</v>
      </c>
      <c r="D113" s="115">
        <f>2^(December_SotM[[#This Row],[Round]]+1)</f>
        <v>2</v>
      </c>
      <c r="E113" s="115">
        <f>December_SotM[[#This Row],[Max Seed]]-December_SotM[[#This Row],[Num]]</f>
        <v>1</v>
      </c>
      <c r="F113" s="115">
        <f>December_SotM[[#This Row],[Max Seed]]-December_SotM[[#This Row],[Top Seed]]+1</f>
        <v>2</v>
      </c>
      <c r="G113" s="115" t="b">
        <f>IF(December_SotM[[#This Row],[Round]]=$C$111, TRUE(), IF(December_SotM[[#This Row],[Round]]=$B$111, December_SotM[[#This Row],[Top Seed]]&lt;=2*December_SotM[[#This Row],[Max Seed]]-$A$111, FALSE()))</f>
        <v>0</v>
      </c>
      <c r="H113" s="115" t="b">
        <f>IF(December_SotM[[#This Row],[Round]]=$C$111, TRUE(), IF(December_SotM[[#This Row],[Round]]=$B$111, December_SotM[[#This Row],[Low Seed]]&lt;=2*December_SotM[[#This Row],[Max Seed]]-$A$111, FALSE()))</f>
        <v>0</v>
      </c>
      <c r="I113" s="187"/>
      <c r="J113" s="188" t="s">
        <v>4191</v>
      </c>
      <c r="K113" s="189"/>
      <c r="L113" s="190"/>
      <c r="M113" s="191" t="s">
        <v>4191</v>
      </c>
      <c r="N113" s="192" t="str">
        <f ca="1">IF(December_SotM[[#This Row],[Num]]&gt;=$A$111, "-", IF(December_SotM[[#This Row],[Initial 1]], VLOOKUP(December_SotM[[#This Row],[Top Seed]], $Z$112:$AE$123, 6, FALSE), OFFSET(December_SotM[[#This Row],[Winner]], December_SotM[[#This Row],[Max Seed]], 0)))</f>
        <v>ETA</v>
      </c>
      <c r="O113" s="105">
        <f>COUNTIF(December_SotM[[#This Row],[J]:[H]],"x")</f>
        <v>2</v>
      </c>
      <c r="P113" s="115" t="str">
        <f ca="1">IF(December_SotM[[#This Row],[Num]]&gt;=$A$72, "-", IF(December_SotM[[#This Row],[Score 1]]&gt;=3, December_SotM[[#This Row],[Song 1]], IF(December_SotM[[#This Row],[Score 2]]&gt;=3, December_SotM[[#This Row],[Song 2]], "TBD")))</f>
        <v>KICK BACK</v>
      </c>
      <c r="Q113" s="193">
        <f>COUNTIF(December_SotM[[#This Row],[H ]:[J ]],"x")</f>
        <v>3</v>
      </c>
      <c r="R113" s="105" t="str">
        <f ca="1">IF(December_SotM[[#This Row],[Num]]&gt;=$A$111, "-", IF(December_SotM[[#This Row],[Initial 2]], VLOOKUP(December_SotM[[#This Row],[Low Seed]], $Z$112:$AE$123, 6, FALSE), OFFSET(December_SotM[[#This Row],[Winner]], 2*(December_SotM[[#This Row],[Max Seed]]-December_SotM[[#This Row],[Low Seed]])+1, 0)))</f>
        <v>KICK BACK</v>
      </c>
      <c r="S113" s="191"/>
      <c r="T113" s="190" t="s">
        <v>4191</v>
      </c>
      <c r="U113" s="189" t="s">
        <v>4191</v>
      </c>
      <c r="V113" s="188"/>
      <c r="W113" s="187" t="s">
        <v>4191</v>
      </c>
      <c r="X113" s="3" t="str">
        <f ca="1">IF(OR(December_SotM[[#This Row],[Song 1]]="TBD", December_SotM[[#This Row],[Song 2]]="TBD"), "TBD", _xlfn.CONCAT(IF(_xlfn.XOR(ISBLANK(December_SotM[[#This Row],[J]]), ISBLANK(December_SotM[[#This Row],[J ]])), "", "J "), IF(_xlfn.XOR(ISBLANK(December_SotM[[#This Row],[D]]), ISBLANK(December_SotM[[#This Row],[D ]])), "", "D "), IF(_xlfn.XOR(ISBLANK(December_SotM[[#This Row],[L]]), ISBLANK(December_SotM[[#This Row],[L ]])), "", "L "), IF(_xlfn.XOR(ISBLANK(December_SotM[[#This Row],[S]]), ISBLANK(December_SotM[[#This Row],[S ]])), "", "S "), IF(_xlfn.XOR(ISBLANK(December_SotM[[#This Row],[H]]), ISBLANK(December_SotM[[#This Row],[H ]])), "", "H ")))</f>
        <v/>
      </c>
      <c r="Z113" s="109">
        <f t="shared" ref="Z113:Z123" si="25">IF(AC113&gt;0, COUNTIF(AC$112:AC$123, "&lt;"&amp;AC113) + COUNTIFS(AC$112:AC$123, AC113, AD$112:AD$123, "&lt;"&amp;AD113) + COUNTIFS(AC$112:AC$123, AC113, AD$112:AD$123, AD113, AA$112:AA$123, "&lt;"&amp;AA113) + 1, "TBD")</f>
        <v>4</v>
      </c>
      <c r="AA113" s="85">
        <v>45629</v>
      </c>
      <c r="AB113" s="123" t="str">
        <v>samuelbattista</v>
      </c>
      <c r="AC113" s="3">
        <v>1.8</v>
      </c>
      <c r="AD113" s="86">
        <v>1.6</v>
      </c>
      <c r="AE113" s="123" t="str">
        <v>In The End</v>
      </c>
      <c r="AF113" t="str">
        <v>Linkin Park</v>
      </c>
      <c r="AG113" s="100">
        <f t="shared" ref="AG113:AG123" si="26">IFERROR(IF(Z113&gt;1, 2^(FLOOR(LOG(Z113-1,2),1))+1, 1), "TBD")</f>
        <v>3</v>
      </c>
      <c r="AI113" s="140">
        <f>December_SotM[[#This Row],[Max Seed]]/2 + 1</f>
        <v>2</v>
      </c>
      <c r="AJ113" s="135" t="str">
        <f ca="1">IF(December_SotM[[#This Row],[Num]]&gt;=$A$72, "-", IF(December_SotM[[#This Row],[Score 1]]&gt;=3, December_SotM[[#This Row],[Song 2]], IF(December_SotM[[#This Row],[Score 2]]&gt;=3, December_SotM[[#This Row],[Song 1]], "TBD")))</f>
        <v>ETA</v>
      </c>
      <c r="AK113" s="124">
        <f ca="1">IFERROR(VLOOKUP(December_Results[[#This Row],[Song Title]], $AE$112:$AG$123, 3, FALSE)-December_Results[[#This Row],[Result]], "TBD")</f>
        <v>-1</v>
      </c>
      <c r="AL113" s="125" t="str">
        <f ca="1">IF(December_Results[[#This Row],[Diff]]&lt;0,"↓",IF(December_Results[[#This Row],[Diff]]=0,"-","↑"))</f>
        <v>↓</v>
      </c>
    </row>
    <row r="114" spans="1:38" ht="15" customHeight="1">
      <c r="A114" s="105" t="str">
        <f>_xlfn.CONCAT("Seed ", December_SotM[[#This Row],[Top Seed]], " vs ", December_SotM[[#This Row],[Low Seed]])</f>
        <v>Seed 2 vs 3</v>
      </c>
      <c r="B114" s="115">
        <v>2</v>
      </c>
      <c r="C114" s="115">
        <f>FLOOR(LOG(December_SotM[[#This Row],[Num]], 2), 1)</f>
        <v>1</v>
      </c>
      <c r="D114" s="115">
        <f>2^(December_SotM[[#This Row],[Round]]+1)</f>
        <v>4</v>
      </c>
      <c r="E114" s="115">
        <f>December_SotM[[#This Row],[Max Seed]]-December_SotM[[#This Row],[Num]]</f>
        <v>2</v>
      </c>
      <c r="F114" s="115">
        <f>December_SotM[[#This Row],[Max Seed]]-December_SotM[[#This Row],[Top Seed]]+1</f>
        <v>3</v>
      </c>
      <c r="G114" s="115" t="b">
        <f>IF(December_SotM[[#This Row],[Round]]=$C$111, TRUE(), IF(December_SotM[[#This Row],[Round]]=$B$111, December_SotM[[#This Row],[Top Seed]]&lt;=2*December_SotM[[#This Row],[Max Seed]]-$A$111, FALSE()))</f>
        <v>0</v>
      </c>
      <c r="H114" s="115" t="b">
        <f>IF(December_SotM[[#This Row],[Round]]=$C$111, TRUE(), IF(December_SotM[[#This Row],[Round]]=$B$111, December_SotM[[#This Row],[Low Seed]]&lt;=2*December_SotM[[#This Row],[Max Seed]]-$A$111, FALSE()))</f>
        <v>0</v>
      </c>
      <c r="I114" s="187" t="s">
        <v>4191</v>
      </c>
      <c r="J114" s="188"/>
      <c r="K114" s="189" t="s">
        <v>4191</v>
      </c>
      <c r="L114" s="190" t="s">
        <v>4191</v>
      </c>
      <c r="M114" s="191" t="s">
        <v>4191</v>
      </c>
      <c r="N114" s="192" t="str">
        <f ca="1">IF(December_SotM[[#This Row],[Num]]&gt;=$A$111, "-", IF(December_SotM[[#This Row],[Initial 1]], VLOOKUP(December_SotM[[#This Row],[Top Seed]], $Z$112:$AE$123, 6, FALSE), OFFSET(December_SotM[[#This Row],[Winner]], December_SotM[[#This Row],[Max Seed]], 0)))</f>
        <v>KICK BACK</v>
      </c>
      <c r="O114" s="105">
        <f>COUNTIF(December_SotM[[#This Row],[J]:[H]],"x")</f>
        <v>4</v>
      </c>
      <c r="P114" s="115" t="str">
        <f ca="1">IF(December_SotM[[#This Row],[Num]]&gt;=$A$72, "-", IF(December_SotM[[#This Row],[Score 1]]&gt;=3, December_SotM[[#This Row],[Song 1]], IF(December_SotM[[#This Row],[Score 2]]&gt;=3, December_SotM[[#This Row],[Song 2]], "TBD")))</f>
        <v>KICK BACK</v>
      </c>
      <c r="Q114" s="193">
        <f>COUNTIF(December_SotM[[#This Row],[H ]:[J ]],"x")</f>
        <v>1</v>
      </c>
      <c r="R114" s="105" t="str">
        <f ca="1">IF(December_SotM[[#This Row],[Num]]&gt;=$A$111, "-", IF(December_SotM[[#This Row],[Initial 2]], VLOOKUP(December_SotM[[#This Row],[Low Seed]], $Z$112:$AE$123, 6, FALSE), OFFSET(December_SotM[[#This Row],[Winner]], 2*(December_SotM[[#This Row],[Max Seed]]-December_SotM[[#This Row],[Low Seed]])+1, 0)))</f>
        <v>Last Christmas</v>
      </c>
      <c r="S114" s="191"/>
      <c r="T114" s="190"/>
      <c r="U114" s="189"/>
      <c r="V114" s="188" t="s">
        <v>4191</v>
      </c>
      <c r="W114" s="187"/>
      <c r="X114" s="3" t="str">
        <f ca="1">IF(OR(December_SotM[[#This Row],[Song 1]]="TBD", December_SotM[[#This Row],[Song 2]]="TBD"), "TBD", _xlfn.CONCAT(IF(_xlfn.XOR(ISBLANK(December_SotM[[#This Row],[J]]), ISBLANK(December_SotM[[#This Row],[J ]])), "", "J "), IF(_xlfn.XOR(ISBLANK(December_SotM[[#This Row],[D]]), ISBLANK(December_SotM[[#This Row],[D ]])), "", "D "), IF(_xlfn.XOR(ISBLANK(December_SotM[[#This Row],[L]]), ISBLANK(December_SotM[[#This Row],[L ]])), "", "L "), IF(_xlfn.XOR(ISBLANK(December_SotM[[#This Row],[S]]), ISBLANK(December_SotM[[#This Row],[S ]])), "", "S "), IF(_xlfn.XOR(ISBLANK(December_SotM[[#This Row],[H]]), ISBLANK(December_SotM[[#This Row],[H ]])), "", "H ")))</f>
        <v/>
      </c>
      <c r="Z114" s="109">
        <f t="shared" si="25"/>
        <v>1</v>
      </c>
      <c r="AA114" s="85">
        <v>45630</v>
      </c>
      <c r="AB114" t="str">
        <v>currydestroyer27</v>
      </c>
      <c r="AC114" s="3">
        <v>1.4</v>
      </c>
      <c r="AD114" s="86">
        <v>0.4898979485566356</v>
      </c>
      <c r="AE114" s="123" t="str">
        <v>ETA</v>
      </c>
      <c r="AF114" t="str">
        <v>New Jeans</v>
      </c>
      <c r="AG114" s="100">
        <f t="shared" si="26"/>
        <v>1</v>
      </c>
      <c r="AI114" s="140">
        <f>December_SotM[[#This Row],[Max Seed]]/2 + 1</f>
        <v>3</v>
      </c>
      <c r="AJ114" s="135" t="str">
        <f ca="1">IF(December_SotM[[#This Row],[Num]]&gt;=$A$72, "-", IF(December_SotM[[#This Row],[Score 1]]&gt;=3, December_SotM[[#This Row],[Song 2]], IF(December_SotM[[#This Row],[Score 2]]&gt;=3, December_SotM[[#This Row],[Song 1]], "TBD")))</f>
        <v>Last Christmas</v>
      </c>
      <c r="AK114" s="124">
        <f ca="1">IFERROR(VLOOKUP(December_Results[[#This Row],[Song Title]], $AE$112:$AG$123, 3, FALSE)-December_Results[[#This Row],[Result]], "TBD")</f>
        <v>0</v>
      </c>
      <c r="AL114" s="125" t="str">
        <f ca="1">IF(December_Results[[#This Row],[Diff]]&lt;0,"↓",IF(December_Results[[#This Row],[Diff]]=0,"-","↑"))</f>
        <v>-</v>
      </c>
    </row>
    <row r="115" spans="1:38" ht="15" customHeight="1">
      <c r="A115" s="105" t="str">
        <f>_xlfn.CONCAT("Seed ", December_SotM[[#This Row],[Top Seed]], " vs ", December_SotM[[#This Row],[Low Seed]])</f>
        <v>Seed 1 vs 4</v>
      </c>
      <c r="B115" s="115">
        <v>3</v>
      </c>
      <c r="C115" s="115">
        <f>FLOOR(LOG(December_SotM[[#This Row],[Num]], 2), 1)</f>
        <v>1</v>
      </c>
      <c r="D115" s="115">
        <f>2^(December_SotM[[#This Row],[Round]]+1)</f>
        <v>4</v>
      </c>
      <c r="E115" s="115">
        <f>December_SotM[[#This Row],[Max Seed]]-December_SotM[[#This Row],[Num]]</f>
        <v>1</v>
      </c>
      <c r="F115" s="115">
        <f>December_SotM[[#This Row],[Max Seed]]-December_SotM[[#This Row],[Top Seed]]+1</f>
        <v>4</v>
      </c>
      <c r="G115" s="115" t="b">
        <f>IF(December_SotM[[#This Row],[Round]]=$C$111, TRUE(), IF(December_SotM[[#This Row],[Round]]=$B$111, December_SotM[[#This Row],[Top Seed]]&lt;=2*December_SotM[[#This Row],[Max Seed]]-$A$111, FALSE()))</f>
        <v>0</v>
      </c>
      <c r="H115" s="115" t="b">
        <f>IF(December_SotM[[#This Row],[Round]]=$C$111, TRUE(), IF(December_SotM[[#This Row],[Round]]=$B$111, December_SotM[[#This Row],[Low Seed]]&lt;=2*December_SotM[[#This Row],[Max Seed]]-$A$111, FALSE()))</f>
        <v>0</v>
      </c>
      <c r="I115" s="187"/>
      <c r="J115" s="188" t="s">
        <v>4191</v>
      </c>
      <c r="K115" s="189" t="s">
        <v>4191</v>
      </c>
      <c r="L115" s="190"/>
      <c r="M115" s="191" t="s">
        <v>4191</v>
      </c>
      <c r="N115" s="192" t="str">
        <f ca="1">IF(December_SotM[[#This Row],[Num]]&gt;=$A$111, "-", IF(December_SotM[[#This Row],[Initial 1]], VLOOKUP(December_SotM[[#This Row],[Top Seed]], $Z$112:$AE$123, 6, FALSE), OFFSET(December_SotM[[#This Row],[Winner]], December_SotM[[#This Row],[Max Seed]], 0)))</f>
        <v>ETA</v>
      </c>
      <c r="O115" s="105">
        <f>COUNTIF(December_SotM[[#This Row],[J]:[H]],"x")</f>
        <v>3</v>
      </c>
      <c r="P115" s="115" t="str">
        <f ca="1">IF(December_SotM[[#This Row],[Num]]&gt;=$A$72, "-", IF(December_SotM[[#This Row],[Score 1]]&gt;=3, December_SotM[[#This Row],[Song 1]], IF(December_SotM[[#This Row],[Score 2]]&gt;=3, December_SotM[[#This Row],[Song 2]], "TBD")))</f>
        <v>ETA</v>
      </c>
      <c r="Q115" s="193">
        <f>COUNTIF(December_SotM[[#This Row],[H ]:[J ]],"x")</f>
        <v>2</v>
      </c>
      <c r="R115" s="105" t="str">
        <f ca="1">IF(December_SotM[[#This Row],[Num]]&gt;=$A$111, "-", IF(December_SotM[[#This Row],[Initial 2]], VLOOKUP(December_SotM[[#This Row],[Low Seed]], $Z$112:$AE$123, 6, FALSE), OFFSET(December_SotM[[#This Row],[Winner]], 2*(December_SotM[[#This Row],[Max Seed]]-December_SotM[[#This Row],[Low Seed]])+1, 0)))</f>
        <v>Fragile</v>
      </c>
      <c r="S115" s="191"/>
      <c r="T115" s="190" t="s">
        <v>4191</v>
      </c>
      <c r="U115" s="189"/>
      <c r="V115" s="188"/>
      <c r="W115" s="187" t="s">
        <v>4191</v>
      </c>
      <c r="X115" s="3" t="str">
        <f ca="1">IF(OR(December_SotM[[#This Row],[Song 1]]="TBD", December_SotM[[#This Row],[Song 2]]="TBD"), "TBD", _xlfn.CONCAT(IF(_xlfn.XOR(ISBLANK(December_SotM[[#This Row],[J]]), ISBLANK(December_SotM[[#This Row],[J ]])), "", "J "), IF(_xlfn.XOR(ISBLANK(December_SotM[[#This Row],[D]]), ISBLANK(December_SotM[[#This Row],[D ]])), "", "D "), IF(_xlfn.XOR(ISBLANK(December_SotM[[#This Row],[L]]), ISBLANK(December_SotM[[#This Row],[L ]])), "", "L "), IF(_xlfn.XOR(ISBLANK(December_SotM[[#This Row],[S]]), ISBLANK(December_SotM[[#This Row],[S ]])), "", "S "), IF(_xlfn.XOR(ISBLANK(December_SotM[[#This Row],[H]]), ISBLANK(December_SotM[[#This Row],[H ]])), "", "H ")))</f>
        <v/>
      </c>
      <c r="Z115" s="109">
        <f t="shared" si="25"/>
        <v>6</v>
      </c>
      <c r="AA115" s="85">
        <v>45631</v>
      </c>
      <c r="AB115" t="str">
        <v>currydestroyer27</v>
      </c>
      <c r="AC115" s="3">
        <v>2.2000000000000002</v>
      </c>
      <c r="AD115" s="86">
        <v>0.9797958971132712</v>
      </c>
      <c r="AE115" s="123" t="str">
        <v>WOKE UP</v>
      </c>
      <c r="AF115" t="str">
        <v>XG</v>
      </c>
      <c r="AG115" s="100">
        <f t="shared" si="26"/>
        <v>5</v>
      </c>
      <c r="AI115" s="140">
        <f>December_SotM[[#This Row],[Max Seed]]/2 + 1</f>
        <v>3</v>
      </c>
      <c r="AJ115" s="135" t="str">
        <f ca="1">IF(December_SotM[[#This Row],[Num]]&gt;=$A$72, "-", IF(December_SotM[[#This Row],[Score 1]]&gt;=3, December_SotM[[#This Row],[Song 2]], IF(December_SotM[[#This Row],[Score 2]]&gt;=3, December_SotM[[#This Row],[Song 1]], "TBD")))</f>
        <v>Fragile</v>
      </c>
      <c r="AK115" s="124">
        <f ca="1">IFERROR(VLOOKUP(December_Results[[#This Row],[Song Title]], $AE$112:$AG$123, 3, FALSE)-December_Results[[#This Row],[Result]], "TBD")</f>
        <v>2</v>
      </c>
      <c r="AL115" s="125" t="str">
        <f ca="1">IF(December_Results[[#This Row],[Diff]]&lt;0,"↓",IF(December_Results[[#This Row],[Diff]]=0,"-","↑"))</f>
        <v>↑</v>
      </c>
    </row>
    <row r="116" spans="1:38" ht="15" customHeight="1">
      <c r="A116" s="105" t="str">
        <f>_xlfn.CONCAT("Seed ", December_SotM[[#This Row],[Top Seed]], " vs ", December_SotM[[#This Row],[Low Seed]])</f>
        <v>Seed 4 vs 5</v>
      </c>
      <c r="B116" s="115">
        <v>4</v>
      </c>
      <c r="C116" s="115">
        <f>FLOOR(LOG(December_SotM[[#This Row],[Num]], 2), 1)</f>
        <v>2</v>
      </c>
      <c r="D116" s="115">
        <f>2^(December_SotM[[#This Row],[Round]]+1)</f>
        <v>8</v>
      </c>
      <c r="E116" s="115">
        <f>December_SotM[[#This Row],[Max Seed]]-December_SotM[[#This Row],[Num]]</f>
        <v>4</v>
      </c>
      <c r="F116" s="115">
        <f>December_SotM[[#This Row],[Max Seed]]-December_SotM[[#This Row],[Top Seed]]+1</f>
        <v>5</v>
      </c>
      <c r="G116" s="115" t="b">
        <f>IF(December_SotM[[#This Row],[Round]]=$C$111, TRUE(), IF(December_SotM[[#This Row],[Round]]=$B$111, December_SotM[[#This Row],[Top Seed]]&lt;=2*December_SotM[[#This Row],[Max Seed]]-$A$111, FALSE()))</f>
        <v>1</v>
      </c>
      <c r="H116" s="115" t="b">
        <f>IF(December_SotM[[#This Row],[Round]]=$C$111, TRUE(), IF(December_SotM[[#This Row],[Round]]=$B$111, December_SotM[[#This Row],[Low Seed]]&lt;=2*December_SotM[[#This Row],[Max Seed]]-$A$111, FALSE()))</f>
        <v>0</v>
      </c>
      <c r="I116" s="187"/>
      <c r="J116" s="188"/>
      <c r="K116" s="189" t="s">
        <v>4191</v>
      </c>
      <c r="L116" s="190" t="s">
        <v>4191</v>
      </c>
      <c r="M116" s="191"/>
      <c r="N116" s="192" t="str">
        <f ca="1">IF(December_SotM[[#This Row],[Num]]&gt;=$A$111, "-", IF(December_SotM[[#This Row],[Initial 1]], VLOOKUP(December_SotM[[#This Row],[Top Seed]], $Z$112:$AE$123, 6, FALSE), OFFSET(December_SotM[[#This Row],[Winner]], December_SotM[[#This Row],[Max Seed]], 0)))</f>
        <v>In The End</v>
      </c>
      <c r="O116" s="105">
        <f>COUNTIF(December_SotM[[#This Row],[J]:[H]],"x")</f>
        <v>2</v>
      </c>
      <c r="P116" s="115" t="str">
        <f ca="1">IF(December_SotM[[#This Row],[Num]]&gt;=$A$72, "-", IF(December_SotM[[#This Row],[Score 1]]&gt;=3, December_SotM[[#This Row],[Song 1]], IF(December_SotM[[#This Row],[Score 2]]&gt;=3, December_SotM[[#This Row],[Song 2]], "TBD")))</f>
        <v>Fragile</v>
      </c>
      <c r="Q116" s="193">
        <f>COUNTIF(December_SotM[[#This Row],[H ]:[J ]],"x")</f>
        <v>3</v>
      </c>
      <c r="R116" s="105" t="str">
        <f ca="1">IF(December_SotM[[#This Row],[Num]]&gt;=$A$111, "-", IF(December_SotM[[#This Row],[Initial 2]], VLOOKUP(December_SotM[[#This Row],[Low Seed]], $Z$112:$AE$123, 6, FALSE), OFFSET(December_SotM[[#This Row],[Winner]], 2*(December_SotM[[#This Row],[Max Seed]]-December_SotM[[#This Row],[Low Seed]])+1, 0)))</f>
        <v>Fragile</v>
      </c>
      <c r="S116" s="191" t="s">
        <v>4191</v>
      </c>
      <c r="T116" s="190"/>
      <c r="U116" s="189"/>
      <c r="V116" s="188" t="s">
        <v>4191</v>
      </c>
      <c r="W116" s="187" t="s">
        <v>4191</v>
      </c>
      <c r="X116" s="3" t="str">
        <f ca="1">IF(OR(December_SotM[[#This Row],[Song 1]]="TBD", December_SotM[[#This Row],[Song 2]]="TBD"), "TBD", _xlfn.CONCAT(IF(_xlfn.XOR(ISBLANK(December_SotM[[#This Row],[J]]), ISBLANK(December_SotM[[#This Row],[J ]])), "", "J "), IF(_xlfn.XOR(ISBLANK(December_SotM[[#This Row],[D]]), ISBLANK(December_SotM[[#This Row],[D ]])), "", "D "), IF(_xlfn.XOR(ISBLANK(December_SotM[[#This Row],[L]]), ISBLANK(December_SotM[[#This Row],[L ]])), "", "L "), IF(_xlfn.XOR(ISBLANK(December_SotM[[#This Row],[S]]), ISBLANK(December_SotM[[#This Row],[S ]])), "", "S "), IF(_xlfn.XOR(ISBLANK(December_SotM[[#This Row],[H]]), ISBLANK(December_SotM[[#This Row],[H ]])), "", "H ")))</f>
        <v/>
      </c>
      <c r="Z116" s="109">
        <f t="shared" si="25"/>
        <v>5</v>
      </c>
      <c r="AA116" s="85">
        <v>45635</v>
      </c>
      <c r="AB116" t="str">
        <v>alappatjoe</v>
      </c>
      <c r="AC116" s="3">
        <v>2</v>
      </c>
      <c r="AD116" s="86">
        <v>1.0954451150103321</v>
      </c>
      <c r="AE116" s="123" t="str">
        <v>Fragile</v>
      </c>
      <c r="AF116" t="str">
        <v>Laufey</v>
      </c>
      <c r="AG116" s="100">
        <f t="shared" si="26"/>
        <v>5</v>
      </c>
      <c r="AI116" s="140">
        <f>December_SotM[[#This Row],[Max Seed]]/2 + 1</f>
        <v>5</v>
      </c>
      <c r="AJ116" s="135" t="str">
        <f ca="1">IF(December_SotM[[#This Row],[Num]]&gt;=$A$72, "-", IF(December_SotM[[#This Row],[Score 1]]&gt;=3, December_SotM[[#This Row],[Song 2]], IF(December_SotM[[#This Row],[Score 2]]&gt;=3, December_SotM[[#This Row],[Song 1]], "TBD")))</f>
        <v>In The End</v>
      </c>
      <c r="AK116" s="124">
        <f ca="1">IFERROR(VLOOKUP(December_Results[[#This Row],[Song Title]], $AE$112:$AG$123, 3, FALSE)-December_Results[[#This Row],[Result]], "TBD")</f>
        <v>-2</v>
      </c>
      <c r="AL116" s="125" t="str">
        <f ca="1">IF(December_Results[[#This Row],[Diff]]&lt;0,"↓",IF(December_Results[[#This Row],[Diff]]=0,"-","↑"))</f>
        <v>↓</v>
      </c>
    </row>
    <row r="117" spans="1:38" ht="15" customHeight="1">
      <c r="A117" s="105" t="str">
        <f>_xlfn.CONCAT("Seed ", December_SotM[[#This Row],[Top Seed]], " vs ", December_SotM[[#This Row],[Low Seed]])</f>
        <v>Seed 3 vs 6</v>
      </c>
      <c r="B117" s="115">
        <v>5</v>
      </c>
      <c r="C117" s="115">
        <f>FLOOR(LOG(December_SotM[[#This Row],[Num]], 2), 1)</f>
        <v>2</v>
      </c>
      <c r="D117" s="115">
        <f>2^(December_SotM[[#This Row],[Round]]+1)</f>
        <v>8</v>
      </c>
      <c r="E117" s="115">
        <f>December_SotM[[#This Row],[Max Seed]]-December_SotM[[#This Row],[Num]]</f>
        <v>3</v>
      </c>
      <c r="F117" s="115">
        <f>December_SotM[[#This Row],[Max Seed]]-December_SotM[[#This Row],[Top Seed]]+1</f>
        <v>6</v>
      </c>
      <c r="G117" s="115" t="b">
        <f>IF(December_SotM[[#This Row],[Round]]=$C$111, TRUE(), IF(December_SotM[[#This Row],[Round]]=$B$111, December_SotM[[#This Row],[Top Seed]]&lt;=2*December_SotM[[#This Row],[Max Seed]]-$A$111, FALSE()))</f>
        <v>1</v>
      </c>
      <c r="H117" s="115" t="b">
        <f>IF(December_SotM[[#This Row],[Round]]=$C$111, TRUE(), IF(December_SotM[[#This Row],[Round]]=$B$111, December_SotM[[#This Row],[Low Seed]]&lt;=2*December_SotM[[#This Row],[Max Seed]]-$A$111, FALSE()))</f>
        <v>0</v>
      </c>
      <c r="I117" s="187" t="s">
        <v>4191</v>
      </c>
      <c r="J117" s="188" t="s">
        <v>4191</v>
      </c>
      <c r="K117" s="189"/>
      <c r="L117" s="190"/>
      <c r="M117" s="191" t="s">
        <v>4191</v>
      </c>
      <c r="N117" s="192" t="str">
        <f ca="1">IF(December_SotM[[#This Row],[Num]]&gt;=$A$111, "-", IF(December_SotM[[#This Row],[Initial 1]], VLOOKUP(December_SotM[[#This Row],[Top Seed]], $Z$112:$AE$123, 6, FALSE), OFFSET(December_SotM[[#This Row],[Winner]], December_SotM[[#This Row],[Max Seed]], 0)))</f>
        <v>Last Christmas</v>
      </c>
      <c r="O117" s="105">
        <f>COUNTIF(December_SotM[[#This Row],[J]:[H]],"x")</f>
        <v>3</v>
      </c>
      <c r="P117" s="115" t="str">
        <f ca="1">IF(December_SotM[[#This Row],[Num]]&gt;=$A$72, "-", IF(December_SotM[[#This Row],[Score 1]]&gt;=3, December_SotM[[#This Row],[Song 1]], IF(December_SotM[[#This Row],[Score 2]]&gt;=3, December_SotM[[#This Row],[Song 2]], "TBD")))</f>
        <v>Last Christmas</v>
      </c>
      <c r="Q117" s="193">
        <f>COUNTIF(December_SotM[[#This Row],[H ]:[J ]],"x")</f>
        <v>2</v>
      </c>
      <c r="R117" s="105" t="str">
        <f ca="1">IF(December_SotM[[#This Row],[Num]]&gt;=$A$111, "-", IF(December_SotM[[#This Row],[Initial 2]], VLOOKUP(December_SotM[[#This Row],[Low Seed]], $Z$112:$AE$123, 6, FALSE), OFFSET(December_SotM[[#This Row],[Winner]], 2*(December_SotM[[#This Row],[Max Seed]]-December_SotM[[#This Row],[Low Seed]])+1, 0)))</f>
        <v>Santa, Can't You Hear Me</v>
      </c>
      <c r="S117" s="191"/>
      <c r="T117" s="190" t="s">
        <v>4191</v>
      </c>
      <c r="U117" s="189" t="s">
        <v>4191</v>
      </c>
      <c r="V117" s="188"/>
      <c r="W117" s="187"/>
      <c r="X117" s="3" t="str">
        <f ca="1">IF(OR(December_SotM[[#This Row],[Song 1]]="TBD", December_SotM[[#This Row],[Song 2]]="TBD"), "TBD", _xlfn.CONCAT(IF(_xlfn.XOR(ISBLANK(December_SotM[[#This Row],[J]]), ISBLANK(December_SotM[[#This Row],[J ]])), "", "J "), IF(_xlfn.XOR(ISBLANK(December_SotM[[#This Row],[D]]), ISBLANK(December_SotM[[#This Row],[D ]])), "", "D "), IF(_xlfn.XOR(ISBLANK(December_SotM[[#This Row],[L]]), ISBLANK(December_SotM[[#This Row],[L ]])), "", "L "), IF(_xlfn.XOR(ISBLANK(December_SotM[[#This Row],[S]]), ISBLANK(December_SotM[[#This Row],[S ]])), "", "S "), IF(_xlfn.XOR(ISBLANK(December_SotM[[#This Row],[H]]), ISBLANK(December_SotM[[#This Row],[H ]])), "", "H ")))</f>
        <v/>
      </c>
      <c r="Z117" s="109">
        <f t="shared" si="25"/>
        <v>10</v>
      </c>
      <c r="AA117" s="85">
        <v>45636</v>
      </c>
      <c r="AB117" t="str">
        <v>alappatjoe</v>
      </c>
      <c r="AC117" s="3">
        <v>2.4</v>
      </c>
      <c r="AD117" s="86">
        <v>1.4966629547095767</v>
      </c>
      <c r="AE117" s="123" t="str">
        <v>KICK BACK</v>
      </c>
      <c r="AF117" t="str">
        <v>Kenshi Yonezu</v>
      </c>
      <c r="AG117" s="100">
        <f t="shared" si="26"/>
        <v>9</v>
      </c>
      <c r="AI117" s="140">
        <f>December_SotM[[#This Row],[Max Seed]]/2 + 1</f>
        <v>5</v>
      </c>
      <c r="AJ117" s="135" t="str">
        <f ca="1">IF(December_SotM[[#This Row],[Num]]&gt;=$A$72, "-", IF(December_SotM[[#This Row],[Score 1]]&gt;=3, December_SotM[[#This Row],[Song 2]], IF(December_SotM[[#This Row],[Score 2]]&gt;=3, December_SotM[[#This Row],[Song 1]], "TBD")))</f>
        <v>Santa, Can't You Hear Me</v>
      </c>
      <c r="AK117" s="124">
        <f ca="1">IFERROR(VLOOKUP(December_Results[[#This Row],[Song Title]], $AE$112:$AG$123, 3, FALSE)-December_Results[[#This Row],[Result]], "TBD")</f>
        <v>4</v>
      </c>
      <c r="AL117" s="125" t="str">
        <f ca="1">IF(December_Results[[#This Row],[Diff]]&lt;0,"↓",IF(December_Results[[#This Row],[Diff]]=0,"-","↑"))</f>
        <v>↑</v>
      </c>
    </row>
    <row r="118" spans="1:38" ht="15" customHeight="1">
      <c r="A118" s="105" t="str">
        <f>_xlfn.CONCAT("Seed ", December_SotM[[#This Row],[Top Seed]], " vs ", December_SotM[[#This Row],[Low Seed]])</f>
        <v>Seed 2 vs 7</v>
      </c>
      <c r="B118" s="115">
        <v>6</v>
      </c>
      <c r="C118" s="115">
        <f>FLOOR(LOG(December_SotM[[#This Row],[Num]], 2), 1)</f>
        <v>2</v>
      </c>
      <c r="D118" s="115">
        <f>2^(December_SotM[[#This Row],[Round]]+1)</f>
        <v>8</v>
      </c>
      <c r="E118" s="115">
        <f>December_SotM[[#This Row],[Max Seed]]-December_SotM[[#This Row],[Num]]</f>
        <v>2</v>
      </c>
      <c r="F118" s="115">
        <f>December_SotM[[#This Row],[Max Seed]]-December_SotM[[#This Row],[Top Seed]]+1</f>
        <v>7</v>
      </c>
      <c r="G118" s="115" t="b">
        <f>IF(December_SotM[[#This Row],[Round]]=$C$111, TRUE(), IF(December_SotM[[#This Row],[Round]]=$B$111, December_SotM[[#This Row],[Top Seed]]&lt;=2*December_SotM[[#This Row],[Max Seed]]-$A$111, FALSE()))</f>
        <v>1</v>
      </c>
      <c r="H118" s="115" t="b">
        <f>IF(December_SotM[[#This Row],[Round]]=$C$111, TRUE(), IF(December_SotM[[#This Row],[Round]]=$B$111, December_SotM[[#This Row],[Low Seed]]&lt;=2*December_SotM[[#This Row],[Max Seed]]-$A$111, FALSE()))</f>
        <v>0</v>
      </c>
      <c r="I118" s="187" t="s">
        <v>4191</v>
      </c>
      <c r="J118" s="188" t="s">
        <v>4191</v>
      </c>
      <c r="K118" s="189"/>
      <c r="L118" s="190"/>
      <c r="M118" s="191"/>
      <c r="N118" s="192" t="str">
        <f ca="1">IF(December_SotM[[#This Row],[Num]]&gt;=$A$111, "-", IF(December_SotM[[#This Row],[Initial 1]], VLOOKUP(December_SotM[[#This Row],[Top Seed]], $Z$112:$AE$123, 6, FALSE), OFFSET(December_SotM[[#This Row],[Winner]], December_SotM[[#This Row],[Max Seed]], 0)))</f>
        <v>Disco Ulysses (Instrumental)</v>
      </c>
      <c r="O118" s="105">
        <f>COUNTIF(December_SotM[[#This Row],[J]:[H]],"x")</f>
        <v>2</v>
      </c>
      <c r="P118" s="115" t="str">
        <f ca="1">IF(December_SotM[[#This Row],[Num]]&gt;=$A$72, "-", IF(December_SotM[[#This Row],[Score 1]]&gt;=3, December_SotM[[#This Row],[Song 1]], IF(December_SotM[[#This Row],[Score 2]]&gt;=3, December_SotM[[#This Row],[Song 2]], "TBD")))</f>
        <v>KICK BACK</v>
      </c>
      <c r="Q118" s="193">
        <f>COUNTIF(December_SotM[[#This Row],[H ]:[J ]],"x")</f>
        <v>3</v>
      </c>
      <c r="R118" s="105" t="str">
        <f ca="1">IF(December_SotM[[#This Row],[Num]]&gt;=$A$111, "-", IF(December_SotM[[#This Row],[Initial 2]], VLOOKUP(December_SotM[[#This Row],[Low Seed]], $Z$112:$AE$123, 6, FALSE), OFFSET(December_SotM[[#This Row],[Winner]], 2*(December_SotM[[#This Row],[Max Seed]]-December_SotM[[#This Row],[Low Seed]])+1, 0)))</f>
        <v>KICK BACK</v>
      </c>
      <c r="S118" s="191" t="s">
        <v>4191</v>
      </c>
      <c r="T118" s="190" t="s">
        <v>4191</v>
      </c>
      <c r="U118" s="189" t="s">
        <v>4191</v>
      </c>
      <c r="V118" s="188"/>
      <c r="W118" s="187"/>
      <c r="X118" s="3" t="str">
        <f ca="1">IF(OR(December_SotM[[#This Row],[Song 1]]="TBD", December_SotM[[#This Row],[Song 2]]="TBD"), "TBD", _xlfn.CONCAT(IF(_xlfn.XOR(ISBLANK(December_SotM[[#This Row],[J]]), ISBLANK(December_SotM[[#This Row],[J ]])), "", "J "), IF(_xlfn.XOR(ISBLANK(December_SotM[[#This Row],[D]]), ISBLANK(December_SotM[[#This Row],[D ]])), "", "D "), IF(_xlfn.XOR(ISBLANK(December_SotM[[#This Row],[L]]), ISBLANK(December_SotM[[#This Row],[L ]])), "", "L "), IF(_xlfn.XOR(ISBLANK(December_SotM[[#This Row],[S]]), ISBLANK(December_SotM[[#This Row],[S ]])), "", "S "), IF(_xlfn.XOR(ISBLANK(December_SotM[[#This Row],[H]]), ISBLANK(December_SotM[[#This Row],[H ]])), "", "H ")))</f>
        <v/>
      </c>
      <c r="Z118" s="109">
        <f t="shared" si="25"/>
        <v>7</v>
      </c>
      <c r="AA118" s="85">
        <v>45637</v>
      </c>
      <c r="AB118" t="str">
        <v>danram</v>
      </c>
      <c r="AC118" s="3">
        <v>2.2000000000000002</v>
      </c>
      <c r="AD118" s="86">
        <v>0.9797958971132712</v>
      </c>
      <c r="AE118" s="123" t="str">
        <v>The Loneliest Time</v>
      </c>
      <c r="AF118" t="str">
        <v>Carly Rae Jepsen</v>
      </c>
      <c r="AG118" s="100">
        <f t="shared" si="26"/>
        <v>5</v>
      </c>
      <c r="AI118" s="140">
        <f>December_SotM[[#This Row],[Max Seed]]/2 + 1</f>
        <v>5</v>
      </c>
      <c r="AJ118" s="135" t="str">
        <f ca="1">IF(December_SotM[[#This Row],[Num]]&gt;=$A$72, "-", IF(December_SotM[[#This Row],[Score 1]]&gt;=3, December_SotM[[#This Row],[Song 2]], IF(December_SotM[[#This Row],[Score 2]]&gt;=3, December_SotM[[#This Row],[Song 1]], "TBD")))</f>
        <v>Disco Ulysses (Instrumental)</v>
      </c>
      <c r="AK118" s="124">
        <f ca="1">IFERROR(VLOOKUP(December_Results[[#This Row],[Song Title]], $AE$112:$AG$123, 3, FALSE)-December_Results[[#This Row],[Result]], "TBD")</f>
        <v>-3</v>
      </c>
      <c r="AL118" s="125" t="str">
        <f ca="1">IF(December_Results[[#This Row],[Diff]]&lt;0,"↓",IF(December_Results[[#This Row],[Diff]]=0,"-","↑"))</f>
        <v>↓</v>
      </c>
    </row>
    <row r="119" spans="1:38" ht="15" customHeight="1">
      <c r="A119" s="105" t="str">
        <f>_xlfn.CONCAT("Seed ", December_SotM[[#This Row],[Top Seed]], " vs ", December_SotM[[#This Row],[Low Seed]])</f>
        <v>Seed 1 vs 8</v>
      </c>
      <c r="B119" s="115">
        <v>7</v>
      </c>
      <c r="C119" s="115">
        <f>FLOOR(LOG(December_SotM[[#This Row],[Num]], 2), 1)</f>
        <v>2</v>
      </c>
      <c r="D119" s="115">
        <f>2^(December_SotM[[#This Row],[Round]]+1)</f>
        <v>8</v>
      </c>
      <c r="E119" s="115">
        <f>December_SotM[[#This Row],[Max Seed]]-December_SotM[[#This Row],[Num]]</f>
        <v>1</v>
      </c>
      <c r="F119" s="115">
        <f>December_SotM[[#This Row],[Max Seed]]-December_SotM[[#This Row],[Top Seed]]+1</f>
        <v>8</v>
      </c>
      <c r="G119" s="115" t="b">
        <f>IF(December_SotM[[#This Row],[Round]]=$C$111, TRUE(), IF(December_SotM[[#This Row],[Round]]=$B$111, December_SotM[[#This Row],[Top Seed]]&lt;=2*December_SotM[[#This Row],[Max Seed]]-$A$111, FALSE()))</f>
        <v>1</v>
      </c>
      <c r="H119" s="115" t="b">
        <f>IF(December_SotM[[#This Row],[Round]]=$C$111, TRUE(), IF(December_SotM[[#This Row],[Round]]=$B$111, December_SotM[[#This Row],[Low Seed]]&lt;=2*December_SotM[[#This Row],[Max Seed]]-$A$111, FALSE()))</f>
        <v>0</v>
      </c>
      <c r="I119" s="187"/>
      <c r="J119" s="188" t="s">
        <v>4191</v>
      </c>
      <c r="K119" s="189" t="s">
        <v>4191</v>
      </c>
      <c r="L119" s="190"/>
      <c r="M119" s="191" t="s">
        <v>4191</v>
      </c>
      <c r="N119" s="192" t="str">
        <f ca="1">IF(December_SotM[[#This Row],[Num]]&gt;=$A$111, "-", IF(December_SotM[[#This Row],[Initial 1]], VLOOKUP(December_SotM[[#This Row],[Top Seed]], $Z$112:$AE$123, 6, FALSE), OFFSET(December_SotM[[#This Row],[Winner]], December_SotM[[#This Row],[Max Seed]], 0)))</f>
        <v>ETA</v>
      </c>
      <c r="O119" s="105">
        <f>COUNTIF(December_SotM[[#This Row],[J]:[H]],"x")</f>
        <v>3</v>
      </c>
      <c r="P119" s="115" t="str">
        <f ca="1">IF(December_SotM[[#This Row],[Num]]&gt;=$A$72, "-", IF(December_SotM[[#This Row],[Score 1]]&gt;=3, December_SotM[[#This Row],[Song 1]], IF(December_SotM[[#This Row],[Score 2]]&gt;=3, December_SotM[[#This Row],[Song 2]], "TBD")))</f>
        <v>ETA</v>
      </c>
      <c r="Q119" s="193">
        <f>COUNTIF(December_SotM[[#This Row],[H ]:[J ]],"x")</f>
        <v>2</v>
      </c>
      <c r="R119" s="105" t="str">
        <f ca="1">IF(December_SotM[[#This Row],[Num]]&gt;=$A$111, "-", IF(December_SotM[[#This Row],[Initial 2]], VLOOKUP(December_SotM[[#This Row],[Low Seed]], $Z$112:$AE$123, 6, FALSE), OFFSET(December_SotM[[#This Row],[Winner]], 2*(December_SotM[[#This Row],[Max Seed]]-December_SotM[[#This Row],[Low Seed]])+1, 0)))</f>
        <v>Plastic Love</v>
      </c>
      <c r="S119" s="191"/>
      <c r="T119" s="190" t="s">
        <v>4191</v>
      </c>
      <c r="U119" s="189"/>
      <c r="V119" s="188"/>
      <c r="W119" s="187" t="s">
        <v>4191</v>
      </c>
      <c r="X119" s="3" t="str">
        <f ca="1">IF(OR(December_SotM[[#This Row],[Song 1]]="TBD", December_SotM[[#This Row],[Song 2]]="TBD"), "TBD", _xlfn.CONCAT(IF(_xlfn.XOR(ISBLANK(December_SotM[[#This Row],[J]]), ISBLANK(December_SotM[[#This Row],[J ]])), "", "J "), IF(_xlfn.XOR(ISBLANK(December_SotM[[#This Row],[D]]), ISBLANK(December_SotM[[#This Row],[D ]])), "", "D "), IF(_xlfn.XOR(ISBLANK(December_SotM[[#This Row],[L]]), ISBLANK(December_SotM[[#This Row],[L ]])), "", "L "), IF(_xlfn.XOR(ISBLANK(December_SotM[[#This Row],[S]]), ISBLANK(December_SotM[[#This Row],[S ]])), "", "S "), IF(_xlfn.XOR(ISBLANK(December_SotM[[#This Row],[H]]), ISBLANK(December_SotM[[#This Row],[H ]])), "", "H ")))</f>
        <v/>
      </c>
      <c r="Z119" s="109">
        <f t="shared" si="25"/>
        <v>8</v>
      </c>
      <c r="AA119" s="85">
        <v>45638</v>
      </c>
      <c r="AB119" t="str">
        <v>alappatjoe</v>
      </c>
      <c r="AC119" s="3">
        <v>2.2000000000000002</v>
      </c>
      <c r="AD119" s="86">
        <v>0.9797958971132712</v>
      </c>
      <c r="AE119" s="123" t="str">
        <v>Plastic Love</v>
      </c>
      <c r="AF119" t="str">
        <v>Friday Night Plans</v>
      </c>
      <c r="AG119" s="100">
        <f t="shared" si="26"/>
        <v>5</v>
      </c>
      <c r="AI119" s="140">
        <f>December_SotM[[#This Row],[Max Seed]]/2 + 1</f>
        <v>5</v>
      </c>
      <c r="AJ119" s="135" t="str">
        <f ca="1">IF(December_SotM[[#This Row],[Num]]&gt;=$A$72, "-", IF(December_SotM[[#This Row],[Score 1]]&gt;=3, December_SotM[[#This Row],[Song 2]], IF(December_SotM[[#This Row],[Score 2]]&gt;=3, December_SotM[[#This Row],[Song 1]], "TBD")))</f>
        <v>Plastic Love</v>
      </c>
      <c r="AK119" s="124">
        <f ca="1">IFERROR(VLOOKUP(December_Results[[#This Row],[Song Title]], $AE$112:$AG$123, 3, FALSE)-December_Results[[#This Row],[Result]], "TBD")</f>
        <v>0</v>
      </c>
      <c r="AL119" s="125" t="str">
        <f ca="1">IF(December_Results[[#This Row],[Diff]]&lt;0,"↓",IF(December_Results[[#This Row],[Diff]]=0,"-","↑"))</f>
        <v>-</v>
      </c>
    </row>
    <row r="120" spans="1:38" ht="15" customHeight="1">
      <c r="A120" s="105" t="str">
        <f>_xlfn.CONCAT("Seed ", December_SotM[[#This Row],[Top Seed]], " vs ", December_SotM[[#This Row],[Low Seed]])</f>
        <v>Seed 8 vs 9</v>
      </c>
      <c r="B120" s="115">
        <v>8</v>
      </c>
      <c r="C120" s="115">
        <f>FLOOR(LOG(December_SotM[[#This Row],[Num]], 2), 1)</f>
        <v>3</v>
      </c>
      <c r="D120" s="115">
        <f>2^(December_SotM[[#This Row],[Round]]+1)</f>
        <v>16</v>
      </c>
      <c r="E120" s="115">
        <f>December_SotM[[#This Row],[Max Seed]]-December_SotM[[#This Row],[Num]]</f>
        <v>8</v>
      </c>
      <c r="F120" s="115">
        <f>December_SotM[[#This Row],[Max Seed]]-December_SotM[[#This Row],[Top Seed]]+1</f>
        <v>9</v>
      </c>
      <c r="G120" s="115" t="b">
        <f>IF(December_SotM[[#This Row],[Round]]=$C$111, TRUE(), IF(December_SotM[[#This Row],[Round]]=$B$111, December_SotM[[#This Row],[Top Seed]]&lt;=2*December_SotM[[#This Row],[Max Seed]]-$A$111, FALSE()))</f>
        <v>1</v>
      </c>
      <c r="H120" s="115" t="b">
        <f>IF(December_SotM[[#This Row],[Round]]=$C$111, TRUE(), IF(December_SotM[[#This Row],[Round]]=$B$111, December_SotM[[#This Row],[Low Seed]]&lt;=2*December_SotM[[#This Row],[Max Seed]]-$A$111, FALSE()))</f>
        <v>1</v>
      </c>
      <c r="I120" s="187" t="s">
        <v>4191</v>
      </c>
      <c r="J120" s="188"/>
      <c r="K120" s="189"/>
      <c r="L120" s="190" t="s">
        <v>4191</v>
      </c>
      <c r="M120" s="191" t="s">
        <v>4191</v>
      </c>
      <c r="N120" s="192" t="str">
        <f ca="1">IF(December_SotM[[#This Row],[Num]]&gt;=$A$111, "-", IF(December_SotM[[#This Row],[Initial 1]], VLOOKUP(December_SotM[[#This Row],[Top Seed]], $Z$112:$AE$123, 6, FALSE), OFFSET(December_SotM[[#This Row],[Winner]], December_SotM[[#This Row],[Max Seed]], 0)))</f>
        <v>Plastic Love</v>
      </c>
      <c r="O120" s="105">
        <f>COUNTIF(December_SotM[[#This Row],[J]:[H]],"x")</f>
        <v>3</v>
      </c>
      <c r="P120" s="115" t="str">
        <f ca="1">IF(December_SotM[[#This Row],[Num]]&gt;=$A$72, "-", IF(December_SotM[[#This Row],[Score 1]]&gt;=3, December_SotM[[#This Row],[Song 1]], IF(December_SotM[[#This Row],[Score 2]]&gt;=3, December_SotM[[#This Row],[Song 2]], "TBD")))</f>
        <v>Plastic Love</v>
      </c>
      <c r="Q120" s="193">
        <f>COUNTIF(December_SotM[[#This Row],[H ]:[J ]],"x")</f>
        <v>2</v>
      </c>
      <c r="R120" s="105" t="str">
        <f ca="1">IF(December_SotM[[#This Row],[Num]]&gt;=$A$111, "-", IF(December_SotM[[#This Row],[Initial 2]], VLOOKUP(December_SotM[[#This Row],[Low Seed]], $Z$112:$AE$123, 6, FALSE), OFFSET(December_SotM[[#This Row],[Winner]], 2*(December_SotM[[#This Row],[Max Seed]]-December_SotM[[#This Row],[Low Seed]])+1, 0)))</f>
        <v>Life 2</v>
      </c>
      <c r="S120" s="191"/>
      <c r="T120" s="190"/>
      <c r="U120" s="189" t="s">
        <v>4191</v>
      </c>
      <c r="V120" s="188" t="s">
        <v>4191</v>
      </c>
      <c r="W120" s="187"/>
      <c r="X120" s="3" t="str">
        <f ca="1">IF(OR(December_SotM[[#This Row],[Song 1]]="TBD", December_SotM[[#This Row],[Song 2]]="TBD"), "TBD", _xlfn.CONCAT(IF(_xlfn.XOR(ISBLANK(December_SotM[[#This Row],[J]]), ISBLANK(December_SotM[[#This Row],[J ]])), "", "J "), IF(_xlfn.XOR(ISBLANK(December_SotM[[#This Row],[D]]), ISBLANK(December_SotM[[#This Row],[D ]])), "", "D "), IF(_xlfn.XOR(ISBLANK(December_SotM[[#This Row],[L]]), ISBLANK(December_SotM[[#This Row],[L ]])), "", "L "), IF(_xlfn.XOR(ISBLANK(December_SotM[[#This Row],[S]]), ISBLANK(December_SotM[[#This Row],[S ]])), "", "S "), IF(_xlfn.XOR(ISBLANK(December_SotM[[#This Row],[H]]), ISBLANK(December_SotM[[#This Row],[H ]])), "", "H ")))</f>
        <v/>
      </c>
      <c r="Z120" s="109">
        <f t="shared" si="25"/>
        <v>3</v>
      </c>
      <c r="AA120" s="85">
        <v>45642</v>
      </c>
      <c r="AB120" t="str">
        <v>danram</v>
      </c>
      <c r="AC120" s="3">
        <v>1.6</v>
      </c>
      <c r="AD120" s="86">
        <v>0.4898979485566356</v>
      </c>
      <c r="AE120" s="123" t="str">
        <v>Last Christmas</v>
      </c>
      <c r="AF120" t="str">
        <v>Wham!</v>
      </c>
      <c r="AG120" s="100">
        <f t="shared" si="26"/>
        <v>3</v>
      </c>
      <c r="AI120" s="140">
        <f>December_SotM[[#This Row],[Max Seed]]/2 + 1</f>
        <v>9</v>
      </c>
      <c r="AJ120" s="135" t="str">
        <f ca="1">IF(December_SotM[[#This Row],[Num]]&gt;=$A$72, "-", IF(December_SotM[[#This Row],[Score 1]]&gt;=3, December_SotM[[#This Row],[Song 2]], IF(December_SotM[[#This Row],[Score 2]]&gt;=3, December_SotM[[#This Row],[Song 1]], "TBD")))</f>
        <v>Life 2</v>
      </c>
      <c r="AK120" s="124">
        <f ca="1">IFERROR(VLOOKUP(December_Results[[#This Row],[Song Title]], $AE$112:$AG$123, 3, FALSE)-December_Results[[#This Row],[Result]], "TBD")</f>
        <v>0</v>
      </c>
      <c r="AL120" s="125" t="str">
        <f ca="1">IF(December_Results[[#This Row],[Diff]]&lt;0,"↓",IF(December_Results[[#This Row],[Diff]]=0,"-","↑"))</f>
        <v>-</v>
      </c>
    </row>
    <row r="121" spans="1:38" ht="15" customHeight="1">
      <c r="A121" s="105" t="str">
        <f>_xlfn.CONCAT("Seed ", December_SotM[[#This Row],[Top Seed]], " vs ", December_SotM[[#This Row],[Low Seed]])</f>
        <v>Seed 7 vs 10</v>
      </c>
      <c r="B121" s="115">
        <v>9</v>
      </c>
      <c r="C121" s="115">
        <f>FLOOR(LOG(December_SotM[[#This Row],[Num]], 2), 1)</f>
        <v>3</v>
      </c>
      <c r="D121" s="115">
        <f>2^(December_SotM[[#This Row],[Round]]+1)</f>
        <v>16</v>
      </c>
      <c r="E121" s="115">
        <f>December_SotM[[#This Row],[Max Seed]]-December_SotM[[#This Row],[Num]]</f>
        <v>7</v>
      </c>
      <c r="F121" s="115">
        <f>December_SotM[[#This Row],[Max Seed]]-December_SotM[[#This Row],[Top Seed]]+1</f>
        <v>10</v>
      </c>
      <c r="G121" s="115" t="b">
        <f>IF(December_SotM[[#This Row],[Round]]=$C$111, TRUE(), IF(December_SotM[[#This Row],[Round]]=$B$111, December_SotM[[#This Row],[Top Seed]]&lt;=2*December_SotM[[#This Row],[Max Seed]]-$A$111, FALSE()))</f>
        <v>1</v>
      </c>
      <c r="H121" s="115" t="b">
        <f>IF(December_SotM[[#This Row],[Round]]=$C$111, TRUE(), IF(December_SotM[[#This Row],[Round]]=$B$111, December_SotM[[#This Row],[Low Seed]]&lt;=2*December_SotM[[#This Row],[Max Seed]]-$A$111, FALSE()))</f>
        <v>1</v>
      </c>
      <c r="I121" s="187"/>
      <c r="J121" s="188" t="s">
        <v>4191</v>
      </c>
      <c r="K121" s="189"/>
      <c r="L121" s="190"/>
      <c r="M121" s="191"/>
      <c r="N121" s="192" t="str">
        <f ca="1">IF(December_SotM[[#This Row],[Num]]&gt;=$A$111, "-", IF(December_SotM[[#This Row],[Initial 1]], VLOOKUP(December_SotM[[#This Row],[Top Seed]], $Z$112:$AE$123, 6, FALSE), OFFSET(December_SotM[[#This Row],[Winner]], December_SotM[[#This Row],[Max Seed]], 0)))</f>
        <v>The Loneliest Time</v>
      </c>
      <c r="O121" s="105">
        <f>COUNTIF(December_SotM[[#This Row],[J]:[H]],"x")</f>
        <v>1</v>
      </c>
      <c r="P121" s="115" t="str">
        <f ca="1">IF(December_SotM[[#This Row],[Num]]&gt;=$A$72, "-", IF(December_SotM[[#This Row],[Score 1]]&gt;=3, December_SotM[[#This Row],[Song 1]], IF(December_SotM[[#This Row],[Score 2]]&gt;=3, December_SotM[[#This Row],[Song 2]], "TBD")))</f>
        <v>KICK BACK</v>
      </c>
      <c r="Q121" s="193">
        <f>COUNTIF(December_SotM[[#This Row],[H ]:[J ]],"x")</f>
        <v>4</v>
      </c>
      <c r="R121" s="105" t="str">
        <f ca="1">IF(December_SotM[[#This Row],[Num]]&gt;=$A$111, "-", IF(December_SotM[[#This Row],[Initial 2]], VLOOKUP(December_SotM[[#This Row],[Low Seed]], $Z$112:$AE$123, 6, FALSE), OFFSET(December_SotM[[#This Row],[Winner]], 2*(December_SotM[[#This Row],[Max Seed]]-December_SotM[[#This Row],[Low Seed]])+1, 0)))</f>
        <v>KICK BACK</v>
      </c>
      <c r="S121" s="191" t="s">
        <v>4191</v>
      </c>
      <c r="T121" s="190" t="s">
        <v>4191</v>
      </c>
      <c r="U121" s="189" t="s">
        <v>4191</v>
      </c>
      <c r="V121" s="188"/>
      <c r="W121" s="187" t="s">
        <v>4191</v>
      </c>
      <c r="X121" s="3" t="str">
        <f ca="1">IF(OR(December_SotM[[#This Row],[Song 1]]="TBD", December_SotM[[#This Row],[Song 2]]="TBD"), "TBD", _xlfn.CONCAT(IF(_xlfn.XOR(ISBLANK(December_SotM[[#This Row],[J]]), ISBLANK(December_SotM[[#This Row],[J ]])), "", "J "), IF(_xlfn.XOR(ISBLANK(December_SotM[[#This Row],[D]]), ISBLANK(December_SotM[[#This Row],[D ]])), "", "D "), IF(_xlfn.XOR(ISBLANK(December_SotM[[#This Row],[L]]), ISBLANK(December_SotM[[#This Row],[L ]])), "", "L "), IF(_xlfn.XOR(ISBLANK(December_SotM[[#This Row],[S]]), ISBLANK(December_SotM[[#This Row],[S ]])), "", "S "), IF(_xlfn.XOR(ISBLANK(December_SotM[[#This Row],[H]]), ISBLANK(December_SotM[[#This Row],[H ]])), "", "H ")))</f>
        <v/>
      </c>
      <c r="Z121" s="109">
        <f t="shared" si="25"/>
        <v>12</v>
      </c>
      <c r="AA121" s="85">
        <v>45643</v>
      </c>
      <c r="AB121" t="str">
        <v>alappatjoe</v>
      </c>
      <c r="AC121" s="3">
        <v>2.6</v>
      </c>
      <c r="AD121" s="86">
        <v>1.3564659966250536</v>
      </c>
      <c r="AE121" s="123" t="str">
        <v>Kiss My Troubles Away</v>
      </c>
      <c r="AF121" t="str">
        <v>TWICE</v>
      </c>
      <c r="AG121" s="100">
        <f t="shared" si="26"/>
        <v>9</v>
      </c>
      <c r="AI121" s="140">
        <f>December_SotM[[#This Row],[Max Seed]]/2 + 1</f>
        <v>9</v>
      </c>
      <c r="AJ121" s="135" t="str">
        <f ca="1">IF(December_SotM[[#This Row],[Num]]&gt;=$A$72, "-", IF(December_SotM[[#This Row],[Score 1]]&gt;=3, December_SotM[[#This Row],[Song 2]], IF(December_SotM[[#This Row],[Score 2]]&gt;=3, December_SotM[[#This Row],[Song 1]], "TBD")))</f>
        <v>The Loneliest Time</v>
      </c>
      <c r="AK121" s="124">
        <f ca="1">IFERROR(VLOOKUP(December_Results[[#This Row],[Song Title]], $AE$112:$AG$123, 3, FALSE)-December_Results[[#This Row],[Result]], "TBD")</f>
        <v>-4</v>
      </c>
      <c r="AL121" s="125" t="str">
        <f ca="1">IF(December_Results[[#This Row],[Diff]]&lt;0,"↓",IF(December_Results[[#This Row],[Diff]]=0,"-","↑"))</f>
        <v>↓</v>
      </c>
    </row>
    <row r="122" spans="1:38" ht="15" customHeight="1">
      <c r="A122" s="105" t="str">
        <f>_xlfn.CONCAT("Seed ", December_SotM[[#This Row],[Top Seed]], " vs ", December_SotM[[#This Row],[Low Seed]])</f>
        <v>Seed 6 vs 11</v>
      </c>
      <c r="B122" s="115">
        <v>10</v>
      </c>
      <c r="C122" s="115">
        <f>FLOOR(LOG(December_SotM[[#This Row],[Num]], 2), 1)</f>
        <v>3</v>
      </c>
      <c r="D122" s="115">
        <f>2^(December_SotM[[#This Row],[Round]]+1)</f>
        <v>16</v>
      </c>
      <c r="E122" s="115">
        <f>December_SotM[[#This Row],[Max Seed]]-December_SotM[[#This Row],[Num]]</f>
        <v>6</v>
      </c>
      <c r="F122" s="115">
        <f>December_SotM[[#This Row],[Max Seed]]-December_SotM[[#This Row],[Top Seed]]+1</f>
        <v>11</v>
      </c>
      <c r="G122" s="115" t="b">
        <f>IF(December_SotM[[#This Row],[Round]]=$C$111, TRUE(), IF(December_SotM[[#This Row],[Round]]=$B$111, December_SotM[[#This Row],[Top Seed]]&lt;=2*December_SotM[[#This Row],[Max Seed]]-$A$111, FALSE()))</f>
        <v>1</v>
      </c>
      <c r="H122" s="115" t="b">
        <f>IF(December_SotM[[#This Row],[Round]]=$C$111, TRUE(), IF(December_SotM[[#This Row],[Round]]=$B$111, December_SotM[[#This Row],[Low Seed]]&lt;=2*December_SotM[[#This Row],[Max Seed]]-$A$111, FALSE()))</f>
        <v>1</v>
      </c>
      <c r="I122" s="187" t="s">
        <v>4191</v>
      </c>
      <c r="J122" s="188"/>
      <c r="K122" s="189"/>
      <c r="L122" s="190"/>
      <c r="M122" s="191" t="s">
        <v>4191</v>
      </c>
      <c r="N122" s="192" t="str">
        <f ca="1">IF(December_SotM[[#This Row],[Num]]&gt;=$A$111, "-", IF(December_SotM[[#This Row],[Initial 1]], VLOOKUP(December_SotM[[#This Row],[Top Seed]], $Z$112:$AE$123, 6, FALSE), OFFSET(December_SotM[[#This Row],[Winner]], December_SotM[[#This Row],[Max Seed]], 0)))</f>
        <v>WOKE UP</v>
      </c>
      <c r="O122" s="105">
        <f>COUNTIF(December_SotM[[#This Row],[J]:[H]],"x")</f>
        <v>2</v>
      </c>
      <c r="P122" s="115" t="str">
        <f ca="1">IF(December_SotM[[#This Row],[Num]]&gt;=$A$72, "-", IF(December_SotM[[#This Row],[Score 1]]&gt;=3, December_SotM[[#This Row],[Song 1]], IF(December_SotM[[#This Row],[Score 2]]&gt;=3, December_SotM[[#This Row],[Song 2]], "TBD")))</f>
        <v>Santa, Can't You Hear Me</v>
      </c>
      <c r="Q122" s="193">
        <f>COUNTIF(December_SotM[[#This Row],[H ]:[J ]],"x")</f>
        <v>3</v>
      </c>
      <c r="R122" s="105" t="str">
        <f ca="1">IF(December_SotM[[#This Row],[Num]]&gt;=$A$111, "-", IF(December_SotM[[#This Row],[Initial 2]], VLOOKUP(December_SotM[[#This Row],[Low Seed]], $Z$112:$AE$123, 6, FALSE), OFFSET(December_SotM[[#This Row],[Winner]], 2*(December_SotM[[#This Row],[Max Seed]]-December_SotM[[#This Row],[Low Seed]])+1, 0)))</f>
        <v>Santa, Can't You Hear Me</v>
      </c>
      <c r="S122" s="191"/>
      <c r="T122" s="190" t="s">
        <v>4191</v>
      </c>
      <c r="U122" s="189" t="s">
        <v>4191</v>
      </c>
      <c r="V122" s="188" t="s">
        <v>4191</v>
      </c>
      <c r="W122" s="187"/>
      <c r="X122" s="3" t="str">
        <f ca="1">IF(OR(December_SotM[[#This Row],[Song 1]]="TBD", December_SotM[[#This Row],[Song 2]]="TBD"), "TBD", _xlfn.CONCAT(IF(_xlfn.XOR(ISBLANK(December_SotM[[#This Row],[J]]), ISBLANK(December_SotM[[#This Row],[J ]])), "", "J "), IF(_xlfn.XOR(ISBLANK(December_SotM[[#This Row],[D]]), ISBLANK(December_SotM[[#This Row],[D ]])), "", "D "), IF(_xlfn.XOR(ISBLANK(December_SotM[[#This Row],[L]]), ISBLANK(December_SotM[[#This Row],[L ]])), "", "L "), IF(_xlfn.XOR(ISBLANK(December_SotM[[#This Row],[S]]), ISBLANK(December_SotM[[#This Row],[S ]])), "", "S "), IF(_xlfn.XOR(ISBLANK(December_SotM[[#This Row],[H]]), ISBLANK(December_SotM[[#This Row],[H ]])), "", "H ")))</f>
        <v/>
      </c>
      <c r="Z122" s="109">
        <f t="shared" si="25"/>
        <v>9</v>
      </c>
      <c r="AA122" s="85">
        <v>45644</v>
      </c>
      <c r="AB122" t="str">
        <v>loganworsdell</v>
      </c>
      <c r="AC122" s="3">
        <v>2.2000000000000002</v>
      </c>
      <c r="AD122" s="86">
        <v>1.1661903789690602</v>
      </c>
      <c r="AE122" s="123" t="str">
        <v>Life 2</v>
      </c>
      <c r="AF122" t="str">
        <v>Majid Jordan</v>
      </c>
      <c r="AG122" s="100">
        <f t="shared" si="26"/>
        <v>9</v>
      </c>
      <c r="AI122" s="140">
        <f>December_SotM[[#This Row],[Max Seed]]/2 + 1</f>
        <v>9</v>
      </c>
      <c r="AJ122" s="135" t="str">
        <f ca="1">IF(December_SotM[[#This Row],[Num]]&gt;=$A$72, "-", IF(December_SotM[[#This Row],[Score 1]]&gt;=3, December_SotM[[#This Row],[Song 2]], IF(December_SotM[[#This Row],[Score 2]]&gt;=3, December_SotM[[#This Row],[Song 1]], "TBD")))</f>
        <v>WOKE UP</v>
      </c>
      <c r="AK122" s="124">
        <f ca="1">IFERROR(VLOOKUP(December_Results[[#This Row],[Song Title]], $AE$112:$AG$123, 3, FALSE)-December_Results[[#This Row],[Result]], "TBD")</f>
        <v>-4</v>
      </c>
      <c r="AL122" s="125" t="str">
        <f ca="1">IF(December_Results[[#This Row],[Diff]]&lt;0,"↓",IF(December_Results[[#This Row],[Diff]]=0,"-","↑"))</f>
        <v>↓</v>
      </c>
    </row>
    <row r="123" spans="1:38" ht="15" customHeight="1">
      <c r="A123" s="105" t="str">
        <f>_xlfn.CONCAT("Seed ", December_SotM[[#This Row],[Top Seed]], " vs ", December_SotM[[#This Row],[Low Seed]])</f>
        <v>Seed 5 vs 12</v>
      </c>
      <c r="B123" s="115">
        <v>11</v>
      </c>
      <c r="C123" s="115">
        <f>FLOOR(LOG(December_SotM[[#This Row],[Num]], 2), 1)</f>
        <v>3</v>
      </c>
      <c r="D123" s="115">
        <f>2^(December_SotM[[#This Row],[Round]]+1)</f>
        <v>16</v>
      </c>
      <c r="E123" s="115">
        <f>December_SotM[[#This Row],[Max Seed]]-December_SotM[[#This Row],[Num]]</f>
        <v>5</v>
      </c>
      <c r="F123" s="115">
        <f>December_SotM[[#This Row],[Max Seed]]-December_SotM[[#This Row],[Top Seed]]+1</f>
        <v>12</v>
      </c>
      <c r="G123" s="115" t="b">
        <f>IF(December_SotM[[#This Row],[Round]]=$C$111, TRUE(), IF(December_SotM[[#This Row],[Round]]=$B$111, December_SotM[[#This Row],[Top Seed]]&lt;=2*December_SotM[[#This Row],[Max Seed]]-$A$111, FALSE()))</f>
        <v>1</v>
      </c>
      <c r="H123" s="115" t="b">
        <f>IF(December_SotM[[#This Row],[Round]]=$C$111, TRUE(), IF(December_SotM[[#This Row],[Round]]=$B$111, December_SotM[[#This Row],[Low Seed]]&lt;=2*December_SotM[[#This Row],[Max Seed]]-$A$111, FALSE()))</f>
        <v>1</v>
      </c>
      <c r="I123" s="187" t="s">
        <v>4191</v>
      </c>
      <c r="J123" s="188" t="s">
        <v>4191</v>
      </c>
      <c r="K123" s="189"/>
      <c r="L123" s="190" t="s">
        <v>4191</v>
      </c>
      <c r="M123" s="191"/>
      <c r="N123" s="192" t="str">
        <f ca="1">IF(December_SotM[[#This Row],[Num]]&gt;=$A$111, "-", IF(December_SotM[[#This Row],[Initial 1]], VLOOKUP(December_SotM[[#This Row],[Top Seed]], $Z$112:$AE$123, 6, FALSE), OFFSET(December_SotM[[#This Row],[Winner]], December_SotM[[#This Row],[Max Seed]], 0)))</f>
        <v>Fragile</v>
      </c>
      <c r="O123" s="105">
        <f>COUNTIF(December_SotM[[#This Row],[J]:[H]],"x")</f>
        <v>3</v>
      </c>
      <c r="P123" s="115" t="str">
        <f ca="1">IF(December_SotM[[#This Row],[Num]]&gt;=$A$72, "-", IF(December_SotM[[#This Row],[Score 1]]&gt;=3, December_SotM[[#This Row],[Song 1]], IF(December_SotM[[#This Row],[Score 2]]&gt;=3, December_SotM[[#This Row],[Song 2]], "TBD")))</f>
        <v>Fragile</v>
      </c>
      <c r="Q123" s="193">
        <f>COUNTIF(December_SotM[[#This Row],[H ]:[J ]],"x")</f>
        <v>2</v>
      </c>
      <c r="R123" s="105" t="str">
        <f ca="1">IF(December_SotM[[#This Row],[Num]]&gt;=$A$111, "-", IF(December_SotM[[#This Row],[Initial 2]], VLOOKUP(December_SotM[[#This Row],[Low Seed]], $Z$112:$AE$123, 6, FALSE), OFFSET(December_SotM[[#This Row],[Winner]], 2*(December_SotM[[#This Row],[Max Seed]]-December_SotM[[#This Row],[Low Seed]])+1, 0)))</f>
        <v>Kiss My Troubles Away</v>
      </c>
      <c r="S123" s="191" t="s">
        <v>4191</v>
      </c>
      <c r="T123" s="190"/>
      <c r="U123" s="189" t="s">
        <v>4191</v>
      </c>
      <c r="V123" s="188"/>
      <c r="W123" s="187"/>
      <c r="X123" s="3" t="str">
        <f ca="1">IF(OR(December_SotM[[#This Row],[Song 1]]="TBD", December_SotM[[#This Row],[Song 2]]="TBD"), "TBD", _xlfn.CONCAT(IF(_xlfn.XOR(ISBLANK(December_SotM[[#This Row],[J]]), ISBLANK(December_SotM[[#This Row],[J ]])), "", "J "), IF(_xlfn.XOR(ISBLANK(December_SotM[[#This Row],[D]]), ISBLANK(December_SotM[[#This Row],[D ]])), "", "D "), IF(_xlfn.XOR(ISBLANK(December_SotM[[#This Row],[L]]), ISBLANK(December_SotM[[#This Row],[L ]])), "", "L "), IF(_xlfn.XOR(ISBLANK(December_SotM[[#This Row],[S]]), ISBLANK(December_SotM[[#This Row],[S ]])), "", "S "), IF(_xlfn.XOR(ISBLANK(December_SotM[[#This Row],[H]]), ISBLANK(December_SotM[[#This Row],[H ]])), "", "H ")))</f>
        <v/>
      </c>
      <c r="Z123" s="110">
        <f t="shared" si="25"/>
        <v>11</v>
      </c>
      <c r="AA123" s="156">
        <v>45645</v>
      </c>
      <c r="AB123" s="157" t="str">
        <v>danram</v>
      </c>
      <c r="AC123" s="101">
        <v>2.6</v>
      </c>
      <c r="AD123" s="158">
        <v>0.8</v>
      </c>
      <c r="AE123" s="159" t="str">
        <v>Santa, Can't You Hear Me</v>
      </c>
      <c r="AF123" s="157" t="str">
        <v>Kelly Clarkson, Ariana Grande</v>
      </c>
      <c r="AG123" s="102">
        <f t="shared" si="26"/>
        <v>9</v>
      </c>
      <c r="AI123" s="140">
        <f>December_SotM[[#This Row],[Max Seed]]/2 + 1</f>
        <v>9</v>
      </c>
      <c r="AJ123" s="135" t="str">
        <f ca="1">IF(December_SotM[[#This Row],[Num]]&gt;=$A$72, "-", IF(December_SotM[[#This Row],[Score 1]]&gt;=3, December_SotM[[#This Row],[Song 2]], IF(December_SotM[[#This Row],[Score 2]]&gt;=3, December_SotM[[#This Row],[Song 1]], "TBD")))</f>
        <v>Kiss My Troubles Away</v>
      </c>
      <c r="AK123" s="124">
        <f ca="1">IFERROR(VLOOKUP(December_Results[[#This Row],[Song Title]], $AE$112:$AG$123, 3, FALSE)-December_Results[[#This Row],[Result]], "TBD")</f>
        <v>0</v>
      </c>
      <c r="AL123" s="125" t="str">
        <f ca="1">IF(December_Results[[#This Row],[Diff]]&lt;0,"↓",IF(December_Results[[#This Row],[Diff]]=0,"-","↑"))</f>
        <v>-</v>
      </c>
    </row>
    <row r="133" spans="8:17" ht="15" customHeight="1">
      <c r="H133" s="3" t="s">
        <v>4435</v>
      </c>
      <c r="N133" s="122" t="s">
        <v>4436</v>
      </c>
    </row>
    <row r="135" spans="8:17" ht="15" customHeight="1">
      <c r="Q135" s="123" t="s">
        <v>4435</v>
      </c>
    </row>
    <row r="136" spans="8:17" ht="15" customHeight="1">
      <c r="N136" t="s">
        <v>4435</v>
      </c>
    </row>
  </sheetData>
  <autoFilter ref="Z1:AG1" xr:uid="{79559BE1-CAB2-4681-AB91-1406A8628174}"/>
  <mergeCells count="7">
    <mergeCell ref="I111:W111"/>
    <mergeCell ref="I93:W93"/>
    <mergeCell ref="I1:W1"/>
    <mergeCell ref="I13:W13"/>
    <mergeCell ref="I34:W34"/>
    <mergeCell ref="I53:W53"/>
    <mergeCell ref="I72:W72"/>
  </mergeCells>
  <conditionalFormatting sqref="AK1:AK1048576">
    <cfRule type="cellIs" dxfId="180" priority="85" operator="lessThan">
      <formula>0</formula>
    </cfRule>
  </conditionalFormatting>
  <conditionalFormatting sqref="AK2:AK11 AK14:AK32 AK35:AK51">
    <cfRule type="cellIs" dxfId="179" priority="78" operator="equal">
      <formula>0</formula>
    </cfRule>
    <cfRule type="cellIs" dxfId="178" priority="84" operator="greaterThan">
      <formula>0</formula>
    </cfRule>
  </conditionalFormatting>
  <conditionalFormatting sqref="AK54:AK70">
    <cfRule type="cellIs" dxfId="177" priority="52" operator="equal">
      <formula>0</formula>
    </cfRule>
    <cfRule type="cellIs" dxfId="176" priority="53" operator="greaterThan">
      <formula>0</formula>
    </cfRule>
  </conditionalFormatting>
  <conditionalFormatting sqref="AK73:AK91">
    <cfRule type="cellIs" dxfId="175" priority="40" operator="equal">
      <formula>0</formula>
    </cfRule>
    <cfRule type="cellIs" dxfId="174" priority="41" operator="greaterThan">
      <formula>0</formula>
    </cfRule>
  </conditionalFormatting>
  <conditionalFormatting sqref="AK94:AK109">
    <cfRule type="cellIs" dxfId="173" priority="23" operator="equal">
      <formula>0</formula>
    </cfRule>
    <cfRule type="cellIs" dxfId="172" priority="24" operator="greaterThan">
      <formula>0</formula>
    </cfRule>
  </conditionalFormatting>
  <conditionalFormatting sqref="AK112:AK123">
    <cfRule type="cellIs" dxfId="171" priority="6" operator="equal">
      <formula>0</formula>
    </cfRule>
    <cfRule type="cellIs" dxfId="170" priority="7" operator="greaterThan">
      <formula>0</formula>
    </cfRule>
  </conditionalFormatting>
  <conditionalFormatting sqref="AL1:AL1048576">
    <cfRule type="cellIs" dxfId="169" priority="75" operator="equal">
      <formula>"↓"</formula>
    </cfRule>
    <cfRule type="cellIs" dxfId="168" priority="76" operator="equal">
      <formula>"↑"</formula>
    </cfRule>
    <cfRule type="cellIs" dxfId="167" priority="77" operator="equal">
      <formula>"-"</formula>
    </cfRule>
  </conditionalFormatting>
  <dataValidations disablePrompts="1" count="1">
    <dataValidation allowBlank="1" showInputMessage="1" showErrorMessage="1" sqref="S113:X123 I15:M32 S3:X11 I3:M11 S36:X51 I36:M51 I55:M70 S57 S55:X56 S59:X70 T57:X58 S74:X91 S95:X109 I95:M109 L89 I91:M91 I89:K90 M89:M90 K80 I74:M79 I82:M88 I80:J81 L80:M81 I113:M123 S15:X32" xr:uid="{A6ECFEF5-CF6E-49EF-BF5A-49623D5F2B23}"/>
  </dataValidations>
  <pageMargins left="0.7" right="0.7" top="0.75" bottom="0.75" header="0.3" footer="0.3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3" id="{639E186A-D392-477A-B9D6-B5109222F326}">
            <xm:f>INDEX($AB$2:$AB$11, MATCH(N3, $AE$2:$AE$11, 0), 1)=Leaderboard!$B$7</xm:f>
            <x14:dxf>
              <fill>
                <patternFill patternType="solid">
                  <bgColor rgb="FFFCE4D6"/>
                </patternFill>
              </fill>
            </x14:dxf>
          </x14:cfRule>
          <x14:cfRule type="expression" priority="114" id="{D40FD8A5-0ADF-456F-A1FA-C8FA426AA2C3}">
            <xm:f>INDEX($AB$2:$AB$11, MATCH(N3, $AE$2:$AE$11, 0), 1)=Leaderboard!$B$6</xm:f>
            <x14:dxf>
              <fill>
                <patternFill patternType="solid">
                  <bgColor rgb="FFEDEDED"/>
                </patternFill>
              </fill>
            </x14:dxf>
          </x14:cfRule>
          <x14:cfRule type="expression" priority="115" id="{7A3CFB39-D78D-42B7-80AE-E34277BC45D1}">
            <xm:f>INDEX($AB$2:$AB$11, MATCH(N3, $AE$2:$AE$11, 0), 1)=Leaderboard!$B$5</xm:f>
            <x14:dxf>
              <fill>
                <patternFill patternType="solid">
                  <bgColor rgb="FFFFF2CC"/>
                </patternFill>
              </fill>
            </x14:dxf>
          </x14:cfRule>
          <x14:cfRule type="expression" priority="116" id="{F4DF09D0-A62F-4450-80FE-493AA09E6039}">
            <xm:f>INDEX($AB$2:$AB$11, MATCH(N3, $AE$2:$AE$11, 0), 1)=Leaderboard!$B$4</xm:f>
            <x14:dxf>
              <fill>
                <patternFill patternType="solid">
                  <bgColor rgb="FFDDEBF7"/>
                </patternFill>
              </fill>
            </x14:dxf>
          </x14:cfRule>
          <x14:cfRule type="expression" priority="117" id="{71672190-7F83-45BF-8CF5-4D12CA650809}">
            <xm:f>INDEX($AB$2:$AB$11, MATCH(N3, $AE$2:$AE$11,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m:sqref>N3:R11</xm:sqref>
        </x14:conditionalFormatting>
        <x14:conditionalFormatting xmlns:xm="http://schemas.microsoft.com/office/excel/2006/main">
          <x14:cfRule type="expression" priority="123" id="{88FF6665-9C7C-4767-93EE-B70FFCA07676}">
            <xm:f>INDEX($AB$14:$AB$32, MATCH(N15, $AE$14:$AE$32,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124" id="{31529C18-CD67-4594-819F-E6C8FD3456C0}">
            <xm:f>INDEX($AB$14:$AB$32, MATCH(N15, $AE$14:$AE$32, 0), 1)=Leaderboard!$B$4</xm:f>
            <x14:dxf>
              <fill>
                <patternFill patternType="solid">
                  <bgColor rgb="FFDDEBF7"/>
                </patternFill>
              </fill>
            </x14:dxf>
          </x14:cfRule>
          <x14:cfRule type="expression" priority="125" id="{03EA8013-7EAF-4FC8-9ACA-225BF42E3235}">
            <xm:f>INDEX($AB$14:$AB$32, MATCH(N15, $AE$14:$AE$32, 0), 1)=Leaderboard!$B$5</xm:f>
            <x14:dxf>
              <fill>
                <patternFill patternType="solid">
                  <bgColor rgb="FFFFF2CC"/>
                </patternFill>
              </fill>
            </x14:dxf>
          </x14:cfRule>
          <x14:cfRule type="expression" priority="126" id="{800F0E5F-F657-4231-B32E-D460D1314B71}">
            <xm:f>INDEX($AB$14:$AB$32, MATCH(N15, $AE$14:$AE$32, 0), 1)=Leaderboard!$B$6</xm:f>
            <x14:dxf>
              <fill>
                <patternFill patternType="solid">
                  <bgColor rgb="FFEDEDED"/>
                </patternFill>
              </fill>
            </x14:dxf>
          </x14:cfRule>
          <x14:cfRule type="expression" priority="127" id="{F85A9EA2-D018-4922-B75E-126B8196FD0F}">
            <xm:f>INDEX($AB$14:$AB$32, MATCH(N15, $AE$14:$AE$32, 0), 1)=Leaderboard!$B$7</xm:f>
            <x14:dxf>
              <fill>
                <patternFill patternType="solid">
                  <bgColor rgb="FFFCE4D6"/>
                </patternFill>
              </fill>
            </x14:dxf>
          </x14:cfRule>
          <xm:sqref>N15:R32</xm:sqref>
        </x14:conditionalFormatting>
        <x14:conditionalFormatting xmlns:xm="http://schemas.microsoft.com/office/excel/2006/main">
          <x14:cfRule type="expression" priority="88" id="{A5F14D82-9B58-4707-B58B-4739409B05D8}">
            <xm:f>INDEX($AB$35:$AB$51, MATCH(N36, $AE$35:$AE$51,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89" id="{B7A9C7B2-4601-4A13-BB26-C6E49FE2F15B}">
            <xm:f>INDEX($AB$35:$AB$51, MATCH(N36, $AE$35:$AE$51, 0), 1)=Leaderboard!$B$4</xm:f>
            <x14:dxf>
              <fill>
                <patternFill patternType="solid">
                  <bgColor rgb="FFDDEBF7"/>
                </patternFill>
              </fill>
            </x14:dxf>
          </x14:cfRule>
          <x14:cfRule type="expression" priority="90" id="{57803E02-72CE-4897-A173-CEAF1191EEA9}">
            <xm:f>INDEX($AB$35:$AB$51, MATCH(N36, $AE$35:$AE$51, 0), 1)=Leaderboard!$B$5</xm:f>
            <x14:dxf>
              <fill>
                <patternFill patternType="solid">
                  <bgColor rgb="FFFFF2CC"/>
                </patternFill>
              </fill>
            </x14:dxf>
          </x14:cfRule>
          <x14:cfRule type="expression" priority="91" id="{F531C3C9-1D8A-4A70-A8F2-10A274BA7177}">
            <xm:f>INDEX($AB$35:$AB$51, MATCH(N36, $AE$35:$AE$51, 0), 1)=Leaderboard!$B$6</xm:f>
            <x14:dxf>
              <fill>
                <patternFill patternType="solid">
                  <bgColor rgb="FFEDEDED"/>
                </patternFill>
              </fill>
            </x14:dxf>
          </x14:cfRule>
          <x14:cfRule type="expression" priority="92" id="{773C819C-8FDA-4602-B791-AE7BAC69E272}">
            <xm:f>INDEX($AB$35:$AB$51, MATCH(N36, $AE$35:$AE$51, 0), 1)=Leaderboard!$B$7</xm:f>
            <x14:dxf>
              <fill>
                <patternFill patternType="solid">
                  <bgColor rgb="FFFCE4D6"/>
                </patternFill>
              </fill>
            </x14:dxf>
          </x14:cfRule>
          <xm:sqref>N36:R51</xm:sqref>
        </x14:conditionalFormatting>
        <x14:conditionalFormatting xmlns:xm="http://schemas.microsoft.com/office/excel/2006/main">
          <x14:cfRule type="expression" priority="54" id="{BF4B54E1-27A6-4A2D-9C25-03E05CDEE242}">
            <xm:f>INDEX($AB$54:$AB$70, MATCH(N55, $AE$54:$AE$70,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55" id="{99241190-4944-4862-B816-122B344656DC}">
            <xm:f>INDEX($AB$54:$AB$70, MATCH(N55, $AE$54:$AE$70, 0), 1)=Leaderboard!$B$4</xm:f>
            <x14:dxf>
              <fill>
                <patternFill patternType="solid">
                  <bgColor rgb="FFDDEBF7"/>
                </patternFill>
              </fill>
            </x14:dxf>
          </x14:cfRule>
          <x14:cfRule type="expression" priority="56" id="{950BAA6C-1FF7-4F3B-AFA9-659E3DB5236B}">
            <xm:f>INDEX($AB$54:$AB$70, MATCH(N55, $AE$54:$AE$70, 0), 1)=Leaderboard!$B$5</xm:f>
            <x14:dxf>
              <fill>
                <patternFill patternType="solid">
                  <bgColor rgb="FFFFF2CC"/>
                </patternFill>
              </fill>
            </x14:dxf>
          </x14:cfRule>
          <x14:cfRule type="expression" priority="57" id="{A8C023E6-23D6-4D14-B09F-1F2E6B1CEDE5}">
            <xm:f>INDEX($AB$54:$AB$70, MATCH(N55, $AE$54:$AE$70, 0), 1)=Leaderboard!$B$6</xm:f>
            <x14:dxf>
              <fill>
                <patternFill patternType="solid">
                  <bgColor rgb="FFEDEDED"/>
                </patternFill>
              </fill>
            </x14:dxf>
          </x14:cfRule>
          <x14:cfRule type="expression" priority="58" id="{A6C96229-CF41-4B42-AAC9-1A3B599A9C2D}">
            <xm:f>INDEX($AB$54:$AB$70, MATCH(N55, $AE$54:$AE$70, 0), 1)=Leaderboard!$B$7</xm:f>
            <x14:dxf>
              <fill>
                <patternFill patternType="solid">
                  <bgColor rgb="FFFCE4D6"/>
                </patternFill>
              </fill>
            </x14:dxf>
          </x14:cfRule>
          <xm:sqref>N55:R70</xm:sqref>
        </x14:conditionalFormatting>
        <x14:conditionalFormatting xmlns:xm="http://schemas.microsoft.com/office/excel/2006/main">
          <x14:cfRule type="expression" priority="42" id="{98108A2C-9B89-431B-99ED-D416C32B684F}">
            <xm:f>INDEX($AB$73:$AB$91, MATCH(N74, $AE$73:$AE$91,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43" id="{BEC3C9EE-BAFC-46CB-AB47-E7AB03222202}">
            <xm:f>INDEX($AB$73:$AB$91, MATCH(N74, $AE$73:$AE$91, 0), 1)=Leaderboard!$B$4</xm:f>
            <x14:dxf>
              <fill>
                <patternFill patternType="solid">
                  <bgColor rgb="FFDDEBF7"/>
                </patternFill>
              </fill>
            </x14:dxf>
          </x14:cfRule>
          <x14:cfRule type="expression" priority="44" id="{9C7572CA-003F-4037-B7AD-734B850AD9B2}">
            <xm:f>INDEX($AB$73:$AB$91, MATCH(N74, $AE$73:$AE$91, 0), 1)=Leaderboard!$B$5</xm:f>
            <x14:dxf>
              <fill>
                <patternFill patternType="solid">
                  <bgColor rgb="FFFFF2CC"/>
                </patternFill>
              </fill>
            </x14:dxf>
          </x14:cfRule>
          <x14:cfRule type="expression" priority="45" id="{84E3B895-73CE-4F9F-A4F1-D4663497CBBA}">
            <xm:f>INDEX($AB$73:$AB$91, MATCH(N74, $AE$73:$AE$91, 0), 1)=Leaderboard!$B$6</xm:f>
            <x14:dxf>
              <fill>
                <patternFill patternType="solid">
                  <bgColor rgb="FFEDEDED"/>
                </patternFill>
              </fill>
            </x14:dxf>
          </x14:cfRule>
          <x14:cfRule type="expression" priority="46" id="{EACB54AF-074C-404F-86F9-7917D86E9A23}">
            <xm:f>INDEX($AB$73:$AB$91, MATCH(N74, $AE$73:$AE$91, 0), 1)=Leaderboard!$B$7</xm:f>
            <x14:dxf>
              <fill>
                <patternFill patternType="solid">
                  <bgColor rgb="FFFCE4D6"/>
                </patternFill>
              </fill>
            </x14:dxf>
          </x14:cfRule>
          <xm:sqref>N74:R91</xm:sqref>
        </x14:conditionalFormatting>
        <x14:conditionalFormatting xmlns:xm="http://schemas.microsoft.com/office/excel/2006/main">
          <x14:cfRule type="expression" priority="25" id="{7D8D7102-2BF1-4C8D-B1BA-D262E8C6CAD5}">
            <xm:f>INDEX($AB$94:$AB$109, MATCH(N95, $AE$94:$AE$109,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26" id="{A7B46CD4-9712-434C-AFD7-918C01C67CF8}">
            <xm:f>INDEX($AB$94:$AB$109, MATCH(N95, $AE$94:$AE$109, 0), 1)=Leaderboard!$B$4</xm:f>
            <x14:dxf>
              <fill>
                <patternFill patternType="solid">
                  <bgColor rgb="FFDDEBF7"/>
                </patternFill>
              </fill>
            </x14:dxf>
          </x14:cfRule>
          <x14:cfRule type="expression" priority="27" id="{929691BD-A52C-439C-9439-217934CEAEAE}">
            <xm:f>INDEX($AB$94:$AB$109, MATCH(N95, $AE$94:$AE$109, 0), 1)=Leaderboard!$B$5</xm:f>
            <x14:dxf>
              <fill>
                <patternFill patternType="solid">
                  <bgColor rgb="FFFFF2CC"/>
                </patternFill>
              </fill>
            </x14:dxf>
          </x14:cfRule>
          <x14:cfRule type="expression" priority="28" id="{E918BBE1-85B6-4808-A25B-87B6EA31B054}">
            <xm:f>INDEX($AB$94:$AB$109, MATCH(N95, $AE$94:$AE$109, 0), 1)=Leaderboard!$B$6</xm:f>
            <x14:dxf>
              <fill>
                <patternFill patternType="solid">
                  <bgColor rgb="FFEDEDED"/>
                </patternFill>
              </fill>
            </x14:dxf>
          </x14:cfRule>
          <x14:cfRule type="expression" priority="29" id="{48FD0ECA-EDFE-4D41-A649-8B04CE616E8E}">
            <xm:f>INDEX($AB$94:$AB$109, MATCH(N95, $AE$94:$AE$109, 0), 1)=Leaderboard!$B$7</xm:f>
            <x14:dxf>
              <fill>
                <patternFill patternType="solid">
                  <bgColor rgb="FFFCE4D6"/>
                </patternFill>
              </fill>
            </x14:dxf>
          </x14:cfRule>
          <xm:sqref>N95:R109</xm:sqref>
        </x14:conditionalFormatting>
        <x14:conditionalFormatting xmlns:xm="http://schemas.microsoft.com/office/excel/2006/main">
          <x14:cfRule type="expression" priority="8" id="{08241C18-EB38-48CA-AEBE-2224C8582893}">
            <xm:f>INDEX($AB$112:$AB$123, MATCH(N113, $AE$112:$AE$123,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9" id="{5D5B09A3-1E4D-4FFD-BDE3-7923A20548A4}">
            <xm:f>INDEX($AB$112:$AB$123, MATCH(N113, $AE$112:$AE$123, 0), 1)=Leaderboard!$B$4</xm:f>
            <x14:dxf>
              <fill>
                <patternFill patternType="solid">
                  <bgColor rgb="FFDDEBF7"/>
                </patternFill>
              </fill>
            </x14:dxf>
          </x14:cfRule>
          <x14:cfRule type="expression" priority="10" id="{E74A47E5-B3C4-4193-A0BA-72A8B26F03A0}">
            <xm:f>INDEX($AB$112:$AB$123, MATCH(N113, $AE$112:$AE$123, 0), 1)=Leaderboard!$B$5</xm:f>
            <x14:dxf>
              <fill>
                <patternFill patternType="solid">
                  <bgColor rgb="FFFFF2CC"/>
                </patternFill>
              </fill>
            </x14:dxf>
          </x14:cfRule>
          <x14:cfRule type="expression" priority="11" id="{268F3368-B43B-458A-802A-861FB3211FAC}">
            <xm:f>INDEX($AB$112:$AB$123, MATCH(N113, $AE$112:$AE$123, 0), 1)=Leaderboard!$B$6</xm:f>
            <x14:dxf>
              <fill>
                <patternFill patternType="solid">
                  <bgColor rgb="FFEDEDED"/>
                </patternFill>
              </fill>
            </x14:dxf>
          </x14:cfRule>
          <x14:cfRule type="expression" priority="12" id="{8787B23D-5126-408F-9D8A-3EB76E9CB0B1}">
            <xm:f>INDEX($AB$112:$AB$123, MATCH(N113, $AE$112:$AE$123, 0), 1)=Leaderboard!$B$7</xm:f>
            <x14:dxf>
              <fill>
                <patternFill patternType="solid">
                  <bgColor rgb="FFFCE4D6"/>
                </patternFill>
              </fill>
            </x14:dxf>
          </x14:cfRule>
          <xm:sqref>N113:R123</xm:sqref>
        </x14:conditionalFormatting>
        <x14:conditionalFormatting xmlns:xm="http://schemas.microsoft.com/office/excel/2006/main">
          <x14:cfRule type="expression" priority="810" id="{4392AE27-F1A3-4351-BB46-2CCBC6E1D37C}">
            <xm:f>$AB1=Leaderboard!$B$7</xm:f>
            <x14:dxf>
              <fill>
                <patternFill patternType="solid">
                  <bgColor theme="5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811" id="{083E09D4-37BC-4EAC-A7EF-DEF88057F373}">
            <xm:f>$AB1=Leaderboard!$B$3</xm:f>
            <x14:dxf>
              <fill>
                <patternFill patternType="solid">
                  <bgColor rgb="FFE2EFDA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812" id="{7232188F-738B-4250-9CBD-423A6A2497DF}">
            <xm:f>$AB1=Leaderboard!$B$4</xm:f>
            <x14:dxf>
              <fill>
                <patternFill patternType="solid">
                  <bgColor theme="8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813" id="{D4861F75-C4D9-45CE-A6CD-5DCB06230DBA}">
            <xm:f>$AB1=Leaderboard!$B$5</xm:f>
            <x14:dxf>
              <fill>
                <patternFill patternType="solid">
                  <bgColor theme="7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814" id="{6A16962D-487F-449A-AFDA-B3AF992197E7}">
            <xm:f>$AB1=Leaderboard!$B$6</xm:f>
            <x14:dxf>
              <fill>
                <patternFill patternType="solid">
                  <bgColor theme="6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m:sqref>Z1:AG1048576</xm:sqref>
        </x14:conditionalFormatting>
        <x14:conditionalFormatting xmlns:xm="http://schemas.microsoft.com/office/excel/2006/main">
          <x14:cfRule type="expression" priority="70" id="{F62B3FB2-220B-4B6F-9D65-72EAB924AD00}">
            <xm:f>INDEX($AB$2:$AB$11, MATCH($AJ2, $AE$2:$AE$11,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71" id="{8020C8D2-FA84-4576-BC2C-C7EFCFC649C5}">
            <xm:f>INDEX($AB$2:$AB$11, MATCH($AJ2, $AE$2:$AE$11, 0), 1)=Leaderboard!$B$4</xm:f>
            <x14:dxf>
              <fill>
                <patternFill patternType="solid">
                  <bgColor theme="8" tint="0.79998168889431442"/>
                </patternFill>
              </fill>
            </x14:dxf>
          </x14:cfRule>
          <x14:cfRule type="expression" priority="72" id="{1D451568-FF04-4325-89D5-74A76DFC9EB0}">
            <xm:f>INDEX($AB$2:$AB$11, MATCH($AJ2, $AE$2:$AE$11, 0), 1)=Leaderboard!$B$5</xm:f>
            <x14:dxf>
              <fill>
                <patternFill patternType="solid">
                  <bgColor theme="7" tint="0.79998168889431442"/>
                </patternFill>
              </fill>
            </x14:dxf>
          </x14:cfRule>
          <x14:cfRule type="expression" priority="73" id="{4CFCB9CA-0B92-43C0-9483-C9D053C433C9}">
            <xm:f>INDEX($AB$2:$AB$11, MATCH($AJ2, $AE$2:$AE$11, 0), 1)=Leaderboard!$B$6</xm:f>
            <x14:dxf>
              <fill>
                <patternFill patternType="solid">
                  <bgColor theme="6" tint="0.79998168889431442"/>
                </patternFill>
              </fill>
            </x14:dxf>
          </x14:cfRule>
          <x14:cfRule type="expression" priority="74" id="{B5B96B7C-AA84-480A-A9BF-971D7F29F32A}">
            <xm:f>INDEX($AB$2:$AB$11, MATCH($AJ2, $AE$2:$AE$11, 0), 1)=Leaderboard!$B$7</xm:f>
            <x14:dxf>
              <fill>
                <patternFill patternType="solid">
                  <bgColor theme="5" tint="0.79998168889431442"/>
                </patternFill>
              </fill>
            </x14:dxf>
          </x14:cfRule>
          <xm:sqref>AI2:AJ11</xm:sqref>
        </x14:conditionalFormatting>
        <x14:conditionalFormatting xmlns:xm="http://schemas.microsoft.com/office/excel/2006/main">
          <x14:cfRule type="expression" priority="65" id="{37AF09F8-6878-4686-B172-084498DFA16E}">
            <xm:f>INDEX($AB$14:$AB$32, MATCH($AJ14, $AE$14:$AE$32,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66" id="{B836723C-0DF0-4154-8AE7-7D1200918B65}">
            <xm:f>INDEX($AB$14:$AB$32, MATCH($AJ14, $AE$14:$AE$32, 0), 1)=Leaderboard!$B$4</xm:f>
            <x14:dxf>
              <fill>
                <patternFill patternType="solid">
                  <bgColor theme="8" tint="0.79998168889431442"/>
                </patternFill>
              </fill>
            </x14:dxf>
          </x14:cfRule>
          <x14:cfRule type="expression" priority="67" id="{B013B938-6D06-47EF-92B6-45E5F4155626}">
            <xm:f>INDEX($AB$14:$AB$32, MATCH($AJ14, $AE$14:$AE$32, 0), 1)=Leaderboard!$B$5</xm:f>
            <x14:dxf>
              <fill>
                <patternFill patternType="solid">
                  <bgColor theme="7" tint="0.79998168889431442"/>
                </patternFill>
              </fill>
            </x14:dxf>
          </x14:cfRule>
          <x14:cfRule type="expression" priority="68" id="{48B1A759-6FC4-477C-A008-74D9363C4B33}">
            <xm:f>INDEX($AB$14:$AB$32, MATCH($AJ14, $AE$14:$AE$32, 0), 1)=Leaderboard!$B$6</xm:f>
            <x14:dxf>
              <fill>
                <patternFill patternType="solid">
                  <bgColor theme="6" tint="0.79998168889431442"/>
                </patternFill>
              </fill>
            </x14:dxf>
          </x14:cfRule>
          <x14:cfRule type="expression" priority="69" id="{2C9DDC6B-F703-4658-A6C3-082E5F109E1C}">
            <xm:f>INDEX($AB$14:$AB$32, MATCH($AJ14, $AE$14:$AE$32, 0), 1)=Leaderboard!$B$7</xm:f>
            <x14:dxf>
              <fill>
                <patternFill patternType="solid">
                  <bgColor theme="5" tint="0.79998168889431442"/>
                </patternFill>
              </fill>
            </x14:dxf>
          </x14:cfRule>
          <xm:sqref>AI14:AJ32</xm:sqref>
        </x14:conditionalFormatting>
        <x14:conditionalFormatting xmlns:xm="http://schemas.microsoft.com/office/excel/2006/main">
          <x14:cfRule type="expression" priority="59" id="{65F85105-BF4C-47EB-B80C-EF281DFB85D2}">
            <xm:f>INDEX($AB$35:$AB$51, MATCH($AJ35, $AE$35:$AE$51,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60" id="{33B9CFF8-F0CF-43C1-9BDF-0309EB5D2772}">
            <xm:f>INDEX($AB$35:$AB$51, MATCH($AJ35, $AE$35:$AE$51, 0), 1)=Leaderboard!$B$4</xm:f>
            <x14:dxf>
              <fill>
                <patternFill patternType="solid">
                  <bgColor theme="8" tint="0.79998168889431442"/>
                </patternFill>
              </fill>
            </x14:dxf>
          </x14:cfRule>
          <x14:cfRule type="expression" priority="61" id="{C51B9D93-A46A-4A67-BA42-0BBD080AB1AE}">
            <xm:f>INDEX($AB$35:$AB$51, MATCH($AJ35, $AE$35:$AE$51, 0), 1)=Leaderboard!$B$5</xm:f>
            <x14:dxf>
              <fill>
                <patternFill patternType="solid">
                  <bgColor theme="7" tint="0.79998168889431442"/>
                </patternFill>
              </fill>
            </x14:dxf>
          </x14:cfRule>
          <x14:cfRule type="expression" priority="62" id="{63DBA14C-04FE-4269-BB01-51009E6D5EEF}">
            <xm:f>INDEX($AB$35:$AB$51, MATCH($AJ35, $AE$35:$AE$51, 0), 1)=Leaderboard!$B$6</xm:f>
            <x14:dxf>
              <fill>
                <patternFill patternType="solid">
                  <bgColor theme="6" tint="0.79998168889431442"/>
                </patternFill>
              </fill>
            </x14:dxf>
          </x14:cfRule>
          <x14:cfRule type="expression" priority="63" id="{CA29D2AA-4819-4507-9EA1-9FB3DC7D3543}">
            <xm:f>INDEX($AB$35:$AB$51, MATCH($AJ35, $AE$35:$AE$51, 0), 1)=Leaderboard!$B$7</xm:f>
            <x14:dxf>
              <fill>
                <patternFill patternType="solid">
                  <bgColor theme="5" tint="0.79998168889431442"/>
                </patternFill>
              </fill>
            </x14:dxf>
          </x14:cfRule>
          <xm:sqref>AI35:AJ51</xm:sqref>
        </x14:conditionalFormatting>
        <x14:conditionalFormatting xmlns:xm="http://schemas.microsoft.com/office/excel/2006/main">
          <x14:cfRule type="expression" priority="47" id="{78195579-A338-4EFA-8541-0397F0AC79A8}">
            <xm:f>INDEX($AB$54:$AB$70, MATCH($AJ54, $AE$54:$AE$70,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48" id="{47FD7D9F-5E03-4781-BF1A-EA3546C3E405}">
            <xm:f>INDEX($AB$54:$AB$70, MATCH($AJ54, $AE$54:$AE$70, 0), 1)=Leaderboard!$B$4</xm:f>
            <x14:dxf>
              <fill>
                <patternFill patternType="solid">
                  <bgColor theme="8" tint="0.79998168889431442"/>
                </patternFill>
              </fill>
            </x14:dxf>
          </x14:cfRule>
          <x14:cfRule type="expression" priority="49" id="{D6350334-BA04-49EC-B97A-03A912B03DA7}">
            <xm:f>INDEX($AB$54:$AB$70, MATCH($AJ54, $AE$54:$AE$70, 0), 1)=Leaderboard!$B$5</xm:f>
            <x14:dxf>
              <fill>
                <patternFill patternType="solid">
                  <bgColor theme="7" tint="0.79998168889431442"/>
                </patternFill>
              </fill>
            </x14:dxf>
          </x14:cfRule>
          <x14:cfRule type="expression" priority="50" id="{D271EC9C-5CFB-45EA-8B32-195B3B80F8C5}">
            <xm:f>INDEX($AB$54:$AB$70, MATCH($AJ54, $AE$54:$AE$70, 0), 1)=Leaderboard!$B$6</xm:f>
            <x14:dxf>
              <fill>
                <patternFill patternType="solid">
                  <bgColor theme="6" tint="0.79998168889431442"/>
                </patternFill>
              </fill>
            </x14:dxf>
          </x14:cfRule>
          <x14:cfRule type="expression" priority="51" id="{A4742183-710F-4B63-9D07-6FF2E20CA220}">
            <xm:f>INDEX($AB$54:$AB$70, MATCH($AJ54, $AE$54:$AE$70, 0), 1)=Leaderboard!$B$7</xm:f>
            <x14:dxf>
              <fill>
                <patternFill patternType="solid">
                  <bgColor theme="5" tint="0.79998168889431442"/>
                </patternFill>
              </fill>
            </x14:dxf>
          </x14:cfRule>
          <xm:sqref>AI54:AJ70</xm:sqref>
        </x14:conditionalFormatting>
        <x14:conditionalFormatting xmlns:xm="http://schemas.microsoft.com/office/excel/2006/main">
          <x14:cfRule type="expression" priority="35" id="{5A1F954F-CA2A-4680-B622-46A36FA3299A}">
            <xm:f>INDEX($AB$73:$AB$91, MATCH($AJ73, $AE$73:$AE$91,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36" id="{A31FC55D-E6E2-4A7C-BA32-405B11B4167B}">
            <xm:f>INDEX($AB$73:$AB$91, MATCH($AJ73, $AE$73:$AE$91, 0), 1)=Leaderboard!$B$4</xm:f>
            <x14:dxf>
              <fill>
                <patternFill patternType="solid">
                  <bgColor theme="8" tint="0.79998168889431442"/>
                </patternFill>
              </fill>
            </x14:dxf>
          </x14:cfRule>
          <x14:cfRule type="expression" priority="37" id="{CF53692B-529B-482F-A40B-78CEBC6E34A1}">
            <xm:f>INDEX($AB$73:$AB$91, MATCH($AJ73, $AE$73:$AE$91, 0), 1)=Leaderboard!$B$5</xm:f>
            <x14:dxf>
              <fill>
                <patternFill patternType="solid">
                  <bgColor theme="7" tint="0.79998168889431442"/>
                </patternFill>
              </fill>
            </x14:dxf>
          </x14:cfRule>
          <x14:cfRule type="expression" priority="38" id="{F6161C28-D811-46D6-BB7D-6E207A787155}">
            <xm:f>INDEX($AB$73:$AB$91, MATCH($AJ73, $AE$73:$AE$91, 0), 1)=Leaderboard!$B$6</xm:f>
            <x14:dxf>
              <fill>
                <patternFill patternType="solid">
                  <bgColor theme="6" tint="0.79998168889431442"/>
                </patternFill>
              </fill>
            </x14:dxf>
          </x14:cfRule>
          <x14:cfRule type="expression" priority="39" id="{8602320A-5E3F-4757-B1D6-352C4C1CF4F5}">
            <xm:f>INDEX($AB$73:$AB$91, MATCH($AJ73, $AE$73:$AE$91, 0), 1)=Leaderboard!$B$7</xm:f>
            <x14:dxf>
              <fill>
                <patternFill patternType="solid">
                  <bgColor theme="5" tint="0.79998168889431442"/>
                </patternFill>
              </fill>
            </x14:dxf>
          </x14:cfRule>
          <xm:sqref>AI73:AJ91</xm:sqref>
        </x14:conditionalFormatting>
        <x14:conditionalFormatting xmlns:xm="http://schemas.microsoft.com/office/excel/2006/main">
          <x14:cfRule type="expression" priority="18" id="{E30258C2-B42A-40CB-8DD5-A505F3FC5895}">
            <xm:f>INDEX($AB$94:$AB$109, MATCH($AJ94, $AE$94:$AE$109,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19" id="{4E4CBE2D-210C-4D04-A491-AA404C84BD42}">
            <xm:f>INDEX($AB$94:$AB$109, MATCH($AJ94, $AE$94:$AE$109, 0), 1)=Leaderboard!$B$4</xm:f>
            <x14:dxf>
              <fill>
                <patternFill patternType="solid">
                  <bgColor theme="8" tint="0.79998168889431442"/>
                </patternFill>
              </fill>
            </x14:dxf>
          </x14:cfRule>
          <x14:cfRule type="expression" priority="20" id="{2ABC91E2-9876-4C19-8CD7-243FC5E8C083}">
            <xm:f>INDEX($AB$94:$AB$109, MATCH($AJ94, $AE$94:$AE$109, 0), 1)=Leaderboard!$B$5</xm:f>
            <x14:dxf>
              <fill>
                <patternFill patternType="solid">
                  <bgColor theme="7" tint="0.79998168889431442"/>
                </patternFill>
              </fill>
            </x14:dxf>
          </x14:cfRule>
          <x14:cfRule type="expression" priority="21" id="{7DB1D807-846C-4D9F-9C10-721E749501DC}">
            <xm:f>INDEX($AB$94:$AB$109, MATCH($AJ94, $AE$94:$AE$109, 0), 1)=Leaderboard!$B$6</xm:f>
            <x14:dxf>
              <fill>
                <patternFill patternType="solid">
                  <bgColor theme="6" tint="0.79998168889431442"/>
                </patternFill>
              </fill>
            </x14:dxf>
          </x14:cfRule>
          <x14:cfRule type="expression" priority="22" id="{BD2A368B-1AD5-4B9F-8527-E07B6B05273A}">
            <xm:f>INDEX($AB$94:$AB$109, MATCH($AJ94, $AE$94:$AE$109, 0), 1)=Leaderboard!$B$7</xm:f>
            <x14:dxf>
              <fill>
                <patternFill patternType="solid">
                  <bgColor theme="5" tint="0.79998168889431442"/>
                </patternFill>
              </fill>
            </x14:dxf>
          </x14:cfRule>
          <xm:sqref>AI94:AJ109</xm:sqref>
        </x14:conditionalFormatting>
        <x14:conditionalFormatting xmlns:xm="http://schemas.microsoft.com/office/excel/2006/main">
          <x14:cfRule type="expression" priority="1" id="{5A896A64-F094-4626-857D-657758D63934}">
            <xm:f>INDEX($AB$112:$AB$123, MATCH($AJ112, $AE$112:$AE$123,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2" id="{D964E243-6EC6-4D3B-8B02-7B760B4AACBD}">
            <xm:f>INDEX($AB$112:$AB$123, MATCH($AJ112, $AE$112:$AE$123, 0), 1)=Leaderboard!$B$4</xm:f>
            <x14:dxf>
              <fill>
                <patternFill patternType="solid">
                  <bgColor theme="8" tint="0.79998168889431442"/>
                </patternFill>
              </fill>
            </x14:dxf>
          </x14:cfRule>
          <x14:cfRule type="expression" priority="3" id="{C7448ECC-BB23-4767-B204-0C4FCB36CC3F}">
            <xm:f>INDEX($AB$112:$AB$123, MATCH($AJ112, $AE$112:$AE$123, 0), 1)=Leaderboard!$B$5</xm:f>
            <x14:dxf>
              <fill>
                <patternFill patternType="solid">
                  <bgColor theme="7" tint="0.79998168889431442"/>
                </patternFill>
              </fill>
            </x14:dxf>
          </x14:cfRule>
          <x14:cfRule type="expression" priority="4" id="{516E7A63-C259-48DB-B7BA-35B6574328EB}">
            <xm:f>INDEX($AB$112:$AB$123, MATCH($AJ112, $AE$112:$AE$123, 0), 1)=Leaderboard!$B$6</xm:f>
            <x14:dxf>
              <fill>
                <patternFill patternType="solid">
                  <bgColor theme="6" tint="0.79998168889431442"/>
                </patternFill>
              </fill>
            </x14:dxf>
          </x14:cfRule>
          <x14:cfRule type="expression" priority="5" id="{F807DCBA-DF88-4F74-AD9B-327D9AA96959}">
            <xm:f>INDEX($AB$112:$AB$123, MATCH($AJ112, $AE$112:$AE$123, 0), 1)=Leaderboard!$B$7</xm:f>
            <x14:dxf>
              <fill>
                <patternFill patternType="solid">
                  <bgColor theme="5" tint="0.79998168889431442"/>
                </patternFill>
              </fill>
            </x14:dxf>
          </x14:cfRule>
          <xm:sqref>AI112:AJ123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F4C9-E885-40BD-BC35-1EDCA5784B79}">
  <sheetPr codeName="Sheet10"/>
  <dimension ref="A1:AL222"/>
  <sheetViews>
    <sheetView topLeftCell="A184" zoomScale="85" zoomScaleNormal="85" workbookViewId="0">
      <selection activeCell="L221" sqref="L221"/>
    </sheetView>
  </sheetViews>
  <sheetFormatPr defaultRowHeight="15" outlineLevelCol="1"/>
  <cols>
    <col min="1" max="1" width="13.85546875" customWidth="1"/>
    <col min="2" max="2" width="9.140625" style="3" hidden="1" customWidth="1" outlineLevel="1"/>
    <col min="3" max="3" width="9.5703125" hidden="1" customWidth="1" outlineLevel="1"/>
    <col min="4" max="4" width="12.7109375" hidden="1" customWidth="1" outlineLevel="1"/>
    <col min="5" max="5" width="12.42578125" hidden="1" customWidth="1" outlineLevel="1"/>
    <col min="6" max="6" width="12.7109375" hidden="1" customWidth="1" outlineLevel="1"/>
    <col min="7" max="8" width="9.7109375" hidden="1" customWidth="1" outlineLevel="1"/>
    <col min="9" max="9" width="9.140625" collapsed="1"/>
    <col min="13" max="13" width="9.140625" bestFit="1" customWidth="1"/>
    <col min="14" max="14" width="34.7109375" style="204" bestFit="1" customWidth="1"/>
    <col min="15" max="15" width="10.140625" customWidth="1"/>
    <col min="16" max="16" width="33.42578125" style="3" bestFit="1" customWidth="1"/>
    <col min="17" max="17" width="10.5703125" style="123" customWidth="1"/>
    <col min="18" max="18" width="33.42578125" bestFit="1" customWidth="1"/>
    <col min="24" max="24" width="13.28515625" style="3" customWidth="1"/>
    <col min="26" max="26" width="9.140625" style="3"/>
    <col min="27" max="27" width="14.28515625" style="59" bestFit="1" customWidth="1"/>
    <col min="28" max="28" width="16.140625" bestFit="1" customWidth="1"/>
    <col min="29" max="29" width="9.140625" style="3"/>
    <col min="31" max="31" width="23.42578125" bestFit="1" customWidth="1"/>
    <col min="32" max="32" width="22.140625" bestFit="1" customWidth="1"/>
    <col min="33" max="33" width="9.140625" style="3"/>
    <col min="35" max="35" width="11.140625" style="3" bestFit="1" customWidth="1"/>
    <col min="36" max="36" width="34.7109375" bestFit="1" customWidth="1"/>
    <col min="37" max="37" width="8.85546875" style="3" bestFit="1" customWidth="1"/>
    <col min="38" max="38" width="9.7109375" style="3" bestFit="1" customWidth="1"/>
  </cols>
  <sheetData>
    <row r="1" spans="1:38">
      <c r="A1" s="302">
        <f>MAX(Z2:Z17)</f>
        <v>16</v>
      </c>
      <c r="B1" s="302">
        <f t="shared" ref="B1" si="0">FLOOR(LOG(A1, 2), 1)-1</f>
        <v>3</v>
      </c>
      <c r="C1" s="302">
        <f t="shared" ref="C1" si="1">_xlfn.CEILING.MATH(LOG(A1, 2), 1)-1</f>
        <v>3</v>
      </c>
      <c r="D1" s="220"/>
      <c r="E1" s="220"/>
      <c r="F1" s="220"/>
      <c r="G1" s="220"/>
      <c r="H1" s="220"/>
      <c r="I1" s="349" t="s">
        <v>4162</v>
      </c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1"/>
      <c r="X1" s="221"/>
      <c r="Z1" s="221" t="s">
        <v>4163</v>
      </c>
      <c r="AA1" s="222" t="s">
        <v>29</v>
      </c>
      <c r="AB1" s="220" t="s">
        <v>32</v>
      </c>
      <c r="AC1" s="221" t="s">
        <v>33</v>
      </c>
      <c r="AD1" s="220" t="s">
        <v>34</v>
      </c>
      <c r="AE1" s="220" t="s">
        <v>4161</v>
      </c>
      <c r="AF1" s="220" t="s">
        <v>36</v>
      </c>
      <c r="AG1" s="221" t="s">
        <v>4164</v>
      </c>
      <c r="AI1" s="225" t="s">
        <v>4165</v>
      </c>
      <c r="AJ1" s="223" t="s">
        <v>35</v>
      </c>
      <c r="AK1" s="223" t="s">
        <v>4166</v>
      </c>
      <c r="AL1" s="224" t="s">
        <v>4167</v>
      </c>
    </row>
    <row r="2" spans="1:38">
      <c r="A2" s="218" t="s">
        <v>4168</v>
      </c>
      <c r="B2" s="213" t="s">
        <v>4169</v>
      </c>
      <c r="C2" s="219" t="s">
        <v>4170</v>
      </c>
      <c r="D2" s="219" t="s">
        <v>4171</v>
      </c>
      <c r="E2" s="219" t="s">
        <v>4172</v>
      </c>
      <c r="F2" s="219" t="s">
        <v>4173</v>
      </c>
      <c r="G2" s="219" t="s">
        <v>4174</v>
      </c>
      <c r="H2" s="219" t="s">
        <v>4175</v>
      </c>
      <c r="I2" s="219" t="s">
        <v>4176</v>
      </c>
      <c r="J2" s="219" t="s">
        <v>4177</v>
      </c>
      <c r="K2" s="219" t="s">
        <v>4178</v>
      </c>
      <c r="L2" s="219" t="s">
        <v>4179</v>
      </c>
      <c r="M2" s="219" t="s">
        <v>4180</v>
      </c>
      <c r="N2" s="213" t="s">
        <v>4181</v>
      </c>
      <c r="O2" s="219" t="s">
        <v>4182</v>
      </c>
      <c r="P2" s="213" t="s">
        <v>47</v>
      </c>
      <c r="Q2" s="231" t="s">
        <v>4183</v>
      </c>
      <c r="R2" s="213" t="s">
        <v>4184</v>
      </c>
      <c r="S2" s="219" t="s">
        <v>4185</v>
      </c>
      <c r="T2" s="219" t="s">
        <v>4186</v>
      </c>
      <c r="U2" s="219" t="s">
        <v>4187</v>
      </c>
      <c r="V2" s="219" t="s">
        <v>4188</v>
      </c>
      <c r="W2" s="219" t="s">
        <v>4189</v>
      </c>
      <c r="X2" s="110" t="s">
        <v>4190</v>
      </c>
      <c r="Z2" s="109">
        <f t="shared" ref="Z2:Z17" si="2">IF(AC2&gt;0, COUNTIF(AC$2:AC$17, "&lt;"&amp;AC2) + COUNTIFS(AC$2:AC$17, AC2, AD$2:AD$17, "&lt;"&amp;AD2) + COUNTIFS(AC$2:AC$17, AC2, AD$2:AD$17, AD2, AA$2:AA$17, "&lt;"&amp;AA2) + 1, "TBD")</f>
        <v>14</v>
      </c>
      <c r="AA2" s="230" cm="1">
        <f t="array" ref="AA2:AF17">_xlfn._xlws.FILTER(Data[Date]:Data[Artist], (Data[Date]&gt;=DATE(2025,1,1))*(Data[Date]&lt;=DATE(2025,1,31))*(Data[Winner]=TRUE()), "TBD")</f>
        <v>45663</v>
      </c>
      <c r="AB2" t="str">
        <v>danram</v>
      </c>
      <c r="AC2" s="3">
        <v>2.4</v>
      </c>
      <c r="AD2" s="86">
        <v>1.3564659966250536</v>
      </c>
      <c r="AE2" s="123" t="str">
        <v>Favourite</v>
      </c>
      <c r="AF2" t="str">
        <v>Fontaines D.C.</v>
      </c>
      <c r="AG2" s="100">
        <f t="shared" ref="AG2:AG17" si="3">IF(Z2&gt;1, 2^FLOOR(LOG(Z2-1, 2), 1)+1, 1)</f>
        <v>9</v>
      </c>
      <c r="AI2" s="115">
        <v>1</v>
      </c>
      <c r="AJ2" s="105" t="str">
        <f ca="1">P3</f>
        <v>Tears On A Pretty Face</v>
      </c>
      <c r="AK2" s="7">
        <f ca="1">IFERROR(VLOOKUP(Jan_2025_Results[[#This Row],[Song Title]], $AE$2:$AG$17, 3, FALSE)-Jan_2025_Results[[#This Row],[Result]], "TBD")</f>
        <v>4</v>
      </c>
      <c r="AL2" s="125" t="str">
        <f ca="1">IF(AK2&lt;0,"↓",IF(AK2=0,"-","↑"))</f>
        <v>↑</v>
      </c>
    </row>
    <row r="3" spans="1:38">
      <c r="A3" s="199" t="str">
        <f>_xlfn.CONCAT("Seed ", Jan_2025_SotM[[#This Row],[Top Seed]], " vs ",Jan_2025_SotM[[#This Row],[Low Seed]])</f>
        <v>Seed 1 vs 2</v>
      </c>
      <c r="B3" s="201">
        <v>1</v>
      </c>
      <c r="C3" s="200">
        <f>FLOOR(LOG(Jan_2025_SotM[[#This Row],[Num]], 2), 1)</f>
        <v>0</v>
      </c>
      <c r="D3" s="200">
        <f>2^(Jan_2025_SotM[[#This Row],[Round]]+1)</f>
        <v>2</v>
      </c>
      <c r="E3" s="200">
        <f>Jan_2025_SotM[[#This Row],[Max Seed]]-Jan_2025_SotM[[#This Row],[Num]]</f>
        <v>1</v>
      </c>
      <c r="F3" s="200">
        <f>Jan_2025_SotM[[#This Row],[Max Seed]]-Jan_2025_SotM[[#This Row],[Top Seed]]+1</f>
        <v>2</v>
      </c>
      <c r="G3" s="200" t="b">
        <f>IF(Jan_2025_SotM[[#This Row],[Round]]=$C$1, TRUE(), IF(Jan_2025_SotM[[#This Row],[Round]]=$B$1, Jan_2025_SotM[[#This Row],[Top Seed]]&lt;=2*Jan_2025_SotM[[#This Row],[Max Seed]]-$A$1, FALSE()))</f>
        <v>0</v>
      </c>
      <c r="H3" s="200" t="b">
        <f>IF(Jan_2025_SotM[[#This Row],[Round]]=$C$1, TRUE(), IF(Jan_2025_SotM[[#This Row],[Round]]=$B$1, Jan_2025_SotM[[#This Row],[Low Seed]]&lt;=2*Jan_2025_SotM[[#This Row],[Max Seed]]-$A$1, FALSE()))</f>
        <v>0</v>
      </c>
      <c r="I3" s="28"/>
      <c r="J3" s="31" t="s">
        <v>4191</v>
      </c>
      <c r="K3" s="33"/>
      <c r="L3" s="35" t="s">
        <v>4191</v>
      </c>
      <c r="M3" s="37"/>
      <c r="N3" s="120" t="str">
        <f ca="1">IF(Jan_2025_SotM[[#This Row],[Num]]&gt;=$A$1, "-", IF(Jan_2025_SotM[[#This Row],[Initial 1]], VLOOKUP(Jan_2025_SotM[[#This Row],[Top Seed]], $Z$2:$AE$17, 6, FALSE), OFFSET(Jan_2025_SotM[[#This Row],[Winner]], Jan_2025_SotM[[#This Row],[Max Seed]], 0)))</f>
        <v>Float On</v>
      </c>
      <c r="O3" s="118">
        <f>COUNTIF(Jan_2025_SotM[[#This Row],[J]:[H]],"x")</f>
        <v>2</v>
      </c>
      <c r="P3" s="119" t="str">
        <f ca="1">IF(Jan_2025_SotM[[#This Row],[Num]]&gt;=$A$1, "-", IF(Jan_2025_SotM[[#This Row],[Score 1]]&gt;=3, Jan_2025_SotM[[#This Row],[Song 1]], IF(Jan_2025_SotM[[#This Row],[Score 2]]&gt;=3, Jan_2025_SotM[[#This Row],[Song 2]], "TBD")))</f>
        <v>Tears On A Pretty Face</v>
      </c>
      <c r="Q3" s="121">
        <f>COUNTIF(Jan_2025_SotM[[#This Row],[H ]:[J ]],"x")</f>
        <v>3</v>
      </c>
      <c r="R3" s="118" t="str">
        <f ca="1">IF(Jan_2025_SotM[[#This Row],[Num]]&gt;=$A$1, "-", IF(Jan_2025_SotM[[#This Row],[Initial 2]], VLOOKUP(Jan_2025_SotM[[#This Row],[Low Seed]], $Z$2:$AE$17, 6, FALSE), OFFSET(Jan_2025_SotM[[#This Row],[Winner]], 2*(Jan_2025_SotM[[#This Row],[Max Seed]]-Jan_2025_SotM[[#This Row],[Low Seed]])+1, 0)))</f>
        <v>Tears On A Pretty Face</v>
      </c>
      <c r="S3" s="37" t="s">
        <v>4191</v>
      </c>
      <c r="T3" s="35"/>
      <c r="U3" s="33" t="s">
        <v>4191</v>
      </c>
      <c r="V3" s="31"/>
      <c r="W3" s="28" t="s">
        <v>4191</v>
      </c>
      <c r="X3" s="106" t="str">
        <f ca="1">IF(OR(Jan_2025_SotM[[#This Row],[Song 1]]="TBD", Jan_2025_SotM[[#This Row],[Song 2]]="TBD"), "TBD", _xlfn.CONCAT(IF(_xlfn.XOR(ISBLANK(Jan_2025_SotM[[#This Row],[J]]), ISBLANK(Jan_2025_SotM[[#This Row],[J ]])), "", "J "), IF(_xlfn.XOR(ISBLANK(Jan_2025_SotM[[#This Row],[D]]), ISBLANK(Jan_2025_SotM[[#This Row],[D ]])), "", "D "), IF(_xlfn.XOR(ISBLANK(Jan_2025_SotM[[#This Row],[L]]), ISBLANK(Jan_2025_SotM[[#This Row],[L ]])), "", "L "), IF(_xlfn.XOR(ISBLANK(Jan_2025_SotM[[#This Row],[S]]), ISBLANK(Jan_2025_SotM[[#This Row],[S ]])), "", "S "), IF(_xlfn.XOR(ISBLANK(Jan_2025_SotM[[#This Row],[H]]), ISBLANK(Jan_2025_SotM[[#This Row],[H ]])), "", "H ")))</f>
        <v/>
      </c>
      <c r="Z3" s="109">
        <f t="shared" si="2"/>
        <v>5</v>
      </c>
      <c r="AA3" s="59">
        <v>45664</v>
      </c>
      <c r="AB3" t="str">
        <v>danram</v>
      </c>
      <c r="AC3" s="3">
        <v>2.2000000000000002</v>
      </c>
      <c r="AD3">
        <v>0.74833147735478833</v>
      </c>
      <c r="AE3" t="str">
        <v>CRAZY</v>
      </c>
      <c r="AF3" t="str">
        <v>LE SSERAFIM</v>
      </c>
      <c r="AG3" s="100">
        <f t="shared" si="3"/>
        <v>5</v>
      </c>
      <c r="AI3" s="115">
        <f>Jan_2025_SotM[[#This Row],[Max Seed]]/2 + 1</f>
        <v>2</v>
      </c>
      <c r="AJ3" s="105" t="str">
        <f ca="1">IF(Jan_2025_SotM[[#This Row],[Num]]&gt;=$A$1, "-", IF(Jan_2025_SotM[[#This Row],[Score 1]]&gt;=3, Jan_2025_SotM[[#This Row],[Song 2]], IF(Jan_2025_SotM[[#This Row],[Score 2]]&gt;=3, Jan_2025_SotM[[#This Row],[Song 1]], "TBD")))</f>
        <v>Float On</v>
      </c>
      <c r="AK3" s="3">
        <f ca="1">IFERROR(VLOOKUP(Jan_2025_Results[[#This Row],[Song Title]], $AE$2:$AG$17, 3, FALSE)-Jan_2025_Results[[#This Row],[Result]], "TBD")</f>
        <v>-1</v>
      </c>
      <c r="AL3" s="3" t="str">
        <f ca="1">IF(AK3&lt;0,"↓",IF(AK3=0,"-","↑"))</f>
        <v>↓</v>
      </c>
    </row>
    <row r="4" spans="1:38">
      <c r="A4" s="199" t="str">
        <f>_xlfn.CONCAT("Seed ", Jan_2025_SotM[[#This Row],[Top Seed]], " vs ",Jan_2025_SotM[[#This Row],[Low Seed]])</f>
        <v>Seed 2 vs 3</v>
      </c>
      <c r="B4" s="201">
        <v>2</v>
      </c>
      <c r="C4" s="200">
        <f>FLOOR(LOG(Jan_2025_SotM[[#This Row],[Num]], 2), 1)</f>
        <v>1</v>
      </c>
      <c r="D4" s="200">
        <f>2^(Jan_2025_SotM[[#This Row],[Round]]+1)</f>
        <v>4</v>
      </c>
      <c r="E4" s="200">
        <f>Jan_2025_SotM[[#This Row],[Max Seed]]-Jan_2025_SotM[[#This Row],[Num]]</f>
        <v>2</v>
      </c>
      <c r="F4" s="200">
        <f>Jan_2025_SotM[[#This Row],[Max Seed]]-Jan_2025_SotM[[#This Row],[Top Seed]]+1</f>
        <v>3</v>
      </c>
      <c r="G4" s="200" t="b">
        <f>IF(Jan_2025_SotM[[#This Row],[Round]]=$C$1, TRUE(), IF(Jan_2025_SotM[[#This Row],[Round]]=$B$1, Jan_2025_SotM[[#This Row],[Top Seed]]&lt;=2*Jan_2025_SotM[[#This Row],[Max Seed]]-$A$1, FALSE()))</f>
        <v>0</v>
      </c>
      <c r="H4" s="200" t="b">
        <f>IF(Jan_2025_SotM[[#This Row],[Round]]=$C$1, TRUE(), IF(Jan_2025_SotM[[#This Row],[Round]]=$B$1, Jan_2025_SotM[[#This Row],[Low Seed]]&lt;=2*Jan_2025_SotM[[#This Row],[Max Seed]]-$A$1, FALSE()))</f>
        <v>0</v>
      </c>
      <c r="I4" s="28" t="s">
        <v>4191</v>
      </c>
      <c r="J4" s="31"/>
      <c r="K4" s="33" t="s">
        <v>4191</v>
      </c>
      <c r="L4" s="35"/>
      <c r="M4" s="37" t="s">
        <v>4191</v>
      </c>
      <c r="N4" s="203" t="str">
        <f ca="1">IF(Jan_2025_SotM[[#This Row],[Num]]&gt;=$A$1, "-", IF(Jan_2025_SotM[[#This Row],[Initial 1]], VLOOKUP(Jan_2025_SotM[[#This Row],[Top Seed]], $Z$2:$AE$17, 6, FALSE), OFFSET(Jan_2025_SotM[[#This Row],[Winner]], Jan_2025_SotM[[#This Row],[Max Seed]], 0)))</f>
        <v>Tears On A Pretty Face</v>
      </c>
      <c r="O4" s="203">
        <f>COUNTIF(Jan_2025_SotM[[#This Row],[J]:[H]],"x")</f>
        <v>3</v>
      </c>
      <c r="P4" s="201" t="str">
        <f ca="1">IF(Jan_2025_SotM[[#This Row],[Num]]&gt;=$A$1, "-", IF(Jan_2025_SotM[[#This Row],[Score 1]]&gt;=3, Jan_2025_SotM[[#This Row],[Song 1]], IF(Jan_2025_SotM[[#This Row],[Score 2]]&gt;=3, Jan_2025_SotM[[#This Row],[Song 2]], "TBD")))</f>
        <v>Tears On A Pretty Face</v>
      </c>
      <c r="Q4" s="206">
        <f>COUNTIF(Jan_2025_SotM[[#This Row],[H ]:[J ]],"x")</f>
        <v>2</v>
      </c>
      <c r="R4" s="206" t="str">
        <f ca="1">IF(Jan_2025_SotM[[#This Row],[Num]]&gt;=$A$1, "-", IF(Jan_2025_SotM[[#This Row],[Initial 2]], VLOOKUP(Jan_2025_SotM[[#This Row],[Low Seed]], $Z$2:$AE$17, 6, FALSE), OFFSET(Jan_2025_SotM[[#This Row],[Winner]], 2*(Jan_2025_SotM[[#This Row],[Max Seed]]-Jan_2025_SotM[[#This Row],[Low Seed]])+1, 0)))</f>
        <v>Malas Decisiones</v>
      </c>
      <c r="S4" s="37"/>
      <c r="T4" s="35" t="s">
        <v>4191</v>
      </c>
      <c r="U4" s="33"/>
      <c r="V4" s="31" t="s">
        <v>4191</v>
      </c>
      <c r="W4" s="28"/>
      <c r="X4" s="106" t="str">
        <f ca="1">IF(OR(Jan_2025_SotM[[#This Row],[Song 1]]="TBD", Jan_2025_SotM[[#This Row],[Song 2]]="TBD"), "TBD", _xlfn.CONCAT(IF(_xlfn.XOR(ISBLANK(Jan_2025_SotM[[#This Row],[J]]), ISBLANK(Jan_2025_SotM[[#This Row],[J ]])), "", "J "), IF(_xlfn.XOR(ISBLANK(Jan_2025_SotM[[#This Row],[D]]), ISBLANK(Jan_2025_SotM[[#This Row],[D ]])), "", "D "), IF(_xlfn.XOR(ISBLANK(Jan_2025_SotM[[#This Row],[L]]), ISBLANK(Jan_2025_SotM[[#This Row],[L ]])), "", "L "), IF(_xlfn.XOR(ISBLANK(Jan_2025_SotM[[#This Row],[S]]), ISBLANK(Jan_2025_SotM[[#This Row],[S ]])), "", "S "), IF(_xlfn.XOR(ISBLANK(Jan_2025_SotM[[#This Row],[H]]), ISBLANK(Jan_2025_SotM[[#This Row],[H ]])), "", "H ")))</f>
        <v/>
      </c>
      <c r="Z4" s="109">
        <f t="shared" si="2"/>
        <v>9</v>
      </c>
      <c r="AA4" s="59">
        <v>45665</v>
      </c>
      <c r="AB4" t="str">
        <v>danram</v>
      </c>
      <c r="AC4" s="3">
        <v>2.4</v>
      </c>
      <c r="AD4">
        <v>1.019803902718557</v>
      </c>
      <c r="AE4" t="str">
        <v>drive ME crazy!</v>
      </c>
      <c r="AF4" t="str">
        <v>Lil Yachty</v>
      </c>
      <c r="AG4" s="100">
        <f t="shared" si="3"/>
        <v>9</v>
      </c>
      <c r="AI4" s="115">
        <f>Jan_2025_SotM[[#This Row],[Max Seed]]/2 + 1</f>
        <v>3</v>
      </c>
      <c r="AJ4" s="105" t="str">
        <f ca="1">IF(Jan_2025_SotM[[#This Row],[Num]]&gt;=$A$1, "-", IF(Jan_2025_SotM[[#This Row],[Score 1]]&gt;=3, Jan_2025_SotM[[#This Row],[Song 2]], IF(Jan_2025_SotM[[#This Row],[Score 2]]&gt;=3, Jan_2025_SotM[[#This Row],[Song 1]], "TBD")))</f>
        <v>Malas Decisiones</v>
      </c>
      <c r="AK4" s="3">
        <f ca="1">IFERROR(VLOOKUP(Jan_2025_Results[[#This Row],[Song Title]], $AE$2:$AG$17, 3, FALSE)-Jan_2025_Results[[#This Row],[Result]], "TBD")</f>
        <v>6</v>
      </c>
      <c r="AL4" s="3" t="str">
        <f t="shared" ref="AL4:AL17" ca="1" si="4">IF(AK4&lt;0,"↓",IF(AK4=0,"-","↑"))</f>
        <v>↑</v>
      </c>
    </row>
    <row r="5" spans="1:38">
      <c r="A5" s="199" t="str">
        <f>_xlfn.CONCAT("Seed ", Jan_2025_SotM[[#This Row],[Top Seed]], " vs ",Jan_2025_SotM[[#This Row],[Low Seed]])</f>
        <v>Seed 1 vs 4</v>
      </c>
      <c r="B5" s="201">
        <v>3</v>
      </c>
      <c r="C5" s="200">
        <f>FLOOR(LOG(Jan_2025_SotM[[#This Row],[Num]], 2), 1)</f>
        <v>1</v>
      </c>
      <c r="D5" s="200">
        <f>2^(Jan_2025_SotM[[#This Row],[Round]]+1)</f>
        <v>4</v>
      </c>
      <c r="E5" s="200">
        <f>Jan_2025_SotM[[#This Row],[Max Seed]]-Jan_2025_SotM[[#This Row],[Num]]</f>
        <v>1</v>
      </c>
      <c r="F5" s="200">
        <f>Jan_2025_SotM[[#This Row],[Max Seed]]-Jan_2025_SotM[[#This Row],[Top Seed]]+1</f>
        <v>4</v>
      </c>
      <c r="G5" s="200" t="b">
        <f>IF(Jan_2025_SotM[[#This Row],[Round]]=$C$1, TRUE(), IF(Jan_2025_SotM[[#This Row],[Round]]=$B$1, Jan_2025_SotM[[#This Row],[Top Seed]]&lt;=2*Jan_2025_SotM[[#This Row],[Max Seed]]-$A$1, FALSE()))</f>
        <v>0</v>
      </c>
      <c r="H5" s="200" t="b">
        <f>IF(Jan_2025_SotM[[#This Row],[Round]]=$C$1, TRUE(), IF(Jan_2025_SotM[[#This Row],[Round]]=$B$1, Jan_2025_SotM[[#This Row],[Low Seed]]&lt;=2*Jan_2025_SotM[[#This Row],[Max Seed]]-$A$1, FALSE()))</f>
        <v>0</v>
      </c>
      <c r="I5" s="28" t="s">
        <v>4191</v>
      </c>
      <c r="J5" s="31"/>
      <c r="K5" s="33" t="s">
        <v>4191</v>
      </c>
      <c r="L5" s="35" t="s">
        <v>4191</v>
      </c>
      <c r="M5" s="37" t="s">
        <v>4191</v>
      </c>
      <c r="N5" s="203" t="str">
        <f ca="1">IF(Jan_2025_SotM[[#This Row],[Num]]&gt;=$A$1, "-", IF(Jan_2025_SotM[[#This Row],[Initial 1]], VLOOKUP(Jan_2025_SotM[[#This Row],[Top Seed]], $Z$2:$AE$17, 6, FALSE), OFFSET(Jan_2025_SotM[[#This Row],[Winner]], Jan_2025_SotM[[#This Row],[Max Seed]], 0)))</f>
        <v>Float On</v>
      </c>
      <c r="O5" s="203">
        <f>COUNTIF(Jan_2025_SotM[[#This Row],[J]:[H]],"x")</f>
        <v>4</v>
      </c>
      <c r="P5" s="201" t="str">
        <f ca="1">IF(Jan_2025_SotM[[#This Row],[Num]]&gt;=$A$1, "-", IF(Jan_2025_SotM[[#This Row],[Score 1]]&gt;=3, Jan_2025_SotM[[#This Row],[Song 1]], IF(Jan_2025_SotM[[#This Row],[Score 2]]&gt;=3, Jan_2025_SotM[[#This Row],[Song 2]], "TBD")))</f>
        <v>Float On</v>
      </c>
      <c r="Q5" s="206">
        <f>COUNTIF(Jan_2025_SotM[[#This Row],[H ]:[J ]],"x")</f>
        <v>1</v>
      </c>
      <c r="R5" s="206" t="str">
        <f ca="1">IF(Jan_2025_SotM[[#This Row],[Num]]&gt;=$A$1, "-", IF(Jan_2025_SotM[[#This Row],[Initial 2]], VLOOKUP(Jan_2025_SotM[[#This Row],[Low Seed]], $Z$2:$AE$17, 6, FALSE), OFFSET(Jan_2025_SotM[[#This Row],[Winner]], 2*(Jan_2025_SotM[[#This Row],[Max Seed]]-Jan_2025_SotM[[#This Row],[Low Seed]])+1, 0)))</f>
        <v>BAILE INoLVIDABLE</v>
      </c>
      <c r="S5" s="37"/>
      <c r="T5" s="35"/>
      <c r="U5" s="33"/>
      <c r="V5" s="31" t="s">
        <v>4191</v>
      </c>
      <c r="W5" s="28"/>
      <c r="X5" s="106" t="str">
        <f ca="1">IF(OR(Jan_2025_SotM[[#This Row],[Song 1]]="TBD", Jan_2025_SotM[[#This Row],[Song 2]]="TBD"), "TBD", _xlfn.CONCAT(IF(_xlfn.XOR(ISBLANK(Jan_2025_SotM[[#This Row],[J]]), ISBLANK(Jan_2025_SotM[[#This Row],[J ]])), "", "J "), IF(_xlfn.XOR(ISBLANK(Jan_2025_SotM[[#This Row],[D]]), ISBLANK(Jan_2025_SotM[[#This Row],[D ]])), "", "D "), IF(_xlfn.XOR(ISBLANK(Jan_2025_SotM[[#This Row],[L]]), ISBLANK(Jan_2025_SotM[[#This Row],[L ]])), "", "L "), IF(_xlfn.XOR(ISBLANK(Jan_2025_SotM[[#This Row],[S]]), ISBLANK(Jan_2025_SotM[[#This Row],[S ]])), "", "S "), IF(_xlfn.XOR(ISBLANK(Jan_2025_SotM[[#This Row],[H]]), ISBLANK(Jan_2025_SotM[[#This Row],[H ]])), "", "H ")))</f>
        <v/>
      </c>
      <c r="Z5" s="109">
        <f t="shared" si="2"/>
        <v>10</v>
      </c>
      <c r="AA5" s="59">
        <v>45666</v>
      </c>
      <c r="AB5" t="str">
        <v>samuelbattista</v>
      </c>
      <c r="AC5" s="3">
        <v>2.4</v>
      </c>
      <c r="AD5">
        <v>1.019803902718557</v>
      </c>
      <c r="AE5" t="str">
        <v>Soul Makossa</v>
      </c>
      <c r="AF5" t="str">
        <v>Manu Dibango</v>
      </c>
      <c r="AG5" s="100">
        <f t="shared" si="3"/>
        <v>9</v>
      </c>
      <c r="AI5" s="115">
        <f>Jan_2025_SotM[[#This Row],[Max Seed]]/2 + 1</f>
        <v>3</v>
      </c>
      <c r="AJ5" s="105" t="str">
        <f ca="1">IF(Jan_2025_SotM[[#This Row],[Num]]&gt;=$A$1, "-", IF(Jan_2025_SotM[[#This Row],[Score 1]]&gt;=3, Jan_2025_SotM[[#This Row],[Song 2]], IF(Jan_2025_SotM[[#This Row],[Score 2]]&gt;=3, Jan_2025_SotM[[#This Row],[Song 1]], "TBD")))</f>
        <v>BAILE INoLVIDABLE</v>
      </c>
      <c r="AK5" s="3">
        <f ca="1">IFERROR(VLOOKUP(Jan_2025_Results[[#This Row],[Song Title]], $AE$2:$AG$17, 3, FALSE)-Jan_2025_Results[[#This Row],[Result]], "TBD")</f>
        <v>6</v>
      </c>
      <c r="AL5" s="3" t="str">
        <f t="shared" ca="1" si="4"/>
        <v>↑</v>
      </c>
    </row>
    <row r="6" spans="1:38">
      <c r="A6" s="199" t="str">
        <f>_xlfn.CONCAT("Seed ", Jan_2025_SotM[[#This Row],[Top Seed]], " vs ",Jan_2025_SotM[[#This Row],[Low Seed]])</f>
        <v>Seed 4 vs 5</v>
      </c>
      <c r="B6" s="201">
        <v>4</v>
      </c>
      <c r="C6" s="200">
        <f>FLOOR(LOG(Jan_2025_SotM[[#This Row],[Num]], 2), 1)</f>
        <v>2</v>
      </c>
      <c r="D6" s="200">
        <f>2^(Jan_2025_SotM[[#This Row],[Round]]+1)</f>
        <v>8</v>
      </c>
      <c r="E6" s="200">
        <f>Jan_2025_SotM[[#This Row],[Max Seed]]-Jan_2025_SotM[[#This Row],[Num]]</f>
        <v>4</v>
      </c>
      <c r="F6" s="200">
        <f>Jan_2025_SotM[[#This Row],[Max Seed]]-Jan_2025_SotM[[#This Row],[Top Seed]]+1</f>
        <v>5</v>
      </c>
      <c r="G6" s="200" t="b">
        <f>IF(Jan_2025_SotM[[#This Row],[Round]]=$C$1, TRUE(), IF(Jan_2025_SotM[[#This Row],[Round]]=$B$1, Jan_2025_SotM[[#This Row],[Top Seed]]&lt;=2*Jan_2025_SotM[[#This Row],[Max Seed]]-$A$1, FALSE()))</f>
        <v>0</v>
      </c>
      <c r="H6" s="200" t="b">
        <f>IF(Jan_2025_SotM[[#This Row],[Round]]=$C$1, TRUE(), IF(Jan_2025_SotM[[#This Row],[Round]]=$B$1, Jan_2025_SotM[[#This Row],[Low Seed]]&lt;=2*Jan_2025_SotM[[#This Row],[Max Seed]]-$A$1, FALSE()))</f>
        <v>0</v>
      </c>
      <c r="I6" s="28" t="s">
        <v>4191</v>
      </c>
      <c r="J6" s="31" t="s">
        <v>4191</v>
      </c>
      <c r="K6" s="33"/>
      <c r="L6" s="35" t="s">
        <v>4191</v>
      </c>
      <c r="M6" s="37"/>
      <c r="N6" s="203" t="str">
        <f ca="1">IF(Jan_2025_SotM[[#This Row],[Num]]&gt;=$A$1, "-", IF(Jan_2025_SotM[[#This Row],[Initial 1]], VLOOKUP(Jan_2025_SotM[[#This Row],[Top Seed]], $Z$2:$AE$17, 6, FALSE), OFFSET(Jan_2025_SotM[[#This Row],[Winner]], Jan_2025_SotM[[#This Row],[Max Seed]], 0)))</f>
        <v>BAILE INoLVIDABLE</v>
      </c>
      <c r="O6" s="203">
        <f>COUNTIF(Jan_2025_SotM[[#This Row],[J]:[H]],"x")</f>
        <v>3</v>
      </c>
      <c r="P6" s="201" t="str">
        <f ca="1">IF(Jan_2025_SotM[[#This Row],[Num]]&gt;=$A$1, "-", IF(Jan_2025_SotM[[#This Row],[Score 1]]&gt;=3, Jan_2025_SotM[[#This Row],[Song 1]], IF(Jan_2025_SotM[[#This Row],[Score 2]]&gt;=3, Jan_2025_SotM[[#This Row],[Song 2]], "TBD")))</f>
        <v>BAILE INoLVIDABLE</v>
      </c>
      <c r="Q6" s="206">
        <f>COUNTIF(Jan_2025_SotM[[#This Row],[H ]:[J ]],"x")</f>
        <v>2</v>
      </c>
      <c r="R6" s="206" t="str">
        <f ca="1">IF(Jan_2025_SotM[[#This Row],[Num]]&gt;=$A$1, "-", IF(Jan_2025_SotM[[#This Row],[Initial 2]], VLOOKUP(Jan_2025_SotM[[#This Row],[Low Seed]], $Z$2:$AE$17, 6, FALSE), OFFSET(Jan_2025_SotM[[#This Row],[Winner]], 2*(Jan_2025_SotM[[#This Row],[Max Seed]]-Jan_2025_SotM[[#This Row],[Low Seed]])+1, 0)))</f>
        <v>CRAZY</v>
      </c>
      <c r="S6" s="37" t="s">
        <v>4191</v>
      </c>
      <c r="T6" s="35"/>
      <c r="U6" s="33" t="s">
        <v>4191</v>
      </c>
      <c r="V6" s="31"/>
      <c r="W6" s="28"/>
      <c r="X6" s="106" t="str">
        <f ca="1">IF(OR(Jan_2025_SotM[[#This Row],[Song 1]]="TBD", Jan_2025_SotM[[#This Row],[Song 2]]="TBD"), "TBD", _xlfn.CONCAT(IF(_xlfn.XOR(ISBLANK(Jan_2025_SotM[[#This Row],[J]]), ISBLANK(Jan_2025_SotM[[#This Row],[J ]])), "", "J "), IF(_xlfn.XOR(ISBLANK(Jan_2025_SotM[[#This Row],[D]]), ISBLANK(Jan_2025_SotM[[#This Row],[D ]])), "", "D "), IF(_xlfn.XOR(ISBLANK(Jan_2025_SotM[[#This Row],[L]]), ISBLANK(Jan_2025_SotM[[#This Row],[L ]])), "", "L "), IF(_xlfn.XOR(ISBLANK(Jan_2025_SotM[[#This Row],[S]]), ISBLANK(Jan_2025_SotM[[#This Row],[S ]])), "", "S "), IF(_xlfn.XOR(ISBLANK(Jan_2025_SotM[[#This Row],[H]]), ISBLANK(Jan_2025_SotM[[#This Row],[H ]])), "", "H ")))</f>
        <v/>
      </c>
      <c r="Z6" s="109">
        <f t="shared" si="2"/>
        <v>12</v>
      </c>
      <c r="AA6" s="59">
        <v>45670</v>
      </c>
      <c r="AB6" t="str">
        <v>alappatjoe</v>
      </c>
      <c r="AC6" s="3">
        <v>2.4</v>
      </c>
      <c r="AD6">
        <v>1.2</v>
      </c>
      <c r="AE6" t="str">
        <v>クラクラ</v>
      </c>
      <c r="AF6" t="str">
        <v>Ado</v>
      </c>
      <c r="AG6" s="100">
        <f t="shared" si="3"/>
        <v>9</v>
      </c>
      <c r="AI6" s="115">
        <f>Jan_2025_SotM[[#This Row],[Max Seed]]/2 + 1</f>
        <v>5</v>
      </c>
      <c r="AJ6" s="105" t="str">
        <f ca="1">IF(Jan_2025_SotM[[#This Row],[Num]]&gt;=$A$1, "-", IF(Jan_2025_SotM[[#This Row],[Score 1]]&gt;=3, Jan_2025_SotM[[#This Row],[Song 2]], IF(Jan_2025_SotM[[#This Row],[Score 2]]&gt;=3, Jan_2025_SotM[[#This Row],[Song 1]], "TBD")))</f>
        <v>CRAZY</v>
      </c>
      <c r="AK6" s="3">
        <f ca="1">IFERROR(VLOOKUP(Jan_2025_Results[[#This Row],[Song Title]], $AE$2:$AG$17, 3, FALSE)-Jan_2025_Results[[#This Row],[Result]], "TBD")</f>
        <v>0</v>
      </c>
      <c r="AL6" s="3" t="str">
        <f t="shared" ca="1" si="4"/>
        <v>-</v>
      </c>
    </row>
    <row r="7" spans="1:38">
      <c r="A7" s="199" t="str">
        <f>_xlfn.CONCAT("Seed ", Jan_2025_SotM[[#This Row],[Top Seed]], " vs ",Jan_2025_SotM[[#This Row],[Low Seed]])</f>
        <v>Seed 3 vs 6</v>
      </c>
      <c r="B7" s="201">
        <v>5</v>
      </c>
      <c r="C7" s="200">
        <f>FLOOR(LOG(Jan_2025_SotM[[#This Row],[Num]], 2), 1)</f>
        <v>2</v>
      </c>
      <c r="D7" s="200">
        <f>2^(Jan_2025_SotM[[#This Row],[Round]]+1)</f>
        <v>8</v>
      </c>
      <c r="E7" s="200">
        <f>Jan_2025_SotM[[#This Row],[Max Seed]]-Jan_2025_SotM[[#This Row],[Num]]</f>
        <v>3</v>
      </c>
      <c r="F7" s="200">
        <f>Jan_2025_SotM[[#This Row],[Max Seed]]-Jan_2025_SotM[[#This Row],[Top Seed]]+1</f>
        <v>6</v>
      </c>
      <c r="G7" s="200" t="b">
        <f>IF(Jan_2025_SotM[[#This Row],[Round]]=$C$1, TRUE(), IF(Jan_2025_SotM[[#This Row],[Round]]=$B$1, Jan_2025_SotM[[#This Row],[Top Seed]]&lt;=2*Jan_2025_SotM[[#This Row],[Max Seed]]-$A$1, FALSE()))</f>
        <v>0</v>
      </c>
      <c r="H7" s="200" t="b">
        <f>IF(Jan_2025_SotM[[#This Row],[Round]]=$C$1, TRUE(), IF(Jan_2025_SotM[[#This Row],[Round]]=$B$1, Jan_2025_SotM[[#This Row],[Low Seed]]&lt;=2*Jan_2025_SotM[[#This Row],[Max Seed]]-$A$1, FALSE()))</f>
        <v>0</v>
      </c>
      <c r="I7" s="28"/>
      <c r="J7" s="31"/>
      <c r="K7" s="33"/>
      <c r="L7" s="35"/>
      <c r="M7" s="37" t="s">
        <v>4191</v>
      </c>
      <c r="N7" s="203">
        <f ca="1">IF(Jan_2025_SotM[[#This Row],[Num]]&gt;=$A$1, "-", IF(Jan_2025_SotM[[#This Row],[Initial 1]], VLOOKUP(Jan_2025_SotM[[#This Row],[Top Seed]], $Z$2:$AE$17, 6, FALSE), OFFSET(Jan_2025_SotM[[#This Row],[Winner]], Jan_2025_SotM[[#This Row],[Max Seed]], 0)))</f>
        <v>90210</v>
      </c>
      <c r="O7" s="203">
        <f>COUNTIF(Jan_2025_SotM[[#This Row],[J]:[H]],"x")</f>
        <v>1</v>
      </c>
      <c r="P7" s="201" t="str">
        <f ca="1">IF(Jan_2025_SotM[[#This Row],[Num]]&gt;=$A$1, "-", IF(Jan_2025_SotM[[#This Row],[Score 1]]&gt;=3, Jan_2025_SotM[[#This Row],[Song 1]], IF(Jan_2025_SotM[[#This Row],[Score 2]]&gt;=3, Jan_2025_SotM[[#This Row],[Song 2]], "TBD")))</f>
        <v>Malas Decisiones</v>
      </c>
      <c r="Q7" s="206">
        <f>COUNTIF(Jan_2025_SotM[[#This Row],[H ]:[J ]],"x")</f>
        <v>4</v>
      </c>
      <c r="R7" s="206" t="str">
        <f ca="1">IF(Jan_2025_SotM[[#This Row],[Num]]&gt;=$A$1, "-", IF(Jan_2025_SotM[[#This Row],[Initial 2]], VLOOKUP(Jan_2025_SotM[[#This Row],[Low Seed]], $Z$2:$AE$17, 6, FALSE), OFFSET(Jan_2025_SotM[[#This Row],[Winner]], 2*(Jan_2025_SotM[[#This Row],[Max Seed]]-Jan_2025_SotM[[#This Row],[Low Seed]])+1, 0)))</f>
        <v>Malas Decisiones</v>
      </c>
      <c r="S7" s="37"/>
      <c r="T7" s="35" t="s">
        <v>4191</v>
      </c>
      <c r="U7" s="33" t="s">
        <v>4191</v>
      </c>
      <c r="V7" s="31" t="s">
        <v>4191</v>
      </c>
      <c r="W7" s="28" t="s">
        <v>4191</v>
      </c>
      <c r="X7" s="106" t="str">
        <f ca="1">IF(OR(Jan_2025_SotM[[#This Row],[Song 1]]="TBD", Jan_2025_SotM[[#This Row],[Song 2]]="TBD"), "TBD", _xlfn.CONCAT(IF(_xlfn.XOR(ISBLANK(Jan_2025_SotM[[#This Row],[J]]), ISBLANK(Jan_2025_SotM[[#This Row],[J ]])), "", "J "), IF(_xlfn.XOR(ISBLANK(Jan_2025_SotM[[#This Row],[D]]), ISBLANK(Jan_2025_SotM[[#This Row],[D ]])), "", "D "), IF(_xlfn.XOR(ISBLANK(Jan_2025_SotM[[#This Row],[L]]), ISBLANK(Jan_2025_SotM[[#This Row],[L ]])), "", "L "), IF(_xlfn.XOR(ISBLANK(Jan_2025_SotM[[#This Row],[S]]), ISBLANK(Jan_2025_SotM[[#This Row],[S ]])), "", "S "), IF(_xlfn.XOR(ISBLANK(Jan_2025_SotM[[#This Row],[H]]), ISBLANK(Jan_2025_SotM[[#This Row],[H ]])), "", "H ")))</f>
        <v/>
      </c>
      <c r="Z7" s="109">
        <f t="shared" si="2"/>
        <v>11</v>
      </c>
      <c r="AA7" s="59">
        <v>45671</v>
      </c>
      <c r="AB7" t="str">
        <v>danram</v>
      </c>
      <c r="AC7" s="3">
        <v>2.4</v>
      </c>
      <c r="AD7">
        <v>1.019803902718557</v>
      </c>
      <c r="AE7" t="str">
        <v>Malas Decisiones</v>
      </c>
      <c r="AF7" t="str">
        <v>Kenia OS</v>
      </c>
      <c r="AG7" s="100">
        <f t="shared" si="3"/>
        <v>9</v>
      </c>
      <c r="AI7" s="115">
        <f>Jan_2025_SotM[[#This Row],[Max Seed]]/2 + 1</f>
        <v>5</v>
      </c>
      <c r="AJ7" s="105">
        <f ca="1">IF(Jan_2025_SotM[[#This Row],[Num]]&gt;=$A$1, "-", IF(Jan_2025_SotM[[#This Row],[Score 1]]&gt;=3, Jan_2025_SotM[[#This Row],[Song 2]], IF(Jan_2025_SotM[[#This Row],[Score 2]]&gt;=3, Jan_2025_SotM[[#This Row],[Song 1]], "TBD")))</f>
        <v>90210</v>
      </c>
      <c r="AK7" s="3">
        <f ca="1">IFERROR(VLOOKUP(Jan_2025_Results[[#This Row],[Song Title]], $AE$2:$AG$17, 3, FALSE)-Jan_2025_Results[[#This Row],[Result]], "TBD")</f>
        <v>-2</v>
      </c>
      <c r="AL7" s="3" t="str">
        <f t="shared" ca="1" si="4"/>
        <v>↓</v>
      </c>
    </row>
    <row r="8" spans="1:38">
      <c r="A8" s="199" t="str">
        <f>_xlfn.CONCAT("Seed ", Jan_2025_SotM[[#This Row],[Top Seed]], " vs ",Jan_2025_SotM[[#This Row],[Low Seed]])</f>
        <v>Seed 2 vs 7</v>
      </c>
      <c r="B8" s="201">
        <v>6</v>
      </c>
      <c r="C8" s="200">
        <f>FLOOR(LOG(Jan_2025_SotM[[#This Row],[Num]], 2), 1)</f>
        <v>2</v>
      </c>
      <c r="D8" s="200">
        <f>2^(Jan_2025_SotM[[#This Row],[Round]]+1)</f>
        <v>8</v>
      </c>
      <c r="E8" s="200">
        <f>Jan_2025_SotM[[#This Row],[Max Seed]]-Jan_2025_SotM[[#This Row],[Num]]</f>
        <v>2</v>
      </c>
      <c r="F8" s="200">
        <f>Jan_2025_SotM[[#This Row],[Max Seed]]-Jan_2025_SotM[[#This Row],[Top Seed]]+1</f>
        <v>7</v>
      </c>
      <c r="G8" s="200" t="b">
        <f>IF(Jan_2025_SotM[[#This Row],[Round]]=$C$1, TRUE(), IF(Jan_2025_SotM[[#This Row],[Round]]=$B$1, Jan_2025_SotM[[#This Row],[Top Seed]]&lt;=2*Jan_2025_SotM[[#This Row],[Max Seed]]-$A$1, FALSE()))</f>
        <v>0</v>
      </c>
      <c r="H8" s="200" t="b">
        <f>IF(Jan_2025_SotM[[#This Row],[Round]]=$C$1, TRUE(), IF(Jan_2025_SotM[[#This Row],[Round]]=$B$1, Jan_2025_SotM[[#This Row],[Low Seed]]&lt;=2*Jan_2025_SotM[[#This Row],[Max Seed]]-$A$1, FALSE()))</f>
        <v>0</v>
      </c>
      <c r="I8" s="28" t="s">
        <v>4191</v>
      </c>
      <c r="J8" s="31"/>
      <c r="K8" s="33"/>
      <c r="L8" s="35"/>
      <c r="M8" s="37" t="s">
        <v>4191</v>
      </c>
      <c r="N8" s="203" t="str">
        <f ca="1">IF(Jan_2025_SotM[[#This Row],[Num]]&gt;=$A$1, "-", IF(Jan_2025_SotM[[#This Row],[Initial 1]], VLOOKUP(Jan_2025_SotM[[#This Row],[Top Seed]], $Z$2:$AE$17, 6, FALSE), OFFSET(Jan_2025_SotM[[#This Row],[Winner]], Jan_2025_SotM[[#This Row],[Max Seed]], 0)))</f>
        <v>Like That</v>
      </c>
      <c r="O8" s="203">
        <f>COUNTIF(Jan_2025_SotM[[#This Row],[J]:[H]],"x")</f>
        <v>2</v>
      </c>
      <c r="P8" s="201" t="str">
        <f ca="1">IF(Jan_2025_SotM[[#This Row],[Num]]&gt;=$A$1, "-", IF(Jan_2025_SotM[[#This Row],[Score 1]]&gt;=3, Jan_2025_SotM[[#This Row],[Song 1]], IF(Jan_2025_SotM[[#This Row],[Score 2]]&gt;=3, Jan_2025_SotM[[#This Row],[Song 2]], "TBD")))</f>
        <v>Tears On A Pretty Face</v>
      </c>
      <c r="Q8" s="206">
        <f>COUNTIF(Jan_2025_SotM[[#This Row],[H ]:[J ]],"x")</f>
        <v>3</v>
      </c>
      <c r="R8" s="206" t="str">
        <f ca="1">IF(Jan_2025_SotM[[#This Row],[Num]]&gt;=$A$1, "-", IF(Jan_2025_SotM[[#This Row],[Initial 2]], VLOOKUP(Jan_2025_SotM[[#This Row],[Low Seed]], $Z$2:$AE$17, 6, FALSE), OFFSET(Jan_2025_SotM[[#This Row],[Winner]], 2*(Jan_2025_SotM[[#This Row],[Max Seed]]-Jan_2025_SotM[[#This Row],[Low Seed]])+1, 0)))</f>
        <v>Tears On A Pretty Face</v>
      </c>
      <c r="S8" s="37"/>
      <c r="T8" s="35" t="s">
        <v>4191</v>
      </c>
      <c r="U8" s="33" t="s">
        <v>4191</v>
      </c>
      <c r="V8" s="31" t="s">
        <v>4191</v>
      </c>
      <c r="W8" s="28"/>
      <c r="X8" s="106" t="str">
        <f ca="1">IF(OR(Jan_2025_SotM[[#This Row],[Song 1]]="TBD", Jan_2025_SotM[[#This Row],[Song 2]]="TBD"), "TBD", _xlfn.CONCAT(IF(_xlfn.XOR(ISBLANK(Jan_2025_SotM[[#This Row],[J]]), ISBLANK(Jan_2025_SotM[[#This Row],[J ]])), "", "J "), IF(_xlfn.XOR(ISBLANK(Jan_2025_SotM[[#This Row],[D]]), ISBLANK(Jan_2025_SotM[[#This Row],[D ]])), "", "D "), IF(_xlfn.XOR(ISBLANK(Jan_2025_SotM[[#This Row],[L]]), ISBLANK(Jan_2025_SotM[[#This Row],[L ]])), "", "L "), IF(_xlfn.XOR(ISBLANK(Jan_2025_SotM[[#This Row],[S]]), ISBLANK(Jan_2025_SotM[[#This Row],[S ]])), "", "S "), IF(_xlfn.XOR(ISBLANK(Jan_2025_SotM[[#This Row],[H]]), ISBLANK(Jan_2025_SotM[[#This Row],[H ]])), "", "H ")))</f>
        <v/>
      </c>
      <c r="Z8" s="109">
        <f t="shared" si="2"/>
        <v>15</v>
      </c>
      <c r="AA8" s="59">
        <v>45672</v>
      </c>
      <c r="AB8" t="str">
        <v>currydestroyer27</v>
      </c>
      <c r="AC8" s="3">
        <v>2.4</v>
      </c>
      <c r="AD8">
        <v>1.3564659966250536</v>
      </c>
      <c r="AE8" t="str">
        <v>Like That</v>
      </c>
      <c r="AF8" t="str">
        <v>Doja Cat, Gucci Mane</v>
      </c>
      <c r="AG8" s="100">
        <f t="shared" si="3"/>
        <v>9</v>
      </c>
      <c r="AI8" s="115">
        <f>Jan_2025_SotM[[#This Row],[Max Seed]]/2 + 1</f>
        <v>5</v>
      </c>
      <c r="AJ8" s="105" t="str">
        <f ca="1">IF(Jan_2025_SotM[[#This Row],[Num]]&gt;=$A$1, "-", IF(Jan_2025_SotM[[#This Row],[Score 1]]&gt;=3, Jan_2025_SotM[[#This Row],[Song 2]], IF(Jan_2025_SotM[[#This Row],[Score 2]]&gt;=3, Jan_2025_SotM[[#This Row],[Song 1]], "TBD")))</f>
        <v>Like That</v>
      </c>
      <c r="AK8" s="3">
        <f ca="1">IFERROR(VLOOKUP(Jan_2025_Results[[#This Row],[Song Title]], $AE$2:$AG$17, 3, FALSE)-Jan_2025_Results[[#This Row],[Result]], "TBD")</f>
        <v>4</v>
      </c>
      <c r="AL8" s="3" t="str">
        <f t="shared" ca="1" si="4"/>
        <v>↑</v>
      </c>
    </row>
    <row r="9" spans="1:38">
      <c r="A9" s="199" t="str">
        <f>_xlfn.CONCAT("Seed ", Jan_2025_SotM[[#This Row],[Top Seed]], " vs ",Jan_2025_SotM[[#This Row],[Low Seed]])</f>
        <v>Seed 1 vs 8</v>
      </c>
      <c r="B9" s="201">
        <v>7</v>
      </c>
      <c r="C9" s="200">
        <f>FLOOR(LOG(Jan_2025_SotM[[#This Row],[Num]], 2), 1)</f>
        <v>2</v>
      </c>
      <c r="D9" s="200">
        <f>2^(Jan_2025_SotM[[#This Row],[Round]]+1)</f>
        <v>8</v>
      </c>
      <c r="E9" s="200">
        <f>Jan_2025_SotM[[#This Row],[Max Seed]]-Jan_2025_SotM[[#This Row],[Num]]</f>
        <v>1</v>
      </c>
      <c r="F9" s="200">
        <f>Jan_2025_SotM[[#This Row],[Max Seed]]-Jan_2025_SotM[[#This Row],[Top Seed]]+1</f>
        <v>8</v>
      </c>
      <c r="G9" s="200" t="b">
        <f>IF(Jan_2025_SotM[[#This Row],[Round]]=$C$1, TRUE(), IF(Jan_2025_SotM[[#This Row],[Round]]=$B$1, Jan_2025_SotM[[#This Row],[Top Seed]]&lt;=2*Jan_2025_SotM[[#This Row],[Max Seed]]-$A$1, FALSE()))</f>
        <v>0</v>
      </c>
      <c r="H9" s="200" t="b">
        <f>IF(Jan_2025_SotM[[#This Row],[Round]]=$C$1, TRUE(), IF(Jan_2025_SotM[[#This Row],[Round]]=$B$1, Jan_2025_SotM[[#This Row],[Low Seed]]&lt;=2*Jan_2025_SotM[[#This Row],[Max Seed]]-$A$1, FALSE()))</f>
        <v>0</v>
      </c>
      <c r="I9" s="28"/>
      <c r="J9" s="31" t="s">
        <v>4191</v>
      </c>
      <c r="K9" s="33" t="s">
        <v>4191</v>
      </c>
      <c r="L9" s="35"/>
      <c r="M9" s="37" t="s">
        <v>4191</v>
      </c>
      <c r="N9" s="203" t="str">
        <f ca="1">IF(Jan_2025_SotM[[#This Row],[Num]]&gt;=$A$1, "-", IF(Jan_2025_SotM[[#This Row],[Initial 1]], VLOOKUP(Jan_2025_SotM[[#This Row],[Top Seed]], $Z$2:$AE$17, 6, FALSE), OFFSET(Jan_2025_SotM[[#This Row],[Winner]], Jan_2025_SotM[[#This Row],[Max Seed]], 0)))</f>
        <v>Float On</v>
      </c>
      <c r="O9" s="203">
        <f>COUNTIF(Jan_2025_SotM[[#This Row],[J]:[H]],"x")</f>
        <v>3</v>
      </c>
      <c r="P9" s="201" t="str">
        <f ca="1">IF(Jan_2025_SotM[[#This Row],[Num]]&gt;=$A$1, "-", IF(Jan_2025_SotM[[#This Row],[Score 1]]&gt;=3, Jan_2025_SotM[[#This Row],[Song 1]], IF(Jan_2025_SotM[[#This Row],[Score 2]]&gt;=3, Jan_2025_SotM[[#This Row],[Song 2]], "TBD")))</f>
        <v>Float On</v>
      </c>
      <c r="Q9" s="206">
        <f>COUNTIF(Jan_2025_SotM[[#This Row],[H ]:[J ]],"x")</f>
        <v>2</v>
      </c>
      <c r="R9" s="206" t="str">
        <f ca="1">IF(Jan_2025_SotM[[#This Row],[Num]]&gt;=$A$1, "-", IF(Jan_2025_SotM[[#This Row],[Initial 2]], VLOOKUP(Jan_2025_SotM[[#This Row],[Low Seed]], $Z$2:$AE$17, 6, FALSE), OFFSET(Jan_2025_SotM[[#This Row],[Winner]], 2*(Jan_2025_SotM[[#This Row],[Max Seed]]-Jan_2025_SotM[[#This Row],[Low Seed]])+1, 0)))</f>
        <v>Giddy Up</v>
      </c>
      <c r="S9" s="37"/>
      <c r="T9" s="35" t="s">
        <v>4191</v>
      </c>
      <c r="U9" s="33"/>
      <c r="V9" s="31"/>
      <c r="W9" s="28" t="s">
        <v>4191</v>
      </c>
      <c r="X9" s="106" t="str">
        <f ca="1">IF(OR(Jan_2025_SotM[[#This Row],[Song 1]]="TBD", Jan_2025_SotM[[#This Row],[Song 2]]="TBD"), "TBD", _xlfn.CONCAT(IF(_xlfn.XOR(ISBLANK(Jan_2025_SotM[[#This Row],[J]]), ISBLANK(Jan_2025_SotM[[#This Row],[J ]])), "", "J "), IF(_xlfn.XOR(ISBLANK(Jan_2025_SotM[[#This Row],[D]]), ISBLANK(Jan_2025_SotM[[#This Row],[D ]])), "", "D "), IF(_xlfn.XOR(ISBLANK(Jan_2025_SotM[[#This Row],[L]]), ISBLANK(Jan_2025_SotM[[#This Row],[L ]])), "", "L "), IF(_xlfn.XOR(ISBLANK(Jan_2025_SotM[[#This Row],[S]]), ISBLANK(Jan_2025_SotM[[#This Row],[S ]])), "", "S "), IF(_xlfn.XOR(ISBLANK(Jan_2025_SotM[[#This Row],[H]]), ISBLANK(Jan_2025_SotM[[#This Row],[H ]])), "", "H ")))</f>
        <v/>
      </c>
      <c r="Z9" s="109">
        <f t="shared" si="2"/>
        <v>13</v>
      </c>
      <c r="AA9" s="59">
        <v>45673</v>
      </c>
      <c r="AB9" t="str">
        <v>danram</v>
      </c>
      <c r="AC9" s="3">
        <v>2.4</v>
      </c>
      <c r="AD9">
        <v>1.2</v>
      </c>
      <c r="AE9" t="str">
        <v>BAILE INoLVIDABLE</v>
      </c>
      <c r="AF9" t="str">
        <v>Bad Bunny</v>
      </c>
      <c r="AG9" s="100">
        <f t="shared" si="3"/>
        <v>9</v>
      </c>
      <c r="AI9" s="115">
        <f>Jan_2025_SotM[[#This Row],[Max Seed]]/2 + 1</f>
        <v>5</v>
      </c>
      <c r="AJ9" s="105" t="str">
        <f ca="1">IF(Jan_2025_SotM[[#This Row],[Num]]&gt;=$A$1, "-", IF(Jan_2025_SotM[[#This Row],[Score 1]]&gt;=3, Jan_2025_SotM[[#This Row],[Song 2]], IF(Jan_2025_SotM[[#This Row],[Score 2]]&gt;=3, Jan_2025_SotM[[#This Row],[Song 1]], "TBD")))</f>
        <v>Giddy Up</v>
      </c>
      <c r="AK9" s="3">
        <f ca="1">IFERROR(VLOOKUP(Jan_2025_Results[[#This Row],[Song Title]], $AE$2:$AG$17, 3, FALSE)-Jan_2025_Results[[#This Row],[Result]], "TBD")</f>
        <v>0</v>
      </c>
      <c r="AL9" s="3" t="str">
        <f t="shared" ca="1" si="4"/>
        <v>-</v>
      </c>
    </row>
    <row r="10" spans="1:38">
      <c r="A10" s="199" t="str">
        <f>_xlfn.CONCAT("Seed ", Jan_2025_SotM[[#This Row],[Top Seed]], " vs ",Jan_2025_SotM[[#This Row],[Low Seed]])</f>
        <v>Seed 8 vs 9</v>
      </c>
      <c r="B10" s="201">
        <v>8</v>
      </c>
      <c r="C10" s="200">
        <f>FLOOR(LOG(Jan_2025_SotM[[#This Row],[Num]], 2), 1)</f>
        <v>3</v>
      </c>
      <c r="D10" s="200">
        <f>2^(Jan_2025_SotM[[#This Row],[Round]]+1)</f>
        <v>16</v>
      </c>
      <c r="E10" s="200">
        <f>Jan_2025_SotM[[#This Row],[Max Seed]]-Jan_2025_SotM[[#This Row],[Num]]</f>
        <v>8</v>
      </c>
      <c r="F10" s="200">
        <f>Jan_2025_SotM[[#This Row],[Max Seed]]-Jan_2025_SotM[[#This Row],[Top Seed]]+1</f>
        <v>9</v>
      </c>
      <c r="G10" s="200" t="b">
        <f>IF(Jan_2025_SotM[[#This Row],[Round]]=$C$1, TRUE(), IF(Jan_2025_SotM[[#This Row],[Round]]=$B$1, Jan_2025_SotM[[#This Row],[Top Seed]]&lt;=2*Jan_2025_SotM[[#This Row],[Max Seed]]-$A$1, FALSE()))</f>
        <v>1</v>
      </c>
      <c r="H10" s="200" t="b">
        <f>IF(Jan_2025_SotM[[#This Row],[Round]]=$C$1, TRUE(), IF(Jan_2025_SotM[[#This Row],[Round]]=$B$1, Jan_2025_SotM[[#This Row],[Low Seed]]&lt;=2*Jan_2025_SotM[[#This Row],[Max Seed]]-$A$1, FALSE()))</f>
        <v>1</v>
      </c>
      <c r="I10" s="28" t="s">
        <v>4191</v>
      </c>
      <c r="J10" s="31"/>
      <c r="K10" s="33" t="s">
        <v>4191</v>
      </c>
      <c r="L10" s="35" t="s">
        <v>4191</v>
      </c>
      <c r="M10" s="37"/>
      <c r="N10" s="203" t="str">
        <f ca="1">IF(Jan_2025_SotM[[#This Row],[Num]]&gt;=$A$1, "-", IF(Jan_2025_SotM[[#This Row],[Initial 1]], VLOOKUP(Jan_2025_SotM[[#This Row],[Top Seed]], $Z$2:$AE$17, 6, FALSE), OFFSET(Jan_2025_SotM[[#This Row],[Winner]], Jan_2025_SotM[[#This Row],[Max Seed]], 0)))</f>
        <v>Giddy Up</v>
      </c>
      <c r="O10" s="203">
        <f>COUNTIF(Jan_2025_SotM[[#This Row],[J]:[H]],"x")</f>
        <v>3</v>
      </c>
      <c r="P10" s="201" t="str">
        <f ca="1">IF(Jan_2025_SotM[[#This Row],[Num]]&gt;=$A$1, "-", IF(Jan_2025_SotM[[#This Row],[Score 1]]&gt;=3, Jan_2025_SotM[[#This Row],[Song 1]], IF(Jan_2025_SotM[[#This Row],[Score 2]]&gt;=3, Jan_2025_SotM[[#This Row],[Song 2]], "TBD")))</f>
        <v>Giddy Up</v>
      </c>
      <c r="Q10" s="206">
        <f>COUNTIF(Jan_2025_SotM[[#This Row],[H ]:[J ]],"x")</f>
        <v>2</v>
      </c>
      <c r="R10" s="206" t="str">
        <f ca="1">IF(Jan_2025_SotM[[#This Row],[Num]]&gt;=$A$1, "-", IF(Jan_2025_SotM[[#This Row],[Initial 2]], VLOOKUP(Jan_2025_SotM[[#This Row],[Low Seed]], $Z$2:$AE$17, 6, FALSE), OFFSET(Jan_2025_SotM[[#This Row],[Winner]], 2*(Jan_2025_SotM[[#This Row],[Max Seed]]-Jan_2025_SotM[[#This Row],[Low Seed]])+1, 0)))</f>
        <v>drive ME crazy!</v>
      </c>
      <c r="S10" s="37" t="s">
        <v>4191</v>
      </c>
      <c r="T10" s="35"/>
      <c r="U10" s="33"/>
      <c r="V10" s="31" t="s">
        <v>4191</v>
      </c>
      <c r="W10" s="28"/>
      <c r="X10" s="106" t="str">
        <f ca="1">IF(OR(Jan_2025_SotM[[#This Row],[Song 1]]="TBD", Jan_2025_SotM[[#This Row],[Song 2]]="TBD"), "TBD", _xlfn.CONCAT(IF(_xlfn.XOR(ISBLANK(Jan_2025_SotM[[#This Row],[J]]), ISBLANK(Jan_2025_SotM[[#This Row],[J ]])), "", "J "), IF(_xlfn.XOR(ISBLANK(Jan_2025_SotM[[#This Row],[D]]), ISBLANK(Jan_2025_SotM[[#This Row],[D ]])), "", "D "), IF(_xlfn.XOR(ISBLANK(Jan_2025_SotM[[#This Row],[L]]), ISBLANK(Jan_2025_SotM[[#This Row],[L ]])), "", "L "), IF(_xlfn.XOR(ISBLANK(Jan_2025_SotM[[#This Row],[S]]), ISBLANK(Jan_2025_SotM[[#This Row],[S ]])), "", "S "), IF(_xlfn.XOR(ISBLANK(Jan_2025_SotM[[#This Row],[H]]), ISBLANK(Jan_2025_SotM[[#This Row],[H ]])), "", "H ")))</f>
        <v/>
      </c>
      <c r="Z10" s="109">
        <f t="shared" si="2"/>
        <v>16</v>
      </c>
      <c r="AA10" s="59">
        <v>45677</v>
      </c>
      <c r="AB10" t="str">
        <v>samuelbattista</v>
      </c>
      <c r="AC10" s="3">
        <v>2.6</v>
      </c>
      <c r="AD10">
        <v>1.2</v>
      </c>
      <c r="AE10" t="str">
        <v>Corazón Tatuado</v>
      </c>
      <c r="AF10" t="str">
        <v>Estevie</v>
      </c>
      <c r="AG10" s="100">
        <f t="shared" si="3"/>
        <v>9</v>
      </c>
      <c r="AI10" s="115">
        <f>Jan_2025_SotM[[#This Row],[Max Seed]]/2 + 1</f>
        <v>9</v>
      </c>
      <c r="AJ10" s="105" t="str">
        <f ca="1">IF(Jan_2025_SotM[[#This Row],[Num]]&gt;=$A$1, "-", IF(Jan_2025_SotM[[#This Row],[Score 1]]&gt;=3, Jan_2025_SotM[[#This Row],[Song 2]], IF(Jan_2025_SotM[[#This Row],[Score 2]]&gt;=3, Jan_2025_SotM[[#This Row],[Song 1]], "TBD")))</f>
        <v>drive ME crazy!</v>
      </c>
      <c r="AK10" s="3">
        <f ca="1">IFERROR(VLOOKUP(Jan_2025_Results[[#This Row],[Song Title]], $AE$2:$AG$17, 3, FALSE)-Jan_2025_Results[[#This Row],[Result]], "TBD")</f>
        <v>0</v>
      </c>
      <c r="AL10" s="3" t="str">
        <f t="shared" ca="1" si="4"/>
        <v>-</v>
      </c>
    </row>
    <row r="11" spans="1:38">
      <c r="A11" s="199" t="str">
        <f>_xlfn.CONCAT("Seed ", Jan_2025_SotM[[#This Row],[Top Seed]], " vs ",Jan_2025_SotM[[#This Row],[Low Seed]])</f>
        <v>Seed 7 vs 10</v>
      </c>
      <c r="B11" s="201">
        <v>9</v>
      </c>
      <c r="C11" s="200">
        <f>FLOOR(LOG(Jan_2025_SotM[[#This Row],[Num]], 2), 1)</f>
        <v>3</v>
      </c>
      <c r="D11" s="200">
        <f>2^(Jan_2025_SotM[[#This Row],[Round]]+1)</f>
        <v>16</v>
      </c>
      <c r="E11" s="200">
        <f>Jan_2025_SotM[[#This Row],[Max Seed]]-Jan_2025_SotM[[#This Row],[Num]]</f>
        <v>7</v>
      </c>
      <c r="F11" s="200">
        <f>Jan_2025_SotM[[#This Row],[Max Seed]]-Jan_2025_SotM[[#This Row],[Top Seed]]+1</f>
        <v>10</v>
      </c>
      <c r="G11" s="200" t="b">
        <f>IF(Jan_2025_SotM[[#This Row],[Round]]=$C$1, TRUE(), IF(Jan_2025_SotM[[#This Row],[Round]]=$B$1, Jan_2025_SotM[[#This Row],[Top Seed]]&lt;=2*Jan_2025_SotM[[#This Row],[Max Seed]]-$A$1, FALSE()))</f>
        <v>1</v>
      </c>
      <c r="H11" s="200" t="b">
        <f>IF(Jan_2025_SotM[[#This Row],[Round]]=$C$1, TRUE(), IF(Jan_2025_SotM[[#This Row],[Round]]=$B$1, Jan_2025_SotM[[#This Row],[Low Seed]]&lt;=2*Jan_2025_SotM[[#This Row],[Max Seed]]-$A$1, FALSE()))</f>
        <v>1</v>
      </c>
      <c r="I11" s="28" t="s">
        <v>4191</v>
      </c>
      <c r="J11" s="31" t="s">
        <v>4191</v>
      </c>
      <c r="K11" s="33" t="s">
        <v>4191</v>
      </c>
      <c r="L11" s="35" t="s">
        <v>4191</v>
      </c>
      <c r="M11" s="37" t="s">
        <v>4191</v>
      </c>
      <c r="N11" s="203" t="str">
        <f ca="1">IF(Jan_2025_SotM[[#This Row],[Num]]&gt;=$A$1, "-", IF(Jan_2025_SotM[[#This Row],[Initial 1]], VLOOKUP(Jan_2025_SotM[[#This Row],[Top Seed]], $Z$2:$AE$17, 6, FALSE), OFFSET(Jan_2025_SotM[[#This Row],[Winner]], Jan_2025_SotM[[#This Row],[Max Seed]], 0)))</f>
        <v>Tears On A Pretty Face</v>
      </c>
      <c r="O11" s="203">
        <f>COUNTIF(Jan_2025_SotM[[#This Row],[J]:[H]],"x")</f>
        <v>5</v>
      </c>
      <c r="P11" s="201" t="str">
        <f ca="1">IF(Jan_2025_SotM[[#This Row],[Num]]&gt;=$A$1, "-", IF(Jan_2025_SotM[[#This Row],[Score 1]]&gt;=3, Jan_2025_SotM[[#This Row],[Song 1]], IF(Jan_2025_SotM[[#This Row],[Score 2]]&gt;=3, Jan_2025_SotM[[#This Row],[Song 2]], "TBD")))</f>
        <v>Tears On A Pretty Face</v>
      </c>
      <c r="Q11" s="206">
        <f>COUNTIF(Jan_2025_SotM[[#This Row],[H ]:[J ]],"x")</f>
        <v>0</v>
      </c>
      <c r="R11" s="206" t="str">
        <f ca="1">IF(Jan_2025_SotM[[#This Row],[Num]]&gt;=$A$1, "-", IF(Jan_2025_SotM[[#This Row],[Initial 2]], VLOOKUP(Jan_2025_SotM[[#This Row],[Low Seed]], $Z$2:$AE$17, 6, FALSE), OFFSET(Jan_2025_SotM[[#This Row],[Winner]], 2*(Jan_2025_SotM[[#This Row],[Max Seed]]-Jan_2025_SotM[[#This Row],[Low Seed]])+1, 0)))</f>
        <v>Soul Makossa</v>
      </c>
      <c r="S11" s="37"/>
      <c r="T11" s="35"/>
      <c r="U11" s="33"/>
      <c r="V11" s="31"/>
      <c r="W11" s="28"/>
      <c r="X11" s="106" t="str">
        <f ca="1">IF(OR(Jan_2025_SotM[[#This Row],[Song 1]]="TBD", Jan_2025_SotM[[#This Row],[Song 2]]="TBD"), "TBD", _xlfn.CONCAT(IF(_xlfn.XOR(ISBLANK(Jan_2025_SotM[[#This Row],[J]]), ISBLANK(Jan_2025_SotM[[#This Row],[J ]])), "", "J "), IF(_xlfn.XOR(ISBLANK(Jan_2025_SotM[[#This Row],[D]]), ISBLANK(Jan_2025_SotM[[#This Row],[D ]])), "", "D "), IF(_xlfn.XOR(ISBLANK(Jan_2025_SotM[[#This Row],[L]]), ISBLANK(Jan_2025_SotM[[#This Row],[L ]])), "", "L "), IF(_xlfn.XOR(ISBLANK(Jan_2025_SotM[[#This Row],[S]]), ISBLANK(Jan_2025_SotM[[#This Row],[S ]])), "", "S "), IF(_xlfn.XOR(ISBLANK(Jan_2025_SotM[[#This Row],[H]]), ISBLANK(Jan_2025_SotM[[#This Row],[H ]])), "", "H ")))</f>
        <v/>
      </c>
      <c r="Z11" s="109">
        <f t="shared" si="2"/>
        <v>6</v>
      </c>
      <c r="AA11" s="59">
        <v>45678</v>
      </c>
      <c r="AB11" t="str">
        <v>loganworsdell</v>
      </c>
      <c r="AC11" s="3">
        <v>2.2000000000000002</v>
      </c>
      <c r="AD11">
        <v>0.9797958971132712</v>
      </c>
      <c r="AE11" t="str">
        <v>el cielo</v>
      </c>
      <c r="AF11" t="str">
        <v>TINI</v>
      </c>
      <c r="AG11" s="100">
        <f t="shared" si="3"/>
        <v>5</v>
      </c>
      <c r="AI11" s="115">
        <f>Jan_2025_SotM[[#This Row],[Max Seed]]/2 + 1</f>
        <v>9</v>
      </c>
      <c r="AJ11" s="105" t="str">
        <f ca="1">IF(Jan_2025_SotM[[#This Row],[Num]]&gt;=$A$1, "-", IF(Jan_2025_SotM[[#This Row],[Score 1]]&gt;=3, Jan_2025_SotM[[#This Row],[Song 2]], IF(Jan_2025_SotM[[#This Row],[Score 2]]&gt;=3, Jan_2025_SotM[[#This Row],[Song 1]], "TBD")))</f>
        <v>Soul Makossa</v>
      </c>
      <c r="AK11" s="3">
        <f ca="1">IFERROR(VLOOKUP(Jan_2025_Results[[#This Row],[Song Title]], $AE$2:$AG$17, 3, FALSE)-Jan_2025_Results[[#This Row],[Result]], "TBD")</f>
        <v>0</v>
      </c>
      <c r="AL11" s="3" t="str">
        <f t="shared" ca="1" si="4"/>
        <v>-</v>
      </c>
    </row>
    <row r="12" spans="1:38">
      <c r="A12" s="199" t="str">
        <f>_xlfn.CONCAT("Seed ", Jan_2025_SotM[[#This Row],[Top Seed]], " vs ",Jan_2025_SotM[[#This Row],[Low Seed]])</f>
        <v>Seed 6 vs 11</v>
      </c>
      <c r="B12" s="201">
        <v>10</v>
      </c>
      <c r="C12" s="200">
        <f>FLOOR(LOG(Jan_2025_SotM[[#This Row],[Num]], 2), 1)</f>
        <v>3</v>
      </c>
      <c r="D12" s="200">
        <f>2^(Jan_2025_SotM[[#This Row],[Round]]+1)</f>
        <v>16</v>
      </c>
      <c r="E12" s="200">
        <f>Jan_2025_SotM[[#This Row],[Max Seed]]-Jan_2025_SotM[[#This Row],[Num]]</f>
        <v>6</v>
      </c>
      <c r="F12" s="200">
        <f>Jan_2025_SotM[[#This Row],[Max Seed]]-Jan_2025_SotM[[#This Row],[Top Seed]]+1</f>
        <v>11</v>
      </c>
      <c r="G12" s="200" t="b">
        <f>IF(Jan_2025_SotM[[#This Row],[Round]]=$C$1, TRUE(), IF(Jan_2025_SotM[[#This Row],[Round]]=$B$1, Jan_2025_SotM[[#This Row],[Top Seed]]&lt;=2*Jan_2025_SotM[[#This Row],[Max Seed]]-$A$1, FALSE()))</f>
        <v>1</v>
      </c>
      <c r="H12" s="200" t="b">
        <f>IF(Jan_2025_SotM[[#This Row],[Round]]=$C$1, TRUE(), IF(Jan_2025_SotM[[#This Row],[Round]]=$B$1, Jan_2025_SotM[[#This Row],[Low Seed]]&lt;=2*Jan_2025_SotM[[#This Row],[Max Seed]]-$A$1, FALSE()))</f>
        <v>1</v>
      </c>
      <c r="I12" s="28" t="s">
        <v>4191</v>
      </c>
      <c r="J12" s="31"/>
      <c r="K12" s="33"/>
      <c r="L12" s="35" t="s">
        <v>4191</v>
      </c>
      <c r="M12" s="37"/>
      <c r="N12" s="203" t="str">
        <f ca="1">IF(Jan_2025_SotM[[#This Row],[Num]]&gt;=$A$1, "-", IF(Jan_2025_SotM[[#This Row],[Initial 1]], VLOOKUP(Jan_2025_SotM[[#This Row],[Top Seed]], $Z$2:$AE$17, 6, FALSE), OFFSET(Jan_2025_SotM[[#This Row],[Winner]], Jan_2025_SotM[[#This Row],[Max Seed]], 0)))</f>
        <v>el cielo</v>
      </c>
      <c r="O12" s="203">
        <f>COUNTIF(Jan_2025_SotM[[#This Row],[J]:[H]],"x")</f>
        <v>2</v>
      </c>
      <c r="P12" s="201" t="str">
        <f ca="1">IF(Jan_2025_SotM[[#This Row],[Num]]&gt;=$A$1, "-", IF(Jan_2025_SotM[[#This Row],[Score 1]]&gt;=3, Jan_2025_SotM[[#This Row],[Song 1]], IF(Jan_2025_SotM[[#This Row],[Score 2]]&gt;=3, Jan_2025_SotM[[#This Row],[Song 2]], "TBD")))</f>
        <v>Malas Decisiones</v>
      </c>
      <c r="Q12" s="206">
        <f>COUNTIF(Jan_2025_SotM[[#This Row],[H ]:[J ]],"x")</f>
        <v>3</v>
      </c>
      <c r="R12" s="206" t="str">
        <f ca="1">IF(Jan_2025_SotM[[#This Row],[Num]]&gt;=$A$1, "-", IF(Jan_2025_SotM[[#This Row],[Initial 2]], VLOOKUP(Jan_2025_SotM[[#This Row],[Low Seed]], $Z$2:$AE$17, 6, FALSE), OFFSET(Jan_2025_SotM[[#This Row],[Winner]], 2*(Jan_2025_SotM[[#This Row],[Max Seed]]-Jan_2025_SotM[[#This Row],[Low Seed]])+1, 0)))</f>
        <v>Malas Decisiones</v>
      </c>
      <c r="S12" s="37" t="s">
        <v>4191</v>
      </c>
      <c r="T12" s="35"/>
      <c r="U12" s="33" t="s">
        <v>4191</v>
      </c>
      <c r="V12" s="31" t="s">
        <v>4191</v>
      </c>
      <c r="W12" s="28"/>
      <c r="X12" s="106" t="str">
        <f ca="1">IF(OR(Jan_2025_SotM[[#This Row],[Song 1]]="TBD", Jan_2025_SotM[[#This Row],[Song 2]]="TBD"), "TBD", _xlfn.CONCAT(IF(_xlfn.XOR(ISBLANK(Jan_2025_SotM[[#This Row],[J]]), ISBLANK(Jan_2025_SotM[[#This Row],[J ]])), "", "J "), IF(_xlfn.XOR(ISBLANK(Jan_2025_SotM[[#This Row],[D]]), ISBLANK(Jan_2025_SotM[[#This Row],[D ]])), "", "D "), IF(_xlfn.XOR(ISBLANK(Jan_2025_SotM[[#This Row],[L]]), ISBLANK(Jan_2025_SotM[[#This Row],[L ]])), "", "L "), IF(_xlfn.XOR(ISBLANK(Jan_2025_SotM[[#This Row],[S]]), ISBLANK(Jan_2025_SotM[[#This Row],[S ]])), "", "S "), IF(_xlfn.XOR(ISBLANK(Jan_2025_SotM[[#This Row],[H]]), ISBLANK(Jan_2025_SotM[[#This Row],[H ]])), "", "H ")))</f>
        <v/>
      </c>
      <c r="Z12" s="109">
        <f t="shared" si="2"/>
        <v>7</v>
      </c>
      <c r="AA12" s="59">
        <v>45679</v>
      </c>
      <c r="AB12" t="str">
        <v>loganworsdell</v>
      </c>
      <c r="AC12" s="3">
        <v>2.2000000000000002</v>
      </c>
      <c r="AD12">
        <v>0.9797958971132712</v>
      </c>
      <c r="AE12" t="str">
        <v>Tears On A Pretty Face</v>
      </c>
      <c r="AF12" t="str">
        <v>Kyle Dion</v>
      </c>
      <c r="AG12" s="100">
        <f t="shared" si="3"/>
        <v>5</v>
      </c>
      <c r="AI12" s="115">
        <f>Jan_2025_SotM[[#This Row],[Max Seed]]/2 + 1</f>
        <v>9</v>
      </c>
      <c r="AJ12" s="105" t="str">
        <f ca="1">IF(Jan_2025_SotM[[#This Row],[Num]]&gt;=$A$1, "-", IF(Jan_2025_SotM[[#This Row],[Score 1]]&gt;=3, Jan_2025_SotM[[#This Row],[Song 2]], IF(Jan_2025_SotM[[#This Row],[Score 2]]&gt;=3, Jan_2025_SotM[[#This Row],[Song 1]], "TBD")))</f>
        <v>el cielo</v>
      </c>
      <c r="AK12" s="3">
        <f ca="1">IFERROR(VLOOKUP(Jan_2025_Results[[#This Row],[Song Title]], $AE$2:$AG$17, 3, FALSE)-Jan_2025_Results[[#This Row],[Result]], "TBD")</f>
        <v>-4</v>
      </c>
      <c r="AL12" s="3" t="str">
        <f t="shared" ca="1" si="4"/>
        <v>↓</v>
      </c>
    </row>
    <row r="13" spans="1:38">
      <c r="A13" s="199" t="str">
        <f>_xlfn.CONCAT("Seed ", Jan_2025_SotM[[#This Row],[Top Seed]], " vs ",Jan_2025_SotM[[#This Row],[Low Seed]])</f>
        <v>Seed 5 vs 12</v>
      </c>
      <c r="B13" s="201">
        <v>11</v>
      </c>
      <c r="C13" s="200">
        <f>FLOOR(LOG(Jan_2025_SotM[[#This Row],[Num]], 2), 1)</f>
        <v>3</v>
      </c>
      <c r="D13" s="200">
        <f>2^(Jan_2025_SotM[[#This Row],[Round]]+1)</f>
        <v>16</v>
      </c>
      <c r="E13" s="200">
        <f>Jan_2025_SotM[[#This Row],[Max Seed]]-Jan_2025_SotM[[#This Row],[Num]]</f>
        <v>5</v>
      </c>
      <c r="F13" s="200">
        <f>Jan_2025_SotM[[#This Row],[Max Seed]]-Jan_2025_SotM[[#This Row],[Top Seed]]+1</f>
        <v>12</v>
      </c>
      <c r="G13" s="200" t="b">
        <f>IF(Jan_2025_SotM[[#This Row],[Round]]=$C$1, TRUE(), IF(Jan_2025_SotM[[#This Row],[Round]]=$B$1, Jan_2025_SotM[[#This Row],[Top Seed]]&lt;=2*Jan_2025_SotM[[#This Row],[Max Seed]]-$A$1, FALSE()))</f>
        <v>1</v>
      </c>
      <c r="H13" s="200" t="b">
        <f>IF(Jan_2025_SotM[[#This Row],[Round]]=$C$1, TRUE(), IF(Jan_2025_SotM[[#This Row],[Round]]=$B$1, Jan_2025_SotM[[#This Row],[Low Seed]]&lt;=2*Jan_2025_SotM[[#This Row],[Max Seed]]-$A$1, FALSE()))</f>
        <v>1</v>
      </c>
      <c r="I13" s="28"/>
      <c r="J13" s="31" t="s">
        <v>4191</v>
      </c>
      <c r="K13" s="33" t="s">
        <v>4191</v>
      </c>
      <c r="L13" s="35" t="s">
        <v>4191</v>
      </c>
      <c r="M13" s="37" t="s">
        <v>4191</v>
      </c>
      <c r="N13" s="203" t="str">
        <f ca="1">IF(Jan_2025_SotM[[#This Row],[Num]]&gt;=$A$1, "-", IF(Jan_2025_SotM[[#This Row],[Initial 1]], VLOOKUP(Jan_2025_SotM[[#This Row],[Top Seed]], $Z$2:$AE$17, 6, FALSE), OFFSET(Jan_2025_SotM[[#This Row],[Winner]], Jan_2025_SotM[[#This Row],[Max Seed]], 0)))</f>
        <v>CRAZY</v>
      </c>
      <c r="O13" s="203">
        <f>COUNTIF(Jan_2025_SotM[[#This Row],[J]:[H]],"x")</f>
        <v>4</v>
      </c>
      <c r="P13" s="201" t="str">
        <f ca="1">IF(Jan_2025_SotM[[#This Row],[Num]]&gt;=$A$1, "-", IF(Jan_2025_SotM[[#This Row],[Score 1]]&gt;=3, Jan_2025_SotM[[#This Row],[Song 1]], IF(Jan_2025_SotM[[#This Row],[Score 2]]&gt;=3, Jan_2025_SotM[[#This Row],[Song 2]], "TBD")))</f>
        <v>CRAZY</v>
      </c>
      <c r="Q13" s="206">
        <f>COUNTIF(Jan_2025_SotM[[#This Row],[H ]:[J ]],"x")</f>
        <v>1</v>
      </c>
      <c r="R13" s="206" t="str">
        <f ca="1">IF(Jan_2025_SotM[[#This Row],[Num]]&gt;=$A$1, "-", IF(Jan_2025_SotM[[#This Row],[Initial 2]], VLOOKUP(Jan_2025_SotM[[#This Row],[Low Seed]], $Z$2:$AE$17, 6, FALSE), OFFSET(Jan_2025_SotM[[#This Row],[Winner]], 2*(Jan_2025_SotM[[#This Row],[Max Seed]]-Jan_2025_SotM[[#This Row],[Low Seed]])+1, 0)))</f>
        <v>クラクラ</v>
      </c>
      <c r="S13" s="37"/>
      <c r="T13" s="35"/>
      <c r="U13" s="33"/>
      <c r="V13" s="31"/>
      <c r="W13" s="28" t="s">
        <v>4191</v>
      </c>
      <c r="X13" s="106" t="str">
        <f ca="1">IF(OR(Jan_2025_SotM[[#This Row],[Song 1]]="TBD", Jan_2025_SotM[[#This Row],[Song 2]]="TBD"), "TBD", _xlfn.CONCAT(IF(_xlfn.XOR(ISBLANK(Jan_2025_SotM[[#This Row],[J]]), ISBLANK(Jan_2025_SotM[[#This Row],[J ]])), "", "J "), IF(_xlfn.XOR(ISBLANK(Jan_2025_SotM[[#This Row],[D]]), ISBLANK(Jan_2025_SotM[[#This Row],[D ]])), "", "D "), IF(_xlfn.XOR(ISBLANK(Jan_2025_SotM[[#This Row],[L]]), ISBLANK(Jan_2025_SotM[[#This Row],[L ]])), "", "L "), IF(_xlfn.XOR(ISBLANK(Jan_2025_SotM[[#This Row],[S]]), ISBLANK(Jan_2025_SotM[[#This Row],[S ]])), "", "S "), IF(_xlfn.XOR(ISBLANK(Jan_2025_SotM[[#This Row],[H]]), ISBLANK(Jan_2025_SotM[[#This Row],[H ]])), "", "H ")))</f>
        <v/>
      </c>
      <c r="Z13" s="109">
        <f t="shared" si="2"/>
        <v>2</v>
      </c>
      <c r="AA13" s="59">
        <v>45680</v>
      </c>
      <c r="AB13" t="str">
        <v>alappatjoe</v>
      </c>
      <c r="AC13" s="3">
        <v>1.8</v>
      </c>
      <c r="AD13">
        <v>0.74833147735478833</v>
      </c>
      <c r="AE13" t="str">
        <v>All Night Long</v>
      </c>
      <c r="AF13" t="str">
        <v>Lionel Richie</v>
      </c>
      <c r="AG13" s="100">
        <f t="shared" si="3"/>
        <v>2</v>
      </c>
      <c r="AI13" s="115">
        <f>Jan_2025_SotM[[#This Row],[Max Seed]]/2 + 1</f>
        <v>9</v>
      </c>
      <c r="AJ13" s="105" t="str">
        <f ca="1">IF(Jan_2025_SotM[[#This Row],[Num]]&gt;=$A$1, "-", IF(Jan_2025_SotM[[#This Row],[Score 1]]&gt;=3, Jan_2025_SotM[[#This Row],[Song 2]], IF(Jan_2025_SotM[[#This Row],[Score 2]]&gt;=3, Jan_2025_SotM[[#This Row],[Song 1]], "TBD")))</f>
        <v>クラクラ</v>
      </c>
      <c r="AK13" s="3">
        <f ca="1">IFERROR(VLOOKUP(Jan_2025_Results[[#This Row],[Song Title]], $AE$2:$AG$17, 3, FALSE)-Jan_2025_Results[[#This Row],[Result]], "TBD")</f>
        <v>0</v>
      </c>
      <c r="AL13" s="3" t="str">
        <f t="shared" ca="1" si="4"/>
        <v>-</v>
      </c>
    </row>
    <row r="14" spans="1:38">
      <c r="A14" s="199" t="str">
        <f>_xlfn.CONCAT("Seed ", Jan_2025_SotM[[#This Row],[Top Seed]], " vs ",Jan_2025_SotM[[#This Row],[Low Seed]])</f>
        <v>Seed 4 vs 13</v>
      </c>
      <c r="B14" s="201">
        <v>12</v>
      </c>
      <c r="C14" s="200">
        <f>FLOOR(LOG(Jan_2025_SotM[[#This Row],[Num]], 2), 1)</f>
        <v>3</v>
      </c>
      <c r="D14" s="200">
        <f>2^(Jan_2025_SotM[[#This Row],[Round]]+1)</f>
        <v>16</v>
      </c>
      <c r="E14" s="200">
        <f>Jan_2025_SotM[[#This Row],[Max Seed]]-Jan_2025_SotM[[#This Row],[Num]]</f>
        <v>4</v>
      </c>
      <c r="F14" s="200">
        <f>Jan_2025_SotM[[#This Row],[Max Seed]]-Jan_2025_SotM[[#This Row],[Top Seed]]+1</f>
        <v>13</v>
      </c>
      <c r="G14" s="200" t="b">
        <f>IF(Jan_2025_SotM[[#This Row],[Round]]=$C$1, TRUE(), IF(Jan_2025_SotM[[#This Row],[Round]]=$B$1, Jan_2025_SotM[[#This Row],[Top Seed]]&lt;=2*Jan_2025_SotM[[#This Row],[Max Seed]]-$A$1, FALSE()))</f>
        <v>1</v>
      </c>
      <c r="H14" s="200" t="b">
        <f>IF(Jan_2025_SotM[[#This Row],[Round]]=$C$1, TRUE(), IF(Jan_2025_SotM[[#This Row],[Round]]=$B$1, Jan_2025_SotM[[#This Row],[Low Seed]]&lt;=2*Jan_2025_SotM[[#This Row],[Max Seed]]-$A$1, FALSE()))</f>
        <v>1</v>
      </c>
      <c r="I14" s="28"/>
      <c r="J14" s="31"/>
      <c r="K14" s="33" t="s">
        <v>4191</v>
      </c>
      <c r="L14" s="35"/>
      <c r="M14" s="37" t="s">
        <v>4191</v>
      </c>
      <c r="N14" s="203" t="str">
        <f ca="1">IF(Jan_2025_SotM[[#This Row],[Num]]&gt;=$A$1, "-", IF(Jan_2025_SotM[[#This Row],[Initial 1]], VLOOKUP(Jan_2025_SotM[[#This Row],[Top Seed]], $Z$2:$AE$17, 6, FALSE), OFFSET(Jan_2025_SotM[[#This Row],[Winner]], Jan_2025_SotM[[#This Row],[Max Seed]], 0)))</f>
        <v>Nights</v>
      </c>
      <c r="O14" s="203">
        <f>COUNTIF(Jan_2025_SotM[[#This Row],[J]:[H]],"x")</f>
        <v>2</v>
      </c>
      <c r="P14" s="201" t="str">
        <f ca="1">IF(Jan_2025_SotM[[#This Row],[Num]]&gt;=$A$1, "-", IF(Jan_2025_SotM[[#This Row],[Score 1]]&gt;=3, Jan_2025_SotM[[#This Row],[Song 1]], IF(Jan_2025_SotM[[#This Row],[Score 2]]&gt;=3, Jan_2025_SotM[[#This Row],[Song 2]], "TBD")))</f>
        <v>BAILE INoLVIDABLE</v>
      </c>
      <c r="Q14" s="206">
        <f>COUNTIF(Jan_2025_SotM[[#This Row],[H ]:[J ]],"x")</f>
        <v>3</v>
      </c>
      <c r="R14" s="206" t="str">
        <f ca="1">IF(Jan_2025_SotM[[#This Row],[Num]]&gt;=$A$1, "-", IF(Jan_2025_SotM[[#This Row],[Initial 2]], VLOOKUP(Jan_2025_SotM[[#This Row],[Low Seed]], $Z$2:$AE$17, 6, FALSE), OFFSET(Jan_2025_SotM[[#This Row],[Winner]], 2*(Jan_2025_SotM[[#This Row],[Max Seed]]-Jan_2025_SotM[[#This Row],[Low Seed]])+1, 0)))</f>
        <v>BAILE INoLVIDABLE</v>
      </c>
      <c r="S14" s="37"/>
      <c r="T14" s="35" t="s">
        <v>4191</v>
      </c>
      <c r="U14" s="33"/>
      <c r="V14" s="31" t="s">
        <v>4191</v>
      </c>
      <c r="W14" s="28" t="s">
        <v>4191</v>
      </c>
      <c r="X14" s="106" t="str">
        <f ca="1">IF(OR(Jan_2025_SotM[[#This Row],[Song 1]]="TBD", Jan_2025_SotM[[#This Row],[Song 2]]="TBD"), "TBD", _xlfn.CONCAT(IF(_xlfn.XOR(ISBLANK(Jan_2025_SotM[[#This Row],[J]]), ISBLANK(Jan_2025_SotM[[#This Row],[J ]])), "", "J "), IF(_xlfn.XOR(ISBLANK(Jan_2025_SotM[[#This Row],[D]]), ISBLANK(Jan_2025_SotM[[#This Row],[D ]])), "", "D "), IF(_xlfn.XOR(ISBLANK(Jan_2025_SotM[[#This Row],[L]]), ISBLANK(Jan_2025_SotM[[#This Row],[L ]])), "", "L "), IF(_xlfn.XOR(ISBLANK(Jan_2025_SotM[[#This Row],[S]]), ISBLANK(Jan_2025_SotM[[#This Row],[S ]])), "", "S "), IF(_xlfn.XOR(ISBLANK(Jan_2025_SotM[[#This Row],[H]]), ISBLANK(Jan_2025_SotM[[#This Row],[H ]])), "", "H ")))</f>
        <v/>
      </c>
      <c r="Z14" s="109">
        <f t="shared" si="2"/>
        <v>4</v>
      </c>
      <c r="AA14" s="59">
        <v>45684</v>
      </c>
      <c r="AB14" t="str">
        <v>currydestroyer27</v>
      </c>
      <c r="AC14" s="3">
        <v>2</v>
      </c>
      <c r="AD14">
        <v>1.2649110640673518</v>
      </c>
      <c r="AE14" t="str">
        <v>Nights</v>
      </c>
      <c r="AF14" t="str">
        <v>Frank Ocean</v>
      </c>
      <c r="AG14" s="100">
        <f t="shared" si="3"/>
        <v>3</v>
      </c>
      <c r="AI14" s="115">
        <f>Jan_2025_SotM[[#This Row],[Max Seed]]/2 + 1</f>
        <v>9</v>
      </c>
      <c r="AJ14" s="105" t="str">
        <f ca="1">IF(Jan_2025_SotM[[#This Row],[Num]]&gt;=$A$1, "-", IF(Jan_2025_SotM[[#This Row],[Score 1]]&gt;=3, Jan_2025_SotM[[#This Row],[Song 2]], IF(Jan_2025_SotM[[#This Row],[Score 2]]&gt;=3, Jan_2025_SotM[[#This Row],[Song 1]], "TBD")))</f>
        <v>Nights</v>
      </c>
      <c r="AK14" s="3">
        <f ca="1">IFERROR(VLOOKUP(Jan_2025_Results[[#This Row],[Song Title]], $AE$2:$AG$17, 3, FALSE)-Jan_2025_Results[[#This Row],[Result]], "TBD")</f>
        <v>-6</v>
      </c>
      <c r="AL14" s="3" t="str">
        <f t="shared" ca="1" si="4"/>
        <v>↓</v>
      </c>
    </row>
    <row r="15" spans="1:38">
      <c r="A15" s="199" t="str">
        <f>_xlfn.CONCAT("Seed ", Jan_2025_SotM[[#This Row],[Top Seed]], " vs ",Jan_2025_SotM[[#This Row],[Low Seed]])</f>
        <v>Seed 3 vs 14</v>
      </c>
      <c r="B15" s="201">
        <v>13</v>
      </c>
      <c r="C15" s="200">
        <f>FLOOR(LOG(Jan_2025_SotM[[#This Row],[Num]], 2), 1)</f>
        <v>3</v>
      </c>
      <c r="D15" s="200">
        <f>2^(Jan_2025_SotM[[#This Row],[Round]]+1)</f>
        <v>16</v>
      </c>
      <c r="E15" s="200">
        <f>Jan_2025_SotM[[#This Row],[Max Seed]]-Jan_2025_SotM[[#This Row],[Num]]</f>
        <v>3</v>
      </c>
      <c r="F15" s="200">
        <f>Jan_2025_SotM[[#This Row],[Max Seed]]-Jan_2025_SotM[[#This Row],[Top Seed]]+1</f>
        <v>14</v>
      </c>
      <c r="G15" s="200" t="b">
        <f>IF(Jan_2025_SotM[[#This Row],[Round]]=$C$1, TRUE(), IF(Jan_2025_SotM[[#This Row],[Round]]=$B$1, Jan_2025_SotM[[#This Row],[Top Seed]]&lt;=2*Jan_2025_SotM[[#This Row],[Max Seed]]-$A$1, FALSE()))</f>
        <v>1</v>
      </c>
      <c r="H15" s="200" t="b">
        <f>IF(Jan_2025_SotM[[#This Row],[Round]]=$C$1, TRUE(), IF(Jan_2025_SotM[[#This Row],[Round]]=$B$1, Jan_2025_SotM[[#This Row],[Low Seed]]&lt;=2*Jan_2025_SotM[[#This Row],[Max Seed]]-$A$1, FALSE()))</f>
        <v>1</v>
      </c>
      <c r="I15" s="28" t="s">
        <v>4191</v>
      </c>
      <c r="J15" s="31"/>
      <c r="K15" s="33" t="s">
        <v>4191</v>
      </c>
      <c r="L15" s="35"/>
      <c r="M15" s="37" t="s">
        <v>4191</v>
      </c>
      <c r="N15" s="203">
        <f ca="1">IF(Jan_2025_SotM[[#This Row],[Num]]&gt;=$A$1, "-", IF(Jan_2025_SotM[[#This Row],[Initial 1]], VLOOKUP(Jan_2025_SotM[[#This Row],[Top Seed]], $Z$2:$AE$17, 6, FALSE), OFFSET(Jan_2025_SotM[[#This Row],[Winner]], Jan_2025_SotM[[#This Row],[Max Seed]], 0)))</f>
        <v>90210</v>
      </c>
      <c r="O15" s="203">
        <f>COUNTIF(Jan_2025_SotM[[#This Row],[J]:[H]],"x")</f>
        <v>3</v>
      </c>
      <c r="P15" s="201">
        <f ca="1">IF(Jan_2025_SotM[[#This Row],[Num]]&gt;=$A$1, "-", IF(Jan_2025_SotM[[#This Row],[Score 1]]&gt;=3, Jan_2025_SotM[[#This Row],[Song 1]], IF(Jan_2025_SotM[[#This Row],[Score 2]]&gt;=3, Jan_2025_SotM[[#This Row],[Song 2]], "TBD")))</f>
        <v>90210</v>
      </c>
      <c r="Q15" s="206">
        <f>COUNTIF(Jan_2025_SotM[[#This Row],[H ]:[J ]],"x")</f>
        <v>2</v>
      </c>
      <c r="R15" s="206" t="str">
        <f ca="1">IF(Jan_2025_SotM[[#This Row],[Num]]&gt;=$A$1, "-", IF(Jan_2025_SotM[[#This Row],[Initial 2]], VLOOKUP(Jan_2025_SotM[[#This Row],[Low Seed]], $Z$2:$AE$17, 6, FALSE), OFFSET(Jan_2025_SotM[[#This Row],[Winner]], 2*(Jan_2025_SotM[[#This Row],[Max Seed]]-Jan_2025_SotM[[#This Row],[Low Seed]])+1, 0)))</f>
        <v>Favourite</v>
      </c>
      <c r="S15" s="37"/>
      <c r="T15" s="35" t="s">
        <v>4191</v>
      </c>
      <c r="U15" s="33"/>
      <c r="V15" s="31" t="s">
        <v>4191</v>
      </c>
      <c r="W15" s="28"/>
      <c r="X15" s="106" t="str">
        <f ca="1">IF(OR(Jan_2025_SotM[[#This Row],[Song 1]]="TBD", Jan_2025_SotM[[#This Row],[Song 2]]="TBD"), "TBD", _xlfn.CONCAT(IF(_xlfn.XOR(ISBLANK(Jan_2025_SotM[[#This Row],[J]]), ISBLANK(Jan_2025_SotM[[#This Row],[J ]])), "", "J "), IF(_xlfn.XOR(ISBLANK(Jan_2025_SotM[[#This Row],[D]]), ISBLANK(Jan_2025_SotM[[#This Row],[D ]])), "", "D "), IF(_xlfn.XOR(ISBLANK(Jan_2025_SotM[[#This Row],[L]]), ISBLANK(Jan_2025_SotM[[#This Row],[L ]])), "", "L "), IF(_xlfn.XOR(ISBLANK(Jan_2025_SotM[[#This Row],[S]]), ISBLANK(Jan_2025_SotM[[#This Row],[S ]])), "", "S "), IF(_xlfn.XOR(ISBLANK(Jan_2025_SotM[[#This Row],[H]]), ISBLANK(Jan_2025_SotM[[#This Row],[H ]])), "", "H ")))</f>
        <v/>
      </c>
      <c r="Z15" s="109">
        <f t="shared" si="2"/>
        <v>1</v>
      </c>
      <c r="AA15" s="59">
        <v>45685</v>
      </c>
      <c r="AB15" t="str">
        <v>danram</v>
      </c>
      <c r="AC15" s="3">
        <v>1.6</v>
      </c>
      <c r="AD15">
        <v>0.8</v>
      </c>
      <c r="AE15" t="str">
        <v>Float On</v>
      </c>
      <c r="AF15" t="str">
        <v>Modest Mouse</v>
      </c>
      <c r="AG15" s="100">
        <f t="shared" si="3"/>
        <v>1</v>
      </c>
      <c r="AI15" s="115">
        <f>Jan_2025_SotM[[#This Row],[Max Seed]]/2 + 1</f>
        <v>9</v>
      </c>
      <c r="AJ15" s="105" t="str">
        <f ca="1">IF(Jan_2025_SotM[[#This Row],[Num]]&gt;=$A$1, "-", IF(Jan_2025_SotM[[#This Row],[Score 1]]&gt;=3, Jan_2025_SotM[[#This Row],[Song 2]], IF(Jan_2025_SotM[[#This Row],[Score 2]]&gt;=3, Jan_2025_SotM[[#This Row],[Song 1]], "TBD")))</f>
        <v>Favourite</v>
      </c>
      <c r="AK15" s="3">
        <f ca="1">IFERROR(VLOOKUP(Jan_2025_Results[[#This Row],[Song Title]], $AE$2:$AG$17, 3, FALSE)-Jan_2025_Results[[#This Row],[Result]], "TBD")</f>
        <v>0</v>
      </c>
      <c r="AL15" s="3" t="str">
        <f t="shared" ca="1" si="4"/>
        <v>-</v>
      </c>
    </row>
    <row r="16" spans="1:38">
      <c r="A16" s="199" t="str">
        <f>_xlfn.CONCAT("Seed ", Jan_2025_SotM[[#This Row],[Top Seed]], " vs ",Jan_2025_SotM[[#This Row],[Low Seed]])</f>
        <v>Seed 2 vs 15</v>
      </c>
      <c r="B16" s="201">
        <v>14</v>
      </c>
      <c r="C16" s="200">
        <f>FLOOR(LOG(Jan_2025_SotM[[#This Row],[Num]], 2), 1)</f>
        <v>3</v>
      </c>
      <c r="D16" s="200">
        <f>2^(Jan_2025_SotM[[#This Row],[Round]]+1)</f>
        <v>16</v>
      </c>
      <c r="E16" s="200">
        <f>Jan_2025_SotM[[#This Row],[Max Seed]]-Jan_2025_SotM[[#This Row],[Num]]</f>
        <v>2</v>
      </c>
      <c r="F16" s="200">
        <f>Jan_2025_SotM[[#This Row],[Max Seed]]-Jan_2025_SotM[[#This Row],[Top Seed]]+1</f>
        <v>15</v>
      </c>
      <c r="G16" s="200" t="b">
        <f>IF(Jan_2025_SotM[[#This Row],[Round]]=$C$1, TRUE(), IF(Jan_2025_SotM[[#This Row],[Round]]=$B$1, Jan_2025_SotM[[#This Row],[Top Seed]]&lt;=2*Jan_2025_SotM[[#This Row],[Max Seed]]-$A$1, FALSE()))</f>
        <v>1</v>
      </c>
      <c r="H16" s="200" t="b">
        <f>IF(Jan_2025_SotM[[#This Row],[Round]]=$C$1, TRUE(), IF(Jan_2025_SotM[[#This Row],[Round]]=$B$1, Jan_2025_SotM[[#This Row],[Low Seed]]&lt;=2*Jan_2025_SotM[[#This Row],[Max Seed]]-$A$1, FALSE()))</f>
        <v>1</v>
      </c>
      <c r="I16" s="28" t="s">
        <v>4191</v>
      </c>
      <c r="J16" s="31"/>
      <c r="K16" s="33"/>
      <c r="L16" s="35"/>
      <c r="M16" s="37"/>
      <c r="N16" s="203" t="str">
        <f ca="1">IF(Jan_2025_SotM[[#This Row],[Num]]&gt;=$A$1, "-", IF(Jan_2025_SotM[[#This Row],[Initial 1]], VLOOKUP(Jan_2025_SotM[[#This Row],[Top Seed]], $Z$2:$AE$17, 6, FALSE), OFFSET(Jan_2025_SotM[[#This Row],[Winner]], Jan_2025_SotM[[#This Row],[Max Seed]], 0)))</f>
        <v>All Night Long</v>
      </c>
      <c r="O16" s="203">
        <f>COUNTIF(Jan_2025_SotM[[#This Row],[J]:[H]],"x")</f>
        <v>1</v>
      </c>
      <c r="P16" s="201" t="str">
        <f ca="1">IF(Jan_2025_SotM[[#This Row],[Num]]&gt;=$A$1, "-", IF(Jan_2025_SotM[[#This Row],[Score 1]]&gt;=3, Jan_2025_SotM[[#This Row],[Song 1]], IF(Jan_2025_SotM[[#This Row],[Score 2]]&gt;=3, Jan_2025_SotM[[#This Row],[Song 2]], "TBD")))</f>
        <v>Like That</v>
      </c>
      <c r="Q16" s="206">
        <f>COUNTIF(Jan_2025_SotM[[#This Row],[H ]:[J ]],"x")</f>
        <v>4</v>
      </c>
      <c r="R16" s="206" t="str">
        <f ca="1">IF(Jan_2025_SotM[[#This Row],[Num]]&gt;=$A$1, "-", IF(Jan_2025_SotM[[#This Row],[Initial 2]], VLOOKUP(Jan_2025_SotM[[#This Row],[Low Seed]], $Z$2:$AE$17, 6, FALSE), OFFSET(Jan_2025_SotM[[#This Row],[Winner]], 2*(Jan_2025_SotM[[#This Row],[Max Seed]]-Jan_2025_SotM[[#This Row],[Low Seed]])+1, 0)))</f>
        <v>Like That</v>
      </c>
      <c r="S16" s="37" t="s">
        <v>4191</v>
      </c>
      <c r="T16" s="35" t="s">
        <v>4191</v>
      </c>
      <c r="U16" s="33" t="s">
        <v>4191</v>
      </c>
      <c r="V16" s="31" t="s">
        <v>4191</v>
      </c>
      <c r="W16" s="28"/>
      <c r="X16" s="106" t="str">
        <f ca="1">IF(OR(Jan_2025_SotM[[#This Row],[Song 1]]="TBD", Jan_2025_SotM[[#This Row],[Song 2]]="TBD"), "TBD", _xlfn.CONCAT(IF(_xlfn.XOR(ISBLANK(Jan_2025_SotM[[#This Row],[J]]), ISBLANK(Jan_2025_SotM[[#This Row],[J ]])), "", "J "), IF(_xlfn.XOR(ISBLANK(Jan_2025_SotM[[#This Row],[D]]), ISBLANK(Jan_2025_SotM[[#This Row],[D ]])), "", "D "), IF(_xlfn.XOR(ISBLANK(Jan_2025_SotM[[#This Row],[L]]), ISBLANK(Jan_2025_SotM[[#This Row],[L ]])), "", "L "), IF(_xlfn.XOR(ISBLANK(Jan_2025_SotM[[#This Row],[S]]), ISBLANK(Jan_2025_SotM[[#This Row],[S ]])), "", "S "), IF(_xlfn.XOR(ISBLANK(Jan_2025_SotM[[#This Row],[H]]), ISBLANK(Jan_2025_SotM[[#This Row],[H ]])), "", "H ")))</f>
        <v/>
      </c>
      <c r="Z16" s="109">
        <f t="shared" si="2"/>
        <v>3</v>
      </c>
      <c r="AA16" s="59">
        <v>45686</v>
      </c>
      <c r="AB16" t="str">
        <v>currydestroyer27</v>
      </c>
      <c r="AC16" s="3">
        <v>1.8</v>
      </c>
      <c r="AD16">
        <v>0.74833147735478833</v>
      </c>
      <c r="AE16">
        <v>90210</v>
      </c>
      <c r="AF16" t="str">
        <v>Travis Scott, Kacy Hill</v>
      </c>
      <c r="AG16" s="100">
        <f t="shared" si="3"/>
        <v>3</v>
      </c>
      <c r="AI16" s="115">
        <f>Jan_2025_SotM[[#This Row],[Max Seed]]/2 + 1</f>
        <v>9</v>
      </c>
      <c r="AJ16" s="105" t="str">
        <f ca="1">IF(Jan_2025_SotM[[#This Row],[Num]]&gt;=$A$1, "-", IF(Jan_2025_SotM[[#This Row],[Score 1]]&gt;=3, Jan_2025_SotM[[#This Row],[Song 2]], IF(Jan_2025_SotM[[#This Row],[Score 2]]&gt;=3, Jan_2025_SotM[[#This Row],[Song 1]], "TBD")))</f>
        <v>All Night Long</v>
      </c>
      <c r="AK16" s="3">
        <f ca="1">IFERROR(VLOOKUP(Jan_2025_Results[[#This Row],[Song Title]], $AE$2:$AG$17, 3, FALSE)-Jan_2025_Results[[#This Row],[Result]], "TBD")</f>
        <v>-7</v>
      </c>
      <c r="AL16" s="3" t="str">
        <f t="shared" ca="1" si="4"/>
        <v>↓</v>
      </c>
    </row>
    <row r="17" spans="1:38">
      <c r="A17" s="199" t="str">
        <f>_xlfn.CONCAT("Seed ", Jan_2025_SotM[[#This Row],[Top Seed]], " vs ",Jan_2025_SotM[[#This Row],[Low Seed]])</f>
        <v>Seed 1 vs 16</v>
      </c>
      <c r="B17" s="201">
        <v>15</v>
      </c>
      <c r="C17" s="200">
        <f>FLOOR(LOG(Jan_2025_SotM[[#This Row],[Num]], 2), 1)</f>
        <v>3</v>
      </c>
      <c r="D17" s="200">
        <f>2^(Jan_2025_SotM[[#This Row],[Round]]+1)</f>
        <v>16</v>
      </c>
      <c r="E17" s="200">
        <f>Jan_2025_SotM[[#This Row],[Max Seed]]-Jan_2025_SotM[[#This Row],[Num]]</f>
        <v>1</v>
      </c>
      <c r="F17" s="200">
        <f>Jan_2025_SotM[[#This Row],[Max Seed]]-Jan_2025_SotM[[#This Row],[Top Seed]]+1</f>
        <v>16</v>
      </c>
      <c r="G17" s="200" t="b">
        <f>IF(Jan_2025_SotM[[#This Row],[Round]]=$C$1, TRUE(), IF(Jan_2025_SotM[[#This Row],[Round]]=$B$1, Jan_2025_SotM[[#This Row],[Top Seed]]&lt;=2*Jan_2025_SotM[[#This Row],[Max Seed]]-$A$1, FALSE()))</f>
        <v>1</v>
      </c>
      <c r="H17" s="200" t="b">
        <f>IF(Jan_2025_SotM[[#This Row],[Round]]=$C$1, TRUE(), IF(Jan_2025_SotM[[#This Row],[Round]]=$B$1, Jan_2025_SotM[[#This Row],[Low Seed]]&lt;=2*Jan_2025_SotM[[#This Row],[Max Seed]]-$A$1, FALSE()))</f>
        <v>1</v>
      </c>
      <c r="I17" s="28"/>
      <c r="J17" s="31" t="s">
        <v>4191</v>
      </c>
      <c r="K17" s="33" t="s">
        <v>4191</v>
      </c>
      <c r="L17" s="35" t="s">
        <v>4191</v>
      </c>
      <c r="M17" s="37" t="s">
        <v>4191</v>
      </c>
      <c r="N17" s="203" t="str">
        <f ca="1">IF(Jan_2025_SotM[[#This Row],[Num]]&gt;=$A$1, "-", IF(Jan_2025_SotM[[#This Row],[Initial 1]], VLOOKUP(Jan_2025_SotM[[#This Row],[Top Seed]], $Z$2:$AE$17, 6, FALSE), OFFSET(Jan_2025_SotM[[#This Row],[Winner]], Jan_2025_SotM[[#This Row],[Max Seed]], 0)))</f>
        <v>Float On</v>
      </c>
      <c r="O17" s="203">
        <f>COUNTIF(Jan_2025_SotM[[#This Row],[J]:[H]],"x")</f>
        <v>4</v>
      </c>
      <c r="P17" s="201" t="str">
        <f ca="1">IF(Jan_2025_SotM[[#This Row],[Num]]&gt;=$A$1, "-", IF(Jan_2025_SotM[[#This Row],[Score 1]]&gt;=3, Jan_2025_SotM[[#This Row],[Song 1]], IF(Jan_2025_SotM[[#This Row],[Score 2]]&gt;=3, Jan_2025_SotM[[#This Row],[Song 2]], "TBD")))</f>
        <v>Float On</v>
      </c>
      <c r="Q17" s="206">
        <f>COUNTIF(Jan_2025_SotM[[#This Row],[H ]:[J ]],"x")</f>
        <v>1</v>
      </c>
      <c r="R17" s="206" t="str">
        <f ca="1">IF(Jan_2025_SotM[[#This Row],[Num]]&gt;=$A$1, "-", IF(Jan_2025_SotM[[#This Row],[Initial 2]], VLOOKUP(Jan_2025_SotM[[#This Row],[Low Seed]], $Z$2:$AE$17, 6, FALSE), OFFSET(Jan_2025_SotM[[#This Row],[Winner]], 2*(Jan_2025_SotM[[#This Row],[Max Seed]]-Jan_2025_SotM[[#This Row],[Low Seed]])+1, 0)))</f>
        <v>Corazón Tatuado</v>
      </c>
      <c r="S17" s="37"/>
      <c r="T17" s="35"/>
      <c r="U17" s="33"/>
      <c r="V17" s="31"/>
      <c r="W17" s="28" t="s">
        <v>4191</v>
      </c>
      <c r="X17" s="106" t="str">
        <f ca="1">IF(OR(Jan_2025_SotM[[#This Row],[Song 1]]="TBD", Jan_2025_SotM[[#This Row],[Song 2]]="TBD"), "TBD", _xlfn.CONCAT(IF(_xlfn.XOR(ISBLANK(Jan_2025_SotM[[#This Row],[J]]), ISBLANK(Jan_2025_SotM[[#This Row],[J ]])), "", "J "), IF(_xlfn.XOR(ISBLANK(Jan_2025_SotM[[#This Row],[D]]), ISBLANK(Jan_2025_SotM[[#This Row],[D ]])), "", "D "), IF(_xlfn.XOR(ISBLANK(Jan_2025_SotM[[#This Row],[L]]), ISBLANK(Jan_2025_SotM[[#This Row],[L ]])), "", "L "), IF(_xlfn.XOR(ISBLANK(Jan_2025_SotM[[#This Row],[S]]), ISBLANK(Jan_2025_SotM[[#This Row],[S ]])), "", "S "), IF(_xlfn.XOR(ISBLANK(Jan_2025_SotM[[#This Row],[H]]), ISBLANK(Jan_2025_SotM[[#This Row],[H ]])), "", "H ")))</f>
        <v/>
      </c>
      <c r="Z17" s="110">
        <f t="shared" si="2"/>
        <v>8</v>
      </c>
      <c r="AA17" s="211">
        <v>45687</v>
      </c>
      <c r="AB17" s="157" t="str">
        <v>samuelbattista</v>
      </c>
      <c r="AC17" s="101">
        <v>2.2000000000000002</v>
      </c>
      <c r="AD17" s="157">
        <v>1.1661903789690602</v>
      </c>
      <c r="AE17" s="157" t="str">
        <v>Giddy Up</v>
      </c>
      <c r="AF17" s="157" t="str">
        <v>Ginger Root</v>
      </c>
      <c r="AG17" s="102">
        <f t="shared" si="3"/>
        <v>5</v>
      </c>
      <c r="AI17" s="115">
        <f>Jan_2025_SotM[[#This Row],[Max Seed]]/2 + 1</f>
        <v>9</v>
      </c>
      <c r="AJ17" s="105" t="str">
        <f ca="1">IF(Jan_2025_SotM[[#This Row],[Num]]&gt;=$A$1, "-", IF(Jan_2025_SotM[[#This Row],[Score 1]]&gt;=3, Jan_2025_SotM[[#This Row],[Song 2]], IF(Jan_2025_SotM[[#This Row],[Score 2]]&gt;=3, Jan_2025_SotM[[#This Row],[Song 1]], "TBD")))</f>
        <v>Corazón Tatuado</v>
      </c>
      <c r="AK17" s="3">
        <f ca="1">IFERROR(VLOOKUP(Jan_2025_Results[[#This Row],[Song Title]], $AE$2:$AG$17, 3, FALSE)-Jan_2025_Results[[#This Row],[Result]], "TBD")</f>
        <v>0</v>
      </c>
      <c r="AL17" s="3" t="str">
        <f t="shared" ca="1" si="4"/>
        <v>-</v>
      </c>
    </row>
    <row r="19" spans="1:38">
      <c r="A19" s="302">
        <f>MAX(Z20:Z35)</f>
        <v>16</v>
      </c>
      <c r="B19" s="302">
        <f t="shared" ref="B19" si="5">FLOOR(LOG(A19, 2), 1)-1</f>
        <v>3</v>
      </c>
      <c r="C19" s="302">
        <f t="shared" ref="C19" si="6">_xlfn.CEILING.MATH(LOG(A19, 2), 1)-1</f>
        <v>3</v>
      </c>
      <c r="D19" s="302"/>
      <c r="E19" s="302"/>
      <c r="F19" s="302"/>
      <c r="G19" s="302"/>
      <c r="H19" s="302"/>
      <c r="I19" s="348" t="s">
        <v>4192</v>
      </c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02"/>
      <c r="Z19" s="221" t="s">
        <v>4163</v>
      </c>
      <c r="AA19" s="222" t="s">
        <v>29</v>
      </c>
      <c r="AB19" s="220" t="s">
        <v>32</v>
      </c>
      <c r="AC19" s="221" t="s">
        <v>33</v>
      </c>
      <c r="AD19" s="220" t="s">
        <v>34</v>
      </c>
      <c r="AE19" s="220" t="s">
        <v>4161</v>
      </c>
      <c r="AF19" s="220" t="s">
        <v>36</v>
      </c>
      <c r="AG19" s="221" t="s">
        <v>4164</v>
      </c>
      <c r="AI19" s="3" t="s">
        <v>4165</v>
      </c>
      <c r="AJ19" t="s">
        <v>35</v>
      </c>
      <c r="AK19" s="3" t="s">
        <v>4166</v>
      </c>
      <c r="AL19" s="3" t="s">
        <v>4167</v>
      </c>
    </row>
    <row r="20" spans="1:38">
      <c r="A20" t="s">
        <v>4168</v>
      </c>
      <c r="B20" s="3" t="s">
        <v>4169</v>
      </c>
      <c r="C20" t="s">
        <v>4170</v>
      </c>
      <c r="D20" t="s">
        <v>4171</v>
      </c>
      <c r="E20" t="s">
        <v>4172</v>
      </c>
      <c r="F20" t="s">
        <v>4173</v>
      </c>
      <c r="G20" t="s">
        <v>4174</v>
      </c>
      <c r="H20" t="s">
        <v>4175</v>
      </c>
      <c r="I20" t="s">
        <v>4176</v>
      </c>
      <c r="J20" t="s">
        <v>4177</v>
      </c>
      <c r="K20" t="s">
        <v>4178</v>
      </c>
      <c r="L20" t="s">
        <v>4179</v>
      </c>
      <c r="M20" t="s">
        <v>4180</v>
      </c>
      <c r="N20" s="3" t="s">
        <v>4181</v>
      </c>
      <c r="O20" t="s">
        <v>4182</v>
      </c>
      <c r="P20" s="3" t="s">
        <v>47</v>
      </c>
      <c r="Q20" s="123" t="s">
        <v>4183</v>
      </c>
      <c r="R20" s="3" t="s">
        <v>4184</v>
      </c>
      <c r="S20" t="s">
        <v>4185</v>
      </c>
      <c r="T20" t="s">
        <v>4186</v>
      </c>
      <c r="U20" t="s">
        <v>4187</v>
      </c>
      <c r="V20" t="s">
        <v>4188</v>
      </c>
      <c r="W20" t="s">
        <v>4189</v>
      </c>
      <c r="X20" s="3" t="s">
        <v>4190</v>
      </c>
      <c r="Z20" s="109">
        <f t="shared" ref="Z20:Z35" si="7">IF(AC20&gt;0, COUNTIF(AC$20:AC$35, "&lt;"&amp;AC20) + COUNTIFS(AC$20:AC$35, AC20, AD$20:AD$35, "&lt;"&amp;AD20) + COUNTIFS(AC$20:AC$35, AC20, AD$20:AD$35, AD20, AA$20:AA$35, "&lt;"&amp;AA20) + 1, "TBD")</f>
        <v>2</v>
      </c>
      <c r="AA20" s="59" cm="1">
        <f t="array" ref="AA20:AF35">_xlfn._xlws.FILTER(Data[Date]:Data[Artist], (Data[Date]&gt;=DATE(2025,2,1))*(Data[Date]&lt;=DATE(2025,2,28))*(Data[Winner]=TRUE()), "TBD")</f>
        <v>45691</v>
      </c>
      <c r="AB20" t="str">
        <v>loganworsdell</v>
      </c>
      <c r="AC20" s="3">
        <v>1.8</v>
      </c>
      <c r="AD20">
        <v>0.74833147735478833</v>
      </c>
      <c r="AE20" t="str">
        <v>MUTT</v>
      </c>
      <c r="AF20" t="str">
        <v>Leon Thomas</v>
      </c>
      <c r="AG20" s="100">
        <f t="shared" ref="AG20:AG35" si="8">IF(Z20&gt;1, 2^FLOOR(LOG(Z20-1, 2), 1)+1, 1)</f>
        <v>2</v>
      </c>
      <c r="AI20" s="115">
        <v>1</v>
      </c>
      <c r="AJ20" s="105" t="str">
        <f ca="1">P21</f>
        <v>Busy Woman</v>
      </c>
      <c r="AK20" s="3">
        <f ca="1">IFERROR(VLOOKUP(Feb_2025_Results[[#This Row],[Song Title]], $AE$20:$AG$35, 3, FALSE)-Feb_2025_Results[[#This Row],[Result]], "TBD")</f>
        <v>8</v>
      </c>
      <c r="AL20" s="3" t="str">
        <f ca="1">IF(AK20&lt;0,"↓",IF(AK20=0,"-","↑"))</f>
        <v>↑</v>
      </c>
    </row>
    <row r="21" spans="1:38">
      <c r="A21" s="105" t="str">
        <f>_xlfn.CONCAT("Seed ", Feb_2025_SotM[[#This Row],[Top Seed]], " vs ",Feb_2025_SotM[[#This Row],[Low Seed]])</f>
        <v>Seed 1 vs 2</v>
      </c>
      <c r="B21" s="115">
        <v>1</v>
      </c>
      <c r="C21" s="105">
        <f>FLOOR(LOG(Feb_2025_SotM[[#This Row],[Num]], 2), 1)</f>
        <v>0</v>
      </c>
      <c r="D21" s="105">
        <f>2^(Feb_2025_SotM[[#This Row],[Round]]+1)</f>
        <v>2</v>
      </c>
      <c r="E21" s="105">
        <f>Feb_2025_SotM[[#This Row],[Max Seed]]-Feb_2025_SotM[[#This Row],[Num]]</f>
        <v>1</v>
      </c>
      <c r="F21" s="105">
        <f>Feb_2025_SotM[[#This Row],[Max Seed]]-Feb_2025_SotM[[#This Row],[Top Seed]]+1</f>
        <v>2</v>
      </c>
      <c r="G21" s="105" t="b">
        <f>IF(Feb_2025_SotM[[#This Row],[Round]]=$C$19, TRUE(), IF(Feb_2025_SotM[[#This Row],[Round]]=$B$19, Feb_2025_SotM[[#This Row],[Top Seed]]&lt;=2*Feb_2025_SotM[[#This Row],[Max Seed]]-$A$19, FALSE()))</f>
        <v>0</v>
      </c>
      <c r="H21" s="105" t="b">
        <f>IF(Feb_2025_SotM[[#This Row],[Round]]=$C$19, TRUE(), IF(Feb_2025_SotM[[#This Row],[Round]]=$B$19, Feb_2025_SotM[[#This Row],[Low Seed]]&lt;=2*Feb_2025_SotM[[#This Row],[Max Seed]]-$A$19, FALSE()))</f>
        <v>0</v>
      </c>
      <c r="I21" s="28" t="s">
        <v>4191</v>
      </c>
      <c r="J21" s="31" t="s">
        <v>4191</v>
      </c>
      <c r="K21" s="33"/>
      <c r="L21" s="35" t="s">
        <v>4191</v>
      </c>
      <c r="M21" s="37" t="s">
        <v>4191</v>
      </c>
      <c r="N21" s="192" t="str">
        <f ca="1">IF(Feb_2025_SotM[[#This Row],[Num]]&gt;=$A$19, "-", IF(Feb_2025_SotM[[#This Row],[Initial 1]], VLOOKUP(Feb_2025_SotM[[#This Row],[Top Seed]], $Z$20:$AE$35, 6, FALSE), OFFSET(Feb_2025_SotM[[#This Row],[Winner]], Feb_2025_SotM[[#This Row],[Max Seed]], 0)))</f>
        <v>Busy Woman</v>
      </c>
      <c r="O21" s="105">
        <f>COUNTIF(Feb_2025_SotM[[#This Row],[J]:[H]],"x")</f>
        <v>4</v>
      </c>
      <c r="P21" s="115" t="str">
        <f ca="1">IF(Feb_2025_SotM[[#This Row],[Num]]&gt;=$A$19, "-", IF(Feb_2025_SotM[[#This Row],[Score 1]]&gt;=3, Feb_2025_SotM[[#This Row],[Song 1]], IF(Feb_2025_SotM[[#This Row],[Score 2]]&gt;=3, Feb_2025_SotM[[#This Row],[Song 2]], "TBD")))</f>
        <v>Busy Woman</v>
      </c>
      <c r="Q21" s="193">
        <f>COUNTIF(Feb_2025_SotM[[#This Row],[H ]:[J ]],"x")</f>
        <v>1</v>
      </c>
      <c r="R21" s="105" t="str">
        <f ca="1">IF(Feb_2025_SotM[[#This Row],[Num]]&gt;=$A$19, "-", IF(Feb_2025_SotM[[#This Row],[Initial 2]], VLOOKUP(Feb_2025_SotM[[#This Row],[Low Seed]], $Z$20:$AE$35, 6, FALSE), OFFSET(Feb_2025_SotM[[#This Row],[Winner]], 2*(Feb_2025_SotM[[#This Row],[Max Seed]]-Feb_2025_SotM[[#This Row],[Low Seed]])+1, 0)))</f>
        <v>Stay Right Here</v>
      </c>
      <c r="S21" s="37"/>
      <c r="T21" s="35"/>
      <c r="U21" s="33" t="s">
        <v>4191</v>
      </c>
      <c r="V21" s="31"/>
      <c r="W21" s="28"/>
      <c r="X21" s="115" t="str">
        <f ca="1">IF(OR(Feb_2025_SotM[[#This Row],[Song 1]]="TBD", Feb_2025_SotM[[#This Row],[Song 2]]="TBD"), "TBD", _xlfn.CONCAT(IF(_xlfn.XOR(ISBLANK(Feb_2025_SotM[[#This Row],[J]]), ISBLANK(Feb_2025_SotM[[#This Row],[J ]])), "", "J "), IF(_xlfn.XOR(ISBLANK(Feb_2025_SotM[[#This Row],[D]]), ISBLANK(Feb_2025_SotM[[#This Row],[D ]])), "", "D "), IF(_xlfn.XOR(ISBLANK(Feb_2025_SotM[[#This Row],[L]]), ISBLANK(Feb_2025_SotM[[#This Row],[L ]])), "", "L "), IF(_xlfn.XOR(ISBLANK(Feb_2025_SotM[[#This Row],[S]]), ISBLANK(Feb_2025_SotM[[#This Row],[S ]])), "", "S "), IF(_xlfn.XOR(ISBLANK(Feb_2025_SotM[[#This Row],[H]]), ISBLANK(Feb_2025_SotM[[#This Row],[H ]])), "", "H ")))</f>
        <v/>
      </c>
      <c r="Z21" s="109">
        <f t="shared" si="7"/>
        <v>7</v>
      </c>
      <c r="AA21" s="59">
        <v>45692</v>
      </c>
      <c r="AB21" t="str">
        <v>loganworsdell</v>
      </c>
      <c r="AC21" s="3">
        <v>2.2000000000000002</v>
      </c>
      <c r="AD21">
        <v>0.74833147735478833</v>
      </c>
      <c r="AE21" t="str">
        <v>Stay Right Here</v>
      </c>
      <c r="AF21" t="str">
        <v>Saba, Xavier Omär, Mick Jenkins</v>
      </c>
      <c r="AG21" s="100">
        <f t="shared" si="8"/>
        <v>5</v>
      </c>
      <c r="AI21" s="115">
        <f>Feb_2025_SotM[[#This Row],[Max Seed]]/2 + 1</f>
        <v>2</v>
      </c>
      <c r="AJ21" s="105" t="str">
        <f ca="1">IF(Feb_2025_SotM[[#This Row],[Num]]&gt;=$A$19, "-", IF(Feb_2025_SotM[[#This Row],[Score 1]]&gt;=3, Feb_2025_SotM[[#This Row],[Song 2]], IF(Feb_2025_SotM[[#This Row],[Score 2]]&gt;=3, Feb_2025_SotM[[#This Row],[Song 1]], "TBD")))</f>
        <v>Stay Right Here</v>
      </c>
      <c r="AK21" s="3">
        <f ca="1">IFERROR(VLOOKUP(Feb_2025_Results[[#This Row],[Song Title]], $AE$20:$AG$35, 3, FALSE)-Feb_2025_Results[[#This Row],[Result]], "TBD")</f>
        <v>3</v>
      </c>
      <c r="AL21" s="3" t="str">
        <f ca="1">IF(AK21&lt;0,"↓",IF(AK21=0,"-","↑"))</f>
        <v>↑</v>
      </c>
    </row>
    <row r="22" spans="1:38">
      <c r="A22" s="105" t="str">
        <f>_xlfn.CONCAT("Seed ", Feb_2025_SotM[[#This Row],[Top Seed]], " vs ",Feb_2025_SotM[[#This Row],[Low Seed]])</f>
        <v>Seed 2 vs 3</v>
      </c>
      <c r="B22" s="115">
        <v>2</v>
      </c>
      <c r="C22" s="105">
        <f>FLOOR(LOG(Feb_2025_SotM[[#This Row],[Num]], 2), 1)</f>
        <v>1</v>
      </c>
      <c r="D22" s="105">
        <f>2^(Feb_2025_SotM[[#This Row],[Round]]+1)</f>
        <v>4</v>
      </c>
      <c r="E22" s="105">
        <f>Feb_2025_SotM[[#This Row],[Max Seed]]-Feb_2025_SotM[[#This Row],[Num]]</f>
        <v>2</v>
      </c>
      <c r="F22" s="105">
        <f>Feb_2025_SotM[[#This Row],[Max Seed]]-Feb_2025_SotM[[#This Row],[Top Seed]]+1</f>
        <v>3</v>
      </c>
      <c r="G22" s="105" t="b">
        <f>IF(Feb_2025_SotM[[#This Row],[Round]]=$C$19, TRUE(), IF(Feb_2025_SotM[[#This Row],[Round]]=$B$19, Feb_2025_SotM[[#This Row],[Top Seed]]&lt;=2*Feb_2025_SotM[[#This Row],[Max Seed]]-$A$19, FALSE()))</f>
        <v>0</v>
      </c>
      <c r="H22" s="105" t="b">
        <f>IF(Feb_2025_SotM[[#This Row],[Round]]=$C$19, TRUE(), IF(Feb_2025_SotM[[#This Row],[Round]]=$B$19, Feb_2025_SotM[[#This Row],[Low Seed]]&lt;=2*Feb_2025_SotM[[#This Row],[Max Seed]]-$A$19, FALSE()))</f>
        <v>0</v>
      </c>
      <c r="I22" s="28" t="s">
        <v>4191</v>
      </c>
      <c r="J22" s="31"/>
      <c r="K22" s="33" t="s">
        <v>4191</v>
      </c>
      <c r="L22" s="35" t="s">
        <v>4191</v>
      </c>
      <c r="M22" s="37"/>
      <c r="N22" s="192" t="str">
        <f ca="1">IF(Feb_2025_SotM[[#This Row],[Num]]&gt;=$A$19, "-", IF(Feb_2025_SotM[[#This Row],[Initial 1]], VLOOKUP(Feb_2025_SotM[[#This Row],[Top Seed]], $Z$20:$AE$35, 6, FALSE), OFFSET(Feb_2025_SotM[[#This Row],[Winner]], Feb_2025_SotM[[#This Row],[Max Seed]], 0)))</f>
        <v>Stay Right Here</v>
      </c>
      <c r="O22" s="105">
        <f>COUNTIF(Feb_2025_SotM[[#This Row],[J]:[H]],"x")</f>
        <v>3</v>
      </c>
      <c r="P22" s="115" t="str">
        <f ca="1">IF(Feb_2025_SotM[[#This Row],[Num]]&gt;=$A$19, "-", IF(Feb_2025_SotM[[#This Row],[Score 1]]&gt;=3, Feb_2025_SotM[[#This Row],[Song 1]], IF(Feb_2025_SotM[[#This Row],[Score 2]]&gt;=3, Feb_2025_SotM[[#This Row],[Song 2]], "TBD")))</f>
        <v>Stay Right Here</v>
      </c>
      <c r="Q22" s="193">
        <f>COUNTIF(Feb_2025_SotM[[#This Row],[H ]:[J ]],"x")</f>
        <v>2</v>
      </c>
      <c r="R22" s="105" t="str">
        <f ca="1">IF(Feb_2025_SotM[[#This Row],[Num]]&gt;=$A$19, "-", IF(Feb_2025_SotM[[#This Row],[Initial 2]], VLOOKUP(Feb_2025_SotM[[#This Row],[Low Seed]], $Z$20:$AE$35, 6, FALSE), OFFSET(Feb_2025_SotM[[#This Row],[Winner]], 2*(Feb_2025_SotM[[#This Row],[Max Seed]]-Feb_2025_SotM[[#This Row],[Low Seed]])+1, 0)))</f>
        <v>Smells Like Teen Spirit</v>
      </c>
      <c r="S22" s="37" t="s">
        <v>4191</v>
      </c>
      <c r="T22" s="35"/>
      <c r="U22" s="33"/>
      <c r="V22" s="31" t="s">
        <v>4191</v>
      </c>
      <c r="W22" s="28"/>
      <c r="X22" s="115" t="str">
        <f ca="1">IF(OR(Feb_2025_SotM[[#This Row],[Song 1]]="TBD", Feb_2025_SotM[[#This Row],[Song 2]]="TBD"), "TBD", _xlfn.CONCAT(IF(_xlfn.XOR(ISBLANK(Feb_2025_SotM[[#This Row],[J]]), ISBLANK(Feb_2025_SotM[[#This Row],[J ]])), "", "J "), IF(_xlfn.XOR(ISBLANK(Feb_2025_SotM[[#This Row],[D]]), ISBLANK(Feb_2025_SotM[[#This Row],[D ]])), "", "D "), IF(_xlfn.XOR(ISBLANK(Feb_2025_SotM[[#This Row],[L]]), ISBLANK(Feb_2025_SotM[[#This Row],[L ]])), "", "L "), IF(_xlfn.XOR(ISBLANK(Feb_2025_SotM[[#This Row],[S]]), ISBLANK(Feb_2025_SotM[[#This Row],[S ]])), "", "S "), IF(_xlfn.XOR(ISBLANK(Feb_2025_SotM[[#This Row],[H]]), ISBLANK(Feb_2025_SotM[[#This Row],[H ]])), "", "H ")))</f>
        <v/>
      </c>
      <c r="Z22" s="109">
        <f t="shared" si="7"/>
        <v>1</v>
      </c>
      <c r="AA22" s="59">
        <v>45693</v>
      </c>
      <c r="AB22" t="str">
        <v>alappatjoe</v>
      </c>
      <c r="AC22" s="3">
        <v>1.4</v>
      </c>
      <c r="AD22">
        <v>0.4898979485566356</v>
      </c>
      <c r="AE22" t="str">
        <v>星屑のパイプライン</v>
      </c>
      <c r="AF22" t="str">
        <v>Junk Fujiyama</v>
      </c>
      <c r="AG22" s="100">
        <f t="shared" si="8"/>
        <v>1</v>
      </c>
      <c r="AI22" s="115">
        <f>Feb_2025_SotM[[#This Row],[Max Seed]]/2 + 1</f>
        <v>3</v>
      </c>
      <c r="AJ22" s="105" t="str">
        <f ca="1">IF(Feb_2025_SotM[[#This Row],[Num]]&gt;=$A$19, "-", IF(Feb_2025_SotM[[#This Row],[Score 1]]&gt;=3, Feb_2025_SotM[[#This Row],[Song 2]], IF(Feb_2025_SotM[[#This Row],[Score 2]]&gt;=3, Feb_2025_SotM[[#This Row],[Song 1]], "TBD")))</f>
        <v>Smells Like Teen Spirit</v>
      </c>
      <c r="AK22" s="3">
        <f ca="1">IFERROR(VLOOKUP(Feb_2025_Results[[#This Row],[Song Title]], $AE$20:$AG$35, 3, FALSE)-Feb_2025_Results[[#This Row],[Result]], "TBD")</f>
        <v>2</v>
      </c>
      <c r="AL22" s="3" t="str">
        <f t="shared" ref="AL22:AL35" ca="1" si="9">IF(AK22&lt;0,"↓",IF(AK22=0,"-","↑"))</f>
        <v>↑</v>
      </c>
    </row>
    <row r="23" spans="1:38">
      <c r="A23" s="105" t="str">
        <f>_xlfn.CONCAT("Seed ", Feb_2025_SotM[[#This Row],[Top Seed]], " vs ",Feb_2025_SotM[[#This Row],[Low Seed]])</f>
        <v>Seed 1 vs 4</v>
      </c>
      <c r="B23" s="115">
        <v>3</v>
      </c>
      <c r="C23" s="105">
        <f>FLOOR(LOG(Feb_2025_SotM[[#This Row],[Num]], 2), 1)</f>
        <v>1</v>
      </c>
      <c r="D23" s="105">
        <f>2^(Feb_2025_SotM[[#This Row],[Round]]+1)</f>
        <v>4</v>
      </c>
      <c r="E23" s="105">
        <f>Feb_2025_SotM[[#This Row],[Max Seed]]-Feb_2025_SotM[[#This Row],[Num]]</f>
        <v>1</v>
      </c>
      <c r="F23" s="105">
        <f>Feb_2025_SotM[[#This Row],[Max Seed]]-Feb_2025_SotM[[#This Row],[Top Seed]]+1</f>
        <v>4</v>
      </c>
      <c r="G23" s="105" t="b">
        <f>IF(Feb_2025_SotM[[#This Row],[Round]]=$C$19, TRUE(), IF(Feb_2025_SotM[[#This Row],[Round]]=$B$19, Feb_2025_SotM[[#This Row],[Top Seed]]&lt;=2*Feb_2025_SotM[[#This Row],[Max Seed]]-$A$19, FALSE()))</f>
        <v>0</v>
      </c>
      <c r="H23" s="105" t="b">
        <f>IF(Feb_2025_SotM[[#This Row],[Round]]=$C$19, TRUE(), IF(Feb_2025_SotM[[#This Row],[Round]]=$B$19, Feb_2025_SotM[[#This Row],[Low Seed]]&lt;=2*Feb_2025_SotM[[#This Row],[Max Seed]]-$A$19, FALSE()))</f>
        <v>0</v>
      </c>
      <c r="I23" s="28" t="s">
        <v>4191</v>
      </c>
      <c r="J23" s="31"/>
      <c r="K23" s="33"/>
      <c r="L23" s="35" t="s">
        <v>4191</v>
      </c>
      <c r="M23" s="37" t="s">
        <v>4191</v>
      </c>
      <c r="N23" s="192" t="str">
        <f ca="1">IF(Feb_2025_SotM[[#This Row],[Num]]&gt;=$A$19, "-", IF(Feb_2025_SotM[[#This Row],[Initial 1]], VLOOKUP(Feb_2025_SotM[[#This Row],[Top Seed]], $Z$20:$AE$35, 6, FALSE), OFFSET(Feb_2025_SotM[[#This Row],[Winner]], Feb_2025_SotM[[#This Row],[Max Seed]], 0)))</f>
        <v>Busy Woman</v>
      </c>
      <c r="O23" s="105">
        <f>COUNTIF(Feb_2025_SotM[[#This Row],[J]:[H]],"x")</f>
        <v>3</v>
      </c>
      <c r="P23" s="115" t="str">
        <f ca="1">IF(Feb_2025_SotM[[#This Row],[Num]]&gt;=$A$19, "-", IF(Feb_2025_SotM[[#This Row],[Score 1]]&gt;=3, Feb_2025_SotM[[#This Row],[Song 1]], IF(Feb_2025_SotM[[#This Row],[Score 2]]&gt;=3, Feb_2025_SotM[[#This Row],[Song 2]], "TBD")))</f>
        <v>Busy Woman</v>
      </c>
      <c r="Q23" s="193">
        <f>COUNTIF(Feb_2025_SotM[[#This Row],[H ]:[J ]],"x")</f>
        <v>2</v>
      </c>
      <c r="R23" s="105" t="str">
        <f ca="1">IF(Feb_2025_SotM[[#This Row],[Num]]&gt;=$A$19, "-", IF(Feb_2025_SotM[[#This Row],[Initial 2]], VLOOKUP(Feb_2025_SotM[[#This Row],[Low Seed]], $Z$20:$AE$35, 6, FALSE), OFFSET(Feb_2025_SotM[[#This Row],[Winner]], 2*(Feb_2025_SotM[[#This Row],[Max Seed]]-Feb_2025_SotM[[#This Row],[Low Seed]])+1, 0)))</f>
        <v>bitter</v>
      </c>
      <c r="S23" s="37"/>
      <c r="T23" s="35"/>
      <c r="U23" s="33" t="s">
        <v>4191</v>
      </c>
      <c r="V23" s="31" t="s">
        <v>4191</v>
      </c>
      <c r="W23" s="28"/>
      <c r="X23" s="115" t="str">
        <f ca="1">IF(OR(Feb_2025_SotM[[#This Row],[Song 1]]="TBD", Feb_2025_SotM[[#This Row],[Song 2]]="TBD"), "TBD", _xlfn.CONCAT(IF(_xlfn.XOR(ISBLANK(Feb_2025_SotM[[#This Row],[J]]), ISBLANK(Feb_2025_SotM[[#This Row],[J ]])), "", "J "), IF(_xlfn.XOR(ISBLANK(Feb_2025_SotM[[#This Row],[D]]), ISBLANK(Feb_2025_SotM[[#This Row],[D ]])), "", "D "), IF(_xlfn.XOR(ISBLANK(Feb_2025_SotM[[#This Row],[L]]), ISBLANK(Feb_2025_SotM[[#This Row],[L ]])), "", "L "), IF(_xlfn.XOR(ISBLANK(Feb_2025_SotM[[#This Row],[S]]), ISBLANK(Feb_2025_SotM[[#This Row],[S ]])), "", "S "), IF(_xlfn.XOR(ISBLANK(Feb_2025_SotM[[#This Row],[H]]), ISBLANK(Feb_2025_SotM[[#This Row],[H ]])), "", "H ")))</f>
        <v/>
      </c>
      <c r="Z23" s="109">
        <f t="shared" si="7"/>
        <v>11</v>
      </c>
      <c r="AA23" s="59">
        <v>45694</v>
      </c>
      <c r="AB23" t="str">
        <v>currydestroyer27</v>
      </c>
      <c r="AC23" s="3">
        <v>2.2000000000000002</v>
      </c>
      <c r="AD23">
        <v>1.1661903789690602</v>
      </c>
      <c r="AE23" t="str">
        <v>スパイラル</v>
      </c>
      <c r="AF23" t="str">
        <v>KANA-BOON</v>
      </c>
      <c r="AG23" s="100">
        <f t="shared" si="8"/>
        <v>9</v>
      </c>
      <c r="AI23" s="115">
        <f>Feb_2025_SotM[[#This Row],[Max Seed]]/2 + 1</f>
        <v>3</v>
      </c>
      <c r="AJ23" s="105" t="str">
        <f ca="1">IF(Feb_2025_SotM[[#This Row],[Num]]&gt;=$A$19, "-", IF(Feb_2025_SotM[[#This Row],[Score 1]]&gt;=3, Feb_2025_SotM[[#This Row],[Song 2]], IF(Feb_2025_SotM[[#This Row],[Score 2]]&gt;=3, Feb_2025_SotM[[#This Row],[Song 1]], "TBD")))</f>
        <v>bitter</v>
      </c>
      <c r="AK23" s="3">
        <f ca="1">IFERROR(VLOOKUP(Feb_2025_Results[[#This Row],[Song Title]], $AE$20:$AG$35, 3, FALSE)-Feb_2025_Results[[#This Row],[Result]], "TBD")</f>
        <v>2</v>
      </c>
      <c r="AL23" s="3" t="str">
        <f t="shared" ca="1" si="9"/>
        <v>↑</v>
      </c>
    </row>
    <row r="24" spans="1:38">
      <c r="A24" s="105" t="str">
        <f>_xlfn.CONCAT("Seed ", Feb_2025_SotM[[#This Row],[Top Seed]], " vs ",Feb_2025_SotM[[#This Row],[Low Seed]])</f>
        <v>Seed 4 vs 5</v>
      </c>
      <c r="B24" s="115">
        <v>4</v>
      </c>
      <c r="C24" s="105">
        <f>FLOOR(LOG(Feb_2025_SotM[[#This Row],[Num]], 2), 1)</f>
        <v>2</v>
      </c>
      <c r="D24" s="105">
        <f>2^(Feb_2025_SotM[[#This Row],[Round]]+1)</f>
        <v>8</v>
      </c>
      <c r="E24" s="105">
        <f>Feb_2025_SotM[[#This Row],[Max Seed]]-Feb_2025_SotM[[#This Row],[Num]]</f>
        <v>4</v>
      </c>
      <c r="F24" s="105">
        <f>Feb_2025_SotM[[#This Row],[Max Seed]]-Feb_2025_SotM[[#This Row],[Top Seed]]+1</f>
        <v>5</v>
      </c>
      <c r="G24" s="105" t="b">
        <f>IF(Feb_2025_SotM[[#This Row],[Round]]=$C$19, TRUE(), IF(Feb_2025_SotM[[#This Row],[Round]]=$B$19, Feb_2025_SotM[[#This Row],[Top Seed]]&lt;=2*Feb_2025_SotM[[#This Row],[Max Seed]]-$A$19, FALSE()))</f>
        <v>0</v>
      </c>
      <c r="H24" s="105" t="b">
        <f>IF(Feb_2025_SotM[[#This Row],[Round]]=$C$19, TRUE(), IF(Feb_2025_SotM[[#This Row],[Round]]=$B$19, Feb_2025_SotM[[#This Row],[Low Seed]]&lt;=2*Feb_2025_SotM[[#This Row],[Max Seed]]-$A$19, FALSE()))</f>
        <v>0</v>
      </c>
      <c r="I24" s="28" t="s">
        <v>4191</v>
      </c>
      <c r="J24" s="31"/>
      <c r="K24" s="33"/>
      <c r="L24" s="35"/>
      <c r="M24" s="37" t="s">
        <v>4191</v>
      </c>
      <c r="N24" s="192" t="str">
        <f ca="1">IF(Feb_2025_SotM[[#This Row],[Num]]&gt;=$A$19, "-", IF(Feb_2025_SotM[[#This Row],[Initial 1]], VLOOKUP(Feb_2025_SotM[[#This Row],[Top Seed]], $Z$20:$AE$35, 6, FALSE), OFFSET(Feb_2025_SotM[[#This Row],[Winner]], Feb_2025_SotM[[#This Row],[Max Seed]], 0)))</f>
        <v>Supernova</v>
      </c>
      <c r="O24" s="105">
        <f>COUNTIF(Feb_2025_SotM[[#This Row],[J]:[H]],"x")</f>
        <v>2</v>
      </c>
      <c r="P24" s="115" t="str">
        <f ca="1">IF(Feb_2025_SotM[[#This Row],[Num]]&gt;=$A$19, "-", IF(Feb_2025_SotM[[#This Row],[Score 1]]&gt;=3, Feb_2025_SotM[[#This Row],[Song 1]], IF(Feb_2025_SotM[[#This Row],[Score 2]]&gt;=3, Feb_2025_SotM[[#This Row],[Song 2]], "TBD")))</f>
        <v>bitter</v>
      </c>
      <c r="Q24" s="193">
        <f>COUNTIF(Feb_2025_SotM[[#This Row],[H ]:[J ]],"x")</f>
        <v>3</v>
      </c>
      <c r="R24" s="105" t="str">
        <f ca="1">IF(Feb_2025_SotM[[#This Row],[Num]]&gt;=$A$19, "-", IF(Feb_2025_SotM[[#This Row],[Initial 2]], VLOOKUP(Feb_2025_SotM[[#This Row],[Low Seed]], $Z$20:$AE$35, 6, FALSE), OFFSET(Feb_2025_SotM[[#This Row],[Winner]], 2*(Feb_2025_SotM[[#This Row],[Max Seed]]-Feb_2025_SotM[[#This Row],[Low Seed]])+1, 0)))</f>
        <v>bitter</v>
      </c>
      <c r="S24" s="37"/>
      <c r="T24" s="35" t="s">
        <v>4191</v>
      </c>
      <c r="U24" s="33" t="s">
        <v>4191</v>
      </c>
      <c r="V24" s="31" t="s">
        <v>4191</v>
      </c>
      <c r="W24" s="28"/>
      <c r="X24" s="115" t="str">
        <f ca="1">IF(OR(Feb_2025_SotM[[#This Row],[Song 1]]="TBD", Feb_2025_SotM[[#This Row],[Song 2]]="TBD"), "TBD", _xlfn.CONCAT(IF(_xlfn.XOR(ISBLANK(Feb_2025_SotM[[#This Row],[J]]), ISBLANK(Feb_2025_SotM[[#This Row],[J ]])), "", "J "), IF(_xlfn.XOR(ISBLANK(Feb_2025_SotM[[#This Row],[D]]), ISBLANK(Feb_2025_SotM[[#This Row],[D ]])), "", "D "), IF(_xlfn.XOR(ISBLANK(Feb_2025_SotM[[#This Row],[L]]), ISBLANK(Feb_2025_SotM[[#This Row],[L ]])), "", "L "), IF(_xlfn.XOR(ISBLANK(Feb_2025_SotM[[#This Row],[S]]), ISBLANK(Feb_2025_SotM[[#This Row],[S ]])), "", "S "), IF(_xlfn.XOR(ISBLANK(Feb_2025_SotM[[#This Row],[H]]), ISBLANK(Feb_2025_SotM[[#This Row],[H ]])), "", "H ")))</f>
        <v/>
      </c>
      <c r="Z24" s="109">
        <f t="shared" si="7"/>
        <v>5</v>
      </c>
      <c r="AA24" s="59">
        <v>45698</v>
      </c>
      <c r="AB24" t="str">
        <v>samuelbattista</v>
      </c>
      <c r="AC24" s="3">
        <v>2</v>
      </c>
      <c r="AD24">
        <v>1.2649110640673518</v>
      </c>
      <c r="AE24" t="str">
        <v>bitter</v>
      </c>
      <c r="AF24" t="str">
        <v>Internet Girl, Payday</v>
      </c>
      <c r="AG24" s="100">
        <f t="shared" si="8"/>
        <v>5</v>
      </c>
      <c r="AI24" s="115">
        <f>Feb_2025_SotM[[#This Row],[Max Seed]]/2 + 1</f>
        <v>5</v>
      </c>
      <c r="AJ24" s="105" t="str">
        <f ca="1">IF(Feb_2025_SotM[[#This Row],[Num]]&gt;=$A$19, "-", IF(Feb_2025_SotM[[#This Row],[Score 1]]&gt;=3, Feb_2025_SotM[[#This Row],[Song 2]], IF(Feb_2025_SotM[[#This Row],[Score 2]]&gt;=3, Feb_2025_SotM[[#This Row],[Song 1]], "TBD")))</f>
        <v>Supernova</v>
      </c>
      <c r="AK24" s="3">
        <f ca="1">IFERROR(VLOOKUP(Feb_2025_Results[[#This Row],[Song Title]], $AE$20:$AG$35, 3, FALSE)-Feb_2025_Results[[#This Row],[Result]], "TBD")</f>
        <v>-2</v>
      </c>
      <c r="AL24" s="3" t="str">
        <f t="shared" ca="1" si="9"/>
        <v>↓</v>
      </c>
    </row>
    <row r="25" spans="1:38">
      <c r="A25" s="105" t="str">
        <f>_xlfn.CONCAT("Seed ", Feb_2025_SotM[[#This Row],[Top Seed]], " vs ",Feb_2025_SotM[[#This Row],[Low Seed]])</f>
        <v>Seed 3 vs 6</v>
      </c>
      <c r="B25" s="115">
        <v>5</v>
      </c>
      <c r="C25" s="105">
        <f>FLOOR(LOG(Feb_2025_SotM[[#This Row],[Num]], 2), 1)</f>
        <v>2</v>
      </c>
      <c r="D25" s="105">
        <f>2^(Feb_2025_SotM[[#This Row],[Round]]+1)</f>
        <v>8</v>
      </c>
      <c r="E25" s="105">
        <f>Feb_2025_SotM[[#This Row],[Max Seed]]-Feb_2025_SotM[[#This Row],[Num]]</f>
        <v>3</v>
      </c>
      <c r="F25" s="105">
        <f>Feb_2025_SotM[[#This Row],[Max Seed]]-Feb_2025_SotM[[#This Row],[Top Seed]]+1</f>
        <v>6</v>
      </c>
      <c r="G25" s="105" t="b">
        <f>IF(Feb_2025_SotM[[#This Row],[Round]]=$C$19, TRUE(), IF(Feb_2025_SotM[[#This Row],[Round]]=$B$19, Feb_2025_SotM[[#This Row],[Top Seed]]&lt;=2*Feb_2025_SotM[[#This Row],[Max Seed]]-$A$19, FALSE()))</f>
        <v>0</v>
      </c>
      <c r="H25" s="105" t="b">
        <f>IF(Feb_2025_SotM[[#This Row],[Round]]=$C$19, TRUE(), IF(Feb_2025_SotM[[#This Row],[Round]]=$B$19, Feb_2025_SotM[[#This Row],[Low Seed]]&lt;=2*Feb_2025_SotM[[#This Row],[Max Seed]]-$A$19, FALSE()))</f>
        <v>0</v>
      </c>
      <c r="I25" s="28" t="s">
        <v>4191</v>
      </c>
      <c r="J25" s="31"/>
      <c r="K25" s="33"/>
      <c r="L25" s="35"/>
      <c r="M25" s="37" t="s">
        <v>4191</v>
      </c>
      <c r="N25" s="192" t="str">
        <f ca="1">IF(Feb_2025_SotM[[#This Row],[Num]]&gt;=$A$19, "-", IF(Feb_2025_SotM[[#This Row],[Initial 1]], VLOOKUP(Feb_2025_SotM[[#This Row],[Top Seed]], $Z$20:$AE$35, 6, FALSE), OFFSET(Feb_2025_SotM[[#This Row],[Winner]], Feb_2025_SotM[[#This Row],[Max Seed]], 0)))</f>
        <v>Senorita</v>
      </c>
      <c r="O25" s="105">
        <f>COUNTIF(Feb_2025_SotM[[#This Row],[J]:[H]],"x")</f>
        <v>2</v>
      </c>
      <c r="P25" s="115" t="str">
        <f ca="1">IF(Feb_2025_SotM[[#This Row],[Num]]&gt;=$A$19, "-", IF(Feb_2025_SotM[[#This Row],[Score 1]]&gt;=3, Feb_2025_SotM[[#This Row],[Song 1]], IF(Feb_2025_SotM[[#This Row],[Score 2]]&gt;=3, Feb_2025_SotM[[#This Row],[Song 2]], "TBD")))</f>
        <v>Smells Like Teen Spirit</v>
      </c>
      <c r="Q25" s="193">
        <f>COUNTIF(Feb_2025_SotM[[#This Row],[H ]:[J ]],"x")</f>
        <v>3</v>
      </c>
      <c r="R25" s="105" t="str">
        <f ca="1">IF(Feb_2025_SotM[[#This Row],[Num]]&gt;=$A$19, "-", IF(Feb_2025_SotM[[#This Row],[Initial 2]], VLOOKUP(Feb_2025_SotM[[#This Row],[Low Seed]], $Z$20:$AE$35, 6, FALSE), OFFSET(Feb_2025_SotM[[#This Row],[Winner]], 2*(Feb_2025_SotM[[#This Row],[Max Seed]]-Feb_2025_SotM[[#This Row],[Low Seed]])+1, 0)))</f>
        <v>Smells Like Teen Spirit</v>
      </c>
      <c r="S25" s="37"/>
      <c r="T25" s="35" t="s">
        <v>4191</v>
      </c>
      <c r="U25" s="33" t="s">
        <v>4191</v>
      </c>
      <c r="V25" s="31" t="s">
        <v>4191</v>
      </c>
      <c r="W25" s="28"/>
      <c r="X25" s="115" t="str">
        <f ca="1">IF(OR(Feb_2025_SotM[[#This Row],[Song 1]]="TBD", Feb_2025_SotM[[#This Row],[Song 2]]="TBD"), "TBD", _xlfn.CONCAT(IF(_xlfn.XOR(ISBLANK(Feb_2025_SotM[[#This Row],[J]]), ISBLANK(Feb_2025_SotM[[#This Row],[J ]])), "", "J "), IF(_xlfn.XOR(ISBLANK(Feb_2025_SotM[[#This Row],[D]]), ISBLANK(Feb_2025_SotM[[#This Row],[D ]])), "", "D "), IF(_xlfn.XOR(ISBLANK(Feb_2025_SotM[[#This Row],[L]]), ISBLANK(Feb_2025_SotM[[#This Row],[L ]])), "", "L "), IF(_xlfn.XOR(ISBLANK(Feb_2025_SotM[[#This Row],[S]]), ISBLANK(Feb_2025_SotM[[#This Row],[S ]])), "", "S "), IF(_xlfn.XOR(ISBLANK(Feb_2025_SotM[[#This Row],[H]]), ISBLANK(Feb_2025_SotM[[#This Row],[H ]])), "", "H ")))</f>
        <v/>
      </c>
      <c r="Z25" s="109">
        <f t="shared" si="7"/>
        <v>16</v>
      </c>
      <c r="AA25" s="59">
        <v>45699</v>
      </c>
      <c r="AB25" t="str">
        <v>samuelbattista</v>
      </c>
      <c r="AC25" s="3">
        <v>2.4</v>
      </c>
      <c r="AD25">
        <v>1.4966629547095767</v>
      </c>
      <c r="AE25" t="str">
        <v>burbank house</v>
      </c>
      <c r="AF25" t="str">
        <v>tsubi club</v>
      </c>
      <c r="AG25" s="100">
        <f t="shared" si="8"/>
        <v>9</v>
      </c>
      <c r="AI25" s="115">
        <f>Feb_2025_SotM[[#This Row],[Max Seed]]/2 + 1</f>
        <v>5</v>
      </c>
      <c r="AJ25" s="105" t="str">
        <f ca="1">IF(Feb_2025_SotM[[#This Row],[Num]]&gt;=$A$19, "-", IF(Feb_2025_SotM[[#This Row],[Score 1]]&gt;=3, Feb_2025_SotM[[#This Row],[Song 2]], IF(Feb_2025_SotM[[#This Row],[Score 2]]&gt;=3, Feb_2025_SotM[[#This Row],[Song 1]], "TBD")))</f>
        <v>Senorita</v>
      </c>
      <c r="AK25" s="3">
        <f ca="1">IFERROR(VLOOKUP(Feb_2025_Results[[#This Row],[Song Title]], $AE$20:$AG$35, 3, FALSE)-Feb_2025_Results[[#This Row],[Result]], "TBD")</f>
        <v>-2</v>
      </c>
      <c r="AL25" s="3" t="str">
        <f t="shared" ca="1" si="9"/>
        <v>↓</v>
      </c>
    </row>
    <row r="26" spans="1:38">
      <c r="A26" s="105" t="str">
        <f>_xlfn.CONCAT("Seed ", Feb_2025_SotM[[#This Row],[Top Seed]], " vs ",Feb_2025_SotM[[#This Row],[Low Seed]])</f>
        <v>Seed 2 vs 7</v>
      </c>
      <c r="B26" s="115">
        <v>6</v>
      </c>
      <c r="C26" s="105">
        <f>FLOOR(LOG(Feb_2025_SotM[[#This Row],[Num]], 2), 1)</f>
        <v>2</v>
      </c>
      <c r="D26" s="105">
        <f>2^(Feb_2025_SotM[[#This Row],[Round]]+1)</f>
        <v>8</v>
      </c>
      <c r="E26" s="105">
        <f>Feb_2025_SotM[[#This Row],[Max Seed]]-Feb_2025_SotM[[#This Row],[Num]]</f>
        <v>2</v>
      </c>
      <c r="F26" s="105">
        <f>Feb_2025_SotM[[#This Row],[Max Seed]]-Feb_2025_SotM[[#This Row],[Top Seed]]+1</f>
        <v>7</v>
      </c>
      <c r="G26" s="105" t="b">
        <f>IF(Feb_2025_SotM[[#This Row],[Round]]=$C$19, TRUE(), IF(Feb_2025_SotM[[#This Row],[Round]]=$B$19, Feb_2025_SotM[[#This Row],[Top Seed]]&lt;=2*Feb_2025_SotM[[#This Row],[Max Seed]]-$A$19, FALSE()))</f>
        <v>0</v>
      </c>
      <c r="H26" s="105" t="b">
        <f>IF(Feb_2025_SotM[[#This Row],[Round]]=$C$19, TRUE(), IF(Feb_2025_SotM[[#This Row],[Round]]=$B$19, Feb_2025_SotM[[#This Row],[Low Seed]]&lt;=2*Feb_2025_SotM[[#This Row],[Max Seed]]-$A$19, FALSE()))</f>
        <v>0</v>
      </c>
      <c r="I26" s="28"/>
      <c r="J26" s="31" t="s">
        <v>4191</v>
      </c>
      <c r="K26" s="33"/>
      <c r="L26" s="35"/>
      <c r="M26" s="37" t="s">
        <v>4191</v>
      </c>
      <c r="N26" s="192" t="str">
        <f ca="1">IF(Feb_2025_SotM[[#This Row],[Num]]&gt;=$A$19, "-", IF(Feb_2025_SotM[[#This Row],[Initial 1]], VLOOKUP(Feb_2025_SotM[[#This Row],[Top Seed]], $Z$20:$AE$35, 6, FALSE), OFFSET(Feb_2025_SotM[[#This Row],[Winner]], Feb_2025_SotM[[#This Row],[Max Seed]], 0)))</f>
        <v>Locked out of Heaven</v>
      </c>
      <c r="O26" s="105">
        <f>COUNTIF(Feb_2025_SotM[[#This Row],[J]:[H]],"x")</f>
        <v>2</v>
      </c>
      <c r="P26" s="115" t="str">
        <f ca="1">IF(Feb_2025_SotM[[#This Row],[Num]]&gt;=$A$19, "-", IF(Feb_2025_SotM[[#This Row],[Score 1]]&gt;=3, Feb_2025_SotM[[#This Row],[Song 1]], IF(Feb_2025_SotM[[#This Row],[Score 2]]&gt;=3, Feb_2025_SotM[[#This Row],[Song 2]], "TBD")))</f>
        <v>Stay Right Here</v>
      </c>
      <c r="Q26" s="193">
        <f>COUNTIF(Feb_2025_SotM[[#This Row],[H ]:[J ]],"x")</f>
        <v>3</v>
      </c>
      <c r="R26" s="105" t="str">
        <f ca="1">IF(Feb_2025_SotM[[#This Row],[Num]]&gt;=$A$19, "-", IF(Feb_2025_SotM[[#This Row],[Initial 2]], VLOOKUP(Feb_2025_SotM[[#This Row],[Low Seed]], $Z$20:$AE$35, 6, FALSE), OFFSET(Feb_2025_SotM[[#This Row],[Winner]], 2*(Feb_2025_SotM[[#This Row],[Max Seed]]-Feb_2025_SotM[[#This Row],[Low Seed]])+1, 0)))</f>
        <v>Stay Right Here</v>
      </c>
      <c r="S26" s="37"/>
      <c r="T26" s="35" t="s">
        <v>4191</v>
      </c>
      <c r="U26" s="33" t="s">
        <v>4191</v>
      </c>
      <c r="V26" s="31"/>
      <c r="W26" s="28" t="s">
        <v>4191</v>
      </c>
      <c r="X26" s="115" t="str">
        <f ca="1">IF(OR(Feb_2025_SotM[[#This Row],[Song 1]]="TBD", Feb_2025_SotM[[#This Row],[Song 2]]="TBD"), "TBD", _xlfn.CONCAT(IF(_xlfn.XOR(ISBLANK(Feb_2025_SotM[[#This Row],[J]]), ISBLANK(Feb_2025_SotM[[#This Row],[J ]])), "", "J "), IF(_xlfn.XOR(ISBLANK(Feb_2025_SotM[[#This Row],[D]]), ISBLANK(Feb_2025_SotM[[#This Row],[D ]])), "", "D "), IF(_xlfn.XOR(ISBLANK(Feb_2025_SotM[[#This Row],[L]]), ISBLANK(Feb_2025_SotM[[#This Row],[L ]])), "", "L "), IF(_xlfn.XOR(ISBLANK(Feb_2025_SotM[[#This Row],[S]]), ISBLANK(Feb_2025_SotM[[#This Row],[S ]])), "", "S "), IF(_xlfn.XOR(ISBLANK(Feb_2025_SotM[[#This Row],[H]]), ISBLANK(Feb_2025_SotM[[#This Row],[H ]])), "", "H ")))</f>
        <v/>
      </c>
      <c r="Z26" s="109">
        <f t="shared" si="7"/>
        <v>13</v>
      </c>
      <c r="AA26" s="59">
        <v>45700</v>
      </c>
      <c r="AB26" t="str">
        <v>alappatjoe</v>
      </c>
      <c r="AC26" s="3">
        <v>2.4</v>
      </c>
      <c r="AD26">
        <v>1.019803902718557</v>
      </c>
      <c r="AE26" t="str">
        <v>Born Again</v>
      </c>
      <c r="AF26" t="str">
        <v>LISA, Doja Cat, RAYE</v>
      </c>
      <c r="AG26" s="100">
        <f t="shared" si="8"/>
        <v>9</v>
      </c>
      <c r="AI26" s="115">
        <f>Feb_2025_SotM[[#This Row],[Max Seed]]/2 + 1</f>
        <v>5</v>
      </c>
      <c r="AJ26" s="105" t="str">
        <f ca="1">IF(Feb_2025_SotM[[#This Row],[Num]]&gt;=$A$19, "-", IF(Feb_2025_SotM[[#This Row],[Score 1]]&gt;=3, Feb_2025_SotM[[#This Row],[Song 2]], IF(Feb_2025_SotM[[#This Row],[Score 2]]&gt;=3, Feb_2025_SotM[[#This Row],[Song 1]], "TBD")))</f>
        <v>Locked out of Heaven</v>
      </c>
      <c r="AK26" s="3">
        <f ca="1">IFERROR(VLOOKUP(Feb_2025_Results[[#This Row],[Song Title]], $AE$20:$AG$35, 3, FALSE)-Feb_2025_Results[[#This Row],[Result]], "TBD")</f>
        <v>4</v>
      </c>
      <c r="AL26" s="3" t="str">
        <f t="shared" ca="1" si="9"/>
        <v>↑</v>
      </c>
    </row>
    <row r="27" spans="1:38">
      <c r="A27" s="105" t="str">
        <f>_xlfn.CONCAT("Seed ", Feb_2025_SotM[[#This Row],[Top Seed]], " vs ",Feb_2025_SotM[[#This Row],[Low Seed]])</f>
        <v>Seed 1 vs 8</v>
      </c>
      <c r="B27" s="115">
        <v>7</v>
      </c>
      <c r="C27" s="105">
        <f>FLOOR(LOG(Feb_2025_SotM[[#This Row],[Num]], 2), 1)</f>
        <v>2</v>
      </c>
      <c r="D27" s="105">
        <f>2^(Feb_2025_SotM[[#This Row],[Round]]+1)</f>
        <v>8</v>
      </c>
      <c r="E27" s="105">
        <f>Feb_2025_SotM[[#This Row],[Max Seed]]-Feb_2025_SotM[[#This Row],[Num]]</f>
        <v>1</v>
      </c>
      <c r="F27" s="105">
        <f>Feb_2025_SotM[[#This Row],[Max Seed]]-Feb_2025_SotM[[#This Row],[Top Seed]]+1</f>
        <v>8</v>
      </c>
      <c r="G27" s="105" t="b">
        <f>IF(Feb_2025_SotM[[#This Row],[Round]]=$C$19, TRUE(), IF(Feb_2025_SotM[[#This Row],[Round]]=$B$19, Feb_2025_SotM[[#This Row],[Top Seed]]&lt;=2*Feb_2025_SotM[[#This Row],[Max Seed]]-$A$19, FALSE()))</f>
        <v>0</v>
      </c>
      <c r="H27" s="105" t="b">
        <f>IF(Feb_2025_SotM[[#This Row],[Round]]=$C$19, TRUE(), IF(Feb_2025_SotM[[#This Row],[Round]]=$B$19, Feb_2025_SotM[[#This Row],[Low Seed]]&lt;=2*Feb_2025_SotM[[#This Row],[Max Seed]]-$A$19, FALSE()))</f>
        <v>0</v>
      </c>
      <c r="I27" s="28"/>
      <c r="J27" s="31"/>
      <c r="K27" s="33"/>
      <c r="L27" s="35"/>
      <c r="M27" s="37"/>
      <c r="N27" s="192" t="str">
        <f ca="1">IF(Feb_2025_SotM[[#This Row],[Num]]&gt;=$A$19, "-", IF(Feb_2025_SotM[[#This Row],[Initial 1]], VLOOKUP(Feb_2025_SotM[[#This Row],[Top Seed]], $Z$20:$AE$35, 6, FALSE), OFFSET(Feb_2025_SotM[[#This Row],[Winner]], Feb_2025_SotM[[#This Row],[Max Seed]], 0)))</f>
        <v>burbank house</v>
      </c>
      <c r="O27" s="105">
        <f>COUNTIF(Feb_2025_SotM[[#This Row],[J]:[H]],"x")</f>
        <v>0</v>
      </c>
      <c r="P27" s="115" t="str">
        <f ca="1">IF(Feb_2025_SotM[[#This Row],[Num]]&gt;=$A$19, "-", IF(Feb_2025_SotM[[#This Row],[Score 1]]&gt;=3, Feb_2025_SotM[[#This Row],[Song 1]], IF(Feb_2025_SotM[[#This Row],[Score 2]]&gt;=3, Feb_2025_SotM[[#This Row],[Song 2]], "TBD")))</f>
        <v>Busy Woman</v>
      </c>
      <c r="Q27" s="193">
        <f>COUNTIF(Feb_2025_SotM[[#This Row],[H ]:[J ]],"x")</f>
        <v>5</v>
      </c>
      <c r="R27" s="105" t="str">
        <f ca="1">IF(Feb_2025_SotM[[#This Row],[Num]]&gt;=$A$19, "-", IF(Feb_2025_SotM[[#This Row],[Initial 2]], VLOOKUP(Feb_2025_SotM[[#This Row],[Low Seed]], $Z$20:$AE$35, 6, FALSE), OFFSET(Feb_2025_SotM[[#This Row],[Winner]], 2*(Feb_2025_SotM[[#This Row],[Max Seed]]-Feb_2025_SotM[[#This Row],[Low Seed]])+1, 0)))</f>
        <v>Busy Woman</v>
      </c>
      <c r="S27" s="37" t="s">
        <v>4191</v>
      </c>
      <c r="T27" s="35" t="s">
        <v>4191</v>
      </c>
      <c r="U27" s="33" t="s">
        <v>4191</v>
      </c>
      <c r="V27" s="31" t="s">
        <v>4191</v>
      </c>
      <c r="W27" s="28" t="s">
        <v>4191</v>
      </c>
      <c r="X27" s="115" t="str">
        <f ca="1">IF(OR(Feb_2025_SotM[[#This Row],[Song 1]]="TBD", Feb_2025_SotM[[#This Row],[Song 2]]="TBD"), "TBD", _xlfn.CONCAT(IF(_xlfn.XOR(ISBLANK(Feb_2025_SotM[[#This Row],[J]]), ISBLANK(Feb_2025_SotM[[#This Row],[J ]])), "", "J "), IF(_xlfn.XOR(ISBLANK(Feb_2025_SotM[[#This Row],[D]]), ISBLANK(Feb_2025_SotM[[#This Row],[D ]])), "", "D "), IF(_xlfn.XOR(ISBLANK(Feb_2025_SotM[[#This Row],[L]]), ISBLANK(Feb_2025_SotM[[#This Row],[L ]])), "", "L "), IF(_xlfn.XOR(ISBLANK(Feb_2025_SotM[[#This Row],[S]]), ISBLANK(Feb_2025_SotM[[#This Row],[S ]])), "", "S "), IF(_xlfn.XOR(ISBLANK(Feb_2025_SotM[[#This Row],[H]]), ISBLANK(Feb_2025_SotM[[#This Row],[H ]])), "", "H ")))</f>
        <v/>
      </c>
      <c r="Z27" s="109">
        <f t="shared" si="7"/>
        <v>14</v>
      </c>
      <c r="AA27" s="59">
        <v>45701</v>
      </c>
      <c r="AB27" t="str">
        <v>loganworsdell</v>
      </c>
      <c r="AC27" s="3">
        <v>2.4</v>
      </c>
      <c r="AD27">
        <v>1.019803902718557</v>
      </c>
      <c r="AE27" t="str">
        <v>shhhhhhh...</v>
      </c>
      <c r="AF27" t="str">
        <v>WEAN, tlinh</v>
      </c>
      <c r="AG27" s="100">
        <f t="shared" si="8"/>
        <v>9</v>
      </c>
      <c r="AI27" s="115">
        <f>Feb_2025_SotM[[#This Row],[Max Seed]]/2 + 1</f>
        <v>5</v>
      </c>
      <c r="AJ27" s="105" t="str">
        <f ca="1">IF(Feb_2025_SotM[[#This Row],[Num]]&gt;=$A$19, "-", IF(Feb_2025_SotM[[#This Row],[Score 1]]&gt;=3, Feb_2025_SotM[[#This Row],[Song 2]], IF(Feb_2025_SotM[[#This Row],[Score 2]]&gt;=3, Feb_2025_SotM[[#This Row],[Song 1]], "TBD")))</f>
        <v>burbank house</v>
      </c>
      <c r="AK27" s="3">
        <f ca="1">IFERROR(VLOOKUP(Feb_2025_Results[[#This Row],[Song Title]], $AE$20:$AG$35, 3, FALSE)-Feb_2025_Results[[#This Row],[Result]], "TBD")</f>
        <v>4</v>
      </c>
      <c r="AL27" s="3" t="str">
        <f t="shared" ca="1" si="9"/>
        <v>↑</v>
      </c>
    </row>
    <row r="28" spans="1:38">
      <c r="A28" s="105" t="str">
        <f>_xlfn.CONCAT("Seed ", Feb_2025_SotM[[#This Row],[Top Seed]], " vs ",Feb_2025_SotM[[#This Row],[Low Seed]])</f>
        <v>Seed 8 vs 9</v>
      </c>
      <c r="B28" s="115">
        <v>8</v>
      </c>
      <c r="C28" s="105">
        <f>FLOOR(LOG(Feb_2025_SotM[[#This Row],[Num]], 2), 1)</f>
        <v>3</v>
      </c>
      <c r="D28" s="105">
        <f>2^(Feb_2025_SotM[[#This Row],[Round]]+1)</f>
        <v>16</v>
      </c>
      <c r="E28" s="105">
        <f>Feb_2025_SotM[[#This Row],[Max Seed]]-Feb_2025_SotM[[#This Row],[Num]]</f>
        <v>8</v>
      </c>
      <c r="F28" s="105">
        <f>Feb_2025_SotM[[#This Row],[Max Seed]]-Feb_2025_SotM[[#This Row],[Top Seed]]+1</f>
        <v>9</v>
      </c>
      <c r="G28" s="105" t="b">
        <f>IF(Feb_2025_SotM[[#This Row],[Round]]=$C$19, TRUE(), IF(Feb_2025_SotM[[#This Row],[Round]]=$B$19, Feb_2025_SotM[[#This Row],[Top Seed]]&lt;=2*Feb_2025_SotM[[#This Row],[Max Seed]]-$A$19, FALSE()))</f>
        <v>1</v>
      </c>
      <c r="H28" s="105" t="b">
        <f>IF(Feb_2025_SotM[[#This Row],[Round]]=$C$19, TRUE(), IF(Feb_2025_SotM[[#This Row],[Round]]=$B$19, Feb_2025_SotM[[#This Row],[Low Seed]]&lt;=2*Feb_2025_SotM[[#This Row],[Max Seed]]-$A$19, FALSE()))</f>
        <v>1</v>
      </c>
      <c r="I28" s="28"/>
      <c r="J28" s="31"/>
      <c r="K28" s="33" t="s">
        <v>4191</v>
      </c>
      <c r="L28" s="35"/>
      <c r="M28" s="37" t="s">
        <v>4191</v>
      </c>
      <c r="N28" s="192" t="str">
        <f ca="1">IF(Feb_2025_SotM[[#This Row],[Num]]&gt;=$A$19, "-", IF(Feb_2025_SotM[[#This Row],[Initial 1]], VLOOKUP(Feb_2025_SotM[[#This Row],[Top Seed]], $Z$20:$AE$35, 6, FALSE), OFFSET(Feb_2025_SotM[[#This Row],[Winner]], Feb_2025_SotM[[#This Row],[Max Seed]], 0)))</f>
        <v>Fantasy</v>
      </c>
      <c r="O28" s="105">
        <f>COUNTIF(Feb_2025_SotM[[#This Row],[J]:[H]],"x")</f>
        <v>2</v>
      </c>
      <c r="P28" s="115" t="str">
        <f ca="1">IF(Feb_2025_SotM[[#This Row],[Num]]&gt;=$A$19, "-", IF(Feb_2025_SotM[[#This Row],[Score 1]]&gt;=3, Feb_2025_SotM[[#This Row],[Song 1]], IF(Feb_2025_SotM[[#This Row],[Score 2]]&gt;=3, Feb_2025_SotM[[#This Row],[Song 2]], "TBD")))</f>
        <v>Busy Woman</v>
      </c>
      <c r="Q28" s="193">
        <f>COUNTIF(Feb_2025_SotM[[#This Row],[H ]:[J ]],"x")</f>
        <v>3</v>
      </c>
      <c r="R28" s="105" t="str">
        <f ca="1">IF(Feb_2025_SotM[[#This Row],[Num]]&gt;=$A$19, "-", IF(Feb_2025_SotM[[#This Row],[Initial 2]], VLOOKUP(Feb_2025_SotM[[#This Row],[Low Seed]], $Z$20:$AE$35, 6, FALSE), OFFSET(Feb_2025_SotM[[#This Row],[Winner]], 2*(Feb_2025_SotM[[#This Row],[Max Seed]]-Feb_2025_SotM[[#This Row],[Low Seed]])+1, 0)))</f>
        <v>Busy Woman</v>
      </c>
      <c r="S28" s="37"/>
      <c r="T28" s="35" t="s">
        <v>4191</v>
      </c>
      <c r="U28" s="33"/>
      <c r="V28" s="31" t="s">
        <v>4191</v>
      </c>
      <c r="W28" s="28" t="s">
        <v>4191</v>
      </c>
      <c r="X28" s="115" t="str">
        <f ca="1">IF(OR(Feb_2025_SotM[[#This Row],[Song 1]]="TBD", Feb_2025_SotM[[#This Row],[Song 2]]="TBD"), "TBD", _xlfn.CONCAT(IF(_xlfn.XOR(ISBLANK(Feb_2025_SotM[[#This Row],[J]]), ISBLANK(Feb_2025_SotM[[#This Row],[J ]])), "", "J "), IF(_xlfn.XOR(ISBLANK(Feb_2025_SotM[[#This Row],[D]]), ISBLANK(Feb_2025_SotM[[#This Row],[D ]])), "", "D "), IF(_xlfn.XOR(ISBLANK(Feb_2025_SotM[[#This Row],[L]]), ISBLANK(Feb_2025_SotM[[#This Row],[L ]])), "", "L "), IF(_xlfn.XOR(ISBLANK(Feb_2025_SotM[[#This Row],[S]]), ISBLANK(Feb_2025_SotM[[#This Row],[S ]])), "", "S "), IF(_xlfn.XOR(ISBLANK(Feb_2025_SotM[[#This Row],[H]]), ISBLANK(Feb_2025_SotM[[#This Row],[H ]])), "", "H ")))</f>
        <v/>
      </c>
      <c r="Z28" s="109">
        <f t="shared" si="7"/>
        <v>15</v>
      </c>
      <c r="AA28" s="59">
        <v>45705</v>
      </c>
      <c r="AB28" t="str">
        <v>danram</v>
      </c>
      <c r="AC28" s="3">
        <v>2.4</v>
      </c>
      <c r="AD28">
        <v>1.3564659966250536</v>
      </c>
      <c r="AE28" t="str">
        <v>Locked out of Heaven</v>
      </c>
      <c r="AF28" t="str">
        <v>Bruno Mars</v>
      </c>
      <c r="AG28" s="100">
        <f t="shared" si="8"/>
        <v>9</v>
      </c>
      <c r="AI28" s="115">
        <f>Feb_2025_SotM[[#This Row],[Max Seed]]/2 + 1</f>
        <v>9</v>
      </c>
      <c r="AJ28" s="105" t="str">
        <f ca="1">IF(Feb_2025_SotM[[#This Row],[Num]]&gt;=$A$19, "-", IF(Feb_2025_SotM[[#This Row],[Score 1]]&gt;=3, Feb_2025_SotM[[#This Row],[Song 2]], IF(Feb_2025_SotM[[#This Row],[Score 2]]&gt;=3, Feb_2025_SotM[[#This Row],[Song 1]], "TBD")))</f>
        <v>Fantasy</v>
      </c>
      <c r="AK28" s="3">
        <f ca="1">IFERROR(VLOOKUP(Feb_2025_Results[[#This Row],[Song Title]], $AE$20:$AG$35, 3, FALSE)-Feb_2025_Results[[#This Row],[Result]], "TBD")</f>
        <v>-4</v>
      </c>
      <c r="AL28" s="3" t="str">
        <f t="shared" ca="1" si="9"/>
        <v>↓</v>
      </c>
    </row>
    <row r="29" spans="1:38">
      <c r="A29" s="105" t="str">
        <f>_xlfn.CONCAT("Seed ", Feb_2025_SotM[[#This Row],[Top Seed]], " vs ",Feb_2025_SotM[[#This Row],[Low Seed]])</f>
        <v>Seed 7 vs 10</v>
      </c>
      <c r="B29" s="115">
        <v>9</v>
      </c>
      <c r="C29" s="105">
        <f>FLOOR(LOG(Feb_2025_SotM[[#This Row],[Num]], 2), 1)</f>
        <v>3</v>
      </c>
      <c r="D29" s="105">
        <f>2^(Feb_2025_SotM[[#This Row],[Round]]+1)</f>
        <v>16</v>
      </c>
      <c r="E29" s="105">
        <f>Feb_2025_SotM[[#This Row],[Max Seed]]-Feb_2025_SotM[[#This Row],[Num]]</f>
        <v>7</v>
      </c>
      <c r="F29" s="105">
        <f>Feb_2025_SotM[[#This Row],[Max Seed]]-Feb_2025_SotM[[#This Row],[Top Seed]]+1</f>
        <v>10</v>
      </c>
      <c r="G29" s="105" t="b">
        <f>IF(Feb_2025_SotM[[#This Row],[Round]]=$C$19, TRUE(), IF(Feb_2025_SotM[[#This Row],[Round]]=$B$19, Feb_2025_SotM[[#This Row],[Top Seed]]&lt;=2*Feb_2025_SotM[[#This Row],[Max Seed]]-$A$19, FALSE()))</f>
        <v>1</v>
      </c>
      <c r="H29" s="105" t="b">
        <f>IF(Feb_2025_SotM[[#This Row],[Round]]=$C$19, TRUE(), IF(Feb_2025_SotM[[#This Row],[Round]]=$B$19, Feb_2025_SotM[[#This Row],[Low Seed]]&lt;=2*Feb_2025_SotM[[#This Row],[Max Seed]]-$A$19, FALSE()))</f>
        <v>1</v>
      </c>
      <c r="I29" s="28" t="s">
        <v>4191</v>
      </c>
      <c r="J29" s="31" t="s">
        <v>4191</v>
      </c>
      <c r="K29" s="33" t="s">
        <v>4191</v>
      </c>
      <c r="L29" s="35" t="s">
        <v>4191</v>
      </c>
      <c r="M29" s="37"/>
      <c r="N29" s="192" t="str">
        <f ca="1">IF(Feb_2025_SotM[[#This Row],[Num]]&gt;=$A$19, "-", IF(Feb_2025_SotM[[#This Row],[Initial 1]], VLOOKUP(Feb_2025_SotM[[#This Row],[Top Seed]], $Z$20:$AE$35, 6, FALSE), OFFSET(Feb_2025_SotM[[#This Row],[Winner]], Feb_2025_SotM[[#This Row],[Max Seed]], 0)))</f>
        <v>Stay Right Here</v>
      </c>
      <c r="O29" s="105">
        <f>COUNTIF(Feb_2025_SotM[[#This Row],[J]:[H]],"x")</f>
        <v>4</v>
      </c>
      <c r="P29" s="115" t="str">
        <f ca="1">IF(Feb_2025_SotM[[#This Row],[Num]]&gt;=$A$19, "-", IF(Feb_2025_SotM[[#This Row],[Score 1]]&gt;=3, Feb_2025_SotM[[#This Row],[Song 1]], IF(Feb_2025_SotM[[#This Row],[Score 2]]&gt;=3, Feb_2025_SotM[[#This Row],[Song 2]], "TBD")))</f>
        <v>Stay Right Here</v>
      </c>
      <c r="Q29" s="193">
        <f>COUNTIF(Feb_2025_SotM[[#This Row],[H ]:[J ]],"x")</f>
        <v>1</v>
      </c>
      <c r="R29" s="105" t="str">
        <f ca="1">IF(Feb_2025_SotM[[#This Row],[Num]]&gt;=$A$19, "-", IF(Feb_2025_SotM[[#This Row],[Initial 2]], VLOOKUP(Feb_2025_SotM[[#This Row],[Low Seed]], $Z$20:$AE$35, 6, FALSE), OFFSET(Feb_2025_SotM[[#This Row],[Winner]], 2*(Feb_2025_SotM[[#This Row],[Max Seed]]-Feb_2025_SotM[[#This Row],[Low Seed]])+1, 0)))</f>
        <v>Beep</v>
      </c>
      <c r="S29" s="37" t="s">
        <v>4191</v>
      </c>
      <c r="T29" s="35"/>
      <c r="U29" s="33"/>
      <c r="V29" s="31"/>
      <c r="W29" s="28"/>
      <c r="X29" s="115" t="str">
        <f ca="1">IF(OR(Feb_2025_SotM[[#This Row],[Song 1]]="TBD", Feb_2025_SotM[[#This Row],[Song 2]]="TBD"), "TBD", _xlfn.CONCAT(IF(_xlfn.XOR(ISBLANK(Feb_2025_SotM[[#This Row],[J]]), ISBLANK(Feb_2025_SotM[[#This Row],[J ]])), "", "J "), IF(_xlfn.XOR(ISBLANK(Feb_2025_SotM[[#This Row],[D]]), ISBLANK(Feb_2025_SotM[[#This Row],[D ]])), "", "D "), IF(_xlfn.XOR(ISBLANK(Feb_2025_SotM[[#This Row],[L]]), ISBLANK(Feb_2025_SotM[[#This Row],[L ]])), "", "L "), IF(_xlfn.XOR(ISBLANK(Feb_2025_SotM[[#This Row],[S]]), ISBLANK(Feb_2025_SotM[[#This Row],[S ]])), "", "S "), IF(_xlfn.XOR(ISBLANK(Feb_2025_SotM[[#This Row],[H]]), ISBLANK(Feb_2025_SotM[[#This Row],[H ]])), "", "H ")))</f>
        <v/>
      </c>
      <c r="Z29" s="109">
        <f t="shared" si="7"/>
        <v>3</v>
      </c>
      <c r="AA29" s="59">
        <v>45706</v>
      </c>
      <c r="AB29" t="str">
        <v>currydestroyer27</v>
      </c>
      <c r="AC29" s="3">
        <v>1.8</v>
      </c>
      <c r="AD29">
        <v>0.9797958971132712</v>
      </c>
      <c r="AE29" t="str">
        <v>Senorita</v>
      </c>
      <c r="AF29" t="str">
        <v>Hrithik Roshan, Maria Del Mar Fernandez, Farhan Akhtar, Abhay Deol</v>
      </c>
      <c r="AG29" s="100">
        <f t="shared" si="8"/>
        <v>3</v>
      </c>
      <c r="AI29" s="115">
        <f>Feb_2025_SotM[[#This Row],[Max Seed]]/2 + 1</f>
        <v>9</v>
      </c>
      <c r="AJ29" s="105" t="str">
        <f ca="1">IF(Feb_2025_SotM[[#This Row],[Num]]&gt;=$A$19, "-", IF(Feb_2025_SotM[[#This Row],[Score 1]]&gt;=3, Feb_2025_SotM[[#This Row],[Song 2]], IF(Feb_2025_SotM[[#This Row],[Score 2]]&gt;=3, Feb_2025_SotM[[#This Row],[Song 1]], "TBD")))</f>
        <v>Beep</v>
      </c>
      <c r="AK29" s="3">
        <f ca="1">IFERROR(VLOOKUP(Feb_2025_Results[[#This Row],[Song Title]], $AE$20:$AG$35, 3, FALSE)-Feb_2025_Results[[#This Row],[Result]], "TBD")</f>
        <v>0</v>
      </c>
      <c r="AL29" s="3" t="str">
        <f t="shared" ca="1" si="9"/>
        <v>-</v>
      </c>
    </row>
    <row r="30" spans="1:38">
      <c r="A30" s="105" t="str">
        <f>_xlfn.CONCAT("Seed ", Feb_2025_SotM[[#This Row],[Top Seed]], " vs ",Feb_2025_SotM[[#This Row],[Low Seed]])</f>
        <v>Seed 6 vs 11</v>
      </c>
      <c r="B30" s="115">
        <v>10</v>
      </c>
      <c r="C30" s="105">
        <f>FLOOR(LOG(Feb_2025_SotM[[#This Row],[Num]], 2), 1)</f>
        <v>3</v>
      </c>
      <c r="D30" s="105">
        <f>2^(Feb_2025_SotM[[#This Row],[Round]]+1)</f>
        <v>16</v>
      </c>
      <c r="E30" s="105">
        <f>Feb_2025_SotM[[#This Row],[Max Seed]]-Feb_2025_SotM[[#This Row],[Num]]</f>
        <v>6</v>
      </c>
      <c r="F30" s="105">
        <f>Feb_2025_SotM[[#This Row],[Max Seed]]-Feb_2025_SotM[[#This Row],[Top Seed]]+1</f>
        <v>11</v>
      </c>
      <c r="G30" s="105" t="b">
        <f>IF(Feb_2025_SotM[[#This Row],[Round]]=$C$19, TRUE(), IF(Feb_2025_SotM[[#This Row],[Round]]=$B$19, Feb_2025_SotM[[#This Row],[Top Seed]]&lt;=2*Feb_2025_SotM[[#This Row],[Max Seed]]-$A$19, FALSE()))</f>
        <v>1</v>
      </c>
      <c r="H30" s="105" t="b">
        <f>IF(Feb_2025_SotM[[#This Row],[Round]]=$C$19, TRUE(), IF(Feb_2025_SotM[[#This Row],[Round]]=$B$19, Feb_2025_SotM[[#This Row],[Low Seed]]&lt;=2*Feb_2025_SotM[[#This Row],[Max Seed]]-$A$19, FALSE()))</f>
        <v>1</v>
      </c>
      <c r="I30" s="28"/>
      <c r="J30" s="31" t="s">
        <v>4191</v>
      </c>
      <c r="K30" s="33" t="s">
        <v>4191</v>
      </c>
      <c r="L30" s="35" t="s">
        <v>4191</v>
      </c>
      <c r="M30" s="37" t="s">
        <v>4191</v>
      </c>
      <c r="N30" s="192" t="str">
        <f ca="1">IF(Feb_2025_SotM[[#This Row],[Num]]&gt;=$A$19, "-", IF(Feb_2025_SotM[[#This Row],[Initial 1]], VLOOKUP(Feb_2025_SotM[[#This Row],[Top Seed]], $Z$20:$AE$35, 6, FALSE), OFFSET(Feb_2025_SotM[[#This Row],[Winner]], Feb_2025_SotM[[#This Row],[Max Seed]], 0)))</f>
        <v>Smells Like Teen Spirit</v>
      </c>
      <c r="O30" s="105">
        <f>COUNTIF(Feb_2025_SotM[[#This Row],[J]:[H]],"x")</f>
        <v>4</v>
      </c>
      <c r="P30" s="115" t="str">
        <f ca="1">IF(Feb_2025_SotM[[#This Row],[Num]]&gt;=$A$19, "-", IF(Feb_2025_SotM[[#This Row],[Score 1]]&gt;=3, Feb_2025_SotM[[#This Row],[Song 1]], IF(Feb_2025_SotM[[#This Row],[Score 2]]&gt;=3, Feb_2025_SotM[[#This Row],[Song 2]], "TBD")))</f>
        <v>Smells Like Teen Spirit</v>
      </c>
      <c r="Q30" s="193">
        <f>COUNTIF(Feb_2025_SotM[[#This Row],[H ]:[J ]],"x")</f>
        <v>1</v>
      </c>
      <c r="R30" s="105" t="str">
        <f ca="1">IF(Feb_2025_SotM[[#This Row],[Num]]&gt;=$A$19, "-", IF(Feb_2025_SotM[[#This Row],[Initial 2]], VLOOKUP(Feb_2025_SotM[[#This Row],[Low Seed]], $Z$20:$AE$35, 6, FALSE), OFFSET(Feb_2025_SotM[[#This Row],[Winner]], 2*(Feb_2025_SotM[[#This Row],[Max Seed]]-Feb_2025_SotM[[#This Row],[Low Seed]])+1, 0)))</f>
        <v>スパイラル</v>
      </c>
      <c r="S30" s="37"/>
      <c r="T30" s="35"/>
      <c r="U30" s="33"/>
      <c r="V30" s="31"/>
      <c r="W30" s="28" t="s">
        <v>4191</v>
      </c>
      <c r="X30" s="115" t="str">
        <f ca="1">IF(OR(Feb_2025_SotM[[#This Row],[Song 1]]="TBD", Feb_2025_SotM[[#This Row],[Song 2]]="TBD"), "TBD", _xlfn.CONCAT(IF(_xlfn.XOR(ISBLANK(Feb_2025_SotM[[#This Row],[J]]), ISBLANK(Feb_2025_SotM[[#This Row],[J ]])), "", "J "), IF(_xlfn.XOR(ISBLANK(Feb_2025_SotM[[#This Row],[D]]), ISBLANK(Feb_2025_SotM[[#This Row],[D ]])), "", "D "), IF(_xlfn.XOR(ISBLANK(Feb_2025_SotM[[#This Row],[L]]), ISBLANK(Feb_2025_SotM[[#This Row],[L ]])), "", "L "), IF(_xlfn.XOR(ISBLANK(Feb_2025_SotM[[#This Row],[S]]), ISBLANK(Feb_2025_SotM[[#This Row],[S ]])), "", "S "), IF(_xlfn.XOR(ISBLANK(Feb_2025_SotM[[#This Row],[H]]), ISBLANK(Feb_2025_SotM[[#This Row],[H ]])), "", "H ")))</f>
        <v/>
      </c>
      <c r="Z30" s="109">
        <f t="shared" si="7"/>
        <v>4</v>
      </c>
      <c r="AA30" s="59">
        <v>45707</v>
      </c>
      <c r="AB30" t="str">
        <v>alappatjoe</v>
      </c>
      <c r="AC30" s="3">
        <v>1.8</v>
      </c>
      <c r="AD30">
        <v>0.9797958971132712</v>
      </c>
      <c r="AE30" t="str">
        <v>Supernova</v>
      </c>
      <c r="AF30" t="str">
        <v>WIM</v>
      </c>
      <c r="AG30" s="100">
        <f t="shared" si="8"/>
        <v>3</v>
      </c>
      <c r="AI30" s="115">
        <f>Feb_2025_SotM[[#This Row],[Max Seed]]/2 + 1</f>
        <v>9</v>
      </c>
      <c r="AJ30" s="105" t="str">
        <f ca="1">IF(Feb_2025_SotM[[#This Row],[Num]]&gt;=$A$19, "-", IF(Feb_2025_SotM[[#This Row],[Score 1]]&gt;=3, Feb_2025_SotM[[#This Row],[Song 2]], IF(Feb_2025_SotM[[#This Row],[Score 2]]&gt;=3, Feb_2025_SotM[[#This Row],[Song 1]], "TBD")))</f>
        <v>スパイラル</v>
      </c>
      <c r="AK30" s="3">
        <f ca="1">IFERROR(VLOOKUP(Feb_2025_Results[[#This Row],[Song Title]], $AE$20:$AG$35, 3, FALSE)-Feb_2025_Results[[#This Row],[Result]], "TBD")</f>
        <v>0</v>
      </c>
      <c r="AL30" s="3" t="str">
        <f t="shared" ca="1" si="9"/>
        <v>-</v>
      </c>
    </row>
    <row r="31" spans="1:38">
      <c r="A31" s="105" t="str">
        <f>_xlfn.CONCAT("Seed ", Feb_2025_SotM[[#This Row],[Top Seed]], " vs ",Feb_2025_SotM[[#This Row],[Low Seed]])</f>
        <v>Seed 5 vs 12</v>
      </c>
      <c r="B31" s="115">
        <v>11</v>
      </c>
      <c r="C31" s="105">
        <f>FLOOR(LOG(Feb_2025_SotM[[#This Row],[Num]], 2), 1)</f>
        <v>3</v>
      </c>
      <c r="D31" s="105">
        <f>2^(Feb_2025_SotM[[#This Row],[Round]]+1)</f>
        <v>16</v>
      </c>
      <c r="E31" s="105">
        <f>Feb_2025_SotM[[#This Row],[Max Seed]]-Feb_2025_SotM[[#This Row],[Num]]</f>
        <v>5</v>
      </c>
      <c r="F31" s="105">
        <f>Feb_2025_SotM[[#This Row],[Max Seed]]-Feb_2025_SotM[[#This Row],[Top Seed]]+1</f>
        <v>12</v>
      </c>
      <c r="G31" s="105" t="b">
        <f>IF(Feb_2025_SotM[[#This Row],[Round]]=$C$19, TRUE(), IF(Feb_2025_SotM[[#This Row],[Round]]=$B$19, Feb_2025_SotM[[#This Row],[Top Seed]]&lt;=2*Feb_2025_SotM[[#This Row],[Max Seed]]-$A$19, FALSE()))</f>
        <v>1</v>
      </c>
      <c r="H31" s="105" t="b">
        <f>IF(Feb_2025_SotM[[#This Row],[Round]]=$C$19, TRUE(), IF(Feb_2025_SotM[[#This Row],[Round]]=$B$19, Feb_2025_SotM[[#This Row],[Low Seed]]&lt;=2*Feb_2025_SotM[[#This Row],[Max Seed]]-$A$19, FALSE()))</f>
        <v>1</v>
      </c>
      <c r="I31" s="28"/>
      <c r="J31" s="31" t="s">
        <v>4191</v>
      </c>
      <c r="K31" s="33" t="s">
        <v>4191</v>
      </c>
      <c r="L31" s="35" t="s">
        <v>4191</v>
      </c>
      <c r="M31" s="37"/>
      <c r="N31" s="192" t="str">
        <f ca="1">IF(Feb_2025_SotM[[#This Row],[Num]]&gt;=$A$19, "-", IF(Feb_2025_SotM[[#This Row],[Initial 1]], VLOOKUP(Feb_2025_SotM[[#This Row],[Top Seed]], $Z$20:$AE$35, 6, FALSE), OFFSET(Feb_2025_SotM[[#This Row],[Winner]], Feb_2025_SotM[[#This Row],[Max Seed]], 0)))</f>
        <v>bitter</v>
      </c>
      <c r="O31" s="105">
        <f>COUNTIF(Feb_2025_SotM[[#This Row],[J]:[H]],"x")</f>
        <v>3</v>
      </c>
      <c r="P31" s="115" t="str">
        <f ca="1">IF(Feb_2025_SotM[[#This Row],[Num]]&gt;=$A$19, "-", IF(Feb_2025_SotM[[#This Row],[Score 1]]&gt;=3, Feb_2025_SotM[[#This Row],[Song 1]], IF(Feb_2025_SotM[[#This Row],[Score 2]]&gt;=3, Feb_2025_SotM[[#This Row],[Song 2]], "TBD")))</f>
        <v>bitter</v>
      </c>
      <c r="Q31" s="193">
        <f>COUNTIF(Feb_2025_SotM[[#This Row],[H ]:[J ]],"x")</f>
        <v>2</v>
      </c>
      <c r="R31" s="105" t="str">
        <f ca="1">IF(Feb_2025_SotM[[#This Row],[Num]]&gt;=$A$19, "-", IF(Feb_2025_SotM[[#This Row],[Initial 2]], VLOOKUP(Feb_2025_SotM[[#This Row],[Low Seed]], $Z$20:$AE$35, 6, FALSE), OFFSET(Feb_2025_SotM[[#This Row],[Winner]], 2*(Feb_2025_SotM[[#This Row],[Max Seed]]-Feb_2025_SotM[[#This Row],[Low Seed]])+1, 0)))</f>
        <v>BLOODY STREAM</v>
      </c>
      <c r="S31" s="37" t="s">
        <v>4191</v>
      </c>
      <c r="T31" s="35"/>
      <c r="U31" s="33"/>
      <c r="V31" s="31"/>
      <c r="W31" s="28" t="s">
        <v>4191</v>
      </c>
      <c r="X31" s="115" t="str">
        <f ca="1">IF(OR(Feb_2025_SotM[[#This Row],[Song 1]]="TBD", Feb_2025_SotM[[#This Row],[Song 2]]="TBD"), "TBD", _xlfn.CONCAT(IF(_xlfn.XOR(ISBLANK(Feb_2025_SotM[[#This Row],[J]]), ISBLANK(Feb_2025_SotM[[#This Row],[J ]])), "", "J "), IF(_xlfn.XOR(ISBLANK(Feb_2025_SotM[[#This Row],[D]]), ISBLANK(Feb_2025_SotM[[#This Row],[D ]])), "", "D "), IF(_xlfn.XOR(ISBLANK(Feb_2025_SotM[[#This Row],[L]]), ISBLANK(Feb_2025_SotM[[#This Row],[L ]])), "", "L "), IF(_xlfn.XOR(ISBLANK(Feb_2025_SotM[[#This Row],[S]]), ISBLANK(Feb_2025_SotM[[#This Row],[S ]])), "", "S "), IF(_xlfn.XOR(ISBLANK(Feb_2025_SotM[[#This Row],[H]]), ISBLANK(Feb_2025_SotM[[#This Row],[H ]])), "", "H ")))</f>
        <v/>
      </c>
      <c r="Z31" s="109">
        <f t="shared" si="7"/>
        <v>6</v>
      </c>
      <c r="AA31" s="59">
        <v>45708</v>
      </c>
      <c r="AB31" t="str">
        <v>currydestroyer27</v>
      </c>
      <c r="AC31" s="3">
        <v>2</v>
      </c>
      <c r="AD31">
        <v>1.2649110640673518</v>
      </c>
      <c r="AE31" t="str">
        <v>Smells Like Teen Spirit</v>
      </c>
      <c r="AF31" t="str">
        <v>Nirvana</v>
      </c>
      <c r="AG31" s="100">
        <f t="shared" si="8"/>
        <v>5</v>
      </c>
      <c r="AI31" s="115">
        <f>Feb_2025_SotM[[#This Row],[Max Seed]]/2 + 1</f>
        <v>9</v>
      </c>
      <c r="AJ31" s="105" t="str">
        <f ca="1">IF(Feb_2025_SotM[[#This Row],[Num]]&gt;=$A$19, "-", IF(Feb_2025_SotM[[#This Row],[Score 1]]&gt;=3, Feb_2025_SotM[[#This Row],[Song 2]], IF(Feb_2025_SotM[[#This Row],[Score 2]]&gt;=3, Feb_2025_SotM[[#This Row],[Song 1]], "TBD")))</f>
        <v>BLOODY STREAM</v>
      </c>
      <c r="AK31" s="3">
        <f ca="1">IFERROR(VLOOKUP(Feb_2025_Results[[#This Row],[Song Title]], $AE$20:$AG$35, 3, FALSE)-Feb_2025_Results[[#This Row],[Result]], "TBD")</f>
        <v>0</v>
      </c>
      <c r="AL31" s="3" t="str">
        <f t="shared" ca="1" si="9"/>
        <v>-</v>
      </c>
    </row>
    <row r="32" spans="1:38">
      <c r="A32" s="105" t="str">
        <f>_xlfn.CONCAT("Seed ", Feb_2025_SotM[[#This Row],[Top Seed]], " vs ",Feb_2025_SotM[[#This Row],[Low Seed]])</f>
        <v>Seed 4 vs 13</v>
      </c>
      <c r="B32" s="115">
        <v>12</v>
      </c>
      <c r="C32" s="105">
        <f>FLOOR(LOG(Feb_2025_SotM[[#This Row],[Num]], 2), 1)</f>
        <v>3</v>
      </c>
      <c r="D32" s="105">
        <f>2^(Feb_2025_SotM[[#This Row],[Round]]+1)</f>
        <v>16</v>
      </c>
      <c r="E32" s="105">
        <f>Feb_2025_SotM[[#This Row],[Max Seed]]-Feb_2025_SotM[[#This Row],[Num]]</f>
        <v>4</v>
      </c>
      <c r="F32" s="105">
        <f>Feb_2025_SotM[[#This Row],[Max Seed]]-Feb_2025_SotM[[#This Row],[Top Seed]]+1</f>
        <v>13</v>
      </c>
      <c r="G32" s="105" t="b">
        <f>IF(Feb_2025_SotM[[#This Row],[Round]]=$C$19, TRUE(), IF(Feb_2025_SotM[[#This Row],[Round]]=$B$19, Feb_2025_SotM[[#This Row],[Top Seed]]&lt;=2*Feb_2025_SotM[[#This Row],[Max Seed]]-$A$19, FALSE()))</f>
        <v>1</v>
      </c>
      <c r="H32" s="105" t="b">
        <f>IF(Feb_2025_SotM[[#This Row],[Round]]=$C$19, TRUE(), IF(Feb_2025_SotM[[#This Row],[Round]]=$B$19, Feb_2025_SotM[[#This Row],[Low Seed]]&lt;=2*Feb_2025_SotM[[#This Row],[Max Seed]]-$A$19, FALSE()))</f>
        <v>1</v>
      </c>
      <c r="I32" s="28" t="s">
        <v>4191</v>
      </c>
      <c r="J32" s="31" t="s">
        <v>4191</v>
      </c>
      <c r="K32" s="33" t="s">
        <v>4191</v>
      </c>
      <c r="L32" s="35" t="s">
        <v>4191</v>
      </c>
      <c r="M32" s="37"/>
      <c r="N32" s="192" t="str">
        <f ca="1">IF(Feb_2025_SotM[[#This Row],[Num]]&gt;=$A$19, "-", IF(Feb_2025_SotM[[#This Row],[Initial 1]], VLOOKUP(Feb_2025_SotM[[#This Row],[Top Seed]], $Z$20:$AE$35, 6, FALSE), OFFSET(Feb_2025_SotM[[#This Row],[Winner]], Feb_2025_SotM[[#This Row],[Max Seed]], 0)))</f>
        <v>Supernova</v>
      </c>
      <c r="O32" s="105">
        <f>COUNTIF(Feb_2025_SotM[[#This Row],[J]:[H]],"x")</f>
        <v>4</v>
      </c>
      <c r="P32" s="115" t="str">
        <f ca="1">IF(Feb_2025_SotM[[#This Row],[Num]]&gt;=$A$19, "-", IF(Feb_2025_SotM[[#This Row],[Score 1]]&gt;=3, Feb_2025_SotM[[#This Row],[Song 1]], IF(Feb_2025_SotM[[#This Row],[Score 2]]&gt;=3, Feb_2025_SotM[[#This Row],[Song 2]], "TBD")))</f>
        <v>Supernova</v>
      </c>
      <c r="Q32" s="193">
        <f>COUNTIF(Feb_2025_SotM[[#This Row],[H ]:[J ]],"x")</f>
        <v>1</v>
      </c>
      <c r="R32" s="105" t="str">
        <f ca="1">IF(Feb_2025_SotM[[#This Row],[Num]]&gt;=$A$19, "-", IF(Feb_2025_SotM[[#This Row],[Initial 2]], VLOOKUP(Feb_2025_SotM[[#This Row],[Low Seed]], $Z$20:$AE$35, 6, FALSE), OFFSET(Feb_2025_SotM[[#This Row],[Winner]], 2*(Feb_2025_SotM[[#This Row],[Max Seed]]-Feb_2025_SotM[[#This Row],[Low Seed]])+1, 0)))</f>
        <v>Born Again</v>
      </c>
      <c r="S32" s="37" t="s">
        <v>4191</v>
      </c>
      <c r="T32" s="35"/>
      <c r="U32" s="33"/>
      <c r="V32" s="31"/>
      <c r="W32" s="28"/>
      <c r="X32" s="115" t="str">
        <f ca="1">IF(OR(Feb_2025_SotM[[#This Row],[Song 1]]="TBD", Feb_2025_SotM[[#This Row],[Song 2]]="TBD"), "TBD", _xlfn.CONCAT(IF(_xlfn.XOR(ISBLANK(Feb_2025_SotM[[#This Row],[J]]), ISBLANK(Feb_2025_SotM[[#This Row],[J ]])), "", "J "), IF(_xlfn.XOR(ISBLANK(Feb_2025_SotM[[#This Row],[D]]), ISBLANK(Feb_2025_SotM[[#This Row],[D ]])), "", "D "), IF(_xlfn.XOR(ISBLANK(Feb_2025_SotM[[#This Row],[L]]), ISBLANK(Feb_2025_SotM[[#This Row],[L ]])), "", "L "), IF(_xlfn.XOR(ISBLANK(Feb_2025_SotM[[#This Row],[S]]), ISBLANK(Feb_2025_SotM[[#This Row],[S ]])), "", "S "), IF(_xlfn.XOR(ISBLANK(Feb_2025_SotM[[#This Row],[H]]), ISBLANK(Feb_2025_SotM[[#This Row],[H ]])), "", "H ")))</f>
        <v/>
      </c>
      <c r="Z32" s="109">
        <f t="shared" si="7"/>
        <v>9</v>
      </c>
      <c r="AA32" s="59">
        <v>45712</v>
      </c>
      <c r="AB32" t="str">
        <v>samuelbattista</v>
      </c>
      <c r="AC32" s="3">
        <v>2.2000000000000002</v>
      </c>
      <c r="AD32">
        <v>0.9797958971132712</v>
      </c>
      <c r="AE32" t="str">
        <v>Busy Woman</v>
      </c>
      <c r="AF32" t="str">
        <v>Sabrina Carpenter</v>
      </c>
      <c r="AG32" s="100">
        <f t="shared" si="8"/>
        <v>9</v>
      </c>
      <c r="AI32" s="115">
        <f>Feb_2025_SotM[[#This Row],[Max Seed]]/2 + 1</f>
        <v>9</v>
      </c>
      <c r="AJ32" s="105" t="str">
        <f ca="1">IF(Feb_2025_SotM[[#This Row],[Num]]&gt;=$A$19, "-", IF(Feb_2025_SotM[[#This Row],[Score 1]]&gt;=3, Feb_2025_SotM[[#This Row],[Song 2]], IF(Feb_2025_SotM[[#This Row],[Score 2]]&gt;=3, Feb_2025_SotM[[#This Row],[Song 1]], "TBD")))</f>
        <v>Born Again</v>
      </c>
      <c r="AK32" s="3">
        <f ca="1">IFERROR(VLOOKUP(Feb_2025_Results[[#This Row],[Song Title]], $AE$20:$AG$35, 3, FALSE)-Feb_2025_Results[[#This Row],[Result]], "TBD")</f>
        <v>0</v>
      </c>
      <c r="AL32" s="3" t="str">
        <f t="shared" ca="1" si="9"/>
        <v>-</v>
      </c>
    </row>
    <row r="33" spans="1:38">
      <c r="A33" s="105" t="str">
        <f>_xlfn.CONCAT("Seed ", Feb_2025_SotM[[#This Row],[Top Seed]], " vs ",Feb_2025_SotM[[#This Row],[Low Seed]])</f>
        <v>Seed 3 vs 14</v>
      </c>
      <c r="B33" s="115">
        <v>13</v>
      </c>
      <c r="C33" s="105">
        <f>FLOOR(LOG(Feb_2025_SotM[[#This Row],[Num]], 2), 1)</f>
        <v>3</v>
      </c>
      <c r="D33" s="105">
        <f>2^(Feb_2025_SotM[[#This Row],[Round]]+1)</f>
        <v>16</v>
      </c>
      <c r="E33" s="105">
        <f>Feb_2025_SotM[[#This Row],[Max Seed]]-Feb_2025_SotM[[#This Row],[Num]]</f>
        <v>3</v>
      </c>
      <c r="F33" s="105">
        <f>Feb_2025_SotM[[#This Row],[Max Seed]]-Feb_2025_SotM[[#This Row],[Top Seed]]+1</f>
        <v>14</v>
      </c>
      <c r="G33" s="105" t="b">
        <f>IF(Feb_2025_SotM[[#This Row],[Round]]=$C$19, TRUE(), IF(Feb_2025_SotM[[#This Row],[Round]]=$B$19, Feb_2025_SotM[[#This Row],[Top Seed]]&lt;=2*Feb_2025_SotM[[#This Row],[Max Seed]]-$A$19, FALSE()))</f>
        <v>1</v>
      </c>
      <c r="H33" s="105" t="b">
        <f>IF(Feb_2025_SotM[[#This Row],[Round]]=$C$19, TRUE(), IF(Feb_2025_SotM[[#This Row],[Round]]=$B$19, Feb_2025_SotM[[#This Row],[Low Seed]]&lt;=2*Feb_2025_SotM[[#This Row],[Max Seed]]-$A$19, FALSE()))</f>
        <v>1</v>
      </c>
      <c r="I33" s="28" t="s">
        <v>4191</v>
      </c>
      <c r="J33" s="31" t="s">
        <v>4191</v>
      </c>
      <c r="K33" s="33"/>
      <c r="L33" s="35" t="s">
        <v>4191</v>
      </c>
      <c r="M33" s="37" t="s">
        <v>4191</v>
      </c>
      <c r="N33" s="192" t="str">
        <f ca="1">IF(Feb_2025_SotM[[#This Row],[Num]]&gt;=$A$19, "-", IF(Feb_2025_SotM[[#This Row],[Initial 1]], VLOOKUP(Feb_2025_SotM[[#This Row],[Top Seed]], $Z$20:$AE$35, 6, FALSE), OFFSET(Feb_2025_SotM[[#This Row],[Winner]], Feb_2025_SotM[[#This Row],[Max Seed]], 0)))</f>
        <v>Senorita</v>
      </c>
      <c r="O33" s="105">
        <f>COUNTIF(Feb_2025_SotM[[#This Row],[J]:[H]],"x")</f>
        <v>4</v>
      </c>
      <c r="P33" s="115" t="str">
        <f ca="1">IF(Feb_2025_SotM[[#This Row],[Num]]&gt;=$A$19, "-", IF(Feb_2025_SotM[[#This Row],[Score 1]]&gt;=3, Feb_2025_SotM[[#This Row],[Song 1]], IF(Feb_2025_SotM[[#This Row],[Score 2]]&gt;=3, Feb_2025_SotM[[#This Row],[Song 2]], "TBD")))</f>
        <v>Senorita</v>
      </c>
      <c r="Q33" s="193">
        <f>COUNTIF(Feb_2025_SotM[[#This Row],[H ]:[J ]],"x")</f>
        <v>1</v>
      </c>
      <c r="R33" s="105" t="str">
        <f ca="1">IF(Feb_2025_SotM[[#This Row],[Num]]&gt;=$A$19, "-", IF(Feb_2025_SotM[[#This Row],[Initial 2]], VLOOKUP(Feb_2025_SotM[[#This Row],[Low Seed]], $Z$20:$AE$35, 6, FALSE), OFFSET(Feb_2025_SotM[[#This Row],[Winner]], 2*(Feb_2025_SotM[[#This Row],[Max Seed]]-Feb_2025_SotM[[#This Row],[Low Seed]])+1, 0)))</f>
        <v>shhhhhhh...</v>
      </c>
      <c r="S33" s="37"/>
      <c r="T33" s="35"/>
      <c r="U33" s="33" t="s">
        <v>4191</v>
      </c>
      <c r="V33" s="31"/>
      <c r="W33" s="28"/>
      <c r="X33" s="115" t="str">
        <f ca="1">IF(OR(Feb_2025_SotM[[#This Row],[Song 1]]="TBD", Feb_2025_SotM[[#This Row],[Song 2]]="TBD"), "TBD", _xlfn.CONCAT(IF(_xlfn.XOR(ISBLANK(Feb_2025_SotM[[#This Row],[J]]), ISBLANK(Feb_2025_SotM[[#This Row],[J ]])), "", "J "), IF(_xlfn.XOR(ISBLANK(Feb_2025_SotM[[#This Row],[D]]), ISBLANK(Feb_2025_SotM[[#This Row],[D ]])), "", "D "), IF(_xlfn.XOR(ISBLANK(Feb_2025_SotM[[#This Row],[L]]), ISBLANK(Feb_2025_SotM[[#This Row],[L ]])), "", "L "), IF(_xlfn.XOR(ISBLANK(Feb_2025_SotM[[#This Row],[S]]), ISBLANK(Feb_2025_SotM[[#This Row],[S ]])), "", "S "), IF(_xlfn.XOR(ISBLANK(Feb_2025_SotM[[#This Row],[H]]), ISBLANK(Feb_2025_SotM[[#This Row],[H ]])), "", "H ")))</f>
        <v/>
      </c>
      <c r="Z33" s="109">
        <f t="shared" si="7"/>
        <v>8</v>
      </c>
      <c r="AA33" s="59">
        <v>45713</v>
      </c>
      <c r="AB33" t="str">
        <v>currydestroyer27</v>
      </c>
      <c r="AC33" s="3">
        <v>2.2000000000000002</v>
      </c>
      <c r="AD33">
        <v>0.74833147735478833</v>
      </c>
      <c r="AE33" t="str">
        <v>Fantasy</v>
      </c>
      <c r="AF33" t="str">
        <v>Bazzi</v>
      </c>
      <c r="AG33" s="100">
        <f t="shared" si="8"/>
        <v>5</v>
      </c>
      <c r="AI33" s="115">
        <f>Feb_2025_SotM[[#This Row],[Max Seed]]/2 + 1</f>
        <v>9</v>
      </c>
      <c r="AJ33" s="105" t="str">
        <f ca="1">IF(Feb_2025_SotM[[#This Row],[Num]]&gt;=$A$19, "-", IF(Feb_2025_SotM[[#This Row],[Score 1]]&gt;=3, Feb_2025_SotM[[#This Row],[Song 2]], IF(Feb_2025_SotM[[#This Row],[Score 2]]&gt;=3, Feb_2025_SotM[[#This Row],[Song 1]], "TBD")))</f>
        <v>shhhhhhh...</v>
      </c>
      <c r="AK33" s="3">
        <f ca="1">IFERROR(VLOOKUP(Feb_2025_Results[[#This Row],[Song Title]], $AE$20:$AG$35, 3, FALSE)-Feb_2025_Results[[#This Row],[Result]], "TBD")</f>
        <v>0</v>
      </c>
      <c r="AL33" s="3" t="str">
        <f t="shared" ca="1" si="9"/>
        <v>-</v>
      </c>
    </row>
    <row r="34" spans="1:38">
      <c r="A34" s="105" t="str">
        <f>_xlfn.CONCAT("Seed ", Feb_2025_SotM[[#This Row],[Top Seed]], " vs ",Feb_2025_SotM[[#This Row],[Low Seed]])</f>
        <v>Seed 2 vs 15</v>
      </c>
      <c r="B34" s="115">
        <v>14</v>
      </c>
      <c r="C34" s="105">
        <f>FLOOR(LOG(Feb_2025_SotM[[#This Row],[Num]], 2), 1)</f>
        <v>3</v>
      </c>
      <c r="D34" s="105">
        <f>2^(Feb_2025_SotM[[#This Row],[Round]]+1)</f>
        <v>16</v>
      </c>
      <c r="E34" s="105">
        <f>Feb_2025_SotM[[#This Row],[Max Seed]]-Feb_2025_SotM[[#This Row],[Num]]</f>
        <v>2</v>
      </c>
      <c r="F34" s="105">
        <f>Feb_2025_SotM[[#This Row],[Max Seed]]-Feb_2025_SotM[[#This Row],[Top Seed]]+1</f>
        <v>15</v>
      </c>
      <c r="G34" s="105" t="b">
        <f>IF(Feb_2025_SotM[[#This Row],[Round]]=$C$19, TRUE(), IF(Feb_2025_SotM[[#This Row],[Round]]=$B$19, Feb_2025_SotM[[#This Row],[Top Seed]]&lt;=2*Feb_2025_SotM[[#This Row],[Max Seed]]-$A$19, FALSE()))</f>
        <v>1</v>
      </c>
      <c r="H34" s="105" t="b">
        <f>IF(Feb_2025_SotM[[#This Row],[Round]]=$C$19, TRUE(), IF(Feb_2025_SotM[[#This Row],[Round]]=$B$19, Feb_2025_SotM[[#This Row],[Low Seed]]&lt;=2*Feb_2025_SotM[[#This Row],[Max Seed]]-$A$19, FALSE()))</f>
        <v>1</v>
      </c>
      <c r="I34" s="28"/>
      <c r="J34" s="31"/>
      <c r="K34" s="33"/>
      <c r="L34" s="35" t="s">
        <v>4191</v>
      </c>
      <c r="M34" s="37"/>
      <c r="N34" s="192" t="str">
        <f ca="1">IF(Feb_2025_SotM[[#This Row],[Num]]&gt;=$A$19, "-", IF(Feb_2025_SotM[[#This Row],[Initial 1]], VLOOKUP(Feb_2025_SotM[[#This Row],[Top Seed]], $Z$20:$AE$35, 6, FALSE), OFFSET(Feb_2025_SotM[[#This Row],[Winner]], Feb_2025_SotM[[#This Row],[Max Seed]], 0)))</f>
        <v>MUTT</v>
      </c>
      <c r="O34" s="105">
        <f>COUNTIF(Feb_2025_SotM[[#This Row],[J]:[H]],"x")</f>
        <v>1</v>
      </c>
      <c r="P34" s="115" t="str">
        <f ca="1">IF(Feb_2025_SotM[[#This Row],[Num]]&gt;=$A$19, "-", IF(Feb_2025_SotM[[#This Row],[Score 1]]&gt;=3, Feb_2025_SotM[[#This Row],[Song 1]], IF(Feb_2025_SotM[[#This Row],[Score 2]]&gt;=3, Feb_2025_SotM[[#This Row],[Song 2]], "TBD")))</f>
        <v>Locked out of Heaven</v>
      </c>
      <c r="Q34" s="193">
        <f>COUNTIF(Feb_2025_SotM[[#This Row],[H ]:[J ]],"x")</f>
        <v>4</v>
      </c>
      <c r="R34" s="105" t="str">
        <f ca="1">IF(Feb_2025_SotM[[#This Row],[Num]]&gt;=$A$19, "-", IF(Feb_2025_SotM[[#This Row],[Initial 2]], VLOOKUP(Feb_2025_SotM[[#This Row],[Low Seed]], $Z$20:$AE$35, 6, FALSE), OFFSET(Feb_2025_SotM[[#This Row],[Winner]], 2*(Feb_2025_SotM[[#This Row],[Max Seed]]-Feb_2025_SotM[[#This Row],[Low Seed]])+1, 0)))</f>
        <v>Locked out of Heaven</v>
      </c>
      <c r="S34" s="37" t="s">
        <v>4191</v>
      </c>
      <c r="T34" s="35"/>
      <c r="U34" s="33" t="s">
        <v>4191</v>
      </c>
      <c r="V34" s="31" t="s">
        <v>4191</v>
      </c>
      <c r="W34" s="28" t="s">
        <v>4191</v>
      </c>
      <c r="X34" s="115" t="str">
        <f ca="1">IF(OR(Feb_2025_SotM[[#This Row],[Song 1]]="TBD", Feb_2025_SotM[[#This Row],[Song 2]]="TBD"), "TBD", _xlfn.CONCAT(IF(_xlfn.XOR(ISBLANK(Feb_2025_SotM[[#This Row],[J]]), ISBLANK(Feb_2025_SotM[[#This Row],[J ]])), "", "J "), IF(_xlfn.XOR(ISBLANK(Feb_2025_SotM[[#This Row],[D]]), ISBLANK(Feb_2025_SotM[[#This Row],[D ]])), "", "D "), IF(_xlfn.XOR(ISBLANK(Feb_2025_SotM[[#This Row],[L]]), ISBLANK(Feb_2025_SotM[[#This Row],[L ]])), "", "L "), IF(_xlfn.XOR(ISBLANK(Feb_2025_SotM[[#This Row],[S]]), ISBLANK(Feb_2025_SotM[[#This Row],[S ]])), "", "S "), IF(_xlfn.XOR(ISBLANK(Feb_2025_SotM[[#This Row],[H]]), ISBLANK(Feb_2025_SotM[[#This Row],[H ]])), "", "H ")))</f>
        <v/>
      </c>
      <c r="Z34" s="109">
        <f t="shared" si="7"/>
        <v>12</v>
      </c>
      <c r="AA34" s="59">
        <v>45714</v>
      </c>
      <c r="AB34" t="str">
        <v>alappatjoe</v>
      </c>
      <c r="AC34" s="3">
        <v>2.2000000000000002</v>
      </c>
      <c r="AD34">
        <v>1.6</v>
      </c>
      <c r="AE34" t="str">
        <v>BLOODY STREAM</v>
      </c>
      <c r="AF34" t="str">
        <v>Coda</v>
      </c>
      <c r="AG34" s="100">
        <f t="shared" si="8"/>
        <v>9</v>
      </c>
      <c r="AI34" s="115">
        <f>Feb_2025_SotM[[#This Row],[Max Seed]]/2 + 1</f>
        <v>9</v>
      </c>
      <c r="AJ34" s="105" t="str">
        <f ca="1">IF(Feb_2025_SotM[[#This Row],[Num]]&gt;=$A$19, "-", IF(Feb_2025_SotM[[#This Row],[Score 1]]&gt;=3, Feb_2025_SotM[[#This Row],[Song 2]], IF(Feb_2025_SotM[[#This Row],[Score 2]]&gt;=3, Feb_2025_SotM[[#This Row],[Song 1]], "TBD")))</f>
        <v>MUTT</v>
      </c>
      <c r="AK34" s="3">
        <f ca="1">IFERROR(VLOOKUP(Feb_2025_Results[[#This Row],[Song Title]], $AE$20:$AG$35, 3, FALSE)-Feb_2025_Results[[#This Row],[Result]], "TBD")</f>
        <v>-7</v>
      </c>
      <c r="AL34" s="3" t="str">
        <f t="shared" ca="1" si="9"/>
        <v>↓</v>
      </c>
    </row>
    <row r="35" spans="1:38">
      <c r="A35" s="105" t="str">
        <f>_xlfn.CONCAT("Seed ", Feb_2025_SotM[[#This Row],[Top Seed]], " vs ",Feb_2025_SotM[[#This Row],[Low Seed]])</f>
        <v>Seed 1 vs 16</v>
      </c>
      <c r="B35" s="115">
        <v>15</v>
      </c>
      <c r="C35" s="105">
        <f>FLOOR(LOG(Feb_2025_SotM[[#This Row],[Num]], 2), 1)</f>
        <v>3</v>
      </c>
      <c r="D35" s="105">
        <f>2^(Feb_2025_SotM[[#This Row],[Round]]+1)</f>
        <v>16</v>
      </c>
      <c r="E35" s="105">
        <f>Feb_2025_SotM[[#This Row],[Max Seed]]-Feb_2025_SotM[[#This Row],[Num]]</f>
        <v>1</v>
      </c>
      <c r="F35" s="105">
        <f>Feb_2025_SotM[[#This Row],[Max Seed]]-Feb_2025_SotM[[#This Row],[Top Seed]]+1</f>
        <v>16</v>
      </c>
      <c r="G35" s="105" t="b">
        <f>IF(Feb_2025_SotM[[#This Row],[Round]]=$C$19, TRUE(), IF(Feb_2025_SotM[[#This Row],[Round]]=$B$19, Feb_2025_SotM[[#This Row],[Top Seed]]&lt;=2*Feb_2025_SotM[[#This Row],[Max Seed]]-$A$19, FALSE()))</f>
        <v>1</v>
      </c>
      <c r="H35" s="105" t="b">
        <f>IF(Feb_2025_SotM[[#This Row],[Round]]=$C$19, TRUE(), IF(Feb_2025_SotM[[#This Row],[Round]]=$B$19, Feb_2025_SotM[[#This Row],[Low Seed]]&lt;=2*Feb_2025_SotM[[#This Row],[Max Seed]]-$A$19, FALSE()))</f>
        <v>1</v>
      </c>
      <c r="I35" s="28" t="s">
        <v>4191</v>
      </c>
      <c r="J35" s="31"/>
      <c r="K35" s="33"/>
      <c r="L35" s="35"/>
      <c r="M35" s="37"/>
      <c r="N35" s="192" t="str">
        <f ca="1">IF(Feb_2025_SotM[[#This Row],[Num]]&gt;=$A$19, "-", IF(Feb_2025_SotM[[#This Row],[Initial 1]], VLOOKUP(Feb_2025_SotM[[#This Row],[Top Seed]], $Z$20:$AE$35, 6, FALSE), OFFSET(Feb_2025_SotM[[#This Row],[Winner]], Feb_2025_SotM[[#This Row],[Max Seed]], 0)))</f>
        <v>星屑のパイプライン</v>
      </c>
      <c r="O35" s="105">
        <f>COUNTIF(Feb_2025_SotM[[#This Row],[J]:[H]],"x")</f>
        <v>1</v>
      </c>
      <c r="P35" s="115" t="str">
        <f ca="1">IF(Feb_2025_SotM[[#This Row],[Num]]&gt;=$A$19, "-", IF(Feb_2025_SotM[[#This Row],[Score 1]]&gt;=3, Feb_2025_SotM[[#This Row],[Song 1]], IF(Feb_2025_SotM[[#This Row],[Score 2]]&gt;=3, Feb_2025_SotM[[#This Row],[Song 2]], "TBD")))</f>
        <v>burbank house</v>
      </c>
      <c r="Q35" s="193">
        <f>COUNTIF(Feb_2025_SotM[[#This Row],[H ]:[J ]],"x")</f>
        <v>4</v>
      </c>
      <c r="R35" s="105" t="str">
        <f ca="1">IF(Feb_2025_SotM[[#This Row],[Num]]&gt;=$A$19, "-", IF(Feb_2025_SotM[[#This Row],[Initial 2]], VLOOKUP(Feb_2025_SotM[[#This Row],[Low Seed]], $Z$20:$AE$35, 6, FALSE), OFFSET(Feb_2025_SotM[[#This Row],[Winner]], 2*(Feb_2025_SotM[[#This Row],[Max Seed]]-Feb_2025_SotM[[#This Row],[Low Seed]])+1, 0)))</f>
        <v>burbank house</v>
      </c>
      <c r="S35" s="37" t="s">
        <v>4191</v>
      </c>
      <c r="T35" s="35" t="s">
        <v>4191</v>
      </c>
      <c r="U35" s="33" t="s">
        <v>4191</v>
      </c>
      <c r="V35" s="31" t="s">
        <v>4191</v>
      </c>
      <c r="W35" s="28"/>
      <c r="X35" s="115" t="str">
        <f ca="1">IF(OR(Feb_2025_SotM[[#This Row],[Song 1]]="TBD", Feb_2025_SotM[[#This Row],[Song 2]]="TBD"), "TBD", _xlfn.CONCAT(IF(_xlfn.XOR(ISBLANK(Feb_2025_SotM[[#This Row],[J]]), ISBLANK(Feb_2025_SotM[[#This Row],[J ]])), "", "J "), IF(_xlfn.XOR(ISBLANK(Feb_2025_SotM[[#This Row],[D]]), ISBLANK(Feb_2025_SotM[[#This Row],[D ]])), "", "D "), IF(_xlfn.XOR(ISBLANK(Feb_2025_SotM[[#This Row],[L]]), ISBLANK(Feb_2025_SotM[[#This Row],[L ]])), "", "L "), IF(_xlfn.XOR(ISBLANK(Feb_2025_SotM[[#This Row],[S]]), ISBLANK(Feb_2025_SotM[[#This Row],[S ]])), "", "S "), IF(_xlfn.XOR(ISBLANK(Feb_2025_SotM[[#This Row],[H]]), ISBLANK(Feb_2025_SotM[[#This Row],[H ]])), "", "H ")))</f>
        <v/>
      </c>
      <c r="Z35" s="110">
        <f t="shared" si="7"/>
        <v>10</v>
      </c>
      <c r="AA35" s="211">
        <v>45715</v>
      </c>
      <c r="AB35" s="157" t="str">
        <v>loganworsdell</v>
      </c>
      <c r="AC35" s="101">
        <v>2.2000000000000002</v>
      </c>
      <c r="AD35" s="157">
        <v>0.9797958971132712</v>
      </c>
      <c r="AE35" s="157" t="str">
        <v>Beep</v>
      </c>
      <c r="AF35" s="157" t="str">
        <v>flipturn</v>
      </c>
      <c r="AG35" s="102">
        <f t="shared" si="8"/>
        <v>9</v>
      </c>
      <c r="AI35" s="115">
        <f>Feb_2025_SotM[[#This Row],[Max Seed]]/2 + 1</f>
        <v>9</v>
      </c>
      <c r="AJ35" s="105" t="str">
        <f ca="1">IF(Feb_2025_SotM[[#This Row],[Num]]&gt;=$A$19, "-", IF(Feb_2025_SotM[[#This Row],[Score 1]]&gt;=3, Feb_2025_SotM[[#This Row],[Song 2]], IF(Feb_2025_SotM[[#This Row],[Score 2]]&gt;=3, Feb_2025_SotM[[#This Row],[Song 1]], "TBD")))</f>
        <v>星屑のパイプライン</v>
      </c>
      <c r="AK35" s="3">
        <f ca="1">IFERROR(VLOOKUP(Feb_2025_Results[[#This Row],[Song Title]], $AE$20:$AG$35, 3, FALSE)-Feb_2025_Results[[#This Row],[Result]], "TBD")</f>
        <v>-8</v>
      </c>
      <c r="AL35" s="3" t="str">
        <f t="shared" ca="1" si="9"/>
        <v>↓</v>
      </c>
    </row>
    <row r="37" spans="1:38">
      <c r="A37" s="302">
        <f>MAX(Z38:Z54)</f>
        <v>17</v>
      </c>
      <c r="B37" s="302">
        <f t="shared" ref="B37" si="10">FLOOR(LOG(A37, 2), 1)-1</f>
        <v>3</v>
      </c>
      <c r="C37" s="302">
        <f t="shared" ref="C37" si="11">_xlfn.CEILING.MATH(LOG(A37, 2), 1)-1</f>
        <v>4</v>
      </c>
      <c r="D37" s="302"/>
      <c r="E37" s="302"/>
      <c r="F37" s="302"/>
      <c r="G37" s="302"/>
      <c r="H37" s="302"/>
      <c r="I37" s="348" t="s">
        <v>4193</v>
      </c>
      <c r="J37" s="348"/>
      <c r="K37" s="348"/>
      <c r="L37" s="348"/>
      <c r="M37" s="348"/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02"/>
      <c r="Z37" s="221" t="s">
        <v>4163</v>
      </c>
      <c r="AA37" s="222" t="s">
        <v>29</v>
      </c>
      <c r="AB37" s="220" t="s">
        <v>32</v>
      </c>
      <c r="AC37" s="221" t="s">
        <v>33</v>
      </c>
      <c r="AD37" s="220" t="s">
        <v>34</v>
      </c>
      <c r="AE37" s="220" t="s">
        <v>4161</v>
      </c>
      <c r="AF37" s="220" t="s">
        <v>36</v>
      </c>
      <c r="AG37" s="221" t="s">
        <v>4164</v>
      </c>
      <c r="AI37" s="3" t="s">
        <v>4165</v>
      </c>
      <c r="AJ37" t="s">
        <v>35</v>
      </c>
      <c r="AK37" s="3" t="s">
        <v>4166</v>
      </c>
      <c r="AL37" s="3" t="s">
        <v>4167</v>
      </c>
    </row>
    <row r="38" spans="1:38">
      <c r="A38" t="s">
        <v>4168</v>
      </c>
      <c r="B38" s="3" t="s">
        <v>4169</v>
      </c>
      <c r="C38" t="s">
        <v>4170</v>
      </c>
      <c r="D38" t="s">
        <v>4171</v>
      </c>
      <c r="E38" t="s">
        <v>4172</v>
      </c>
      <c r="F38" t="s">
        <v>4173</v>
      </c>
      <c r="G38" t="s">
        <v>4174</v>
      </c>
      <c r="H38" t="s">
        <v>4175</v>
      </c>
      <c r="I38" t="s">
        <v>4176</v>
      </c>
      <c r="J38" t="s">
        <v>4177</v>
      </c>
      <c r="K38" t="s">
        <v>4178</v>
      </c>
      <c r="L38" t="s">
        <v>4179</v>
      </c>
      <c r="M38" t="s">
        <v>4180</v>
      </c>
      <c r="N38" s="3" t="s">
        <v>4181</v>
      </c>
      <c r="O38" t="s">
        <v>4182</v>
      </c>
      <c r="P38" s="3" t="s">
        <v>47</v>
      </c>
      <c r="Q38" s="123" t="s">
        <v>4183</v>
      </c>
      <c r="R38" s="3" t="s">
        <v>4184</v>
      </c>
      <c r="S38" t="s">
        <v>4185</v>
      </c>
      <c r="T38" t="s">
        <v>4186</v>
      </c>
      <c r="U38" t="s">
        <v>4187</v>
      </c>
      <c r="V38" t="s">
        <v>4188</v>
      </c>
      <c r="W38" t="s">
        <v>4189</v>
      </c>
      <c r="X38" s="3" t="s">
        <v>4190</v>
      </c>
      <c r="Z38" s="109">
        <f>IF(AC38&gt;0, COUNTIF(AC$38:AC$54, "&lt;"&amp;AC38) + COUNTIFS(AC$38:AC$54, AC38, AD$38:AD$54, "&lt;"&amp;AD38) + COUNTIFS(AC$38:AC$54, AC38, AD$38:AD$54, AD38, AA$38:AA$54, "&lt;"&amp;AA38) + 1, "TBD")</f>
        <v>16</v>
      </c>
      <c r="AA38" s="59" cm="1">
        <f t="array" ref="AA38:AF54">_xlfn._xlws.FILTER(Data[Date]:Data[Artist], (Data[Date]&gt;=DATE(2025,3,1))*(Data[Date]&lt;=DATE(2025,3,31))*(Data[Winner]=TRUE()), "TBD")</f>
        <v>45719</v>
      </c>
      <c r="AB38" t="str">
        <v>currydestroyer27</v>
      </c>
      <c r="AC38" s="3">
        <v>2.4</v>
      </c>
      <c r="AD38">
        <v>1.4966629547095767</v>
      </c>
      <c r="AE38" t="str">
        <v>Take Me Out</v>
      </c>
      <c r="AF38" t="str">
        <v>Franz Ferdinand</v>
      </c>
      <c r="AG38" s="100">
        <f t="shared" ref="AG38:AG54" si="12">IF(Z38&gt;1, 2^FLOOR(LOG(Z38-1, 2), 1)+1, 1)</f>
        <v>9</v>
      </c>
      <c r="AI38" s="115">
        <v>1</v>
      </c>
      <c r="AJ38" s="105" t="str">
        <f ca="1">P39</f>
        <v>A Lonely Night</v>
      </c>
      <c r="AK38" s="3">
        <f ca="1">IFERROR(VLOOKUP(Mar_2025_Results[[#This Row],[Song Title]], $AE$38:$AG$54, 3, FALSE)-Mar_2025_Results[[#This Row],[Result]], "TBD")</f>
        <v>8</v>
      </c>
      <c r="AL38" s="3" t="str">
        <f ca="1">IF(AK38&lt;0,"↓",IF(AK38=0,"-","↑"))</f>
        <v>↑</v>
      </c>
    </row>
    <row r="39" spans="1:38">
      <c r="A39" s="105" t="str">
        <f>_xlfn.CONCAT("Seed ", Mar_2025_SotM[[#This Row],[Top Seed]], " vs ",Mar_2025_SotM[[#This Row],[Low Seed]])</f>
        <v>Seed 1 vs 2</v>
      </c>
      <c r="B39" s="115">
        <v>1</v>
      </c>
      <c r="C39" s="105">
        <f>FLOOR(LOG(Mar_2025_SotM[[#This Row],[Num]], 2), 1)</f>
        <v>0</v>
      </c>
      <c r="D39" s="105">
        <f>2^(Mar_2025_SotM[[#This Row],[Round]]+1)</f>
        <v>2</v>
      </c>
      <c r="E39" s="105">
        <f>Mar_2025_SotM[[#This Row],[Max Seed]]-Mar_2025_SotM[[#This Row],[Num]]</f>
        <v>1</v>
      </c>
      <c r="F39" s="105">
        <f>Mar_2025_SotM[[#This Row],[Max Seed]]-Mar_2025_SotM[[#This Row],[Top Seed]]+1</f>
        <v>2</v>
      </c>
      <c r="G39" s="105" t="b">
        <f>IF(Mar_2025_SotM[[#This Row],[Round]]=$C$37, TRUE(), IF(Mar_2025_SotM[[#This Row],[Round]]=$B$37, Mar_2025_SotM[[#This Row],[Top Seed]]&lt;=2*Mar_2025_SotM[[#This Row],[Max Seed]]-$A$37, FALSE()))</f>
        <v>0</v>
      </c>
      <c r="H39" s="105" t="b">
        <f>IF(Mar_2025_SotM[[#This Row],[Round]]=$C$37, TRUE(), IF(Mar_2025_SotM[[#This Row],[Round]]=$B$37, Mar_2025_SotM[[#This Row],[Low Seed]]&lt;=2*Mar_2025_SotM[[#This Row],[Max Seed]]-$A$37, FALSE()))</f>
        <v>0</v>
      </c>
      <c r="I39" s="28"/>
      <c r="J39" s="31" t="s">
        <v>4191</v>
      </c>
      <c r="K39" s="33" t="s">
        <v>4191</v>
      </c>
      <c r="L39" s="35"/>
      <c r="M39" s="37"/>
      <c r="N39" s="192" t="str">
        <f ca="1">IF(Mar_2025_SotM[[#This Row],[Num]]&gt;=$A$37, "-", IF(Mar_2025_SotM[[#This Row],[Initial 1]], VLOOKUP(Mar_2025_SotM[[#This Row],[Top Seed]], $Z$38:$AE$54, 6, FALSE), OFFSET(Mar_2025_SotM[[#This Row],[Winner]], Mar_2025_SotM[[#This Row],[Max Seed]], 0)))</f>
        <v>roleplay</v>
      </c>
      <c r="O39" s="105">
        <f>COUNTIF(Mar_2025_SotM[[#This Row],[J]:[H]],"x")</f>
        <v>2</v>
      </c>
      <c r="P39" s="115" t="str">
        <f ca="1">IF(Mar_2025_SotM[[#This Row],[Num]]&gt;=$A$37, "-", IF(Mar_2025_SotM[[#This Row],[Score 1]]&gt;=3, Mar_2025_SotM[[#This Row],[Song 1]], IF(Mar_2025_SotM[[#This Row],[Score 2]]&gt;=3, Mar_2025_SotM[[#This Row],[Song 2]], "TBD")))</f>
        <v>A Lonely Night</v>
      </c>
      <c r="Q39" s="193">
        <f>COUNTIF(Mar_2025_SotM[[#This Row],[H ]:[J ]],"x")</f>
        <v>3</v>
      </c>
      <c r="R39" s="105" t="str">
        <f ca="1">IF(Mar_2025_SotM[[#This Row],[Num]]&gt;=$A$37, "-", IF(Mar_2025_SotM[[#This Row],[Initial 2]], VLOOKUP(Mar_2025_SotM[[#This Row],[Low Seed]], $Z$38:$AE$54, 6, FALSE), OFFSET(Mar_2025_SotM[[#This Row],[Winner]], 2*(Mar_2025_SotM[[#This Row],[Max Seed]]-Mar_2025_SotM[[#This Row],[Low Seed]])+1, 0)))</f>
        <v>A Lonely Night</v>
      </c>
      <c r="S39" s="37" t="s">
        <v>4191</v>
      </c>
      <c r="T39" s="35" t="s">
        <v>4191</v>
      </c>
      <c r="U39" s="33"/>
      <c r="V39" s="31"/>
      <c r="W39" s="28" t="s">
        <v>4191</v>
      </c>
      <c r="X39" s="115" t="str">
        <f ca="1">IF(OR(Mar_2025_SotM[[#This Row],[Song 1]]="TBD", Mar_2025_SotM[[#This Row],[Song 2]]="TBD"), "TBD", _xlfn.CONCAT(IF(_xlfn.XOR(ISBLANK(Mar_2025_SotM[[#This Row],[J]]), ISBLANK(Mar_2025_SotM[[#This Row],[J ]])), "", "J "), IF(_xlfn.XOR(ISBLANK(Mar_2025_SotM[[#This Row],[D]]), ISBLANK(Mar_2025_SotM[[#This Row],[D ]])), "", "D "), IF(_xlfn.XOR(ISBLANK(Mar_2025_SotM[[#This Row],[L]]), ISBLANK(Mar_2025_SotM[[#This Row],[L ]])), "", "L "), IF(_xlfn.XOR(ISBLANK(Mar_2025_SotM[[#This Row],[S]]), ISBLANK(Mar_2025_SotM[[#This Row],[S ]])), "", "S "), IF(_xlfn.XOR(ISBLANK(Mar_2025_SotM[[#This Row],[H]]), ISBLANK(Mar_2025_SotM[[#This Row],[H ]])), "", "H ")))</f>
        <v/>
      </c>
      <c r="Z39" s="109">
        <f t="shared" ref="Z39:Z54" si="13">IF(AC39&gt;0, COUNTIF(AC$38:AC$54, "&lt;"&amp;AC39) + COUNTIFS(AC$38:AC$54, AC39, AD$38:AD$54, "&lt;"&amp;AD39) + COUNTIFS(AC$38:AC$54, AC39, AD$38:AD$54, AD39, AA$38:AA$54, "&lt;"&amp;AA39) + 1, "TBD")</f>
        <v>2</v>
      </c>
      <c r="AA39" s="59">
        <v>45720</v>
      </c>
      <c r="AB39" t="str">
        <v>currydestroyer27</v>
      </c>
      <c r="AC39" s="3">
        <v>1.8</v>
      </c>
      <c r="AD39">
        <v>0.74833147735478833</v>
      </c>
      <c r="AE39" t="str">
        <v>CHAINSAW BLOOD</v>
      </c>
      <c r="AF39" t="str">
        <v>Vaundy</v>
      </c>
      <c r="AG39" s="100">
        <f t="shared" si="12"/>
        <v>2</v>
      </c>
      <c r="AI39" s="115">
        <f>Mar_2025_SotM[[#This Row],[Max Seed]]/2 + 1</f>
        <v>2</v>
      </c>
      <c r="AJ39" s="105" t="str">
        <f ca="1">IF(Mar_2025_SotM[[#This Row],[Num]]&gt;=$A$37, "-", IF(Mar_2025_SotM[[#This Row],[Score 1]]&gt;=3, Mar_2025_SotM[[#This Row],[Song 2]], IF(Mar_2025_SotM[[#This Row],[Score 2]]&gt;=3, Mar_2025_SotM[[#This Row],[Song 1]], "TBD")))</f>
        <v>roleplay</v>
      </c>
      <c r="AK39" s="3">
        <f ca="1">IFERROR(VLOOKUP(Mar_2025_Results[[#This Row],[Song Title]], $AE$38:$AG$54, 3, FALSE)-Mar_2025_Results[[#This Row],[Result]], "TBD")</f>
        <v>7</v>
      </c>
      <c r="AL39" s="3" t="str">
        <f ca="1">IF(AK39&lt;0,"↓",IF(AK39=0,"-","↑"))</f>
        <v>↑</v>
      </c>
    </row>
    <row r="40" spans="1:38">
      <c r="A40" s="105" t="str">
        <f>_xlfn.CONCAT("Seed ", Mar_2025_SotM[[#This Row],[Top Seed]], " vs ",Mar_2025_SotM[[#This Row],[Low Seed]])</f>
        <v>Seed 2 vs 3</v>
      </c>
      <c r="B40" s="115">
        <v>2</v>
      </c>
      <c r="C40" s="105">
        <f>FLOOR(LOG(Mar_2025_SotM[[#This Row],[Num]], 2), 1)</f>
        <v>1</v>
      </c>
      <c r="D40" s="105">
        <f>2^(Mar_2025_SotM[[#This Row],[Round]]+1)</f>
        <v>4</v>
      </c>
      <c r="E40" s="105">
        <f>Mar_2025_SotM[[#This Row],[Max Seed]]-Mar_2025_SotM[[#This Row],[Num]]</f>
        <v>2</v>
      </c>
      <c r="F40" s="105">
        <f>Mar_2025_SotM[[#This Row],[Max Seed]]-Mar_2025_SotM[[#This Row],[Top Seed]]+1</f>
        <v>3</v>
      </c>
      <c r="G40" s="105" t="b">
        <f>IF(Mar_2025_SotM[[#This Row],[Round]]=$C$37, TRUE(), IF(Mar_2025_SotM[[#This Row],[Round]]=$B$37, Mar_2025_SotM[[#This Row],[Top Seed]]&lt;=2*Mar_2025_SotM[[#This Row],[Max Seed]]-$A$37, FALSE()))</f>
        <v>0</v>
      </c>
      <c r="H40" s="105" t="b">
        <f>IF(Mar_2025_SotM[[#This Row],[Round]]=$C$37, TRUE(), IF(Mar_2025_SotM[[#This Row],[Round]]=$B$37, Mar_2025_SotM[[#This Row],[Low Seed]]&lt;=2*Mar_2025_SotM[[#This Row],[Max Seed]]-$A$37, FALSE()))</f>
        <v>0</v>
      </c>
      <c r="I40" s="28" t="s">
        <v>4191</v>
      </c>
      <c r="J40" s="31" t="s">
        <v>4191</v>
      </c>
      <c r="K40" s="33"/>
      <c r="L40" s="35" t="s">
        <v>4191</v>
      </c>
      <c r="M40" s="37"/>
      <c r="N40" s="192" t="str">
        <f ca="1">IF(Mar_2025_SotM[[#This Row],[Num]]&gt;=$A$37, "-", IF(Mar_2025_SotM[[#This Row],[Initial 1]], VLOOKUP(Mar_2025_SotM[[#This Row],[Top Seed]], $Z$38:$AE$54, 6, FALSE), OFFSET(Mar_2025_SotM[[#This Row],[Winner]], Mar_2025_SotM[[#This Row],[Max Seed]], 0)))</f>
        <v>A Lonely Night</v>
      </c>
      <c r="O40" s="105">
        <f>COUNTIF(Mar_2025_SotM[[#This Row],[J]:[H]],"x")</f>
        <v>3</v>
      </c>
      <c r="P40" s="115" t="str">
        <f ca="1">IF(Mar_2025_SotM[[#This Row],[Num]]&gt;=$A$37, "-", IF(Mar_2025_SotM[[#This Row],[Score 1]]&gt;=3, Mar_2025_SotM[[#This Row],[Song 1]], IF(Mar_2025_SotM[[#This Row],[Score 2]]&gt;=3, Mar_2025_SotM[[#This Row],[Song 2]], "TBD")))</f>
        <v>A Lonely Night</v>
      </c>
      <c r="Q40" s="193">
        <f>COUNTIF(Mar_2025_SotM[[#This Row],[H ]:[J ]],"x")</f>
        <v>2</v>
      </c>
      <c r="R40" s="105" t="str">
        <f ca="1">IF(Mar_2025_SotM[[#This Row],[Num]]&gt;=$A$37, "-", IF(Mar_2025_SotM[[#This Row],[Initial 2]], VLOOKUP(Mar_2025_SotM[[#This Row],[Low Seed]], $Z$38:$AE$54, 6, FALSE), OFFSET(Mar_2025_SotM[[#This Row],[Winner]], 2*(Mar_2025_SotM[[#This Row],[Max Seed]]-Mar_2025_SotM[[#This Row],[Low Seed]])+1, 0)))</f>
        <v>Drip Too Hard</v>
      </c>
      <c r="S40" s="37" t="s">
        <v>4191</v>
      </c>
      <c r="T40" s="35"/>
      <c r="U40" s="33" t="s">
        <v>4191</v>
      </c>
      <c r="V40" s="31"/>
      <c r="W40" s="28"/>
      <c r="X40" s="115" t="str">
        <f ca="1">IF(OR(Mar_2025_SotM[[#This Row],[Song 1]]="TBD", Mar_2025_SotM[[#This Row],[Song 2]]="TBD"), "TBD", _xlfn.CONCAT(IF(_xlfn.XOR(ISBLANK(Mar_2025_SotM[[#This Row],[J]]), ISBLANK(Mar_2025_SotM[[#This Row],[J ]])), "", "J "), IF(_xlfn.XOR(ISBLANK(Mar_2025_SotM[[#This Row],[D]]), ISBLANK(Mar_2025_SotM[[#This Row],[D ]])), "", "D "), IF(_xlfn.XOR(ISBLANK(Mar_2025_SotM[[#This Row],[L]]), ISBLANK(Mar_2025_SotM[[#This Row],[L ]])), "", "L "), IF(_xlfn.XOR(ISBLANK(Mar_2025_SotM[[#This Row],[S]]), ISBLANK(Mar_2025_SotM[[#This Row],[S ]])), "", "S "), IF(_xlfn.XOR(ISBLANK(Mar_2025_SotM[[#This Row],[H]]), ISBLANK(Mar_2025_SotM[[#This Row],[H ]])), "", "H ")))</f>
        <v/>
      </c>
      <c r="Z40" s="109">
        <f t="shared" si="13"/>
        <v>17</v>
      </c>
      <c r="AA40" s="59">
        <v>45721</v>
      </c>
      <c r="AB40" t="str">
        <v>danram</v>
      </c>
      <c r="AC40" s="3">
        <v>2.6</v>
      </c>
      <c r="AD40">
        <v>1.3564659966250536</v>
      </c>
      <c r="AE40" t="str">
        <v>Lithium</v>
      </c>
      <c r="AF40" t="str">
        <v>Nirvana</v>
      </c>
      <c r="AG40" s="100">
        <f t="shared" si="12"/>
        <v>17</v>
      </c>
      <c r="AI40" s="115">
        <f>Mar_2025_SotM[[#This Row],[Max Seed]]/2 + 1</f>
        <v>3</v>
      </c>
      <c r="AJ40" s="105" t="str">
        <f ca="1">IF(Mar_2025_SotM[[#This Row],[Num]]&gt;=$A$37, "-", IF(Mar_2025_SotM[[#This Row],[Score 1]]&gt;=3, Mar_2025_SotM[[#This Row],[Song 2]], IF(Mar_2025_SotM[[#This Row],[Score 2]]&gt;=3, Mar_2025_SotM[[#This Row],[Song 1]], "TBD")))</f>
        <v>Drip Too Hard</v>
      </c>
      <c r="AK40" s="3">
        <f ca="1">IFERROR(VLOOKUP(Mar_2025_Results[[#This Row],[Song Title]], $AE$38:$AG$54, 3, FALSE)-Mar_2025_Results[[#This Row],[Result]], "TBD")</f>
        <v>6</v>
      </c>
      <c r="AL40" s="3" t="str">
        <f t="shared" ref="AL40:AL54" ca="1" si="14">IF(AK40&lt;0,"↓",IF(AK40=0,"-","↑"))</f>
        <v>↑</v>
      </c>
    </row>
    <row r="41" spans="1:38">
      <c r="A41" s="105" t="str">
        <f>_xlfn.CONCAT("Seed ", Mar_2025_SotM[[#This Row],[Top Seed]], " vs ",Mar_2025_SotM[[#This Row],[Low Seed]])</f>
        <v>Seed 1 vs 4</v>
      </c>
      <c r="B41" s="115">
        <v>3</v>
      </c>
      <c r="C41" s="105">
        <f>FLOOR(LOG(Mar_2025_SotM[[#This Row],[Num]], 2), 1)</f>
        <v>1</v>
      </c>
      <c r="D41" s="105">
        <f>2^(Mar_2025_SotM[[#This Row],[Round]]+1)</f>
        <v>4</v>
      </c>
      <c r="E41" s="105">
        <f>Mar_2025_SotM[[#This Row],[Max Seed]]-Mar_2025_SotM[[#This Row],[Num]]</f>
        <v>1</v>
      </c>
      <c r="F41" s="105">
        <f>Mar_2025_SotM[[#This Row],[Max Seed]]-Mar_2025_SotM[[#This Row],[Top Seed]]+1</f>
        <v>4</v>
      </c>
      <c r="G41" s="105" t="b">
        <f>IF(Mar_2025_SotM[[#This Row],[Round]]=$C$37, TRUE(), IF(Mar_2025_SotM[[#This Row],[Round]]=$B$37, Mar_2025_SotM[[#This Row],[Top Seed]]&lt;=2*Mar_2025_SotM[[#This Row],[Max Seed]]-$A$37, FALSE()))</f>
        <v>0</v>
      </c>
      <c r="H41" s="105" t="b">
        <f>IF(Mar_2025_SotM[[#This Row],[Round]]=$C$37, TRUE(), IF(Mar_2025_SotM[[#This Row],[Round]]=$B$37, Mar_2025_SotM[[#This Row],[Low Seed]]&lt;=2*Mar_2025_SotM[[#This Row],[Max Seed]]-$A$37, FALSE()))</f>
        <v>0</v>
      </c>
      <c r="I41" s="28"/>
      <c r="J41" s="31"/>
      <c r="K41" s="33"/>
      <c r="L41" s="35" t="s">
        <v>4191</v>
      </c>
      <c r="M41" s="37" t="s">
        <v>4191</v>
      </c>
      <c r="N41" s="192" t="str">
        <f ca="1">IF(Mar_2025_SotM[[#This Row],[Num]]&gt;=$A$37, "-", IF(Mar_2025_SotM[[#This Row],[Initial 1]], VLOOKUP(Mar_2025_SotM[[#This Row],[Top Seed]], $Z$38:$AE$54, 6, FALSE), OFFSET(Mar_2025_SotM[[#This Row],[Winner]], Mar_2025_SotM[[#This Row],[Max Seed]], 0)))</f>
        <v>Take Me Out</v>
      </c>
      <c r="O41" s="105">
        <f>COUNTIF(Mar_2025_SotM[[#This Row],[J]:[H]],"x")</f>
        <v>2</v>
      </c>
      <c r="P41" s="115" t="str">
        <f ca="1">IF(Mar_2025_SotM[[#This Row],[Num]]&gt;=$A$37, "-", IF(Mar_2025_SotM[[#This Row],[Score 1]]&gt;=3, Mar_2025_SotM[[#This Row],[Song 1]], IF(Mar_2025_SotM[[#This Row],[Score 2]]&gt;=3, Mar_2025_SotM[[#This Row],[Song 2]], "TBD")))</f>
        <v>roleplay</v>
      </c>
      <c r="Q41" s="193">
        <f>COUNTIF(Mar_2025_SotM[[#This Row],[H ]:[J ]],"x")</f>
        <v>3</v>
      </c>
      <c r="R41" s="105" t="str">
        <f ca="1">IF(Mar_2025_SotM[[#This Row],[Num]]&gt;=$A$37, "-", IF(Mar_2025_SotM[[#This Row],[Initial 2]], VLOOKUP(Mar_2025_SotM[[#This Row],[Low Seed]], $Z$38:$AE$54, 6, FALSE), OFFSET(Mar_2025_SotM[[#This Row],[Winner]], 2*(Mar_2025_SotM[[#This Row],[Max Seed]]-Mar_2025_SotM[[#This Row],[Low Seed]])+1, 0)))</f>
        <v>roleplay</v>
      </c>
      <c r="S41" s="37"/>
      <c r="T41" s="35"/>
      <c r="U41" s="33" t="s">
        <v>4191</v>
      </c>
      <c r="V41" s="31" t="s">
        <v>4191</v>
      </c>
      <c r="W41" s="28" t="s">
        <v>4191</v>
      </c>
      <c r="X41" s="115" t="str">
        <f ca="1">IF(OR(Mar_2025_SotM[[#This Row],[Song 1]]="TBD", Mar_2025_SotM[[#This Row],[Song 2]]="TBD"), "TBD", _xlfn.CONCAT(IF(_xlfn.XOR(ISBLANK(Mar_2025_SotM[[#This Row],[J]]), ISBLANK(Mar_2025_SotM[[#This Row],[J ]])), "", "J "), IF(_xlfn.XOR(ISBLANK(Mar_2025_SotM[[#This Row],[D]]), ISBLANK(Mar_2025_SotM[[#This Row],[D ]])), "", "D "), IF(_xlfn.XOR(ISBLANK(Mar_2025_SotM[[#This Row],[L]]), ISBLANK(Mar_2025_SotM[[#This Row],[L ]])), "", "L "), IF(_xlfn.XOR(ISBLANK(Mar_2025_SotM[[#This Row],[S]]), ISBLANK(Mar_2025_SotM[[#This Row],[S ]])), "", "S "), IF(_xlfn.XOR(ISBLANK(Mar_2025_SotM[[#This Row],[H]]), ISBLANK(Mar_2025_SotM[[#This Row],[H ]])), "", "H ")))</f>
        <v/>
      </c>
      <c r="Z41" s="109">
        <f t="shared" si="13"/>
        <v>4</v>
      </c>
      <c r="AA41" s="59">
        <v>45722</v>
      </c>
      <c r="AB41" t="str">
        <v>samuelbattista</v>
      </c>
      <c r="AC41" s="3">
        <v>2</v>
      </c>
      <c r="AD41">
        <v>0.63245553203367588</v>
      </c>
      <c r="AE41" t="str">
        <v>RADA RADA</v>
      </c>
      <c r="AF41" t="str">
        <v>Baby Kia</v>
      </c>
      <c r="AG41" s="100">
        <f t="shared" si="12"/>
        <v>3</v>
      </c>
      <c r="AI41" s="115">
        <f>Mar_2025_SotM[[#This Row],[Max Seed]]/2 + 1</f>
        <v>3</v>
      </c>
      <c r="AJ41" s="105" t="str">
        <f ca="1">IF(Mar_2025_SotM[[#This Row],[Num]]&gt;=$A$37, "-", IF(Mar_2025_SotM[[#This Row],[Score 1]]&gt;=3, Mar_2025_SotM[[#This Row],[Song 2]], IF(Mar_2025_SotM[[#This Row],[Score 2]]&gt;=3, Mar_2025_SotM[[#This Row],[Song 1]], "TBD")))</f>
        <v>Take Me Out</v>
      </c>
      <c r="AK41" s="3">
        <f ca="1">IFERROR(VLOOKUP(Mar_2025_Results[[#This Row],[Song Title]], $AE$38:$AG$54, 3, FALSE)-Mar_2025_Results[[#This Row],[Result]], "TBD")</f>
        <v>6</v>
      </c>
      <c r="AL41" s="3" t="str">
        <f t="shared" ca="1" si="14"/>
        <v>↑</v>
      </c>
    </row>
    <row r="42" spans="1:38">
      <c r="A42" s="105" t="str">
        <f>_xlfn.CONCAT("Seed ", Mar_2025_SotM[[#This Row],[Top Seed]], " vs ",Mar_2025_SotM[[#This Row],[Low Seed]])</f>
        <v>Seed 4 vs 5</v>
      </c>
      <c r="B42" s="115">
        <v>4</v>
      </c>
      <c r="C42" s="105">
        <f>FLOOR(LOG(Mar_2025_SotM[[#This Row],[Num]], 2), 1)</f>
        <v>2</v>
      </c>
      <c r="D42" s="105">
        <f>2^(Mar_2025_SotM[[#This Row],[Round]]+1)</f>
        <v>8</v>
      </c>
      <c r="E42" s="105">
        <f>Mar_2025_SotM[[#This Row],[Max Seed]]-Mar_2025_SotM[[#This Row],[Num]]</f>
        <v>4</v>
      </c>
      <c r="F42" s="105">
        <f>Mar_2025_SotM[[#This Row],[Max Seed]]-Mar_2025_SotM[[#This Row],[Top Seed]]+1</f>
        <v>5</v>
      </c>
      <c r="G42" s="105" t="b">
        <f>IF(Mar_2025_SotM[[#This Row],[Round]]=$C$37, TRUE(), IF(Mar_2025_SotM[[#This Row],[Round]]=$B$37, Mar_2025_SotM[[#This Row],[Top Seed]]&lt;=2*Mar_2025_SotM[[#This Row],[Max Seed]]-$A$37, FALSE()))</f>
        <v>0</v>
      </c>
      <c r="H42" s="105" t="b">
        <f>IF(Mar_2025_SotM[[#This Row],[Round]]=$C$37, TRUE(), IF(Mar_2025_SotM[[#This Row],[Round]]=$B$37, Mar_2025_SotM[[#This Row],[Low Seed]]&lt;=2*Mar_2025_SotM[[#This Row],[Max Seed]]-$A$37, FALSE()))</f>
        <v>0</v>
      </c>
      <c r="I42" s="28"/>
      <c r="J42" s="31"/>
      <c r="K42" s="33"/>
      <c r="L42" s="35"/>
      <c r="M42" s="37" t="s">
        <v>4191</v>
      </c>
      <c r="N42" s="192" t="str">
        <f ca="1">IF(Mar_2025_SotM[[#This Row],[Num]]&gt;=$A$37, "-", IF(Mar_2025_SotM[[#This Row],[Initial 1]], VLOOKUP(Mar_2025_SotM[[#This Row],[Top Seed]], $Z$38:$AE$54, 6, FALSE), OFFSET(Mar_2025_SotM[[#This Row],[Winner]], Mar_2025_SotM[[#This Row],[Max Seed]], 0)))</f>
        <v>Sun</v>
      </c>
      <c r="O42" s="105">
        <f>COUNTIF(Mar_2025_SotM[[#This Row],[J]:[H]],"x")</f>
        <v>1</v>
      </c>
      <c r="P42" s="115" t="str">
        <f ca="1">IF(Mar_2025_SotM[[#This Row],[Num]]&gt;=$A$37, "-", IF(Mar_2025_SotM[[#This Row],[Score 1]]&gt;=3, Mar_2025_SotM[[#This Row],[Song 1]], IF(Mar_2025_SotM[[#This Row],[Score 2]]&gt;=3, Mar_2025_SotM[[#This Row],[Song 2]], "TBD")))</f>
        <v>roleplay</v>
      </c>
      <c r="Q42" s="193">
        <f>COUNTIF(Mar_2025_SotM[[#This Row],[H ]:[J ]],"x")</f>
        <v>4</v>
      </c>
      <c r="R42" s="105" t="str">
        <f ca="1">IF(Mar_2025_SotM[[#This Row],[Num]]&gt;=$A$37, "-", IF(Mar_2025_SotM[[#This Row],[Initial 2]], VLOOKUP(Mar_2025_SotM[[#This Row],[Low Seed]], $Z$38:$AE$54, 6, FALSE), OFFSET(Mar_2025_SotM[[#This Row],[Winner]], 2*(Mar_2025_SotM[[#This Row],[Max Seed]]-Mar_2025_SotM[[#This Row],[Low Seed]])+1, 0)))</f>
        <v>roleplay</v>
      </c>
      <c r="S42" s="37"/>
      <c r="T42" s="35" t="s">
        <v>4191</v>
      </c>
      <c r="U42" s="33" t="s">
        <v>4191</v>
      </c>
      <c r="V42" s="31" t="s">
        <v>4191</v>
      </c>
      <c r="W42" s="28" t="s">
        <v>4191</v>
      </c>
      <c r="X42" s="115" t="str">
        <f ca="1">IF(OR(Mar_2025_SotM[[#This Row],[Song 1]]="TBD", Mar_2025_SotM[[#This Row],[Song 2]]="TBD"), "TBD", _xlfn.CONCAT(IF(_xlfn.XOR(ISBLANK(Mar_2025_SotM[[#This Row],[J]]), ISBLANK(Mar_2025_SotM[[#This Row],[J ]])), "", "J "), IF(_xlfn.XOR(ISBLANK(Mar_2025_SotM[[#This Row],[D]]), ISBLANK(Mar_2025_SotM[[#This Row],[D ]])), "", "D "), IF(_xlfn.XOR(ISBLANK(Mar_2025_SotM[[#This Row],[L]]), ISBLANK(Mar_2025_SotM[[#This Row],[L ]])), "", "L "), IF(_xlfn.XOR(ISBLANK(Mar_2025_SotM[[#This Row],[S]]), ISBLANK(Mar_2025_SotM[[#This Row],[S ]])), "", "S "), IF(_xlfn.XOR(ISBLANK(Mar_2025_SotM[[#This Row],[H]]), ISBLANK(Mar_2025_SotM[[#This Row],[H ]])), "", "H ")))</f>
        <v/>
      </c>
      <c r="Z42" s="109">
        <f t="shared" si="13"/>
        <v>3</v>
      </c>
      <c r="AA42" s="59">
        <v>45726</v>
      </c>
      <c r="AB42" t="str">
        <v>alappatjoe</v>
      </c>
      <c r="AC42" s="3">
        <v>1.8</v>
      </c>
      <c r="AD42">
        <v>0.74833147735478833</v>
      </c>
      <c r="AE42" t="str">
        <v>トドメの一撃</v>
      </c>
      <c r="AF42" t="str">
        <v>Vaundy, Cory Wong</v>
      </c>
      <c r="AG42" s="100">
        <f t="shared" si="12"/>
        <v>3</v>
      </c>
      <c r="AI42" s="115">
        <f>Mar_2025_SotM[[#This Row],[Max Seed]]/2 + 1</f>
        <v>5</v>
      </c>
      <c r="AJ42" s="105" t="str">
        <f ca="1">IF(Mar_2025_SotM[[#This Row],[Num]]&gt;=$A$37, "-", IF(Mar_2025_SotM[[#This Row],[Score 1]]&gt;=3, Mar_2025_SotM[[#This Row],[Song 2]], IF(Mar_2025_SotM[[#This Row],[Score 2]]&gt;=3, Mar_2025_SotM[[#This Row],[Song 1]], "TBD")))</f>
        <v>Sun</v>
      </c>
      <c r="AK42" s="3">
        <f ca="1">IFERROR(VLOOKUP(Mar_2025_Results[[#This Row],[Song Title]], $AE$38:$AG$54, 3, FALSE)-Mar_2025_Results[[#This Row],[Result]], "TBD")</f>
        <v>4</v>
      </c>
      <c r="AL42" s="3" t="str">
        <f t="shared" ca="1" si="14"/>
        <v>↑</v>
      </c>
    </row>
    <row r="43" spans="1:38">
      <c r="A43" s="105" t="str">
        <f>_xlfn.CONCAT("Seed ", Mar_2025_SotM[[#This Row],[Top Seed]], " vs ",Mar_2025_SotM[[#This Row],[Low Seed]])</f>
        <v>Seed 3 vs 6</v>
      </c>
      <c r="B43" s="115">
        <v>5</v>
      </c>
      <c r="C43" s="105">
        <f>FLOOR(LOG(Mar_2025_SotM[[#This Row],[Num]], 2), 1)</f>
        <v>2</v>
      </c>
      <c r="D43" s="105">
        <f>2^(Mar_2025_SotM[[#This Row],[Round]]+1)</f>
        <v>8</v>
      </c>
      <c r="E43" s="105">
        <f>Mar_2025_SotM[[#This Row],[Max Seed]]-Mar_2025_SotM[[#This Row],[Num]]</f>
        <v>3</v>
      </c>
      <c r="F43" s="105">
        <f>Mar_2025_SotM[[#This Row],[Max Seed]]-Mar_2025_SotM[[#This Row],[Top Seed]]+1</f>
        <v>6</v>
      </c>
      <c r="G43" s="105" t="b">
        <f>IF(Mar_2025_SotM[[#This Row],[Round]]=$C$37, TRUE(), IF(Mar_2025_SotM[[#This Row],[Round]]=$B$37, Mar_2025_SotM[[#This Row],[Top Seed]]&lt;=2*Mar_2025_SotM[[#This Row],[Max Seed]]-$A$37, FALSE()))</f>
        <v>0</v>
      </c>
      <c r="H43" s="105" t="b">
        <f>IF(Mar_2025_SotM[[#This Row],[Round]]=$C$37, TRUE(), IF(Mar_2025_SotM[[#This Row],[Round]]=$B$37, Mar_2025_SotM[[#This Row],[Low Seed]]&lt;=2*Mar_2025_SotM[[#This Row],[Max Seed]]-$A$37, FALSE()))</f>
        <v>0</v>
      </c>
      <c r="I43" s="28"/>
      <c r="J43" s="31" t="s">
        <v>4191</v>
      </c>
      <c r="K43" s="33"/>
      <c r="L43" s="35" t="s">
        <v>4191</v>
      </c>
      <c r="M43" s="37"/>
      <c r="N43" s="192" t="str">
        <f ca="1">IF(Mar_2025_SotM[[#This Row],[Num]]&gt;=$A$37, "-", IF(Mar_2025_SotM[[#This Row],[Initial 1]], VLOOKUP(Mar_2025_SotM[[#This Row],[Top Seed]], $Z$38:$AE$54, 6, FALSE), OFFSET(Mar_2025_SotM[[#This Row],[Winner]], Mar_2025_SotM[[#This Row],[Max Seed]], 0)))</f>
        <v>トドメの一撃</v>
      </c>
      <c r="O43" s="105">
        <f>COUNTIF(Mar_2025_SotM[[#This Row],[J]:[H]],"x")</f>
        <v>2</v>
      </c>
      <c r="P43" s="115" t="str">
        <f ca="1">IF(Mar_2025_SotM[[#This Row],[Num]]&gt;=$A$37, "-", IF(Mar_2025_SotM[[#This Row],[Score 1]]&gt;=3, Mar_2025_SotM[[#This Row],[Song 1]], IF(Mar_2025_SotM[[#This Row],[Score 2]]&gt;=3, Mar_2025_SotM[[#This Row],[Song 2]], "TBD")))</f>
        <v>Drip Too Hard</v>
      </c>
      <c r="Q43" s="193">
        <f>COUNTIF(Mar_2025_SotM[[#This Row],[H ]:[J ]],"x")</f>
        <v>3</v>
      </c>
      <c r="R43" s="105" t="str">
        <f ca="1">IF(Mar_2025_SotM[[#This Row],[Num]]&gt;=$A$37, "-", IF(Mar_2025_SotM[[#This Row],[Initial 2]], VLOOKUP(Mar_2025_SotM[[#This Row],[Low Seed]], $Z$38:$AE$54, 6, FALSE), OFFSET(Mar_2025_SotM[[#This Row],[Winner]], 2*(Mar_2025_SotM[[#This Row],[Max Seed]]-Mar_2025_SotM[[#This Row],[Low Seed]])+1, 0)))</f>
        <v>Drip Too Hard</v>
      </c>
      <c r="S43" s="37" t="s">
        <v>4191</v>
      </c>
      <c r="T43" s="35"/>
      <c r="U43" s="33" t="s">
        <v>4191</v>
      </c>
      <c r="V43" s="31"/>
      <c r="W43" s="28" t="s">
        <v>4191</v>
      </c>
      <c r="X43" s="115" t="str">
        <f ca="1">IF(OR(Mar_2025_SotM[[#This Row],[Song 1]]="TBD", Mar_2025_SotM[[#This Row],[Song 2]]="TBD"), "TBD", _xlfn.CONCAT(IF(_xlfn.XOR(ISBLANK(Mar_2025_SotM[[#This Row],[J]]), ISBLANK(Mar_2025_SotM[[#This Row],[J ]])), "", "J "), IF(_xlfn.XOR(ISBLANK(Mar_2025_SotM[[#This Row],[D]]), ISBLANK(Mar_2025_SotM[[#This Row],[D ]])), "", "D "), IF(_xlfn.XOR(ISBLANK(Mar_2025_SotM[[#This Row],[L]]), ISBLANK(Mar_2025_SotM[[#This Row],[L ]])), "", "L "), IF(_xlfn.XOR(ISBLANK(Mar_2025_SotM[[#This Row],[S]]), ISBLANK(Mar_2025_SotM[[#This Row],[S ]])), "", "S "), IF(_xlfn.XOR(ISBLANK(Mar_2025_SotM[[#This Row],[H]]), ISBLANK(Mar_2025_SotM[[#This Row],[H ]])), "", "H ")))</f>
        <v/>
      </c>
      <c r="Z43" s="109">
        <f t="shared" si="13"/>
        <v>13</v>
      </c>
      <c r="AA43" s="59">
        <v>45727</v>
      </c>
      <c r="AB43" t="str">
        <v>currydestroyer27</v>
      </c>
      <c r="AC43" s="3">
        <v>2.4</v>
      </c>
      <c r="AD43">
        <v>0.8</v>
      </c>
      <c r="AE43" t="str">
        <v>Sun</v>
      </c>
      <c r="AF43" t="str">
        <v>Derik Fein</v>
      </c>
      <c r="AG43" s="100">
        <f t="shared" si="12"/>
        <v>9</v>
      </c>
      <c r="AI43" s="115">
        <f>Mar_2025_SotM[[#This Row],[Max Seed]]/2 + 1</f>
        <v>5</v>
      </c>
      <c r="AJ43" s="105" t="str">
        <f ca="1">IF(Mar_2025_SotM[[#This Row],[Num]]&gt;=$A$37, "-", IF(Mar_2025_SotM[[#This Row],[Score 1]]&gt;=3, Mar_2025_SotM[[#This Row],[Song 2]], IF(Mar_2025_SotM[[#This Row],[Score 2]]&gt;=3, Mar_2025_SotM[[#This Row],[Song 1]], "TBD")))</f>
        <v>トドメの一撃</v>
      </c>
      <c r="AK43" s="3">
        <f ca="1">IFERROR(VLOOKUP(Mar_2025_Results[[#This Row],[Song Title]], $AE$38:$AG$54, 3, FALSE)-Mar_2025_Results[[#This Row],[Result]], "TBD")</f>
        <v>-2</v>
      </c>
      <c r="AL43" s="3" t="str">
        <f t="shared" ca="1" si="14"/>
        <v>↓</v>
      </c>
    </row>
    <row r="44" spans="1:38">
      <c r="A44" s="105" t="str">
        <f>_xlfn.CONCAT("Seed ", Mar_2025_SotM[[#This Row],[Top Seed]], " vs ",Mar_2025_SotM[[#This Row],[Low Seed]])</f>
        <v>Seed 2 vs 7</v>
      </c>
      <c r="B44" s="115">
        <v>6</v>
      </c>
      <c r="C44" s="105">
        <f>FLOOR(LOG(Mar_2025_SotM[[#This Row],[Num]], 2), 1)</f>
        <v>2</v>
      </c>
      <c r="D44" s="105">
        <f>2^(Mar_2025_SotM[[#This Row],[Round]]+1)</f>
        <v>8</v>
      </c>
      <c r="E44" s="105">
        <f>Mar_2025_SotM[[#This Row],[Max Seed]]-Mar_2025_SotM[[#This Row],[Num]]</f>
        <v>2</v>
      </c>
      <c r="F44" s="105">
        <f>Mar_2025_SotM[[#This Row],[Max Seed]]-Mar_2025_SotM[[#This Row],[Top Seed]]+1</f>
        <v>7</v>
      </c>
      <c r="G44" s="105" t="b">
        <f>IF(Mar_2025_SotM[[#This Row],[Round]]=$C$37, TRUE(), IF(Mar_2025_SotM[[#This Row],[Round]]=$B$37, Mar_2025_SotM[[#This Row],[Top Seed]]&lt;=2*Mar_2025_SotM[[#This Row],[Max Seed]]-$A$37, FALSE()))</f>
        <v>0</v>
      </c>
      <c r="H44" s="105" t="b">
        <f>IF(Mar_2025_SotM[[#This Row],[Round]]=$C$37, TRUE(), IF(Mar_2025_SotM[[#This Row],[Round]]=$B$37, Mar_2025_SotM[[#This Row],[Low Seed]]&lt;=2*Mar_2025_SotM[[#This Row],[Max Seed]]-$A$37, FALSE()))</f>
        <v>0</v>
      </c>
      <c r="I44" s="28" t="s">
        <v>4191</v>
      </c>
      <c r="J44" s="31" t="s">
        <v>4191</v>
      </c>
      <c r="K44" s="33"/>
      <c r="L44" s="35" t="s">
        <v>4191</v>
      </c>
      <c r="M44" s="37" t="s">
        <v>4191</v>
      </c>
      <c r="N44" s="192" t="str">
        <f ca="1">IF(Mar_2025_SotM[[#This Row],[Num]]&gt;=$A$37, "-", IF(Mar_2025_SotM[[#This Row],[Initial 1]], VLOOKUP(Mar_2025_SotM[[#This Row],[Top Seed]], $Z$38:$AE$54, 6, FALSE), OFFSET(Mar_2025_SotM[[#This Row],[Winner]], Mar_2025_SotM[[#This Row],[Max Seed]], 0)))</f>
        <v>A Lonely Night</v>
      </c>
      <c r="O44" s="105">
        <f>COUNTIF(Mar_2025_SotM[[#This Row],[J]:[H]],"x")</f>
        <v>4</v>
      </c>
      <c r="P44" s="115" t="str">
        <f ca="1">IF(Mar_2025_SotM[[#This Row],[Num]]&gt;=$A$37, "-", IF(Mar_2025_SotM[[#This Row],[Score 1]]&gt;=3, Mar_2025_SotM[[#This Row],[Song 1]], IF(Mar_2025_SotM[[#This Row],[Score 2]]&gt;=3, Mar_2025_SotM[[#This Row],[Song 2]], "TBD")))</f>
        <v>A Lonely Night</v>
      </c>
      <c r="Q44" s="193">
        <f>COUNTIF(Mar_2025_SotM[[#This Row],[H ]:[J ]],"x")</f>
        <v>1</v>
      </c>
      <c r="R44" s="105" t="str">
        <f ca="1">IF(Mar_2025_SotM[[#This Row],[Num]]&gt;=$A$37, "-", IF(Mar_2025_SotM[[#This Row],[Initial 2]], VLOOKUP(Mar_2025_SotM[[#This Row],[Low Seed]], $Z$38:$AE$54, 6, FALSE), OFFSET(Mar_2025_SotM[[#This Row],[Winner]], 2*(Mar_2025_SotM[[#This Row],[Max Seed]]-Mar_2025_SotM[[#This Row],[Low Seed]])+1, 0)))</f>
        <v>Not Letting Go</v>
      </c>
      <c r="S44" s="37"/>
      <c r="T44" s="35"/>
      <c r="U44" s="33" t="s">
        <v>4191</v>
      </c>
      <c r="V44" s="31"/>
      <c r="W44" s="28"/>
      <c r="X44" s="115" t="str">
        <f ca="1">IF(OR(Mar_2025_SotM[[#This Row],[Song 1]]="TBD", Mar_2025_SotM[[#This Row],[Song 2]]="TBD"), "TBD", _xlfn.CONCAT(IF(_xlfn.XOR(ISBLANK(Mar_2025_SotM[[#This Row],[J]]), ISBLANK(Mar_2025_SotM[[#This Row],[J ]])), "", "J "), IF(_xlfn.XOR(ISBLANK(Mar_2025_SotM[[#This Row],[D]]), ISBLANK(Mar_2025_SotM[[#This Row],[D ]])), "", "D "), IF(_xlfn.XOR(ISBLANK(Mar_2025_SotM[[#This Row],[L]]), ISBLANK(Mar_2025_SotM[[#This Row],[L ]])), "", "L "), IF(_xlfn.XOR(ISBLANK(Mar_2025_SotM[[#This Row],[S]]), ISBLANK(Mar_2025_SotM[[#This Row],[S ]])), "", "S "), IF(_xlfn.XOR(ISBLANK(Mar_2025_SotM[[#This Row],[H]]), ISBLANK(Mar_2025_SotM[[#This Row],[H ]])), "", "H ")))</f>
        <v/>
      </c>
      <c r="Z44" s="109">
        <f t="shared" si="13"/>
        <v>11</v>
      </c>
      <c r="AA44" s="59">
        <v>45728</v>
      </c>
      <c r="AB44" t="str">
        <v>alappatjoe</v>
      </c>
      <c r="AC44" s="3">
        <v>2.2000000000000002</v>
      </c>
      <c r="AD44">
        <v>0.9797958971132712</v>
      </c>
      <c r="AE44" t="str">
        <v>Drip Too Hard</v>
      </c>
      <c r="AF44" t="str">
        <v>Lil Baby, Gunna</v>
      </c>
      <c r="AG44" s="100">
        <f t="shared" si="12"/>
        <v>9</v>
      </c>
      <c r="AI44" s="115">
        <f>Mar_2025_SotM[[#This Row],[Max Seed]]/2 + 1</f>
        <v>5</v>
      </c>
      <c r="AJ44" s="105" t="str">
        <f ca="1">IF(Mar_2025_SotM[[#This Row],[Num]]&gt;=$A$37, "-", IF(Mar_2025_SotM[[#This Row],[Score 1]]&gt;=3, Mar_2025_SotM[[#This Row],[Song 2]], IF(Mar_2025_SotM[[#This Row],[Score 2]]&gt;=3, Mar_2025_SotM[[#This Row],[Song 1]], "TBD")))</f>
        <v>Not Letting Go</v>
      </c>
      <c r="AK44" s="3">
        <f ca="1">IFERROR(VLOOKUP(Mar_2025_Results[[#This Row],[Song Title]], $AE$38:$AG$54, 3, FALSE)-Mar_2025_Results[[#This Row],[Result]], "TBD")</f>
        <v>0</v>
      </c>
      <c r="AL44" s="3" t="str">
        <f t="shared" ca="1" si="14"/>
        <v>-</v>
      </c>
    </row>
    <row r="45" spans="1:38">
      <c r="A45" s="105" t="str">
        <f>_xlfn.CONCAT("Seed ", Mar_2025_SotM[[#This Row],[Top Seed]], " vs ",Mar_2025_SotM[[#This Row],[Low Seed]])</f>
        <v>Seed 1 vs 8</v>
      </c>
      <c r="B45" s="115">
        <v>7</v>
      </c>
      <c r="C45" s="105">
        <f>FLOOR(LOG(Mar_2025_SotM[[#This Row],[Num]], 2), 1)</f>
        <v>2</v>
      </c>
      <c r="D45" s="105">
        <f>2^(Mar_2025_SotM[[#This Row],[Round]]+1)</f>
        <v>8</v>
      </c>
      <c r="E45" s="105">
        <f>Mar_2025_SotM[[#This Row],[Max Seed]]-Mar_2025_SotM[[#This Row],[Num]]</f>
        <v>1</v>
      </c>
      <c r="F45" s="105">
        <f>Mar_2025_SotM[[#This Row],[Max Seed]]-Mar_2025_SotM[[#This Row],[Top Seed]]+1</f>
        <v>8</v>
      </c>
      <c r="G45" s="105" t="b">
        <f>IF(Mar_2025_SotM[[#This Row],[Round]]=$C$37, TRUE(), IF(Mar_2025_SotM[[#This Row],[Round]]=$B$37, Mar_2025_SotM[[#This Row],[Top Seed]]&lt;=2*Mar_2025_SotM[[#This Row],[Max Seed]]-$A$37, FALSE()))</f>
        <v>0</v>
      </c>
      <c r="H45" s="105" t="b">
        <f>IF(Mar_2025_SotM[[#This Row],[Round]]=$C$37, TRUE(), IF(Mar_2025_SotM[[#This Row],[Round]]=$B$37, Mar_2025_SotM[[#This Row],[Low Seed]]&lt;=2*Mar_2025_SotM[[#This Row],[Max Seed]]-$A$37, FALSE()))</f>
        <v>0</v>
      </c>
      <c r="I45" s="28"/>
      <c r="J45" s="31" t="s">
        <v>4191</v>
      </c>
      <c r="K45" s="33" t="s">
        <v>4191</v>
      </c>
      <c r="L45" s="35" t="s">
        <v>4191</v>
      </c>
      <c r="M45" s="37" t="s">
        <v>4191</v>
      </c>
      <c r="N45" s="192" t="str">
        <f ca="1">IF(Mar_2025_SotM[[#This Row],[Num]]&gt;=$A$37, "-", IF(Mar_2025_SotM[[#This Row],[Initial 1]], VLOOKUP(Mar_2025_SotM[[#This Row],[Top Seed]], $Z$38:$AE$54, 6, FALSE), OFFSET(Mar_2025_SotM[[#This Row],[Winner]], Mar_2025_SotM[[#This Row],[Max Seed]], 0)))</f>
        <v>Take Me Out</v>
      </c>
      <c r="O45" s="105">
        <f>COUNTIF(Mar_2025_SotM[[#This Row],[J]:[H]],"x")</f>
        <v>4</v>
      </c>
      <c r="P45" s="115" t="str">
        <f ca="1">IF(Mar_2025_SotM[[#This Row],[Num]]&gt;=$A$37, "-", IF(Mar_2025_SotM[[#This Row],[Score 1]]&gt;=3, Mar_2025_SotM[[#This Row],[Song 1]], IF(Mar_2025_SotM[[#This Row],[Score 2]]&gt;=3, Mar_2025_SotM[[#This Row],[Song 2]], "TBD")))</f>
        <v>Take Me Out</v>
      </c>
      <c r="Q45" s="193">
        <f>COUNTIF(Mar_2025_SotM[[#This Row],[H ]:[J ]],"x")</f>
        <v>1</v>
      </c>
      <c r="R45" s="105" t="str">
        <f ca="1">IF(Mar_2025_SotM[[#This Row],[Num]]&gt;=$A$37, "-", IF(Mar_2025_SotM[[#This Row],[Initial 2]], VLOOKUP(Mar_2025_SotM[[#This Row],[Low Seed]], $Z$38:$AE$54, 6, FALSE), OFFSET(Mar_2025_SotM[[#This Row],[Winner]], 2*(Mar_2025_SotM[[#This Row],[Max Seed]]-Mar_2025_SotM[[#This Row],[Low Seed]])+1, 0)))</f>
        <v>the boy is mine</v>
      </c>
      <c r="S45" s="37"/>
      <c r="T45" s="35"/>
      <c r="U45" s="33"/>
      <c r="V45" s="31"/>
      <c r="W45" s="28" t="s">
        <v>4191</v>
      </c>
      <c r="X45" s="115" t="str">
        <f ca="1">IF(OR(Mar_2025_SotM[[#This Row],[Song 1]]="TBD", Mar_2025_SotM[[#This Row],[Song 2]]="TBD"), "TBD", _xlfn.CONCAT(IF(_xlfn.XOR(ISBLANK(Mar_2025_SotM[[#This Row],[J]]), ISBLANK(Mar_2025_SotM[[#This Row],[J ]])), "", "J "), IF(_xlfn.XOR(ISBLANK(Mar_2025_SotM[[#This Row],[D]]), ISBLANK(Mar_2025_SotM[[#This Row],[D ]])), "", "D "), IF(_xlfn.XOR(ISBLANK(Mar_2025_SotM[[#This Row],[L]]), ISBLANK(Mar_2025_SotM[[#This Row],[L ]])), "", "L "), IF(_xlfn.XOR(ISBLANK(Mar_2025_SotM[[#This Row],[S]]), ISBLANK(Mar_2025_SotM[[#This Row],[S ]])), "", "S "), IF(_xlfn.XOR(ISBLANK(Mar_2025_SotM[[#This Row],[H]]), ISBLANK(Mar_2025_SotM[[#This Row],[H ]])), "", "H ")))</f>
        <v/>
      </c>
      <c r="Z45" s="109">
        <f t="shared" si="13"/>
        <v>9</v>
      </c>
      <c r="AA45" s="59">
        <v>45729</v>
      </c>
      <c r="AB45" t="str">
        <v>danram</v>
      </c>
      <c r="AC45" s="3">
        <v>2.2000000000000002</v>
      </c>
      <c r="AD45">
        <v>0.74833147735478833</v>
      </c>
      <c r="AE45" t="str">
        <v>Danza Kuduro</v>
      </c>
      <c r="AF45" t="str">
        <v>Don Omar, Lucenzo</v>
      </c>
      <c r="AG45" s="100">
        <f t="shared" si="12"/>
        <v>9</v>
      </c>
      <c r="AI45" s="115">
        <f>Mar_2025_SotM[[#This Row],[Max Seed]]/2 + 1</f>
        <v>5</v>
      </c>
      <c r="AJ45" s="105" t="str">
        <f ca="1">IF(Mar_2025_SotM[[#This Row],[Num]]&gt;=$A$37, "-", IF(Mar_2025_SotM[[#This Row],[Score 1]]&gt;=3, Mar_2025_SotM[[#This Row],[Song 2]], IF(Mar_2025_SotM[[#This Row],[Score 2]]&gt;=3, Mar_2025_SotM[[#This Row],[Song 1]], "TBD")))</f>
        <v>the boy is mine</v>
      </c>
      <c r="AK45" s="3">
        <f ca="1">IFERROR(VLOOKUP(Mar_2025_Results[[#This Row],[Song Title]], $AE$38:$AG$54, 3, FALSE)-Mar_2025_Results[[#This Row],[Result]], "TBD")</f>
        <v>0</v>
      </c>
      <c r="AL45" s="3" t="str">
        <f t="shared" ca="1" si="14"/>
        <v>-</v>
      </c>
    </row>
    <row r="46" spans="1:38">
      <c r="A46" s="105" t="str">
        <f>_xlfn.CONCAT("Seed ", Mar_2025_SotM[[#This Row],[Top Seed]], " vs ",Mar_2025_SotM[[#This Row],[Low Seed]])</f>
        <v>Seed 8 vs 9</v>
      </c>
      <c r="B46" s="115">
        <v>8</v>
      </c>
      <c r="C46" s="105">
        <f>FLOOR(LOG(Mar_2025_SotM[[#This Row],[Num]], 2), 1)</f>
        <v>3</v>
      </c>
      <c r="D46" s="105">
        <f>2^(Mar_2025_SotM[[#This Row],[Round]]+1)</f>
        <v>16</v>
      </c>
      <c r="E46" s="105">
        <f>Mar_2025_SotM[[#This Row],[Max Seed]]-Mar_2025_SotM[[#This Row],[Num]]</f>
        <v>8</v>
      </c>
      <c r="F46" s="105">
        <f>Mar_2025_SotM[[#This Row],[Max Seed]]-Mar_2025_SotM[[#This Row],[Top Seed]]+1</f>
        <v>9</v>
      </c>
      <c r="G46" s="105" t="b">
        <f>IF(Mar_2025_SotM[[#This Row],[Round]]=$C$37, TRUE(), IF(Mar_2025_SotM[[#This Row],[Round]]=$B$37, Mar_2025_SotM[[#This Row],[Top Seed]]&lt;=2*Mar_2025_SotM[[#This Row],[Max Seed]]-$A$37, FALSE()))</f>
        <v>1</v>
      </c>
      <c r="H46" s="105" t="b">
        <f>IF(Mar_2025_SotM[[#This Row],[Round]]=$C$37, TRUE(), IF(Mar_2025_SotM[[#This Row],[Round]]=$B$37, Mar_2025_SotM[[#This Row],[Low Seed]]&lt;=2*Mar_2025_SotM[[#This Row],[Max Seed]]-$A$37, FALSE()))</f>
        <v>1</v>
      </c>
      <c r="I46" s="28" t="s">
        <v>4191</v>
      </c>
      <c r="J46" s="31"/>
      <c r="K46" s="33" t="s">
        <v>4191</v>
      </c>
      <c r="L46" s="35" t="s">
        <v>4191</v>
      </c>
      <c r="M46" s="37"/>
      <c r="N46" s="192" t="str">
        <f ca="1">IF(Mar_2025_SotM[[#This Row],[Num]]&gt;=$A$37, "-", IF(Mar_2025_SotM[[#This Row],[Initial 1]], VLOOKUP(Mar_2025_SotM[[#This Row],[Top Seed]], $Z$38:$AE$54, 6, FALSE), OFFSET(Mar_2025_SotM[[#This Row],[Winner]], Mar_2025_SotM[[#This Row],[Max Seed]], 0)))</f>
        <v>the boy is mine</v>
      </c>
      <c r="O46" s="105">
        <f>COUNTIF(Mar_2025_SotM[[#This Row],[J]:[H]],"x")</f>
        <v>3</v>
      </c>
      <c r="P46" s="115" t="str">
        <f ca="1">IF(Mar_2025_SotM[[#This Row],[Num]]&gt;=$A$37, "-", IF(Mar_2025_SotM[[#This Row],[Score 1]]&gt;=3, Mar_2025_SotM[[#This Row],[Song 1]], IF(Mar_2025_SotM[[#This Row],[Score 2]]&gt;=3, Mar_2025_SotM[[#This Row],[Song 2]], "TBD")))</f>
        <v>the boy is mine</v>
      </c>
      <c r="Q46" s="193">
        <f>COUNTIF(Mar_2025_SotM[[#This Row],[H ]:[J ]],"x")</f>
        <v>2</v>
      </c>
      <c r="R46" s="105" t="str">
        <f ca="1">IF(Mar_2025_SotM[[#This Row],[Num]]&gt;=$A$37, "-", IF(Mar_2025_SotM[[#This Row],[Initial 2]], VLOOKUP(Mar_2025_SotM[[#This Row],[Low Seed]], $Z$38:$AE$54, 6, FALSE), OFFSET(Mar_2025_SotM[[#This Row],[Winner]], 2*(Mar_2025_SotM[[#This Row],[Max Seed]]-Mar_2025_SotM[[#This Row],[Low Seed]])+1, 0)))</f>
        <v>Danza Kuduro</v>
      </c>
      <c r="S46" s="37" t="s">
        <v>4191</v>
      </c>
      <c r="T46" s="35"/>
      <c r="U46" s="33"/>
      <c r="V46" s="31" t="s">
        <v>4191</v>
      </c>
      <c r="W46" s="28"/>
      <c r="X46" s="115" t="str">
        <f ca="1">IF(OR(Mar_2025_SotM[[#This Row],[Song 1]]="TBD", Mar_2025_SotM[[#This Row],[Song 2]]="TBD"), "TBD", _xlfn.CONCAT(IF(_xlfn.XOR(ISBLANK(Mar_2025_SotM[[#This Row],[J]]), ISBLANK(Mar_2025_SotM[[#This Row],[J ]])), "", "J "), IF(_xlfn.XOR(ISBLANK(Mar_2025_SotM[[#This Row],[D]]), ISBLANK(Mar_2025_SotM[[#This Row],[D ]])), "", "D "), IF(_xlfn.XOR(ISBLANK(Mar_2025_SotM[[#This Row],[L]]), ISBLANK(Mar_2025_SotM[[#This Row],[L ]])), "", "L "), IF(_xlfn.XOR(ISBLANK(Mar_2025_SotM[[#This Row],[S]]), ISBLANK(Mar_2025_SotM[[#This Row],[S ]])), "", "S "), IF(_xlfn.XOR(ISBLANK(Mar_2025_SotM[[#This Row],[H]]), ISBLANK(Mar_2025_SotM[[#This Row],[H ]])), "", "H ")))</f>
        <v/>
      </c>
      <c r="Z46" s="109">
        <f t="shared" si="13"/>
        <v>6</v>
      </c>
      <c r="AA46" s="59">
        <v>45733</v>
      </c>
      <c r="AB46" t="str">
        <v>danram</v>
      </c>
      <c r="AC46" s="3">
        <v>2</v>
      </c>
      <c r="AD46">
        <v>0.89442719099991586</v>
      </c>
      <c r="AE46" t="str">
        <v>Dead!</v>
      </c>
      <c r="AF46" t="str">
        <v>My Chemical Romance</v>
      </c>
      <c r="AG46" s="100">
        <f t="shared" si="12"/>
        <v>5</v>
      </c>
      <c r="AI46" s="115">
        <f>Mar_2025_SotM[[#This Row],[Max Seed]]/2 + 1</f>
        <v>9</v>
      </c>
      <c r="AJ46" s="105" t="str">
        <f ca="1">IF(Mar_2025_SotM[[#This Row],[Num]]&gt;=$A$37, "-", IF(Mar_2025_SotM[[#This Row],[Score 1]]&gt;=3, Mar_2025_SotM[[#This Row],[Song 2]], IF(Mar_2025_SotM[[#This Row],[Score 2]]&gt;=3, Mar_2025_SotM[[#This Row],[Song 1]], "TBD")))</f>
        <v>Danza Kuduro</v>
      </c>
      <c r="AK46" s="3">
        <f ca="1">IFERROR(VLOOKUP(Mar_2025_Results[[#This Row],[Song Title]], $AE$38:$AG$54, 3, FALSE)-Mar_2025_Results[[#This Row],[Result]], "TBD")</f>
        <v>0</v>
      </c>
      <c r="AL46" s="3" t="str">
        <f t="shared" ca="1" si="14"/>
        <v>-</v>
      </c>
    </row>
    <row r="47" spans="1:38">
      <c r="A47" s="105" t="str">
        <f>_xlfn.CONCAT("Seed ", Mar_2025_SotM[[#This Row],[Top Seed]], " vs ",Mar_2025_SotM[[#This Row],[Low Seed]])</f>
        <v>Seed 7 vs 10</v>
      </c>
      <c r="B47" s="115">
        <v>9</v>
      </c>
      <c r="C47" s="105">
        <f>FLOOR(LOG(Mar_2025_SotM[[#This Row],[Num]], 2), 1)</f>
        <v>3</v>
      </c>
      <c r="D47" s="105">
        <f>2^(Mar_2025_SotM[[#This Row],[Round]]+1)</f>
        <v>16</v>
      </c>
      <c r="E47" s="105">
        <f>Mar_2025_SotM[[#This Row],[Max Seed]]-Mar_2025_SotM[[#This Row],[Num]]</f>
        <v>7</v>
      </c>
      <c r="F47" s="105">
        <f>Mar_2025_SotM[[#This Row],[Max Seed]]-Mar_2025_SotM[[#This Row],[Top Seed]]+1</f>
        <v>10</v>
      </c>
      <c r="G47" s="105" t="b">
        <f>IF(Mar_2025_SotM[[#This Row],[Round]]=$C$37, TRUE(), IF(Mar_2025_SotM[[#This Row],[Round]]=$B$37, Mar_2025_SotM[[#This Row],[Top Seed]]&lt;=2*Mar_2025_SotM[[#This Row],[Max Seed]]-$A$37, FALSE()))</f>
        <v>1</v>
      </c>
      <c r="H47" s="105" t="b">
        <f>IF(Mar_2025_SotM[[#This Row],[Round]]=$C$37, TRUE(), IF(Mar_2025_SotM[[#This Row],[Round]]=$B$37, Mar_2025_SotM[[#This Row],[Low Seed]]&lt;=2*Mar_2025_SotM[[#This Row],[Max Seed]]-$A$37, FALSE()))</f>
        <v>1</v>
      </c>
      <c r="I47" s="28" t="s">
        <v>4191</v>
      </c>
      <c r="J47" s="31" t="s">
        <v>4191</v>
      </c>
      <c r="K47" s="33" t="s">
        <v>4191</v>
      </c>
      <c r="L47" s="35"/>
      <c r="M47" s="37"/>
      <c r="N47" s="192" t="str">
        <f ca="1">IF(Mar_2025_SotM[[#This Row],[Num]]&gt;=$A$37, "-", IF(Mar_2025_SotM[[#This Row],[Initial 1]], VLOOKUP(Mar_2025_SotM[[#This Row],[Top Seed]], $Z$38:$AE$54, 6, FALSE), OFFSET(Mar_2025_SotM[[#This Row],[Winner]], Mar_2025_SotM[[#This Row],[Max Seed]], 0)))</f>
        <v>Not Letting Go</v>
      </c>
      <c r="O47" s="105">
        <f>COUNTIF(Mar_2025_SotM[[#This Row],[J]:[H]],"x")</f>
        <v>3</v>
      </c>
      <c r="P47" s="115" t="str">
        <f ca="1">IF(Mar_2025_SotM[[#This Row],[Num]]&gt;=$A$37, "-", IF(Mar_2025_SotM[[#This Row],[Score 1]]&gt;=3, Mar_2025_SotM[[#This Row],[Song 1]], IF(Mar_2025_SotM[[#This Row],[Score 2]]&gt;=3, Mar_2025_SotM[[#This Row],[Song 2]], "TBD")))</f>
        <v>Not Letting Go</v>
      </c>
      <c r="Q47" s="193">
        <f>COUNTIF(Mar_2025_SotM[[#This Row],[H ]:[J ]],"x")</f>
        <v>2</v>
      </c>
      <c r="R47" s="105" t="str">
        <f ca="1">IF(Mar_2025_SotM[[#This Row],[Num]]&gt;=$A$37, "-", IF(Mar_2025_SotM[[#This Row],[Initial 2]], VLOOKUP(Mar_2025_SotM[[#This Row],[Low Seed]], $Z$38:$AE$54, 6, FALSE), OFFSET(Mar_2025_SotM[[#This Row],[Winner]], 2*(Mar_2025_SotM[[#This Row],[Max Seed]]-Mar_2025_SotM[[#This Row],[Low Seed]])+1, 0)))</f>
        <v xml:space="preserve">where's the confetti </v>
      </c>
      <c r="S47" s="37" t="s">
        <v>4191</v>
      </c>
      <c r="T47" s="35" t="s">
        <v>4191</v>
      </c>
      <c r="U47" s="33"/>
      <c r="V47" s="31"/>
      <c r="W47" s="28"/>
      <c r="X47" s="115" t="str">
        <f ca="1">IF(OR(Mar_2025_SotM[[#This Row],[Song 1]]="TBD", Mar_2025_SotM[[#This Row],[Song 2]]="TBD"), "TBD", _xlfn.CONCAT(IF(_xlfn.XOR(ISBLANK(Mar_2025_SotM[[#This Row],[J]]), ISBLANK(Mar_2025_SotM[[#This Row],[J ]])), "", "J "), IF(_xlfn.XOR(ISBLANK(Mar_2025_SotM[[#This Row],[D]]), ISBLANK(Mar_2025_SotM[[#This Row],[D ]])), "", "D "), IF(_xlfn.XOR(ISBLANK(Mar_2025_SotM[[#This Row],[L]]), ISBLANK(Mar_2025_SotM[[#This Row],[L ]])), "", "L "), IF(_xlfn.XOR(ISBLANK(Mar_2025_SotM[[#This Row],[S]]), ISBLANK(Mar_2025_SotM[[#This Row],[S ]])), "", "S "), IF(_xlfn.XOR(ISBLANK(Mar_2025_SotM[[#This Row],[H]]), ISBLANK(Mar_2025_SotM[[#This Row],[H ]])), "", "H ")))</f>
        <v/>
      </c>
      <c r="Z47" s="109">
        <f t="shared" si="13"/>
        <v>14</v>
      </c>
      <c r="AA47" s="59">
        <v>45734</v>
      </c>
      <c r="AB47" t="str">
        <v>currydestroyer27</v>
      </c>
      <c r="AC47" s="3">
        <v>2.4</v>
      </c>
      <c r="AD47">
        <v>1.019803902718557</v>
      </c>
      <c r="AE47" t="str">
        <v>Fire in the belly</v>
      </c>
      <c r="AF47" t="str">
        <v>LE SSERAFIM</v>
      </c>
      <c r="AG47" s="100">
        <f t="shared" si="12"/>
        <v>9</v>
      </c>
      <c r="AI47" s="115">
        <f>Mar_2025_SotM[[#This Row],[Max Seed]]/2 + 1</f>
        <v>9</v>
      </c>
      <c r="AJ47" s="105" t="str">
        <f ca="1">IF(Mar_2025_SotM[[#This Row],[Num]]&gt;=$A$37, "-", IF(Mar_2025_SotM[[#This Row],[Score 1]]&gt;=3, Mar_2025_SotM[[#This Row],[Song 2]], IF(Mar_2025_SotM[[#This Row],[Score 2]]&gt;=3, Mar_2025_SotM[[#This Row],[Song 1]], "TBD")))</f>
        <v xml:space="preserve">where's the confetti </v>
      </c>
      <c r="AK47" s="3">
        <f ca="1">IFERROR(VLOOKUP(Mar_2025_Results[[#This Row],[Song Title]], $AE$38:$AG$54, 3, FALSE)-Mar_2025_Results[[#This Row],[Result]], "TBD")</f>
        <v>0</v>
      </c>
      <c r="AL47" s="3" t="str">
        <f t="shared" ca="1" si="14"/>
        <v>-</v>
      </c>
    </row>
    <row r="48" spans="1:38">
      <c r="A48" s="105" t="str">
        <f>_xlfn.CONCAT("Seed ", Mar_2025_SotM[[#This Row],[Top Seed]], " vs ",Mar_2025_SotM[[#This Row],[Low Seed]])</f>
        <v>Seed 6 vs 11</v>
      </c>
      <c r="B48" s="115">
        <v>10</v>
      </c>
      <c r="C48" s="105">
        <f>FLOOR(LOG(Mar_2025_SotM[[#This Row],[Num]], 2), 1)</f>
        <v>3</v>
      </c>
      <c r="D48" s="105">
        <f>2^(Mar_2025_SotM[[#This Row],[Round]]+1)</f>
        <v>16</v>
      </c>
      <c r="E48" s="105">
        <f>Mar_2025_SotM[[#This Row],[Max Seed]]-Mar_2025_SotM[[#This Row],[Num]]</f>
        <v>6</v>
      </c>
      <c r="F48" s="105">
        <f>Mar_2025_SotM[[#This Row],[Max Seed]]-Mar_2025_SotM[[#This Row],[Top Seed]]+1</f>
        <v>11</v>
      </c>
      <c r="G48" s="105" t="b">
        <f>IF(Mar_2025_SotM[[#This Row],[Round]]=$C$37, TRUE(), IF(Mar_2025_SotM[[#This Row],[Round]]=$B$37, Mar_2025_SotM[[#This Row],[Top Seed]]&lt;=2*Mar_2025_SotM[[#This Row],[Max Seed]]-$A$37, FALSE()))</f>
        <v>1</v>
      </c>
      <c r="H48" s="105" t="b">
        <f>IF(Mar_2025_SotM[[#This Row],[Round]]=$C$37, TRUE(), IF(Mar_2025_SotM[[#This Row],[Round]]=$B$37, Mar_2025_SotM[[#This Row],[Low Seed]]&lt;=2*Mar_2025_SotM[[#This Row],[Max Seed]]-$A$37, FALSE()))</f>
        <v>1</v>
      </c>
      <c r="I48" s="28"/>
      <c r="J48" s="31" t="s">
        <v>4191</v>
      </c>
      <c r="K48" s="33"/>
      <c r="L48" s="35" t="s">
        <v>4191</v>
      </c>
      <c r="M48" s="37"/>
      <c r="N48" s="192" t="str">
        <f ca="1">IF(Mar_2025_SotM[[#This Row],[Num]]&gt;=$A$37, "-", IF(Mar_2025_SotM[[#This Row],[Initial 1]], VLOOKUP(Mar_2025_SotM[[#This Row],[Top Seed]], $Z$38:$AE$54, 6, FALSE), OFFSET(Mar_2025_SotM[[#This Row],[Winner]], Mar_2025_SotM[[#This Row],[Max Seed]], 0)))</f>
        <v>Dead!</v>
      </c>
      <c r="O48" s="105">
        <f>COUNTIF(Mar_2025_SotM[[#This Row],[J]:[H]],"x")</f>
        <v>2</v>
      </c>
      <c r="P48" s="115" t="str">
        <f ca="1">IF(Mar_2025_SotM[[#This Row],[Num]]&gt;=$A$37, "-", IF(Mar_2025_SotM[[#This Row],[Score 1]]&gt;=3, Mar_2025_SotM[[#This Row],[Song 1]], IF(Mar_2025_SotM[[#This Row],[Score 2]]&gt;=3, Mar_2025_SotM[[#This Row],[Song 2]], "TBD")))</f>
        <v>Drip Too Hard</v>
      </c>
      <c r="Q48" s="193">
        <f>COUNTIF(Mar_2025_SotM[[#This Row],[H ]:[J ]],"x")</f>
        <v>3</v>
      </c>
      <c r="R48" s="105" t="str">
        <f ca="1">IF(Mar_2025_SotM[[#This Row],[Num]]&gt;=$A$37, "-", IF(Mar_2025_SotM[[#This Row],[Initial 2]], VLOOKUP(Mar_2025_SotM[[#This Row],[Low Seed]], $Z$38:$AE$54, 6, FALSE), OFFSET(Mar_2025_SotM[[#This Row],[Winner]], 2*(Mar_2025_SotM[[#This Row],[Max Seed]]-Mar_2025_SotM[[#This Row],[Low Seed]])+1, 0)))</f>
        <v>Drip Too Hard</v>
      </c>
      <c r="S48" s="37" t="s">
        <v>4191</v>
      </c>
      <c r="T48" s="35"/>
      <c r="U48" s="33" t="s">
        <v>4191</v>
      </c>
      <c r="V48" s="31"/>
      <c r="W48" s="28" t="s">
        <v>4191</v>
      </c>
      <c r="X48" s="115" t="str">
        <f ca="1">IF(OR(Mar_2025_SotM[[#This Row],[Song 1]]="TBD", Mar_2025_SotM[[#This Row],[Song 2]]="TBD"), "TBD", _xlfn.CONCAT(IF(_xlfn.XOR(ISBLANK(Mar_2025_SotM[[#This Row],[J]]), ISBLANK(Mar_2025_SotM[[#This Row],[J ]])), "", "J "), IF(_xlfn.XOR(ISBLANK(Mar_2025_SotM[[#This Row],[D]]), ISBLANK(Mar_2025_SotM[[#This Row],[D ]])), "", "D "), IF(_xlfn.XOR(ISBLANK(Mar_2025_SotM[[#This Row],[L]]), ISBLANK(Mar_2025_SotM[[#This Row],[L ]])), "", "L "), IF(_xlfn.XOR(ISBLANK(Mar_2025_SotM[[#This Row],[S]]), ISBLANK(Mar_2025_SotM[[#This Row],[S ]])), "", "S "), IF(_xlfn.XOR(ISBLANK(Mar_2025_SotM[[#This Row],[H]]), ISBLANK(Mar_2025_SotM[[#This Row],[H ]])), "", "H ")))</f>
        <v/>
      </c>
      <c r="Z48" s="109">
        <f t="shared" si="13"/>
        <v>10</v>
      </c>
      <c r="AA48" s="59">
        <v>45735</v>
      </c>
      <c r="AB48" t="str">
        <v>currydestroyer27</v>
      </c>
      <c r="AC48" s="3">
        <v>2.2000000000000002</v>
      </c>
      <c r="AD48">
        <v>0.74833147735478833</v>
      </c>
      <c r="AE48" t="str">
        <v xml:space="preserve">where's the confetti </v>
      </c>
      <c r="AF48" t="str">
        <v>jev.</v>
      </c>
      <c r="AG48" s="100">
        <f t="shared" si="12"/>
        <v>9</v>
      </c>
      <c r="AI48" s="115">
        <f>Mar_2025_SotM[[#This Row],[Max Seed]]/2 + 1</f>
        <v>9</v>
      </c>
      <c r="AJ48" s="105" t="str">
        <f ca="1">IF(Mar_2025_SotM[[#This Row],[Num]]&gt;=$A$37, "-", IF(Mar_2025_SotM[[#This Row],[Score 1]]&gt;=3, Mar_2025_SotM[[#This Row],[Song 2]], IF(Mar_2025_SotM[[#This Row],[Score 2]]&gt;=3, Mar_2025_SotM[[#This Row],[Song 1]], "TBD")))</f>
        <v>Dead!</v>
      </c>
      <c r="AK48" s="3">
        <f ca="1">IFERROR(VLOOKUP(Mar_2025_Results[[#This Row],[Song Title]], $AE$38:$AG$54, 3, FALSE)-Mar_2025_Results[[#This Row],[Result]], "TBD")</f>
        <v>-4</v>
      </c>
      <c r="AL48" s="3" t="str">
        <f t="shared" ca="1" si="14"/>
        <v>↓</v>
      </c>
    </row>
    <row r="49" spans="1:38">
      <c r="A49" s="105" t="str">
        <f>_xlfn.CONCAT("Seed ", Mar_2025_SotM[[#This Row],[Top Seed]], " vs ",Mar_2025_SotM[[#This Row],[Low Seed]])</f>
        <v>Seed 5 vs 12</v>
      </c>
      <c r="B49" s="115">
        <v>11</v>
      </c>
      <c r="C49" s="105">
        <f>FLOOR(LOG(Mar_2025_SotM[[#This Row],[Num]], 2), 1)</f>
        <v>3</v>
      </c>
      <c r="D49" s="105">
        <f>2^(Mar_2025_SotM[[#This Row],[Round]]+1)</f>
        <v>16</v>
      </c>
      <c r="E49" s="105">
        <f>Mar_2025_SotM[[#This Row],[Max Seed]]-Mar_2025_SotM[[#This Row],[Num]]</f>
        <v>5</v>
      </c>
      <c r="F49" s="105">
        <f>Mar_2025_SotM[[#This Row],[Max Seed]]-Mar_2025_SotM[[#This Row],[Top Seed]]+1</f>
        <v>12</v>
      </c>
      <c r="G49" s="105" t="b">
        <f>IF(Mar_2025_SotM[[#This Row],[Round]]=$C$37, TRUE(), IF(Mar_2025_SotM[[#This Row],[Round]]=$B$37, Mar_2025_SotM[[#This Row],[Top Seed]]&lt;=2*Mar_2025_SotM[[#This Row],[Max Seed]]-$A$37, FALSE()))</f>
        <v>1</v>
      </c>
      <c r="H49" s="105" t="b">
        <f>IF(Mar_2025_SotM[[#This Row],[Round]]=$C$37, TRUE(), IF(Mar_2025_SotM[[#This Row],[Round]]=$B$37, Mar_2025_SotM[[#This Row],[Low Seed]]&lt;=2*Mar_2025_SotM[[#This Row],[Max Seed]]-$A$37, FALSE()))</f>
        <v>1</v>
      </c>
      <c r="I49" s="28"/>
      <c r="J49" s="31"/>
      <c r="K49" s="33"/>
      <c r="L49" s="35" t="s">
        <v>4191</v>
      </c>
      <c r="M49" s="37" t="s">
        <v>4191</v>
      </c>
      <c r="N49" s="192" t="str">
        <f ca="1">IF(Mar_2025_SotM[[#This Row],[Num]]&gt;=$A$37, "-", IF(Mar_2025_SotM[[#This Row],[Initial 1]], VLOOKUP(Mar_2025_SotM[[#This Row],[Top Seed]], $Z$38:$AE$54, 6, FALSE), OFFSET(Mar_2025_SotM[[#This Row],[Winner]], Mar_2025_SotM[[#This Row],[Max Seed]], 0)))</f>
        <v>Airplanes</v>
      </c>
      <c r="O49" s="105">
        <f>COUNTIF(Mar_2025_SotM[[#This Row],[J]:[H]],"x")</f>
        <v>2</v>
      </c>
      <c r="P49" s="115" t="str">
        <f ca="1">IF(Mar_2025_SotM[[#This Row],[Num]]&gt;=$A$37, "-", IF(Mar_2025_SotM[[#This Row],[Score 1]]&gt;=3, Mar_2025_SotM[[#This Row],[Song 1]], IF(Mar_2025_SotM[[#This Row],[Score 2]]&gt;=3, Mar_2025_SotM[[#This Row],[Song 2]], "TBD")))</f>
        <v>roleplay</v>
      </c>
      <c r="Q49" s="193">
        <f>COUNTIF(Mar_2025_SotM[[#This Row],[H ]:[J ]],"x")</f>
        <v>3</v>
      </c>
      <c r="R49" s="105" t="str">
        <f ca="1">IF(Mar_2025_SotM[[#This Row],[Num]]&gt;=$A$37, "-", IF(Mar_2025_SotM[[#This Row],[Initial 2]], VLOOKUP(Mar_2025_SotM[[#This Row],[Low Seed]], $Z$38:$AE$54, 6, FALSE), OFFSET(Mar_2025_SotM[[#This Row],[Winner]], 2*(Mar_2025_SotM[[#This Row],[Max Seed]]-Mar_2025_SotM[[#This Row],[Low Seed]])+1, 0)))</f>
        <v>roleplay</v>
      </c>
      <c r="S49" s="37"/>
      <c r="T49" s="35"/>
      <c r="U49" s="33" t="s">
        <v>4191</v>
      </c>
      <c r="V49" s="31" t="s">
        <v>4191</v>
      </c>
      <c r="W49" s="28" t="s">
        <v>4191</v>
      </c>
      <c r="X49" s="115" t="str">
        <f ca="1">IF(OR(Mar_2025_SotM[[#This Row],[Song 1]]="TBD", Mar_2025_SotM[[#This Row],[Song 2]]="TBD"), "TBD", _xlfn.CONCAT(IF(_xlfn.XOR(ISBLANK(Mar_2025_SotM[[#This Row],[J]]), ISBLANK(Mar_2025_SotM[[#This Row],[J ]])), "", "J "), IF(_xlfn.XOR(ISBLANK(Mar_2025_SotM[[#This Row],[D]]), ISBLANK(Mar_2025_SotM[[#This Row],[D ]])), "", "D "), IF(_xlfn.XOR(ISBLANK(Mar_2025_SotM[[#This Row],[L]]), ISBLANK(Mar_2025_SotM[[#This Row],[L ]])), "", "L "), IF(_xlfn.XOR(ISBLANK(Mar_2025_SotM[[#This Row],[S]]), ISBLANK(Mar_2025_SotM[[#This Row],[S ]])), "", "S "), IF(_xlfn.XOR(ISBLANK(Mar_2025_SotM[[#This Row],[H]]), ISBLANK(Mar_2025_SotM[[#This Row],[H ]])), "", "H ")))</f>
        <v/>
      </c>
      <c r="Z49" s="109">
        <f t="shared" si="13"/>
        <v>5</v>
      </c>
      <c r="AA49" s="59">
        <v>45736</v>
      </c>
      <c r="AB49" t="str">
        <v>currydestroyer27</v>
      </c>
      <c r="AC49" s="3">
        <v>2</v>
      </c>
      <c r="AD49">
        <v>0.63245553203367588</v>
      </c>
      <c r="AE49" t="str">
        <v>Airplanes</v>
      </c>
      <c r="AF49" t="str">
        <v>B.o.B, Hayley Williams</v>
      </c>
      <c r="AG49" s="100">
        <f t="shared" si="12"/>
        <v>5</v>
      </c>
      <c r="AI49" s="115">
        <f>Mar_2025_SotM[[#This Row],[Max Seed]]/2 + 1</f>
        <v>9</v>
      </c>
      <c r="AJ49" s="105" t="str">
        <f ca="1">IF(Mar_2025_SotM[[#This Row],[Num]]&gt;=$A$37, "-", IF(Mar_2025_SotM[[#This Row],[Score 1]]&gt;=3, Mar_2025_SotM[[#This Row],[Song 2]], IF(Mar_2025_SotM[[#This Row],[Score 2]]&gt;=3, Mar_2025_SotM[[#This Row],[Song 1]], "TBD")))</f>
        <v>Airplanes</v>
      </c>
      <c r="AK49" s="3">
        <f ca="1">IFERROR(VLOOKUP(Mar_2025_Results[[#This Row],[Song Title]], $AE$38:$AG$54, 3, FALSE)-Mar_2025_Results[[#This Row],[Result]], "TBD")</f>
        <v>-4</v>
      </c>
      <c r="AL49" s="3" t="str">
        <f t="shared" ca="1" si="14"/>
        <v>↓</v>
      </c>
    </row>
    <row r="50" spans="1:38">
      <c r="A50" s="105" t="str">
        <f>_xlfn.CONCAT("Seed ", Mar_2025_SotM[[#This Row],[Top Seed]], " vs ",Mar_2025_SotM[[#This Row],[Low Seed]])</f>
        <v>Seed 4 vs 13</v>
      </c>
      <c r="B50" s="115">
        <v>12</v>
      </c>
      <c r="C50" s="105">
        <f>FLOOR(LOG(Mar_2025_SotM[[#This Row],[Num]], 2), 1)</f>
        <v>3</v>
      </c>
      <c r="D50" s="105">
        <f>2^(Mar_2025_SotM[[#This Row],[Round]]+1)</f>
        <v>16</v>
      </c>
      <c r="E50" s="105">
        <f>Mar_2025_SotM[[#This Row],[Max Seed]]-Mar_2025_SotM[[#This Row],[Num]]</f>
        <v>4</v>
      </c>
      <c r="F50" s="105">
        <f>Mar_2025_SotM[[#This Row],[Max Seed]]-Mar_2025_SotM[[#This Row],[Top Seed]]+1</f>
        <v>13</v>
      </c>
      <c r="G50" s="105" t="b">
        <f>IF(Mar_2025_SotM[[#This Row],[Round]]=$C$37, TRUE(), IF(Mar_2025_SotM[[#This Row],[Round]]=$B$37, Mar_2025_SotM[[#This Row],[Top Seed]]&lt;=2*Mar_2025_SotM[[#This Row],[Max Seed]]-$A$37, FALSE()))</f>
        <v>1</v>
      </c>
      <c r="H50" s="105" t="b">
        <f>IF(Mar_2025_SotM[[#This Row],[Round]]=$C$37, TRUE(), IF(Mar_2025_SotM[[#This Row],[Round]]=$B$37, Mar_2025_SotM[[#This Row],[Low Seed]]&lt;=2*Mar_2025_SotM[[#This Row],[Max Seed]]-$A$37, FALSE()))</f>
        <v>1</v>
      </c>
      <c r="I50" s="28"/>
      <c r="J50" s="31"/>
      <c r="K50" s="33"/>
      <c r="L50" s="35"/>
      <c r="M50" s="37"/>
      <c r="N50" s="192" t="str">
        <f ca="1">IF(Mar_2025_SotM[[#This Row],[Num]]&gt;=$A$37, "-", IF(Mar_2025_SotM[[#This Row],[Initial 1]], VLOOKUP(Mar_2025_SotM[[#This Row],[Top Seed]], $Z$38:$AE$54, 6, FALSE), OFFSET(Mar_2025_SotM[[#This Row],[Winner]], Mar_2025_SotM[[#This Row],[Max Seed]], 0)))</f>
        <v>RADA RADA</v>
      </c>
      <c r="O50" s="105">
        <f>COUNTIF(Mar_2025_SotM[[#This Row],[J]:[H]],"x")</f>
        <v>0</v>
      </c>
      <c r="P50" s="115" t="str">
        <f ca="1">IF(Mar_2025_SotM[[#This Row],[Num]]&gt;=$A$37, "-", IF(Mar_2025_SotM[[#This Row],[Score 1]]&gt;=3, Mar_2025_SotM[[#This Row],[Song 1]], IF(Mar_2025_SotM[[#This Row],[Score 2]]&gt;=3, Mar_2025_SotM[[#This Row],[Song 2]], "TBD")))</f>
        <v>Sun</v>
      </c>
      <c r="Q50" s="193">
        <f>COUNTIF(Mar_2025_SotM[[#This Row],[H ]:[J ]],"x")</f>
        <v>5</v>
      </c>
      <c r="R50" s="105" t="str">
        <f ca="1">IF(Mar_2025_SotM[[#This Row],[Num]]&gt;=$A$37, "-", IF(Mar_2025_SotM[[#This Row],[Initial 2]], VLOOKUP(Mar_2025_SotM[[#This Row],[Low Seed]], $Z$38:$AE$54, 6, FALSE), OFFSET(Mar_2025_SotM[[#This Row],[Winner]], 2*(Mar_2025_SotM[[#This Row],[Max Seed]]-Mar_2025_SotM[[#This Row],[Low Seed]])+1, 0)))</f>
        <v>Sun</v>
      </c>
      <c r="S50" s="37" t="s">
        <v>4191</v>
      </c>
      <c r="T50" s="35" t="s">
        <v>4191</v>
      </c>
      <c r="U50" s="33" t="s">
        <v>4191</v>
      </c>
      <c r="V50" s="31" t="s">
        <v>4191</v>
      </c>
      <c r="W50" s="28" t="s">
        <v>4191</v>
      </c>
      <c r="X50" s="115" t="str">
        <f ca="1">IF(OR(Mar_2025_SotM[[#This Row],[Song 1]]="TBD", Mar_2025_SotM[[#This Row],[Song 2]]="TBD"), "TBD", _xlfn.CONCAT(IF(_xlfn.XOR(ISBLANK(Mar_2025_SotM[[#This Row],[J]]), ISBLANK(Mar_2025_SotM[[#This Row],[J ]])), "", "J "), IF(_xlfn.XOR(ISBLANK(Mar_2025_SotM[[#This Row],[D]]), ISBLANK(Mar_2025_SotM[[#This Row],[D ]])), "", "D "), IF(_xlfn.XOR(ISBLANK(Mar_2025_SotM[[#This Row],[L]]), ISBLANK(Mar_2025_SotM[[#This Row],[L ]])), "", "L "), IF(_xlfn.XOR(ISBLANK(Mar_2025_SotM[[#This Row],[S]]), ISBLANK(Mar_2025_SotM[[#This Row],[S ]])), "", "S "), IF(_xlfn.XOR(ISBLANK(Mar_2025_SotM[[#This Row],[H]]), ISBLANK(Mar_2025_SotM[[#This Row],[H ]])), "", "H ")))</f>
        <v/>
      </c>
      <c r="Z50" s="109">
        <f t="shared" si="13"/>
        <v>15</v>
      </c>
      <c r="AA50" s="59">
        <v>45740</v>
      </c>
      <c r="AB50" t="str">
        <v>alappatjoe</v>
      </c>
      <c r="AC50" s="3">
        <v>2.4</v>
      </c>
      <c r="AD50">
        <v>1.3564659966250536</v>
      </c>
      <c r="AE50" t="str">
        <v>A Lonely Night</v>
      </c>
      <c r="AF50" t="str">
        <v>The Weeknd</v>
      </c>
      <c r="AG50" s="100">
        <f t="shared" si="12"/>
        <v>9</v>
      </c>
      <c r="AI50" s="115">
        <f>Mar_2025_SotM[[#This Row],[Max Seed]]/2 + 1</f>
        <v>9</v>
      </c>
      <c r="AJ50" s="105" t="str">
        <f ca="1">IF(Mar_2025_SotM[[#This Row],[Num]]&gt;=$A$37, "-", IF(Mar_2025_SotM[[#This Row],[Score 1]]&gt;=3, Mar_2025_SotM[[#This Row],[Song 2]], IF(Mar_2025_SotM[[#This Row],[Score 2]]&gt;=3, Mar_2025_SotM[[#This Row],[Song 1]], "TBD")))</f>
        <v>RADA RADA</v>
      </c>
      <c r="AK50" s="3">
        <f ca="1">IFERROR(VLOOKUP(Mar_2025_Results[[#This Row],[Song Title]], $AE$38:$AG$54, 3, FALSE)-Mar_2025_Results[[#This Row],[Result]], "TBD")</f>
        <v>-6</v>
      </c>
      <c r="AL50" s="3" t="str">
        <f t="shared" ca="1" si="14"/>
        <v>↓</v>
      </c>
    </row>
    <row r="51" spans="1:38">
      <c r="A51" s="105" t="str">
        <f>_xlfn.CONCAT("Seed ", Mar_2025_SotM[[#This Row],[Top Seed]], " vs ",Mar_2025_SotM[[#This Row],[Low Seed]])</f>
        <v>Seed 3 vs 14</v>
      </c>
      <c r="B51" s="115">
        <v>13</v>
      </c>
      <c r="C51" s="105">
        <f>FLOOR(LOG(Mar_2025_SotM[[#This Row],[Num]], 2), 1)</f>
        <v>3</v>
      </c>
      <c r="D51" s="105">
        <f>2^(Mar_2025_SotM[[#This Row],[Round]]+1)</f>
        <v>16</v>
      </c>
      <c r="E51" s="105">
        <f>Mar_2025_SotM[[#This Row],[Max Seed]]-Mar_2025_SotM[[#This Row],[Num]]</f>
        <v>3</v>
      </c>
      <c r="F51" s="105">
        <f>Mar_2025_SotM[[#This Row],[Max Seed]]-Mar_2025_SotM[[#This Row],[Top Seed]]+1</f>
        <v>14</v>
      </c>
      <c r="G51" s="105" t="b">
        <f>IF(Mar_2025_SotM[[#This Row],[Round]]=$C$37, TRUE(), IF(Mar_2025_SotM[[#This Row],[Round]]=$B$37, Mar_2025_SotM[[#This Row],[Top Seed]]&lt;=2*Mar_2025_SotM[[#This Row],[Max Seed]]-$A$37, FALSE()))</f>
        <v>1</v>
      </c>
      <c r="H51" s="105" t="b">
        <f>IF(Mar_2025_SotM[[#This Row],[Round]]=$C$37, TRUE(), IF(Mar_2025_SotM[[#This Row],[Round]]=$B$37, Mar_2025_SotM[[#This Row],[Low Seed]]&lt;=2*Mar_2025_SotM[[#This Row],[Max Seed]]-$A$37, FALSE()))</f>
        <v>1</v>
      </c>
      <c r="I51" s="28" t="s">
        <v>4191</v>
      </c>
      <c r="J51" s="31" t="s">
        <v>4191</v>
      </c>
      <c r="K51" s="33"/>
      <c r="L51" s="35" t="s">
        <v>4191</v>
      </c>
      <c r="M51" s="37"/>
      <c r="N51" s="192" t="str">
        <f ca="1">IF(Mar_2025_SotM[[#This Row],[Num]]&gt;=$A$37, "-", IF(Mar_2025_SotM[[#This Row],[Initial 1]], VLOOKUP(Mar_2025_SotM[[#This Row],[Top Seed]], $Z$38:$AE$54, 6, FALSE), OFFSET(Mar_2025_SotM[[#This Row],[Winner]], Mar_2025_SotM[[#This Row],[Max Seed]], 0)))</f>
        <v>トドメの一撃</v>
      </c>
      <c r="O51" s="105">
        <f>COUNTIF(Mar_2025_SotM[[#This Row],[J]:[H]],"x")</f>
        <v>3</v>
      </c>
      <c r="P51" s="115" t="str">
        <f ca="1">IF(Mar_2025_SotM[[#This Row],[Num]]&gt;=$A$37, "-", IF(Mar_2025_SotM[[#This Row],[Score 1]]&gt;=3, Mar_2025_SotM[[#This Row],[Song 1]], IF(Mar_2025_SotM[[#This Row],[Score 2]]&gt;=3, Mar_2025_SotM[[#This Row],[Song 2]], "TBD")))</f>
        <v>トドメの一撃</v>
      </c>
      <c r="Q51" s="193">
        <f>COUNTIF(Mar_2025_SotM[[#This Row],[H ]:[J ]],"x")</f>
        <v>2</v>
      </c>
      <c r="R51" s="105" t="str">
        <f ca="1">IF(Mar_2025_SotM[[#This Row],[Num]]&gt;=$A$37, "-", IF(Mar_2025_SotM[[#This Row],[Initial 2]], VLOOKUP(Mar_2025_SotM[[#This Row],[Low Seed]], $Z$38:$AE$54, 6, FALSE), OFFSET(Mar_2025_SotM[[#This Row],[Winner]], 2*(Mar_2025_SotM[[#This Row],[Max Seed]]-Mar_2025_SotM[[#This Row],[Low Seed]])+1, 0)))</f>
        <v>Fire in the belly</v>
      </c>
      <c r="S51" s="37" t="s">
        <v>4191</v>
      </c>
      <c r="T51" s="35"/>
      <c r="U51" s="33" t="s">
        <v>4191</v>
      </c>
      <c r="V51" s="31"/>
      <c r="W51" s="28"/>
      <c r="X51" s="115" t="str">
        <f ca="1">IF(OR(Mar_2025_SotM[[#This Row],[Song 1]]="TBD", Mar_2025_SotM[[#This Row],[Song 2]]="TBD"), "TBD", _xlfn.CONCAT(IF(_xlfn.XOR(ISBLANK(Mar_2025_SotM[[#This Row],[J]]), ISBLANK(Mar_2025_SotM[[#This Row],[J ]])), "", "J "), IF(_xlfn.XOR(ISBLANK(Mar_2025_SotM[[#This Row],[D]]), ISBLANK(Mar_2025_SotM[[#This Row],[D ]])), "", "D "), IF(_xlfn.XOR(ISBLANK(Mar_2025_SotM[[#This Row],[L]]), ISBLANK(Mar_2025_SotM[[#This Row],[L ]])), "", "L "), IF(_xlfn.XOR(ISBLANK(Mar_2025_SotM[[#This Row],[S]]), ISBLANK(Mar_2025_SotM[[#This Row],[S ]])), "", "S "), IF(_xlfn.XOR(ISBLANK(Mar_2025_SotM[[#This Row],[H]]), ISBLANK(Mar_2025_SotM[[#This Row],[H ]])), "", "H ")))</f>
        <v/>
      </c>
      <c r="Z51" s="109">
        <f t="shared" si="13"/>
        <v>12</v>
      </c>
      <c r="AA51" s="59">
        <v>45741</v>
      </c>
      <c r="AB51" t="str">
        <v>loganworsdell</v>
      </c>
      <c r="AC51" s="3">
        <v>2.2000000000000002</v>
      </c>
      <c r="AD51">
        <v>1.1661903789690602</v>
      </c>
      <c r="AE51" t="str">
        <v>roleplay</v>
      </c>
      <c r="AF51" t="str">
        <v>thủy</v>
      </c>
      <c r="AG51" s="100">
        <f t="shared" si="12"/>
        <v>9</v>
      </c>
      <c r="AI51" s="115">
        <f>Mar_2025_SotM[[#This Row],[Max Seed]]/2 + 1</f>
        <v>9</v>
      </c>
      <c r="AJ51" s="105" t="str">
        <f ca="1">IF(Mar_2025_SotM[[#This Row],[Num]]&gt;=$A$37, "-", IF(Mar_2025_SotM[[#This Row],[Score 1]]&gt;=3, Mar_2025_SotM[[#This Row],[Song 2]], IF(Mar_2025_SotM[[#This Row],[Score 2]]&gt;=3, Mar_2025_SotM[[#This Row],[Song 1]], "TBD")))</f>
        <v>Fire in the belly</v>
      </c>
      <c r="AK51" s="3">
        <f ca="1">IFERROR(VLOOKUP(Mar_2025_Results[[#This Row],[Song Title]], $AE$38:$AG$54, 3, FALSE)-Mar_2025_Results[[#This Row],[Result]], "TBD")</f>
        <v>0</v>
      </c>
      <c r="AL51" s="3" t="str">
        <f t="shared" ca="1" si="14"/>
        <v>-</v>
      </c>
    </row>
    <row r="52" spans="1:38">
      <c r="A52" s="105" t="str">
        <f>_xlfn.CONCAT("Seed ", Mar_2025_SotM[[#This Row],[Top Seed]], " vs ",Mar_2025_SotM[[#This Row],[Low Seed]])</f>
        <v>Seed 2 vs 15</v>
      </c>
      <c r="B52" s="115">
        <v>14</v>
      </c>
      <c r="C52" s="105">
        <f>FLOOR(LOG(Mar_2025_SotM[[#This Row],[Num]], 2), 1)</f>
        <v>3</v>
      </c>
      <c r="D52" s="105">
        <f>2^(Mar_2025_SotM[[#This Row],[Round]]+1)</f>
        <v>16</v>
      </c>
      <c r="E52" s="105">
        <f>Mar_2025_SotM[[#This Row],[Max Seed]]-Mar_2025_SotM[[#This Row],[Num]]</f>
        <v>2</v>
      </c>
      <c r="F52" s="105">
        <f>Mar_2025_SotM[[#This Row],[Max Seed]]-Mar_2025_SotM[[#This Row],[Top Seed]]+1</f>
        <v>15</v>
      </c>
      <c r="G52" s="105" t="b">
        <f>IF(Mar_2025_SotM[[#This Row],[Round]]=$C$37, TRUE(), IF(Mar_2025_SotM[[#This Row],[Round]]=$B$37, Mar_2025_SotM[[#This Row],[Top Seed]]&lt;=2*Mar_2025_SotM[[#This Row],[Max Seed]]-$A$37, FALSE()))</f>
        <v>1</v>
      </c>
      <c r="H52" s="105" t="b">
        <f>IF(Mar_2025_SotM[[#This Row],[Round]]=$C$37, TRUE(), IF(Mar_2025_SotM[[#This Row],[Round]]=$B$37, Mar_2025_SotM[[#This Row],[Low Seed]]&lt;=2*Mar_2025_SotM[[#This Row],[Max Seed]]-$A$37, FALSE()))</f>
        <v>1</v>
      </c>
      <c r="I52" s="28"/>
      <c r="J52" s="31"/>
      <c r="K52" s="33"/>
      <c r="L52" s="35" t="s">
        <v>4191</v>
      </c>
      <c r="M52" s="37" t="s">
        <v>4191</v>
      </c>
      <c r="N52" s="192" t="str">
        <f ca="1">IF(Mar_2025_SotM[[#This Row],[Num]]&gt;=$A$37, "-", IF(Mar_2025_SotM[[#This Row],[Initial 1]], VLOOKUP(Mar_2025_SotM[[#This Row],[Top Seed]], $Z$38:$AE$54, 6, FALSE), OFFSET(Mar_2025_SotM[[#This Row],[Winner]], Mar_2025_SotM[[#This Row],[Max Seed]], 0)))</f>
        <v>CHAINSAW BLOOD</v>
      </c>
      <c r="O52" s="105">
        <f>COUNTIF(Mar_2025_SotM[[#This Row],[J]:[H]],"x")</f>
        <v>2</v>
      </c>
      <c r="P52" s="115" t="str">
        <f ca="1">IF(Mar_2025_SotM[[#This Row],[Num]]&gt;=$A$37, "-", IF(Mar_2025_SotM[[#This Row],[Score 1]]&gt;=3, Mar_2025_SotM[[#This Row],[Song 1]], IF(Mar_2025_SotM[[#This Row],[Score 2]]&gt;=3, Mar_2025_SotM[[#This Row],[Song 2]], "TBD")))</f>
        <v>A Lonely Night</v>
      </c>
      <c r="Q52" s="193">
        <f>COUNTIF(Mar_2025_SotM[[#This Row],[H ]:[J ]],"x")</f>
        <v>3</v>
      </c>
      <c r="R52" s="105" t="str">
        <f ca="1">IF(Mar_2025_SotM[[#This Row],[Num]]&gt;=$A$37, "-", IF(Mar_2025_SotM[[#This Row],[Initial 2]], VLOOKUP(Mar_2025_SotM[[#This Row],[Low Seed]], $Z$38:$AE$54, 6, FALSE), OFFSET(Mar_2025_SotM[[#This Row],[Winner]], 2*(Mar_2025_SotM[[#This Row],[Max Seed]]-Mar_2025_SotM[[#This Row],[Low Seed]])+1, 0)))</f>
        <v>A Lonely Night</v>
      </c>
      <c r="S52" s="37"/>
      <c r="T52" s="35"/>
      <c r="U52" s="33" t="s">
        <v>4191</v>
      </c>
      <c r="V52" s="31" t="s">
        <v>4191</v>
      </c>
      <c r="W52" s="28" t="s">
        <v>4191</v>
      </c>
      <c r="X52" s="115" t="str">
        <f ca="1">IF(OR(Mar_2025_SotM[[#This Row],[Song 1]]="TBD", Mar_2025_SotM[[#This Row],[Song 2]]="TBD"), "TBD", _xlfn.CONCAT(IF(_xlfn.XOR(ISBLANK(Mar_2025_SotM[[#This Row],[J]]), ISBLANK(Mar_2025_SotM[[#This Row],[J ]])), "", "J "), IF(_xlfn.XOR(ISBLANK(Mar_2025_SotM[[#This Row],[D]]), ISBLANK(Mar_2025_SotM[[#This Row],[D ]])), "", "D "), IF(_xlfn.XOR(ISBLANK(Mar_2025_SotM[[#This Row],[L]]), ISBLANK(Mar_2025_SotM[[#This Row],[L ]])), "", "L "), IF(_xlfn.XOR(ISBLANK(Mar_2025_SotM[[#This Row],[S]]), ISBLANK(Mar_2025_SotM[[#This Row],[S ]])), "", "S "), IF(_xlfn.XOR(ISBLANK(Mar_2025_SotM[[#This Row],[H]]), ISBLANK(Mar_2025_SotM[[#This Row],[H ]])), "", "H ")))</f>
        <v/>
      </c>
      <c r="Z52" s="109">
        <f t="shared" si="13"/>
        <v>1</v>
      </c>
      <c r="AA52" s="59">
        <v>45742</v>
      </c>
      <c r="AB52" t="str">
        <v>samuelbattista</v>
      </c>
      <c r="AC52" s="3">
        <v>1.6</v>
      </c>
      <c r="AD52">
        <v>0.4898979485566356</v>
      </c>
      <c r="AE52" t="str">
        <v>CLOVER</v>
      </c>
      <c r="AF52" t="str">
        <v>IDK, Joey Valence &amp; Brae</v>
      </c>
      <c r="AG52" s="100">
        <f t="shared" si="12"/>
        <v>1</v>
      </c>
      <c r="AI52" s="115">
        <f>Mar_2025_SotM[[#This Row],[Max Seed]]/2 + 1</f>
        <v>9</v>
      </c>
      <c r="AJ52" s="105" t="str">
        <f ca="1">IF(Mar_2025_SotM[[#This Row],[Num]]&gt;=$A$37, "-", IF(Mar_2025_SotM[[#This Row],[Score 1]]&gt;=3, Mar_2025_SotM[[#This Row],[Song 2]], IF(Mar_2025_SotM[[#This Row],[Score 2]]&gt;=3, Mar_2025_SotM[[#This Row],[Song 1]], "TBD")))</f>
        <v>CHAINSAW BLOOD</v>
      </c>
      <c r="AK52" s="3">
        <f ca="1">IFERROR(VLOOKUP(Mar_2025_Results[[#This Row],[Song Title]], $AE$38:$AG$54, 3, FALSE)-Mar_2025_Results[[#This Row],[Result]], "TBD")</f>
        <v>-7</v>
      </c>
      <c r="AL52" s="3" t="str">
        <f t="shared" ca="1" si="14"/>
        <v>↓</v>
      </c>
    </row>
    <row r="53" spans="1:38">
      <c r="A53" s="105" t="str">
        <f>_xlfn.CONCAT("Seed ", Mar_2025_SotM[[#This Row],[Top Seed]], " vs ",Mar_2025_SotM[[#This Row],[Low Seed]])</f>
        <v>Seed 1 vs 16</v>
      </c>
      <c r="B53" s="115">
        <v>15</v>
      </c>
      <c r="C53" s="105">
        <f>FLOOR(LOG(Mar_2025_SotM[[#This Row],[Num]], 2), 1)</f>
        <v>3</v>
      </c>
      <c r="D53" s="105">
        <f>2^(Mar_2025_SotM[[#This Row],[Round]]+1)</f>
        <v>16</v>
      </c>
      <c r="E53" s="105">
        <f>Mar_2025_SotM[[#This Row],[Max Seed]]-Mar_2025_SotM[[#This Row],[Num]]</f>
        <v>1</v>
      </c>
      <c r="F53" s="105">
        <f>Mar_2025_SotM[[#This Row],[Max Seed]]-Mar_2025_SotM[[#This Row],[Top Seed]]+1</f>
        <v>16</v>
      </c>
      <c r="G53" s="105" t="b">
        <f>IF(Mar_2025_SotM[[#This Row],[Round]]=$C$37, TRUE(), IF(Mar_2025_SotM[[#This Row],[Round]]=$B$37, Mar_2025_SotM[[#This Row],[Top Seed]]&lt;=2*Mar_2025_SotM[[#This Row],[Max Seed]]-$A$37, FALSE()))</f>
        <v>1</v>
      </c>
      <c r="H53" s="105" t="b">
        <f>IF(Mar_2025_SotM[[#This Row],[Round]]=$C$37, TRUE(), IF(Mar_2025_SotM[[#This Row],[Round]]=$B$37, Mar_2025_SotM[[#This Row],[Low Seed]]&lt;=2*Mar_2025_SotM[[#This Row],[Max Seed]]-$A$37, FALSE()))</f>
        <v>0</v>
      </c>
      <c r="I53" s="28"/>
      <c r="J53" s="31"/>
      <c r="K53" s="33"/>
      <c r="L53" s="35"/>
      <c r="M53" s="37"/>
      <c r="N53" s="192" t="str">
        <f ca="1">IF(Mar_2025_SotM[[#This Row],[Num]]&gt;=$A$37, "-", IF(Mar_2025_SotM[[#This Row],[Initial 1]], VLOOKUP(Mar_2025_SotM[[#This Row],[Top Seed]], $Z$38:$AE$54, 6, FALSE), OFFSET(Mar_2025_SotM[[#This Row],[Winner]], Mar_2025_SotM[[#This Row],[Max Seed]], 0)))</f>
        <v>CLOVER</v>
      </c>
      <c r="O53" s="105">
        <f>COUNTIF(Mar_2025_SotM[[#This Row],[J]:[H]],"x")</f>
        <v>0</v>
      </c>
      <c r="P53" s="115" t="str">
        <f ca="1">IF(Mar_2025_SotM[[#This Row],[Num]]&gt;=$A$37, "-", IF(Mar_2025_SotM[[#This Row],[Score 1]]&gt;=3, Mar_2025_SotM[[#This Row],[Song 1]], IF(Mar_2025_SotM[[#This Row],[Score 2]]&gt;=3, Mar_2025_SotM[[#This Row],[Song 2]], "TBD")))</f>
        <v>Take Me Out</v>
      </c>
      <c r="Q53" s="193">
        <f>COUNTIF(Mar_2025_SotM[[#This Row],[H ]:[J ]],"x")</f>
        <v>5</v>
      </c>
      <c r="R53" s="105" t="str">
        <f ca="1">IF(Mar_2025_SotM[[#This Row],[Num]]&gt;=$A$37, "-", IF(Mar_2025_SotM[[#This Row],[Initial 2]], VLOOKUP(Mar_2025_SotM[[#This Row],[Low Seed]], $Z$38:$AE$54, 6, FALSE), OFFSET(Mar_2025_SotM[[#This Row],[Winner]], 2*(Mar_2025_SotM[[#This Row],[Max Seed]]-Mar_2025_SotM[[#This Row],[Low Seed]])+1, 0)))</f>
        <v>Take Me Out</v>
      </c>
      <c r="S53" s="37" t="s">
        <v>4191</v>
      </c>
      <c r="T53" s="35" t="s">
        <v>4191</v>
      </c>
      <c r="U53" s="33" t="s">
        <v>4191</v>
      </c>
      <c r="V53" s="31" t="s">
        <v>4191</v>
      </c>
      <c r="W53" s="28" t="s">
        <v>4191</v>
      </c>
      <c r="X53" s="115" t="str">
        <f ca="1">IF(OR(Mar_2025_SotM[[#This Row],[Song 1]]="TBD", Mar_2025_SotM[[#This Row],[Song 2]]="TBD"), "TBD", _xlfn.CONCAT(IF(_xlfn.XOR(ISBLANK(Mar_2025_SotM[[#This Row],[J]]), ISBLANK(Mar_2025_SotM[[#This Row],[J ]])), "", "J "), IF(_xlfn.XOR(ISBLANK(Mar_2025_SotM[[#This Row],[D]]), ISBLANK(Mar_2025_SotM[[#This Row],[D ]])), "", "D "), IF(_xlfn.XOR(ISBLANK(Mar_2025_SotM[[#This Row],[L]]), ISBLANK(Mar_2025_SotM[[#This Row],[L ]])), "", "L "), IF(_xlfn.XOR(ISBLANK(Mar_2025_SotM[[#This Row],[S]]), ISBLANK(Mar_2025_SotM[[#This Row],[S ]])), "", "S "), IF(_xlfn.XOR(ISBLANK(Mar_2025_SotM[[#This Row],[H]]), ISBLANK(Mar_2025_SotM[[#This Row],[H ]])), "", "H ")))</f>
        <v/>
      </c>
      <c r="Z53" s="109">
        <f t="shared" si="13"/>
        <v>7</v>
      </c>
      <c r="AA53" s="59">
        <v>45743</v>
      </c>
      <c r="AB53" t="str">
        <v>alappatjoe</v>
      </c>
      <c r="AC53" s="3">
        <v>2</v>
      </c>
      <c r="AD53">
        <v>0.89442719099991586</v>
      </c>
      <c r="AE53" t="str">
        <v>Not Letting Go</v>
      </c>
      <c r="AF53" t="str">
        <v>Tinie Tempah, Jess Glynne</v>
      </c>
      <c r="AG53" s="100">
        <f t="shared" si="12"/>
        <v>5</v>
      </c>
      <c r="AI53" s="115">
        <f>Mar_2025_SotM[[#This Row],[Max Seed]]/2 + 1</f>
        <v>9</v>
      </c>
      <c r="AJ53" s="105" t="str">
        <f ca="1">IF(Mar_2025_SotM[[#This Row],[Num]]&gt;=$A$37, "-", IF(Mar_2025_SotM[[#This Row],[Score 1]]&gt;=3, Mar_2025_SotM[[#This Row],[Song 2]], IF(Mar_2025_SotM[[#This Row],[Score 2]]&gt;=3, Mar_2025_SotM[[#This Row],[Song 1]], "TBD")))</f>
        <v>CLOVER</v>
      </c>
      <c r="AK53" s="3">
        <f ca="1">IFERROR(VLOOKUP(Mar_2025_Results[[#This Row],[Song Title]], $AE$38:$AG$54, 3, FALSE)-Mar_2025_Results[[#This Row],[Result]], "TBD")</f>
        <v>-8</v>
      </c>
      <c r="AL53" s="3" t="str">
        <f t="shared" ca="1" si="14"/>
        <v>↓</v>
      </c>
    </row>
    <row r="54" spans="1:38">
      <c r="A54" s="105" t="str">
        <f>_xlfn.CONCAT("Seed ", Mar_2025_SotM[[#This Row],[Top Seed]], " vs ",Mar_2025_SotM[[#This Row],[Low Seed]])</f>
        <v>Seed 16 vs 17</v>
      </c>
      <c r="B54" s="115">
        <v>16</v>
      </c>
      <c r="C54" s="105">
        <f>FLOOR(LOG(Mar_2025_SotM[[#This Row],[Num]], 2), 1)</f>
        <v>4</v>
      </c>
      <c r="D54" s="105">
        <f>2^(Mar_2025_SotM[[#This Row],[Round]]+1)</f>
        <v>32</v>
      </c>
      <c r="E54" s="105">
        <f>Mar_2025_SotM[[#This Row],[Max Seed]]-Mar_2025_SotM[[#This Row],[Num]]</f>
        <v>16</v>
      </c>
      <c r="F54" s="105">
        <f>Mar_2025_SotM[[#This Row],[Max Seed]]-Mar_2025_SotM[[#This Row],[Top Seed]]+1</f>
        <v>17</v>
      </c>
      <c r="G54" s="105" t="b">
        <f>IF(Mar_2025_SotM[[#This Row],[Round]]=$C$37, TRUE(), IF(Mar_2025_SotM[[#This Row],[Round]]=$B$37, Mar_2025_SotM[[#This Row],[Top Seed]]&lt;=2*Mar_2025_SotM[[#This Row],[Max Seed]]-$A$37, FALSE()))</f>
        <v>1</v>
      </c>
      <c r="H54" s="105" t="b">
        <f>IF(Mar_2025_SotM[[#This Row],[Round]]=$C$37, TRUE(), IF(Mar_2025_SotM[[#This Row],[Round]]=$B$37, Mar_2025_SotM[[#This Row],[Low Seed]]&lt;=2*Mar_2025_SotM[[#This Row],[Max Seed]]-$A$37, FALSE()))</f>
        <v>1</v>
      </c>
      <c r="I54" s="28" t="s">
        <v>4191</v>
      </c>
      <c r="J54" s="31" t="s">
        <v>4191</v>
      </c>
      <c r="K54" s="33" t="s">
        <v>4191</v>
      </c>
      <c r="L54" s="35" t="s">
        <v>4191</v>
      </c>
      <c r="M54" s="37" t="s">
        <v>4191</v>
      </c>
      <c r="N54" s="192" t="str">
        <f ca="1">IF(Mar_2025_SotM[[#This Row],[Num]]&gt;=$A$37, "-", IF(Mar_2025_SotM[[#This Row],[Initial 1]], VLOOKUP(Mar_2025_SotM[[#This Row],[Top Seed]], $Z$38:$AE$54, 6, FALSE), OFFSET(Mar_2025_SotM[[#This Row],[Winner]], Mar_2025_SotM[[#This Row],[Max Seed]], 0)))</f>
        <v>Take Me Out</v>
      </c>
      <c r="O54" s="105">
        <f>COUNTIF(Mar_2025_SotM[[#This Row],[J]:[H]],"x")</f>
        <v>5</v>
      </c>
      <c r="P54" s="115" t="str">
        <f ca="1">IF(Mar_2025_SotM[[#This Row],[Num]]&gt;=$A$37, "-", IF(Mar_2025_SotM[[#This Row],[Score 1]]&gt;=3, Mar_2025_SotM[[#This Row],[Song 1]], IF(Mar_2025_SotM[[#This Row],[Score 2]]&gt;=3, Mar_2025_SotM[[#This Row],[Song 2]], "TBD")))</f>
        <v>Take Me Out</v>
      </c>
      <c r="Q54" s="193">
        <f>COUNTIF(Mar_2025_SotM[[#This Row],[H ]:[J ]],"x")</f>
        <v>0</v>
      </c>
      <c r="R54" s="105" t="str">
        <f ca="1">IF(Mar_2025_SotM[[#This Row],[Num]]&gt;=$A$37, "-", IF(Mar_2025_SotM[[#This Row],[Initial 2]], VLOOKUP(Mar_2025_SotM[[#This Row],[Low Seed]], $Z$38:$AE$54, 6, FALSE), OFFSET(Mar_2025_SotM[[#This Row],[Winner]], 2*(Mar_2025_SotM[[#This Row],[Max Seed]]-Mar_2025_SotM[[#This Row],[Low Seed]])+1, 0)))</f>
        <v>Lithium</v>
      </c>
      <c r="S54" s="37"/>
      <c r="T54" s="35"/>
      <c r="U54" s="33"/>
      <c r="V54" s="31"/>
      <c r="W54" s="28"/>
      <c r="X54" s="115" t="str">
        <f ca="1">IF(OR(Mar_2025_SotM[[#This Row],[Song 1]]="TBD", Mar_2025_SotM[[#This Row],[Song 2]]="TBD"), "TBD", _xlfn.CONCAT(IF(_xlfn.XOR(ISBLANK(Mar_2025_SotM[[#This Row],[J]]), ISBLANK(Mar_2025_SotM[[#This Row],[J ]])), "", "J "), IF(_xlfn.XOR(ISBLANK(Mar_2025_SotM[[#This Row],[D]]), ISBLANK(Mar_2025_SotM[[#This Row],[D ]])), "", "D "), IF(_xlfn.XOR(ISBLANK(Mar_2025_SotM[[#This Row],[L]]), ISBLANK(Mar_2025_SotM[[#This Row],[L ]])), "", "L "), IF(_xlfn.XOR(ISBLANK(Mar_2025_SotM[[#This Row],[S]]), ISBLANK(Mar_2025_SotM[[#This Row],[S ]])), "", "S "), IF(_xlfn.XOR(ISBLANK(Mar_2025_SotM[[#This Row],[H]]), ISBLANK(Mar_2025_SotM[[#This Row],[H ]])), "", "H ")))</f>
        <v/>
      </c>
      <c r="Z54" s="110">
        <f t="shared" si="13"/>
        <v>8</v>
      </c>
      <c r="AA54" s="211">
        <v>45747</v>
      </c>
      <c r="AB54" s="157" t="str">
        <v>alappatjoe</v>
      </c>
      <c r="AC54" s="101">
        <v>2</v>
      </c>
      <c r="AD54" s="157">
        <v>1.2649110640673518</v>
      </c>
      <c r="AE54" s="157" t="str">
        <v>the boy is mine</v>
      </c>
      <c r="AF54" s="157" t="str">
        <v>Ariana Grande</v>
      </c>
      <c r="AG54" s="102">
        <f t="shared" si="12"/>
        <v>5</v>
      </c>
      <c r="AI54" s="115">
        <f>Mar_2025_SotM[[#This Row],[Max Seed]]/2 + 1</f>
        <v>17</v>
      </c>
      <c r="AJ54" s="105" t="str">
        <f ca="1">IF(Mar_2025_SotM[[#This Row],[Num]]&gt;=$A$37, "-", IF(Mar_2025_SotM[[#This Row],[Score 1]]&gt;=3, Mar_2025_SotM[[#This Row],[Song 2]], IF(Mar_2025_SotM[[#This Row],[Score 2]]&gt;=3, Mar_2025_SotM[[#This Row],[Song 1]], "TBD")))</f>
        <v>Lithium</v>
      </c>
      <c r="AK54" s="3">
        <f ca="1">IFERROR(VLOOKUP(Mar_2025_Results[[#This Row],[Song Title]], $AE$38:$AG$54, 3, FALSE)-Mar_2025_Results[[#This Row],[Result]], "TBD")</f>
        <v>0</v>
      </c>
      <c r="AL54" s="3" t="str">
        <f t="shared" ca="1" si="14"/>
        <v>-</v>
      </c>
    </row>
    <row r="56" spans="1:38">
      <c r="A56" s="302">
        <f>MAX(Z57:Z74)</f>
        <v>18</v>
      </c>
      <c r="B56" s="302">
        <f t="shared" ref="B56" si="15">FLOOR(LOG(A56, 2), 1)-1</f>
        <v>3</v>
      </c>
      <c r="C56" s="302">
        <f t="shared" ref="C56" si="16">_xlfn.CEILING.MATH(LOG(A56, 2), 1)-1</f>
        <v>4</v>
      </c>
      <c r="D56" s="302"/>
      <c r="E56" s="302"/>
      <c r="F56" s="302"/>
      <c r="G56" s="302"/>
      <c r="H56" s="302"/>
      <c r="I56" s="348" t="s">
        <v>4194</v>
      </c>
      <c r="J56" s="348"/>
      <c r="K56" s="348"/>
      <c r="L56" s="348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02"/>
      <c r="Z56" s="221" t="s">
        <v>4163</v>
      </c>
      <c r="AA56" s="222" t="s">
        <v>29</v>
      </c>
      <c r="AB56" s="220" t="s">
        <v>32</v>
      </c>
      <c r="AC56" s="221" t="s">
        <v>33</v>
      </c>
      <c r="AD56" s="220" t="s">
        <v>34</v>
      </c>
      <c r="AE56" s="220" t="s">
        <v>4161</v>
      </c>
      <c r="AF56" s="220" t="s">
        <v>36</v>
      </c>
      <c r="AG56" s="221" t="s">
        <v>4164</v>
      </c>
      <c r="AI56" s="3" t="s">
        <v>4165</v>
      </c>
      <c r="AJ56" t="s">
        <v>35</v>
      </c>
      <c r="AK56" s="3" t="s">
        <v>4166</v>
      </c>
      <c r="AL56" s="3" t="s">
        <v>4167</v>
      </c>
    </row>
    <row r="57" spans="1:38">
      <c r="A57" s="218" t="s">
        <v>4168</v>
      </c>
      <c r="B57" s="213" t="s">
        <v>4169</v>
      </c>
      <c r="C57" s="219" t="s">
        <v>4170</v>
      </c>
      <c r="D57" s="219" t="s">
        <v>4171</v>
      </c>
      <c r="E57" s="219" t="s">
        <v>4172</v>
      </c>
      <c r="F57" s="219" t="s">
        <v>4173</v>
      </c>
      <c r="G57" s="219" t="s">
        <v>4174</v>
      </c>
      <c r="H57" s="219" t="s">
        <v>4175</v>
      </c>
      <c r="I57" s="219" t="s">
        <v>4176</v>
      </c>
      <c r="J57" s="219" t="s">
        <v>4177</v>
      </c>
      <c r="K57" s="219" t="s">
        <v>4178</v>
      </c>
      <c r="L57" s="219" t="s">
        <v>4179</v>
      </c>
      <c r="M57" s="219" t="s">
        <v>4180</v>
      </c>
      <c r="N57" s="226" t="s">
        <v>4181</v>
      </c>
      <c r="O57" s="219" t="s">
        <v>4182</v>
      </c>
      <c r="P57" s="213" t="s">
        <v>47</v>
      </c>
      <c r="Q57" s="231" t="s">
        <v>4183</v>
      </c>
      <c r="R57" s="219" t="s">
        <v>4184</v>
      </c>
      <c r="S57" s="219" t="s">
        <v>4185</v>
      </c>
      <c r="T57" s="219" t="s">
        <v>4186</v>
      </c>
      <c r="U57" s="219" t="s">
        <v>4187</v>
      </c>
      <c r="V57" s="219" t="s">
        <v>4188</v>
      </c>
      <c r="W57" s="219" t="s">
        <v>4189</v>
      </c>
      <c r="X57" s="110" t="s">
        <v>4190</v>
      </c>
      <c r="Z57" s="109">
        <f>IF(AC57&gt;0, COUNTIF(AC$57:AC$74, "&lt;"&amp;AC57) + COUNTIFS(AC$57:AC$74, AC57, AD$57:AD$74, "&lt;"&amp;AD57) + COUNTIFS(AC$57:AC$74, AC57, AD$57:AD$74, AD57, AA$57:AA$74, "&lt;"&amp;AA57) + 1, "TBD")</f>
        <v>7</v>
      </c>
      <c r="AA57" s="59" cm="1">
        <f t="array" ref="AA57:AF74">_xlfn._xlws.FILTER(Data[Date]:Data[Artist], (Data[Date]&gt;=DATE(2025,4,1))*(Data[Date]&lt;=DATE(2025,4,30))*(Data[Winner]=TRUE()), "TBD")</f>
        <v>45748</v>
      </c>
      <c r="AB57" t="str">
        <v>alappatjoe</v>
      </c>
      <c r="AC57" s="3">
        <v>2.2000000000000002</v>
      </c>
      <c r="AD57">
        <v>0.74833147735478833</v>
      </c>
      <c r="AE57" t="str">
        <v>National Park</v>
      </c>
      <c r="AF57" t="str">
        <v>The Consouls</v>
      </c>
      <c r="AG57" s="100">
        <f t="shared" ref="AG57:AG74" si="17">IF(Z57&gt;1, 2^FLOOR(LOG(Z57-1, 2), 1)+1, 1)</f>
        <v>5</v>
      </c>
      <c r="AI57" s="115">
        <v>1</v>
      </c>
      <c r="AJ57" s="105" t="str">
        <f ca="1">P58</f>
        <v>Your Direction</v>
      </c>
      <c r="AK57" s="3">
        <f ca="1">IFERROR(VLOOKUP(Apr_2025_Results[[#This Row],[Song Title]], $AE$57:$AG$74, 3, FALSE)-Apr_2025_Results[[#This Row],[Result]], "TBD")</f>
        <v>16</v>
      </c>
      <c r="AL57" s="3" t="str">
        <f ca="1">IF(AK57&lt;0,"↓",IF(AK57=0,"-","↑"))</f>
        <v>↑</v>
      </c>
    </row>
    <row r="58" spans="1:38">
      <c r="A58" s="197" t="str">
        <f>_xlfn.CONCAT("Seed ", Apr_2025_SotM[[#This Row],[Top Seed]], " vs ",Apr_2025_SotM[[#This Row],[Low Seed]])</f>
        <v>Seed 1 vs 2</v>
      </c>
      <c r="B58" s="115">
        <v>1</v>
      </c>
      <c r="C58" s="105">
        <f>FLOOR(LOG(Apr_2025_SotM[[#This Row],[Num]], 2), 1)</f>
        <v>0</v>
      </c>
      <c r="D58" s="105">
        <f>2^(Apr_2025_SotM[[#This Row],[Round]]+1)</f>
        <v>2</v>
      </c>
      <c r="E58" s="105">
        <f>Apr_2025_SotM[[#This Row],[Max Seed]]-Apr_2025_SotM[[#This Row],[Num]]</f>
        <v>1</v>
      </c>
      <c r="F58" s="105">
        <f>Apr_2025_SotM[[#This Row],[Max Seed]]-Apr_2025_SotM[[#This Row],[Top Seed]]+1</f>
        <v>2</v>
      </c>
      <c r="G58" s="105" t="b">
        <f>IF(Apr_2025_SotM[[#This Row],[Round]]=$C$56, TRUE(), IF(Apr_2025_SotM[[#This Row],[Round]]=$B$56, Apr_2025_SotM[[#This Row],[Top Seed]]&lt;=2*Apr_2025_SotM[[#This Row],[Max Seed]]-$A$56, FALSE()))</f>
        <v>0</v>
      </c>
      <c r="H58" s="105" t="b">
        <f>IF(Apr_2025_SotM[[#This Row],[Round]]=$C$56, TRUE(), IF(Apr_2025_SotM[[#This Row],[Round]]=$B$56, Apr_2025_SotM[[#This Row],[Low Seed]]&lt;=2*Apr_2025_SotM[[#This Row],[Max Seed]]-$A$56, FALSE()))</f>
        <v>0</v>
      </c>
      <c r="I58" s="28"/>
      <c r="J58" s="31" t="s">
        <v>4191</v>
      </c>
      <c r="K58" s="33" t="s">
        <v>4191</v>
      </c>
      <c r="L58" s="35" t="s">
        <v>4191</v>
      </c>
      <c r="M58" s="37"/>
      <c r="N58" s="192" t="str">
        <f ca="1">IF(Apr_2025_SotM[[#This Row],[Num]]&gt;=$A$56, "-", IF(Apr_2025_SotM[[#This Row],[Initial 1]], VLOOKUP(Apr_2025_SotM[[#This Row],[Top Seed]], $Z$57:$AE$74, 6, FALSE), OFFSET(Apr_2025_SotM[[#This Row],[Winner]], Apr_2025_SotM[[#This Row],[Max Seed]], 0)))</f>
        <v>Your Direction</v>
      </c>
      <c r="O58" s="105">
        <f>COUNTIF(Apr_2025_SotM[[#This Row],[J]:[H]],"x")</f>
        <v>3</v>
      </c>
      <c r="P58" s="115" t="str">
        <f ca="1">IF(Apr_2025_SotM[[#This Row],[Num]]&gt;=$A$56, "-", IF(Apr_2025_SotM[[#This Row],[Score 1]]&gt;=3, Apr_2025_SotM[[#This Row],[Song 1]], IF(Apr_2025_SotM[[#This Row],[Score 2]]&gt;=3, Apr_2025_SotM[[#This Row],[Song 2]], "TBD")))</f>
        <v>Your Direction</v>
      </c>
      <c r="Q58" s="193">
        <f>COUNTIF(Apr_2025_SotM[[#This Row],[H ]:[J ]],"x")</f>
        <v>2</v>
      </c>
      <c r="R58" s="105" t="str">
        <f ca="1"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f>
        <v>Temptation</v>
      </c>
      <c r="S58" s="37" t="s">
        <v>4191</v>
      </c>
      <c r="T58" s="35"/>
      <c r="U58" s="33"/>
      <c r="V58" s="31"/>
      <c r="W58" s="28" t="s">
        <v>4191</v>
      </c>
      <c r="X58" s="112" t="str">
        <f ca="1"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f>
        <v/>
      </c>
      <c r="Z58" s="109">
        <f>IF(AC58&gt;0, COUNTIF(AC$57:AC$74, "&lt;"&amp;AC58) + COUNTIFS(AC$57:AC$74, AC58, AD$57:AD$74, "&lt;"&amp;AD58) + COUNTIFS(AC$57:AC$74, AC58, AD$57:AD$74, AD58, AA$57:AA$74, "&lt;"&amp;AA58) + 1, "TBD")</f>
        <v>8</v>
      </c>
      <c r="AA58" s="59">
        <v>45749</v>
      </c>
      <c r="AB58" t="str">
        <v>currydestroyer27</v>
      </c>
      <c r="AC58" s="3">
        <v>2.2000000000000002</v>
      </c>
      <c r="AD58">
        <v>1.1661903789690602</v>
      </c>
      <c r="AE58" t="str">
        <v>Dance Now</v>
      </c>
      <c r="AF58" t="str">
        <v>JID, Kenny Mason</v>
      </c>
      <c r="AG58" s="100">
        <f t="shared" si="17"/>
        <v>5</v>
      </c>
      <c r="AI58" s="115">
        <f>Apr_2025_SotM[[#This Row],[Max Seed]]/2 + 1</f>
        <v>2</v>
      </c>
      <c r="AJ58" s="105" t="str">
        <f ca="1">IF(Apr_2025_SotM[[#This Row],[Num]]&gt;=$A$56, "-", IF(Apr_2025_SotM[[#This Row],[Score 1]]&gt;=3, Apr_2025_SotM[[#This Row],[Song 2]], IF(Apr_2025_SotM[[#This Row],[Score 2]]&gt;=3, Apr_2025_SotM[[#This Row],[Song 1]], "TBD")))</f>
        <v>Temptation</v>
      </c>
      <c r="AK58" s="3">
        <f ca="1">IFERROR(VLOOKUP(Apr_2025_Results[[#This Row],[Song Title]], $AE$57:$AG$74, 3, FALSE)-Apr_2025_Results[[#This Row],[Result]], "TBD")</f>
        <v>1</v>
      </c>
      <c r="AL58" s="3" t="str">
        <f ca="1">IF(AK58&lt;0,"↓",IF(AK58=0,"-","↑"))</f>
        <v>↑</v>
      </c>
    </row>
    <row r="59" spans="1:38">
      <c r="A59" s="197" t="str">
        <f>_xlfn.CONCAT("Seed ", Apr_2025_SotM[[#This Row],[Top Seed]], " vs ",Apr_2025_SotM[[#This Row],[Low Seed]])</f>
        <v>Seed 2 vs 3</v>
      </c>
      <c r="B59" s="115">
        <v>2</v>
      </c>
      <c r="C59" s="105">
        <f>FLOOR(LOG(Apr_2025_SotM[[#This Row],[Num]], 2), 1)</f>
        <v>1</v>
      </c>
      <c r="D59" s="105">
        <f>2^(Apr_2025_SotM[[#This Row],[Round]]+1)</f>
        <v>4</v>
      </c>
      <c r="E59" s="105">
        <f>Apr_2025_SotM[[#This Row],[Max Seed]]-Apr_2025_SotM[[#This Row],[Num]]</f>
        <v>2</v>
      </c>
      <c r="F59" s="105">
        <f>Apr_2025_SotM[[#This Row],[Max Seed]]-Apr_2025_SotM[[#This Row],[Top Seed]]+1</f>
        <v>3</v>
      </c>
      <c r="G59" s="105" t="b">
        <f>IF(Apr_2025_SotM[[#This Row],[Round]]=$C$56, TRUE(), IF(Apr_2025_SotM[[#This Row],[Round]]=$B$56, Apr_2025_SotM[[#This Row],[Top Seed]]&lt;=2*Apr_2025_SotM[[#This Row],[Max Seed]]-$A$56, FALSE()))</f>
        <v>0</v>
      </c>
      <c r="H59" s="105" t="b">
        <f>IF(Apr_2025_SotM[[#This Row],[Round]]=$C$56, TRUE(), IF(Apr_2025_SotM[[#This Row],[Round]]=$B$56, Apr_2025_SotM[[#This Row],[Low Seed]]&lt;=2*Apr_2025_SotM[[#This Row],[Max Seed]]-$A$56, FALSE()))</f>
        <v>0</v>
      </c>
      <c r="I59" s="28"/>
      <c r="J59" s="31" t="s">
        <v>4191</v>
      </c>
      <c r="K59" s="33"/>
      <c r="L59" s="35" t="s">
        <v>4191</v>
      </c>
      <c r="M59" s="37"/>
      <c r="N59" s="192" t="str">
        <f ca="1">IF(Apr_2025_SotM[[#This Row],[Num]]&gt;=$A$56, "-", IF(Apr_2025_SotM[[#This Row],[Initial 1]], VLOOKUP(Apr_2025_SotM[[#This Row],[Top Seed]], $Z$57:$AE$74, 6, FALSE), OFFSET(Apr_2025_SotM[[#This Row],[Winner]], Apr_2025_SotM[[#This Row],[Max Seed]], 0)))</f>
        <v>Never</v>
      </c>
      <c r="O59" s="105">
        <f>COUNTIF(Apr_2025_SotM[[#This Row],[J]:[H]],"x")</f>
        <v>2</v>
      </c>
      <c r="P59" s="115" t="str">
        <f ca="1">IF(Apr_2025_SotM[[#This Row],[Num]]&gt;=$A$56, "-", IF(Apr_2025_SotM[[#This Row],[Score 1]]&gt;=3, Apr_2025_SotM[[#This Row],[Song 1]], IF(Apr_2025_SotM[[#This Row],[Score 2]]&gt;=3, Apr_2025_SotM[[#This Row],[Song 2]], "TBD")))</f>
        <v>Temptation</v>
      </c>
      <c r="Q59" s="193">
        <f>COUNTIF(Apr_2025_SotM[[#This Row],[H ]:[J ]],"x")</f>
        <v>3</v>
      </c>
      <c r="R59" s="105" t="str">
        <f ca="1"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f>
        <v>Temptation</v>
      </c>
      <c r="S59" s="37" t="s">
        <v>4191</v>
      </c>
      <c r="T59" s="35"/>
      <c r="U59" s="33" t="s">
        <v>4191</v>
      </c>
      <c r="V59" s="31"/>
      <c r="W59" s="28" t="s">
        <v>4191</v>
      </c>
      <c r="X59" s="112" t="str">
        <f ca="1"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f>
        <v/>
      </c>
      <c r="Z59" s="109">
        <f t="shared" ref="Z59:Z74" si="18">IF(AC59&gt;0, COUNTIF(AC$57:AC$74, "&lt;"&amp;AC59) + COUNTIFS(AC$57:AC$74, AC59, AD$57:AD$74, "&lt;"&amp;AD59) + COUNTIFS(AC$57:AC$74, AC59, AD$57:AD$74, AD59, AA$57:AA$74, "&lt;"&amp;AA59) + 1, "TBD")</f>
        <v>13</v>
      </c>
      <c r="AA59" s="59">
        <v>45750</v>
      </c>
      <c r="AB59" t="str">
        <v>danram</v>
      </c>
      <c r="AC59" s="3">
        <v>2.4</v>
      </c>
      <c r="AD59">
        <v>1.4966629547095767</v>
      </c>
      <c r="AE59" t="str">
        <v>Tom Sawyer</v>
      </c>
      <c r="AF59" t="str">
        <v>Rush</v>
      </c>
      <c r="AG59" s="100">
        <f t="shared" si="17"/>
        <v>9</v>
      </c>
      <c r="AI59" s="115">
        <f>Apr_2025_SotM[[#This Row],[Max Seed]]/2 + 1</f>
        <v>3</v>
      </c>
      <c r="AJ59" s="105" t="str">
        <f ca="1">IF(Apr_2025_SotM[[#This Row],[Num]]&gt;=$A$56, "-", IF(Apr_2025_SotM[[#This Row],[Score 1]]&gt;=3, Apr_2025_SotM[[#This Row],[Song 2]], IF(Apr_2025_SotM[[#This Row],[Score 2]]&gt;=3, Apr_2025_SotM[[#This Row],[Song 1]], "TBD")))</f>
        <v>Never</v>
      </c>
      <c r="AK59" s="3">
        <f ca="1">IFERROR(VLOOKUP(Apr_2025_Results[[#This Row],[Song Title]], $AE$57:$AG$74, 3, FALSE)-Apr_2025_Results[[#This Row],[Result]], "TBD")</f>
        <v>-1</v>
      </c>
      <c r="AL59" s="3" t="str">
        <f t="shared" ref="AL59:AL74" ca="1" si="19">IF(AK59&lt;0,"↓",IF(AK59=0,"-","↑"))</f>
        <v>↓</v>
      </c>
    </row>
    <row r="60" spans="1:38">
      <c r="A60" s="197" t="str">
        <f>_xlfn.CONCAT("Seed ", Apr_2025_SotM[[#This Row],[Top Seed]], " vs ",Apr_2025_SotM[[#This Row],[Low Seed]])</f>
        <v>Seed 1 vs 4</v>
      </c>
      <c r="B60" s="115">
        <v>3</v>
      </c>
      <c r="C60" s="105">
        <f>FLOOR(LOG(Apr_2025_SotM[[#This Row],[Num]], 2), 1)</f>
        <v>1</v>
      </c>
      <c r="D60" s="105">
        <f>2^(Apr_2025_SotM[[#This Row],[Round]]+1)</f>
        <v>4</v>
      </c>
      <c r="E60" s="105">
        <f>Apr_2025_SotM[[#This Row],[Max Seed]]-Apr_2025_SotM[[#This Row],[Num]]</f>
        <v>1</v>
      </c>
      <c r="F60" s="105">
        <f>Apr_2025_SotM[[#This Row],[Max Seed]]-Apr_2025_SotM[[#This Row],[Top Seed]]+1</f>
        <v>4</v>
      </c>
      <c r="G60" s="105" t="b">
        <f>IF(Apr_2025_SotM[[#This Row],[Round]]=$C$56, TRUE(), IF(Apr_2025_SotM[[#This Row],[Round]]=$B$56, Apr_2025_SotM[[#This Row],[Top Seed]]&lt;=2*Apr_2025_SotM[[#This Row],[Max Seed]]-$A$56, FALSE()))</f>
        <v>0</v>
      </c>
      <c r="H60" s="105" t="b">
        <f>IF(Apr_2025_SotM[[#This Row],[Round]]=$C$56, TRUE(), IF(Apr_2025_SotM[[#This Row],[Round]]=$B$56, Apr_2025_SotM[[#This Row],[Low Seed]]&lt;=2*Apr_2025_SotM[[#This Row],[Max Seed]]-$A$56, FALSE()))</f>
        <v>0</v>
      </c>
      <c r="I60" s="28" t="s">
        <v>4191</v>
      </c>
      <c r="J60" s="31"/>
      <c r="K60" s="33" t="s">
        <v>4191</v>
      </c>
      <c r="L60" s="35" t="s">
        <v>4191</v>
      </c>
      <c r="M60" s="37"/>
      <c r="N60" s="192" t="str">
        <f ca="1">IF(Apr_2025_SotM[[#This Row],[Num]]&gt;=$A$56, "-", IF(Apr_2025_SotM[[#This Row],[Initial 1]], VLOOKUP(Apr_2025_SotM[[#This Row],[Top Seed]], $Z$57:$AE$74, 6, FALSE), OFFSET(Apr_2025_SotM[[#This Row],[Winner]], Apr_2025_SotM[[#This Row],[Max Seed]], 0)))</f>
        <v>Your Direction</v>
      </c>
      <c r="O60" s="105">
        <f>COUNTIF(Apr_2025_SotM[[#This Row],[J]:[H]],"x")</f>
        <v>3</v>
      </c>
      <c r="P60" s="115" t="str">
        <f ca="1">IF(Apr_2025_SotM[[#This Row],[Num]]&gt;=$A$56, "-", IF(Apr_2025_SotM[[#This Row],[Score 1]]&gt;=3, Apr_2025_SotM[[#This Row],[Song 1]], IF(Apr_2025_SotM[[#This Row],[Score 2]]&gt;=3, Apr_2025_SotM[[#This Row],[Song 2]], "TBD")))</f>
        <v>Your Direction</v>
      </c>
      <c r="Q60" s="193">
        <f>COUNTIF(Apr_2025_SotM[[#This Row],[H ]:[J ]],"x")</f>
        <v>2</v>
      </c>
      <c r="R60" s="105" t="str">
        <f ca="1"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f>
        <v>Movin' Out (Anthony's Song)</v>
      </c>
      <c r="S60" s="37" t="s">
        <v>4191</v>
      </c>
      <c r="T60" s="35"/>
      <c r="U60" s="33"/>
      <c r="V60" s="31" t="s">
        <v>4191</v>
      </c>
      <c r="W60" s="28"/>
      <c r="X60" s="112" t="str">
        <f ca="1"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f>
        <v/>
      </c>
      <c r="Z60" s="109">
        <f t="shared" si="18"/>
        <v>15</v>
      </c>
      <c r="AA60" s="59">
        <v>45754</v>
      </c>
      <c r="AB60" t="str">
        <v>samuelbattista</v>
      </c>
      <c r="AC60" s="3">
        <v>2.6</v>
      </c>
      <c r="AD60">
        <v>1.019803902718557</v>
      </c>
      <c r="AE60" t="str">
        <v>selfdestruct</v>
      </c>
      <c r="AF60" t="str">
        <v>torr</v>
      </c>
      <c r="AG60" s="100">
        <f t="shared" si="17"/>
        <v>9</v>
      </c>
      <c r="AI60" s="115">
        <f>Apr_2025_SotM[[#This Row],[Max Seed]]/2 + 1</f>
        <v>3</v>
      </c>
      <c r="AJ60" s="105" t="str">
        <f ca="1">IF(Apr_2025_SotM[[#This Row],[Num]]&gt;=$A$56, "-", IF(Apr_2025_SotM[[#This Row],[Score 1]]&gt;=3, Apr_2025_SotM[[#This Row],[Song 2]], IF(Apr_2025_SotM[[#This Row],[Score 2]]&gt;=3, Apr_2025_SotM[[#This Row],[Song 1]], "TBD")))</f>
        <v>Movin' Out (Anthony's Song)</v>
      </c>
      <c r="AK60" s="3">
        <f ca="1">IFERROR(VLOOKUP(Apr_2025_Results[[#This Row],[Song Title]], $AE$57:$AG$74, 3, FALSE)-Apr_2025_Results[[#This Row],[Result]], "TBD")</f>
        <v>0</v>
      </c>
      <c r="AL60" s="3" t="str">
        <f t="shared" ca="1" si="19"/>
        <v>-</v>
      </c>
    </row>
    <row r="61" spans="1:38">
      <c r="A61" s="197" t="str">
        <f>_xlfn.CONCAT("Seed ", Apr_2025_SotM[[#This Row],[Top Seed]], " vs ",Apr_2025_SotM[[#This Row],[Low Seed]])</f>
        <v>Seed 4 vs 5</v>
      </c>
      <c r="B61" s="115">
        <v>4</v>
      </c>
      <c r="C61" s="105">
        <f>FLOOR(LOG(Apr_2025_SotM[[#This Row],[Num]], 2), 1)</f>
        <v>2</v>
      </c>
      <c r="D61" s="105">
        <f>2^(Apr_2025_SotM[[#This Row],[Round]]+1)</f>
        <v>8</v>
      </c>
      <c r="E61" s="105">
        <f>Apr_2025_SotM[[#This Row],[Max Seed]]-Apr_2025_SotM[[#This Row],[Num]]</f>
        <v>4</v>
      </c>
      <c r="F61" s="105">
        <f>Apr_2025_SotM[[#This Row],[Max Seed]]-Apr_2025_SotM[[#This Row],[Top Seed]]+1</f>
        <v>5</v>
      </c>
      <c r="G61" s="105" t="b">
        <f>IF(Apr_2025_SotM[[#This Row],[Round]]=$C$56, TRUE(), IF(Apr_2025_SotM[[#This Row],[Round]]=$B$56, Apr_2025_SotM[[#This Row],[Top Seed]]&lt;=2*Apr_2025_SotM[[#This Row],[Max Seed]]-$A$56, FALSE()))</f>
        <v>0</v>
      </c>
      <c r="H61" s="105" t="b">
        <f>IF(Apr_2025_SotM[[#This Row],[Round]]=$C$56, TRUE(), IF(Apr_2025_SotM[[#This Row],[Round]]=$B$56, Apr_2025_SotM[[#This Row],[Low Seed]]&lt;=2*Apr_2025_SotM[[#This Row],[Max Seed]]-$A$56, FALSE()))</f>
        <v>0</v>
      </c>
      <c r="I61" s="28" t="s">
        <v>4191</v>
      </c>
      <c r="J61" s="31" t="s">
        <v>4191</v>
      </c>
      <c r="K61" s="33"/>
      <c r="L61" s="35" t="s">
        <v>4191</v>
      </c>
      <c r="M61" s="37" t="s">
        <v>4191</v>
      </c>
      <c r="N61" s="192" t="str">
        <f ca="1">IF(Apr_2025_SotM[[#This Row],[Num]]&gt;=$A$56, "-", IF(Apr_2025_SotM[[#This Row],[Initial 1]], VLOOKUP(Apr_2025_SotM[[#This Row],[Top Seed]], $Z$57:$AE$74, 6, FALSE), OFFSET(Apr_2025_SotM[[#This Row],[Winner]], Apr_2025_SotM[[#This Row],[Max Seed]], 0)))</f>
        <v>Movin' Out (Anthony's Song)</v>
      </c>
      <c r="O61" s="105">
        <f>COUNTIF(Apr_2025_SotM[[#This Row],[J]:[H]],"x")</f>
        <v>4</v>
      </c>
      <c r="P61" s="115" t="str">
        <f ca="1">IF(Apr_2025_SotM[[#This Row],[Num]]&gt;=$A$56, "-", IF(Apr_2025_SotM[[#This Row],[Score 1]]&gt;=3, Apr_2025_SotM[[#This Row],[Song 1]], IF(Apr_2025_SotM[[#This Row],[Score 2]]&gt;=3, Apr_2025_SotM[[#This Row],[Song 2]], "TBD")))</f>
        <v>Movin' Out (Anthony's Song)</v>
      </c>
      <c r="Q61" s="193">
        <f>COUNTIF(Apr_2025_SotM[[#This Row],[H ]:[J ]],"x")</f>
        <v>1</v>
      </c>
      <c r="R61" s="105" t="str">
        <f ca="1"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f>
        <v>WASSUP</v>
      </c>
      <c r="S61" s="37"/>
      <c r="T61" s="35"/>
      <c r="U61" s="33" t="s">
        <v>4191</v>
      </c>
      <c r="V61" s="31"/>
      <c r="W61" s="28"/>
      <c r="X61" s="112" t="str">
        <f ca="1"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f>
        <v/>
      </c>
      <c r="Z61" s="109">
        <f t="shared" si="18"/>
        <v>9</v>
      </c>
      <c r="AA61" s="59">
        <v>45755</v>
      </c>
      <c r="AB61" t="str">
        <v>alappatjoe</v>
      </c>
      <c r="AC61" s="3">
        <v>2.4</v>
      </c>
      <c r="AD61">
        <v>1.019803902718557</v>
      </c>
      <c r="AE61" t="str">
        <v>Lady</v>
      </c>
      <c r="AF61" t="str">
        <v>Modjo</v>
      </c>
      <c r="AG61" s="100">
        <f t="shared" si="17"/>
        <v>9</v>
      </c>
      <c r="AI61" s="115">
        <f>Apr_2025_SotM[[#This Row],[Max Seed]]/2 + 1</f>
        <v>5</v>
      </c>
      <c r="AJ61" s="105" t="str">
        <f ca="1">IF(Apr_2025_SotM[[#This Row],[Num]]&gt;=$A$56, "-", IF(Apr_2025_SotM[[#This Row],[Score 1]]&gt;=3, Apr_2025_SotM[[#This Row],[Song 2]], IF(Apr_2025_SotM[[#This Row],[Score 2]]&gt;=3, Apr_2025_SotM[[#This Row],[Song 1]], "TBD")))</f>
        <v>WASSUP</v>
      </c>
      <c r="AK61" s="3">
        <f ca="1">IFERROR(VLOOKUP(Apr_2025_Results[[#This Row],[Song Title]], $AE$57:$AG$74, 3, FALSE)-Apr_2025_Results[[#This Row],[Result]], "TBD")</f>
        <v>4</v>
      </c>
      <c r="AL61" s="3" t="str">
        <f t="shared" ca="1" si="19"/>
        <v>↑</v>
      </c>
    </row>
    <row r="62" spans="1:38">
      <c r="A62" s="197" t="str">
        <f>_xlfn.CONCAT("Seed ", Apr_2025_SotM[[#This Row],[Top Seed]], " vs ",Apr_2025_SotM[[#This Row],[Low Seed]])</f>
        <v>Seed 3 vs 6</v>
      </c>
      <c r="B62" s="115">
        <v>5</v>
      </c>
      <c r="C62" s="105">
        <f>FLOOR(LOG(Apr_2025_SotM[[#This Row],[Num]], 2), 1)</f>
        <v>2</v>
      </c>
      <c r="D62" s="105">
        <f>2^(Apr_2025_SotM[[#This Row],[Round]]+1)</f>
        <v>8</v>
      </c>
      <c r="E62" s="105">
        <f>Apr_2025_SotM[[#This Row],[Max Seed]]-Apr_2025_SotM[[#This Row],[Num]]</f>
        <v>3</v>
      </c>
      <c r="F62" s="105">
        <f>Apr_2025_SotM[[#This Row],[Max Seed]]-Apr_2025_SotM[[#This Row],[Top Seed]]+1</f>
        <v>6</v>
      </c>
      <c r="G62" s="105" t="b">
        <f>IF(Apr_2025_SotM[[#This Row],[Round]]=$C$56, TRUE(), IF(Apr_2025_SotM[[#This Row],[Round]]=$B$56, Apr_2025_SotM[[#This Row],[Top Seed]]&lt;=2*Apr_2025_SotM[[#This Row],[Max Seed]]-$A$56, FALSE()))</f>
        <v>0</v>
      </c>
      <c r="H62" s="105" t="b">
        <f>IF(Apr_2025_SotM[[#This Row],[Round]]=$C$56, TRUE(), IF(Apr_2025_SotM[[#This Row],[Round]]=$B$56, Apr_2025_SotM[[#This Row],[Low Seed]]&lt;=2*Apr_2025_SotM[[#This Row],[Max Seed]]-$A$56, FALSE()))</f>
        <v>0</v>
      </c>
      <c r="I62" s="28" t="s">
        <v>4191</v>
      </c>
      <c r="J62" s="31"/>
      <c r="K62" s="33" t="s">
        <v>4191</v>
      </c>
      <c r="L62" s="35"/>
      <c r="M62" s="37" t="s">
        <v>4191</v>
      </c>
      <c r="N62" s="192" t="str">
        <f ca="1">IF(Apr_2025_SotM[[#This Row],[Num]]&gt;=$A$56, "-", IF(Apr_2025_SotM[[#This Row],[Initial 1]], VLOOKUP(Apr_2025_SotM[[#This Row],[Top Seed]], $Z$57:$AE$74, 6, FALSE), OFFSET(Apr_2025_SotM[[#This Row],[Winner]], Apr_2025_SotM[[#This Row],[Max Seed]], 0)))</f>
        <v>Temptation</v>
      </c>
      <c r="O62" s="105">
        <f>COUNTIF(Apr_2025_SotM[[#This Row],[J]:[H]],"x")</f>
        <v>3</v>
      </c>
      <c r="P62" s="115" t="str">
        <f ca="1">IF(Apr_2025_SotM[[#This Row],[Num]]&gt;=$A$56, "-", IF(Apr_2025_SotM[[#This Row],[Score 1]]&gt;=3, Apr_2025_SotM[[#This Row],[Song 1]], IF(Apr_2025_SotM[[#This Row],[Score 2]]&gt;=3, Apr_2025_SotM[[#This Row],[Song 2]], "TBD")))</f>
        <v>Temptation</v>
      </c>
      <c r="Q62" s="193">
        <f>COUNTIF(Apr_2025_SotM[[#This Row],[H ]:[J ]],"x")</f>
        <v>2</v>
      </c>
      <c r="R62" s="105" t="str">
        <f ca="1"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f>
        <v>(Don't Fear) The Reaper</v>
      </c>
      <c r="S62" s="37"/>
      <c r="T62" s="35" t="s">
        <v>4191</v>
      </c>
      <c r="U62" s="33"/>
      <c r="V62" s="31" t="s">
        <v>4191</v>
      </c>
      <c r="W62" s="28"/>
      <c r="X62" s="112" t="str">
        <f ca="1"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f>
        <v/>
      </c>
      <c r="Z62" s="109">
        <f t="shared" si="18"/>
        <v>4</v>
      </c>
      <c r="AA62" s="59">
        <v>45756</v>
      </c>
      <c r="AB62" t="str">
        <v>danram</v>
      </c>
      <c r="AC62" s="3">
        <v>2</v>
      </c>
      <c r="AD62">
        <v>0.63245553203367588</v>
      </c>
      <c r="AE62" t="str">
        <v>Movin' Out (Anthony's Song)</v>
      </c>
      <c r="AF62" t="str">
        <v>Billy Joel</v>
      </c>
      <c r="AG62" s="100">
        <f t="shared" si="17"/>
        <v>3</v>
      </c>
      <c r="AI62" s="115">
        <f>Apr_2025_SotM[[#This Row],[Max Seed]]/2 + 1</f>
        <v>5</v>
      </c>
      <c r="AJ62" s="105" t="str">
        <f ca="1">IF(Apr_2025_SotM[[#This Row],[Num]]&gt;=$A$56, "-", IF(Apr_2025_SotM[[#This Row],[Score 1]]&gt;=3, Apr_2025_SotM[[#This Row],[Song 2]], IF(Apr_2025_SotM[[#This Row],[Score 2]]&gt;=3, Apr_2025_SotM[[#This Row],[Song 1]], "TBD")))</f>
        <v>(Don't Fear) The Reaper</v>
      </c>
      <c r="AK62" s="3">
        <f ca="1">IFERROR(VLOOKUP(Apr_2025_Results[[#This Row],[Song Title]], $AE$57:$AG$74, 3, FALSE)-Apr_2025_Results[[#This Row],[Result]], "TBD")</f>
        <v>0</v>
      </c>
      <c r="AL62" s="3" t="str">
        <f t="shared" ca="1" si="19"/>
        <v>-</v>
      </c>
    </row>
    <row r="63" spans="1:38">
      <c r="A63" s="197" t="str">
        <f>_xlfn.CONCAT("Seed ", Apr_2025_SotM[[#This Row],[Top Seed]], " vs ",Apr_2025_SotM[[#This Row],[Low Seed]])</f>
        <v>Seed 2 vs 7</v>
      </c>
      <c r="B63" s="115">
        <v>6</v>
      </c>
      <c r="C63" s="105">
        <f>FLOOR(LOG(Apr_2025_SotM[[#This Row],[Num]], 2), 1)</f>
        <v>2</v>
      </c>
      <c r="D63" s="105">
        <f>2^(Apr_2025_SotM[[#This Row],[Round]]+1)</f>
        <v>8</v>
      </c>
      <c r="E63" s="105">
        <f>Apr_2025_SotM[[#This Row],[Max Seed]]-Apr_2025_SotM[[#This Row],[Num]]</f>
        <v>2</v>
      </c>
      <c r="F63" s="105">
        <f>Apr_2025_SotM[[#This Row],[Max Seed]]-Apr_2025_SotM[[#This Row],[Top Seed]]+1</f>
        <v>7</v>
      </c>
      <c r="G63" s="105" t="b">
        <f>IF(Apr_2025_SotM[[#This Row],[Round]]=$C$56, TRUE(), IF(Apr_2025_SotM[[#This Row],[Round]]=$B$56, Apr_2025_SotM[[#This Row],[Top Seed]]&lt;=2*Apr_2025_SotM[[#This Row],[Max Seed]]-$A$56, FALSE()))</f>
        <v>0</v>
      </c>
      <c r="H63" s="105" t="b">
        <f>IF(Apr_2025_SotM[[#This Row],[Round]]=$C$56, TRUE(), IF(Apr_2025_SotM[[#This Row],[Round]]=$B$56, Apr_2025_SotM[[#This Row],[Low Seed]]&lt;=2*Apr_2025_SotM[[#This Row],[Max Seed]]-$A$56, FALSE()))</f>
        <v>0</v>
      </c>
      <c r="I63" s="28" t="s">
        <v>4191</v>
      </c>
      <c r="J63" s="31" t="s">
        <v>4191</v>
      </c>
      <c r="K63" s="33"/>
      <c r="L63" s="35" t="s">
        <v>4191</v>
      </c>
      <c r="M63" s="37"/>
      <c r="N63" s="192" t="str">
        <f ca="1">IF(Apr_2025_SotM[[#This Row],[Num]]&gt;=$A$56, "-", IF(Apr_2025_SotM[[#This Row],[Initial 1]], VLOOKUP(Apr_2025_SotM[[#This Row],[Top Seed]], $Z$57:$AE$74, 6, FALSE), OFFSET(Apr_2025_SotM[[#This Row],[Winner]], Apr_2025_SotM[[#This Row],[Max Seed]], 0)))</f>
        <v>Never</v>
      </c>
      <c r="O63" s="105">
        <f>COUNTIF(Apr_2025_SotM[[#This Row],[J]:[H]],"x")</f>
        <v>3</v>
      </c>
      <c r="P63" s="115" t="str">
        <f ca="1">IF(Apr_2025_SotM[[#This Row],[Num]]&gt;=$A$56, "-", IF(Apr_2025_SotM[[#This Row],[Score 1]]&gt;=3, Apr_2025_SotM[[#This Row],[Song 1]], IF(Apr_2025_SotM[[#This Row],[Score 2]]&gt;=3, Apr_2025_SotM[[#This Row],[Song 2]], "TBD")))</f>
        <v>Never</v>
      </c>
      <c r="Q63" s="193">
        <f>COUNTIF(Apr_2025_SotM[[#This Row],[H ]:[J ]],"x")</f>
        <v>2</v>
      </c>
      <c r="R63" s="105" t="str">
        <f ca="1"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f>
        <v>Dramaturgy</v>
      </c>
      <c r="S63" s="37" t="s">
        <v>4191</v>
      </c>
      <c r="T63" s="35"/>
      <c r="U63" s="33" t="s">
        <v>4191</v>
      </c>
      <c r="V63" s="31"/>
      <c r="W63" s="28"/>
      <c r="X63" s="112" t="str">
        <f ca="1"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f>
        <v/>
      </c>
      <c r="Z63" s="109">
        <f t="shared" si="18"/>
        <v>16</v>
      </c>
      <c r="AA63" s="59">
        <v>45757</v>
      </c>
      <c r="AB63" t="str">
        <v>loganworsdell</v>
      </c>
      <c r="AC63" s="3">
        <v>2.6</v>
      </c>
      <c r="AD63">
        <v>1.019803902718557</v>
      </c>
      <c r="AE63" t="str">
        <v>Clocks</v>
      </c>
      <c r="AF63" t="str">
        <v>Coldplay</v>
      </c>
      <c r="AG63" s="100">
        <f t="shared" si="17"/>
        <v>9</v>
      </c>
      <c r="AI63" s="115">
        <f>Apr_2025_SotM[[#This Row],[Max Seed]]/2 + 1</f>
        <v>5</v>
      </c>
      <c r="AJ63" s="105" t="str">
        <f ca="1">IF(Apr_2025_SotM[[#This Row],[Num]]&gt;=$A$56, "-", IF(Apr_2025_SotM[[#This Row],[Score 1]]&gt;=3, Apr_2025_SotM[[#This Row],[Song 2]], IF(Apr_2025_SotM[[#This Row],[Score 2]]&gt;=3, Apr_2025_SotM[[#This Row],[Song 1]], "TBD")))</f>
        <v>Dramaturgy</v>
      </c>
      <c r="AK63" s="3">
        <f ca="1">IFERROR(VLOOKUP(Apr_2025_Results[[#This Row],[Song Title]], $AE$57:$AG$74, 3, FALSE)-Apr_2025_Results[[#This Row],[Result]], "TBD")</f>
        <v>4</v>
      </c>
      <c r="AL63" s="3" t="str">
        <f t="shared" ca="1" si="19"/>
        <v>↑</v>
      </c>
    </row>
    <row r="64" spans="1:38">
      <c r="A64" s="197" t="str">
        <f>_xlfn.CONCAT("Seed ", Apr_2025_SotM[[#This Row],[Top Seed]], " vs ",Apr_2025_SotM[[#This Row],[Low Seed]])</f>
        <v>Seed 1 vs 8</v>
      </c>
      <c r="B64" s="115">
        <v>7</v>
      </c>
      <c r="C64" s="105">
        <f>FLOOR(LOG(Apr_2025_SotM[[#This Row],[Num]], 2), 1)</f>
        <v>2</v>
      </c>
      <c r="D64" s="105">
        <f>2^(Apr_2025_SotM[[#This Row],[Round]]+1)</f>
        <v>8</v>
      </c>
      <c r="E64" s="105">
        <f>Apr_2025_SotM[[#This Row],[Max Seed]]-Apr_2025_SotM[[#This Row],[Num]]</f>
        <v>1</v>
      </c>
      <c r="F64" s="105">
        <f>Apr_2025_SotM[[#This Row],[Max Seed]]-Apr_2025_SotM[[#This Row],[Top Seed]]+1</f>
        <v>8</v>
      </c>
      <c r="G64" s="105" t="b">
        <f>IF(Apr_2025_SotM[[#This Row],[Round]]=$C$56, TRUE(), IF(Apr_2025_SotM[[#This Row],[Round]]=$B$56, Apr_2025_SotM[[#This Row],[Top Seed]]&lt;=2*Apr_2025_SotM[[#This Row],[Max Seed]]-$A$56, FALSE()))</f>
        <v>0</v>
      </c>
      <c r="H64" s="105" t="b">
        <f>IF(Apr_2025_SotM[[#This Row],[Round]]=$C$56, TRUE(), IF(Apr_2025_SotM[[#This Row],[Round]]=$B$56, Apr_2025_SotM[[#This Row],[Low Seed]]&lt;=2*Apr_2025_SotM[[#This Row],[Max Seed]]-$A$56, FALSE()))</f>
        <v>0</v>
      </c>
      <c r="I64" s="28"/>
      <c r="J64" s="31"/>
      <c r="K64" s="33" t="s">
        <v>4191</v>
      </c>
      <c r="L64" s="35" t="s">
        <v>4191</v>
      </c>
      <c r="M64" s="37" t="s">
        <v>4191</v>
      </c>
      <c r="N64" s="192" t="str">
        <f ca="1">IF(Apr_2025_SotM[[#This Row],[Num]]&gt;=$A$56, "-", IF(Apr_2025_SotM[[#This Row],[Initial 1]], VLOOKUP(Apr_2025_SotM[[#This Row],[Top Seed]], $Z$57:$AE$74, 6, FALSE), OFFSET(Apr_2025_SotM[[#This Row],[Winner]], Apr_2025_SotM[[#This Row],[Max Seed]], 0)))</f>
        <v>Your Direction</v>
      </c>
      <c r="O64" s="105">
        <f>COUNTIF(Apr_2025_SotM[[#This Row],[J]:[H]],"x")</f>
        <v>3</v>
      </c>
      <c r="P64" s="115" t="str">
        <f ca="1">IF(Apr_2025_SotM[[#This Row],[Num]]&gt;=$A$56, "-", IF(Apr_2025_SotM[[#This Row],[Score 1]]&gt;=3, Apr_2025_SotM[[#This Row],[Song 1]], IF(Apr_2025_SotM[[#This Row],[Score 2]]&gt;=3, Apr_2025_SotM[[#This Row],[Song 2]], "TBD")))</f>
        <v>Your Direction</v>
      </c>
      <c r="Q64" s="193">
        <f>COUNTIF(Apr_2025_SotM[[#This Row],[H ]:[J ]],"x")</f>
        <v>2</v>
      </c>
      <c r="R64" s="105" t="str">
        <f ca="1"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f>
        <v>Lady</v>
      </c>
      <c r="S64" s="37"/>
      <c r="T64" s="35"/>
      <c r="U64" s="33"/>
      <c r="V64" s="31" t="s">
        <v>4191</v>
      </c>
      <c r="W64" s="28" t="s">
        <v>4191</v>
      </c>
      <c r="X64" s="112" t="str">
        <f ca="1"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f>
        <v/>
      </c>
      <c r="Z64" s="109">
        <f t="shared" si="18"/>
        <v>1</v>
      </c>
      <c r="AA64" s="59">
        <v>45761</v>
      </c>
      <c r="AB64" t="str">
        <v>danram</v>
      </c>
      <c r="AC64" s="3">
        <v>1.6</v>
      </c>
      <c r="AD64">
        <v>0.4898979485566356</v>
      </c>
      <c r="AE64" t="str">
        <v>Helena</v>
      </c>
      <c r="AF64" t="str">
        <v>My Chemical Romance</v>
      </c>
      <c r="AG64" s="100">
        <f t="shared" si="17"/>
        <v>1</v>
      </c>
      <c r="AI64" s="115">
        <f>Apr_2025_SotM[[#This Row],[Max Seed]]/2 + 1</f>
        <v>5</v>
      </c>
      <c r="AJ64" s="105" t="str">
        <f ca="1">IF(Apr_2025_SotM[[#This Row],[Num]]&gt;=$A$56, "-", IF(Apr_2025_SotM[[#This Row],[Score 1]]&gt;=3, Apr_2025_SotM[[#This Row],[Song 2]], IF(Apr_2025_SotM[[#This Row],[Score 2]]&gt;=3, Apr_2025_SotM[[#This Row],[Song 1]], "TBD")))</f>
        <v>Lady</v>
      </c>
      <c r="AK64" s="3">
        <f ca="1">IFERROR(VLOOKUP(Apr_2025_Results[[#This Row],[Song Title]], $AE$57:$AG$74, 3, FALSE)-Apr_2025_Results[[#This Row],[Result]], "TBD")</f>
        <v>4</v>
      </c>
      <c r="AL64" s="3" t="str">
        <f t="shared" ca="1" si="19"/>
        <v>↑</v>
      </c>
    </row>
    <row r="65" spans="1:38">
      <c r="A65" s="197" t="str">
        <f>_xlfn.CONCAT("Seed ", Apr_2025_SotM[[#This Row],[Top Seed]], " vs ",Apr_2025_SotM[[#This Row],[Low Seed]])</f>
        <v>Seed 8 vs 9</v>
      </c>
      <c r="B65" s="115">
        <v>8</v>
      </c>
      <c r="C65" s="105">
        <f>FLOOR(LOG(Apr_2025_SotM[[#This Row],[Num]], 2), 1)</f>
        <v>3</v>
      </c>
      <c r="D65" s="105">
        <f>2^(Apr_2025_SotM[[#This Row],[Round]]+1)</f>
        <v>16</v>
      </c>
      <c r="E65" s="105">
        <f>Apr_2025_SotM[[#This Row],[Max Seed]]-Apr_2025_SotM[[#This Row],[Num]]</f>
        <v>8</v>
      </c>
      <c r="F65" s="105">
        <f>Apr_2025_SotM[[#This Row],[Max Seed]]-Apr_2025_SotM[[#This Row],[Top Seed]]+1</f>
        <v>9</v>
      </c>
      <c r="G65" s="105" t="b">
        <f>IF(Apr_2025_SotM[[#This Row],[Round]]=$C$56, TRUE(), IF(Apr_2025_SotM[[#This Row],[Round]]=$B$56, Apr_2025_SotM[[#This Row],[Top Seed]]&lt;=2*Apr_2025_SotM[[#This Row],[Max Seed]]-$A$56, FALSE()))</f>
        <v>1</v>
      </c>
      <c r="H65" s="105" t="b">
        <f>IF(Apr_2025_SotM[[#This Row],[Round]]=$C$56, TRUE(), IF(Apr_2025_SotM[[#This Row],[Round]]=$B$56, Apr_2025_SotM[[#This Row],[Low Seed]]&lt;=2*Apr_2025_SotM[[#This Row],[Max Seed]]-$A$56, FALSE()))</f>
        <v>1</v>
      </c>
      <c r="I65" s="28"/>
      <c r="J65" s="31"/>
      <c r="K65" s="33"/>
      <c r="L65" s="35"/>
      <c r="M65" s="37" t="s">
        <v>4191</v>
      </c>
      <c r="N65" s="192" t="str">
        <f ca="1">IF(Apr_2025_SotM[[#This Row],[Num]]&gt;=$A$56, "-", IF(Apr_2025_SotM[[#This Row],[Initial 1]], VLOOKUP(Apr_2025_SotM[[#This Row],[Top Seed]], $Z$57:$AE$74, 6, FALSE), OFFSET(Apr_2025_SotM[[#This Row],[Winner]], Apr_2025_SotM[[#This Row],[Max Seed]], 0)))</f>
        <v>Dance Now</v>
      </c>
      <c r="O65" s="105">
        <f>COUNTIF(Apr_2025_SotM[[#This Row],[J]:[H]],"x")</f>
        <v>1</v>
      </c>
      <c r="P65" s="115" t="str">
        <f ca="1">IF(Apr_2025_SotM[[#This Row],[Num]]&gt;=$A$56, "-", IF(Apr_2025_SotM[[#This Row],[Score 1]]&gt;=3, Apr_2025_SotM[[#This Row],[Song 1]], IF(Apr_2025_SotM[[#This Row],[Score 2]]&gt;=3, Apr_2025_SotM[[#This Row],[Song 2]], "TBD")))</f>
        <v>Lady</v>
      </c>
      <c r="Q65" s="193">
        <f>COUNTIF(Apr_2025_SotM[[#This Row],[H ]:[J ]],"x")</f>
        <v>4</v>
      </c>
      <c r="R65" s="105" t="str">
        <f ca="1"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f>
        <v>Lady</v>
      </c>
      <c r="S65" s="37"/>
      <c r="T65" s="35" t="s">
        <v>4191</v>
      </c>
      <c r="U65" s="33" t="s">
        <v>4191</v>
      </c>
      <c r="V65" s="31" t="s">
        <v>4191</v>
      </c>
      <c r="W65" s="28" t="s">
        <v>4191</v>
      </c>
      <c r="X65" s="112" t="str">
        <f ca="1"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f>
        <v/>
      </c>
      <c r="Z65" s="109">
        <f t="shared" si="18"/>
        <v>6</v>
      </c>
      <c r="AA65" s="59">
        <v>45762</v>
      </c>
      <c r="AB65" t="str">
        <v>danram</v>
      </c>
      <c r="AC65" s="3">
        <v>2.2000000000000002</v>
      </c>
      <c r="AD65">
        <v>0.4</v>
      </c>
      <c r="AE65" t="str">
        <v>(Don't Fear) The Reaper</v>
      </c>
      <c r="AF65" t="str">
        <v>Blue Oyster Cult</v>
      </c>
      <c r="AG65" s="100">
        <f t="shared" si="17"/>
        <v>5</v>
      </c>
      <c r="AI65" s="115">
        <f>Apr_2025_SotM[[#This Row],[Max Seed]]/2 + 1</f>
        <v>9</v>
      </c>
      <c r="AJ65" s="105" t="str">
        <f ca="1">IF(Apr_2025_SotM[[#This Row],[Num]]&gt;=$A$56, "-", IF(Apr_2025_SotM[[#This Row],[Score 1]]&gt;=3, Apr_2025_SotM[[#This Row],[Song 2]], IF(Apr_2025_SotM[[#This Row],[Score 2]]&gt;=3, Apr_2025_SotM[[#This Row],[Song 1]], "TBD")))</f>
        <v>Dance Now</v>
      </c>
      <c r="AK65" s="3">
        <f ca="1">IFERROR(VLOOKUP(Apr_2025_Results[[#This Row],[Song Title]], $AE$57:$AG$74, 3, FALSE)-Apr_2025_Results[[#This Row],[Result]], "TBD")</f>
        <v>-4</v>
      </c>
      <c r="AL65" s="3" t="str">
        <f t="shared" ca="1" si="19"/>
        <v>↓</v>
      </c>
    </row>
    <row r="66" spans="1:38">
      <c r="A66" s="197" t="str">
        <f>_xlfn.CONCAT("Seed ", Apr_2025_SotM[[#This Row],[Top Seed]], " vs ",Apr_2025_SotM[[#This Row],[Low Seed]])</f>
        <v>Seed 7 vs 10</v>
      </c>
      <c r="B66" s="115">
        <v>9</v>
      </c>
      <c r="C66" s="105">
        <f>FLOOR(LOG(Apr_2025_SotM[[#This Row],[Num]], 2), 1)</f>
        <v>3</v>
      </c>
      <c r="D66" s="105">
        <f>2^(Apr_2025_SotM[[#This Row],[Round]]+1)</f>
        <v>16</v>
      </c>
      <c r="E66" s="105">
        <f>Apr_2025_SotM[[#This Row],[Max Seed]]-Apr_2025_SotM[[#This Row],[Num]]</f>
        <v>7</v>
      </c>
      <c r="F66" s="105">
        <f>Apr_2025_SotM[[#This Row],[Max Seed]]-Apr_2025_SotM[[#This Row],[Top Seed]]+1</f>
        <v>10</v>
      </c>
      <c r="G66" s="105" t="b">
        <f>IF(Apr_2025_SotM[[#This Row],[Round]]=$C$56, TRUE(), IF(Apr_2025_SotM[[#This Row],[Round]]=$B$56, Apr_2025_SotM[[#This Row],[Top Seed]]&lt;=2*Apr_2025_SotM[[#This Row],[Max Seed]]-$A$56, FALSE()))</f>
        <v>1</v>
      </c>
      <c r="H66" s="105" t="b">
        <f>IF(Apr_2025_SotM[[#This Row],[Round]]=$C$56, TRUE(), IF(Apr_2025_SotM[[#This Row],[Round]]=$B$56, Apr_2025_SotM[[#This Row],[Low Seed]]&lt;=2*Apr_2025_SotM[[#This Row],[Max Seed]]-$A$56, FALSE()))</f>
        <v>1</v>
      </c>
      <c r="I66" s="28" t="s">
        <v>4191</v>
      </c>
      <c r="J66" s="31"/>
      <c r="K66" s="33"/>
      <c r="L66" s="35"/>
      <c r="M66" s="37"/>
      <c r="N66" s="192" t="str">
        <f ca="1">IF(Apr_2025_SotM[[#This Row],[Num]]&gt;=$A$56, "-", IF(Apr_2025_SotM[[#This Row],[Initial 1]], VLOOKUP(Apr_2025_SotM[[#This Row],[Top Seed]], $Z$57:$AE$74, 6, FALSE), OFFSET(Apr_2025_SotM[[#This Row],[Winner]], Apr_2025_SotM[[#This Row],[Max Seed]], 0)))</f>
        <v>National Park</v>
      </c>
      <c r="O66" s="105">
        <f>COUNTIF(Apr_2025_SotM[[#This Row],[J]:[H]],"x")</f>
        <v>1</v>
      </c>
      <c r="P66" s="115" t="str">
        <f ca="1">IF(Apr_2025_SotM[[#This Row],[Num]]&gt;=$A$56, "-", IF(Apr_2025_SotM[[#This Row],[Score 1]]&gt;=3, Apr_2025_SotM[[#This Row],[Song 1]], IF(Apr_2025_SotM[[#This Row],[Score 2]]&gt;=3, Apr_2025_SotM[[#This Row],[Song 2]], "TBD")))</f>
        <v>Dramaturgy</v>
      </c>
      <c r="Q66" s="193">
        <f>COUNTIF(Apr_2025_SotM[[#This Row],[H ]:[J ]],"x")</f>
        <v>4</v>
      </c>
      <c r="R66" s="105" t="str">
        <f ca="1"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f>
        <v>Dramaturgy</v>
      </c>
      <c r="S66" s="37" t="s">
        <v>4191</v>
      </c>
      <c r="T66" s="35" t="s">
        <v>4191</v>
      </c>
      <c r="U66" s="33" t="s">
        <v>4191</v>
      </c>
      <c r="V66" s="31" t="s">
        <v>4191</v>
      </c>
      <c r="W66" s="28"/>
      <c r="X66" s="112" t="str">
        <f ca="1"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f>
        <v/>
      </c>
      <c r="Z66" s="109">
        <f t="shared" si="18"/>
        <v>3</v>
      </c>
      <c r="AA66" s="59">
        <v>45763</v>
      </c>
      <c r="AB66" t="str">
        <v>currydestroyer27</v>
      </c>
      <c r="AC66" s="3">
        <v>1.8</v>
      </c>
      <c r="AD66">
        <v>0.74833147735478833</v>
      </c>
      <c r="AE66" t="str">
        <v>Temptation</v>
      </c>
      <c r="AF66" t="str">
        <v>Joey Bada$$</v>
      </c>
      <c r="AG66" s="100">
        <f t="shared" si="17"/>
        <v>3</v>
      </c>
      <c r="AI66" s="115">
        <f>Apr_2025_SotM[[#This Row],[Max Seed]]/2 + 1</f>
        <v>9</v>
      </c>
      <c r="AJ66" s="105" t="str">
        <f ca="1">IF(Apr_2025_SotM[[#This Row],[Num]]&gt;=$A$56, "-", IF(Apr_2025_SotM[[#This Row],[Score 1]]&gt;=3, Apr_2025_SotM[[#This Row],[Song 2]], IF(Apr_2025_SotM[[#This Row],[Score 2]]&gt;=3, Apr_2025_SotM[[#This Row],[Song 1]], "TBD")))</f>
        <v>National Park</v>
      </c>
      <c r="AK66" s="3">
        <f ca="1">IFERROR(VLOOKUP(Apr_2025_Results[[#This Row],[Song Title]], $AE$57:$AG$74, 3, FALSE)-Apr_2025_Results[[#This Row],[Result]], "TBD")</f>
        <v>-4</v>
      </c>
      <c r="AL66" s="3" t="str">
        <f t="shared" ca="1" si="19"/>
        <v>↓</v>
      </c>
    </row>
    <row r="67" spans="1:38">
      <c r="A67" s="197" t="str">
        <f>_xlfn.CONCAT("Seed ", Apr_2025_SotM[[#This Row],[Top Seed]], " vs ",Apr_2025_SotM[[#This Row],[Low Seed]])</f>
        <v>Seed 6 vs 11</v>
      </c>
      <c r="B67" s="115">
        <v>10</v>
      </c>
      <c r="C67" s="105">
        <f>FLOOR(LOG(Apr_2025_SotM[[#This Row],[Num]], 2), 1)</f>
        <v>3</v>
      </c>
      <c r="D67" s="105">
        <f>2^(Apr_2025_SotM[[#This Row],[Round]]+1)</f>
        <v>16</v>
      </c>
      <c r="E67" s="105">
        <f>Apr_2025_SotM[[#This Row],[Max Seed]]-Apr_2025_SotM[[#This Row],[Num]]</f>
        <v>6</v>
      </c>
      <c r="F67" s="105">
        <f>Apr_2025_SotM[[#This Row],[Max Seed]]-Apr_2025_SotM[[#This Row],[Top Seed]]+1</f>
        <v>11</v>
      </c>
      <c r="G67" s="105" t="b">
        <f>IF(Apr_2025_SotM[[#This Row],[Round]]=$C$56, TRUE(), IF(Apr_2025_SotM[[#This Row],[Round]]=$B$56, Apr_2025_SotM[[#This Row],[Top Seed]]&lt;=2*Apr_2025_SotM[[#This Row],[Max Seed]]-$A$56, FALSE()))</f>
        <v>1</v>
      </c>
      <c r="H67" s="105" t="b">
        <f>IF(Apr_2025_SotM[[#This Row],[Round]]=$C$56, TRUE(), IF(Apr_2025_SotM[[#This Row],[Round]]=$B$56, Apr_2025_SotM[[#This Row],[Low Seed]]&lt;=2*Apr_2025_SotM[[#This Row],[Max Seed]]-$A$56, FALSE()))</f>
        <v>1</v>
      </c>
      <c r="I67" s="28" t="s">
        <v>4191</v>
      </c>
      <c r="J67" s="31" t="s">
        <v>4191</v>
      </c>
      <c r="K67" s="33" t="s">
        <v>4191</v>
      </c>
      <c r="L67" s="35" t="s">
        <v>4191</v>
      </c>
      <c r="M67" s="37"/>
      <c r="N67" s="192" t="str">
        <f ca="1">IF(Apr_2025_SotM[[#This Row],[Num]]&gt;=$A$56, "-", IF(Apr_2025_SotM[[#This Row],[Initial 1]], VLOOKUP(Apr_2025_SotM[[#This Row],[Top Seed]], $Z$57:$AE$74, 6, FALSE), OFFSET(Apr_2025_SotM[[#This Row],[Winner]], Apr_2025_SotM[[#This Row],[Max Seed]], 0)))</f>
        <v>(Don't Fear) The Reaper</v>
      </c>
      <c r="O67" s="105">
        <f>COUNTIF(Apr_2025_SotM[[#This Row],[J]:[H]],"x")</f>
        <v>4</v>
      </c>
      <c r="P67" s="115" t="str">
        <f ca="1">IF(Apr_2025_SotM[[#This Row],[Num]]&gt;=$A$56, "-", IF(Apr_2025_SotM[[#This Row],[Score 1]]&gt;=3, Apr_2025_SotM[[#This Row],[Song 1]], IF(Apr_2025_SotM[[#This Row],[Score 2]]&gt;=3, Apr_2025_SotM[[#This Row],[Song 2]], "TBD")))</f>
        <v>(Don't Fear) The Reaper</v>
      </c>
      <c r="Q67" s="193">
        <f>COUNTIF(Apr_2025_SotM[[#This Row],[H ]:[J ]],"x")</f>
        <v>1</v>
      </c>
      <c r="R67" s="105" t="str">
        <f ca="1"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f>
        <v>I Think I Left the Stove On</v>
      </c>
      <c r="S67" s="37" t="s">
        <v>4191</v>
      </c>
      <c r="T67" s="35"/>
      <c r="U67" s="33"/>
      <c r="V67" s="31"/>
      <c r="W67" s="28"/>
      <c r="X67" s="112" t="str">
        <f ca="1"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f>
        <v/>
      </c>
      <c r="Z67" s="109">
        <f t="shared" si="18"/>
        <v>14</v>
      </c>
      <c r="AA67" s="59">
        <v>45764</v>
      </c>
      <c r="AB67" t="str">
        <v>alappatjoe</v>
      </c>
      <c r="AC67" s="3">
        <v>2.4</v>
      </c>
      <c r="AD67">
        <v>1.4966629547095767</v>
      </c>
      <c r="AE67" t="str">
        <v>Isis</v>
      </c>
      <c r="AF67" t="str">
        <v>Joyner Lucas, Logic</v>
      </c>
      <c r="AG67" s="100">
        <f t="shared" si="17"/>
        <v>9</v>
      </c>
      <c r="AI67" s="115">
        <f>Apr_2025_SotM[[#This Row],[Max Seed]]/2 + 1</f>
        <v>9</v>
      </c>
      <c r="AJ67" s="105" t="str">
        <f ca="1">IF(Apr_2025_SotM[[#This Row],[Num]]&gt;=$A$56, "-", IF(Apr_2025_SotM[[#This Row],[Score 1]]&gt;=3, Apr_2025_SotM[[#This Row],[Song 2]], IF(Apr_2025_SotM[[#This Row],[Score 2]]&gt;=3, Apr_2025_SotM[[#This Row],[Song 1]], "TBD")))</f>
        <v>I Think I Left the Stove On</v>
      </c>
      <c r="AK67" s="3">
        <f ca="1">IFERROR(VLOOKUP(Apr_2025_Results[[#This Row],[Song Title]], $AE$57:$AG$74, 3, FALSE)-Apr_2025_Results[[#This Row],[Result]], "TBD")</f>
        <v>0</v>
      </c>
      <c r="AL67" s="3" t="str">
        <f t="shared" ca="1" si="19"/>
        <v>-</v>
      </c>
    </row>
    <row r="68" spans="1:38">
      <c r="A68" s="197" t="str">
        <f>_xlfn.CONCAT("Seed ", Apr_2025_SotM[[#This Row],[Top Seed]], " vs ",Apr_2025_SotM[[#This Row],[Low Seed]])</f>
        <v>Seed 5 vs 12</v>
      </c>
      <c r="B68" s="115">
        <v>11</v>
      </c>
      <c r="C68" s="105">
        <f>FLOOR(LOG(Apr_2025_SotM[[#This Row],[Num]], 2), 1)</f>
        <v>3</v>
      </c>
      <c r="D68" s="105">
        <f>2^(Apr_2025_SotM[[#This Row],[Round]]+1)</f>
        <v>16</v>
      </c>
      <c r="E68" s="105">
        <f>Apr_2025_SotM[[#This Row],[Max Seed]]-Apr_2025_SotM[[#This Row],[Num]]</f>
        <v>5</v>
      </c>
      <c r="F68" s="105">
        <f>Apr_2025_SotM[[#This Row],[Max Seed]]-Apr_2025_SotM[[#This Row],[Top Seed]]+1</f>
        <v>12</v>
      </c>
      <c r="G68" s="105" t="b">
        <f>IF(Apr_2025_SotM[[#This Row],[Round]]=$C$56, TRUE(), IF(Apr_2025_SotM[[#This Row],[Round]]=$B$56, Apr_2025_SotM[[#This Row],[Top Seed]]&lt;=2*Apr_2025_SotM[[#This Row],[Max Seed]]-$A$56, FALSE()))</f>
        <v>1</v>
      </c>
      <c r="H68" s="105" t="b">
        <f>IF(Apr_2025_SotM[[#This Row],[Round]]=$C$56, TRUE(), IF(Apr_2025_SotM[[#This Row],[Round]]=$B$56, Apr_2025_SotM[[#This Row],[Low Seed]]&lt;=2*Apr_2025_SotM[[#This Row],[Max Seed]]-$A$56, FALSE()))</f>
        <v>1</v>
      </c>
      <c r="I68" s="28" t="s">
        <v>4191</v>
      </c>
      <c r="J68" s="31"/>
      <c r="K68" s="33"/>
      <c r="L68" s="35"/>
      <c r="M68" s="37" t="s">
        <v>4191</v>
      </c>
      <c r="N68" s="192" t="str">
        <f ca="1">IF(Apr_2025_SotM[[#This Row],[Num]]&gt;=$A$56, "-", IF(Apr_2025_SotM[[#This Row],[Initial 1]], VLOOKUP(Apr_2025_SotM[[#This Row],[Top Seed]], $Z$57:$AE$74, 6, FALSE), OFFSET(Apr_2025_SotM[[#This Row],[Winner]], Apr_2025_SotM[[#This Row],[Max Seed]], 0)))</f>
        <v>光るなら</v>
      </c>
      <c r="O68" s="105">
        <f>COUNTIF(Apr_2025_SotM[[#This Row],[J]:[H]],"x")</f>
        <v>2</v>
      </c>
      <c r="P68" s="115" t="str">
        <f ca="1">IF(Apr_2025_SotM[[#This Row],[Num]]&gt;=$A$56, "-", IF(Apr_2025_SotM[[#This Row],[Score 1]]&gt;=3, Apr_2025_SotM[[#This Row],[Song 1]], IF(Apr_2025_SotM[[#This Row],[Score 2]]&gt;=3, Apr_2025_SotM[[#This Row],[Song 2]], "TBD")))</f>
        <v>WASSUP</v>
      </c>
      <c r="Q68" s="193">
        <f>COUNTIF(Apr_2025_SotM[[#This Row],[H ]:[J ]],"x")</f>
        <v>3</v>
      </c>
      <c r="R68" s="105" t="str">
        <f ca="1"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f>
        <v>WASSUP</v>
      </c>
      <c r="S68" s="37"/>
      <c r="T68" s="35" t="s">
        <v>4191</v>
      </c>
      <c r="U68" s="33" t="s">
        <v>4191</v>
      </c>
      <c r="V68" s="31" t="s">
        <v>4191</v>
      </c>
      <c r="W68" s="28"/>
      <c r="X68" s="112" t="str">
        <f ca="1"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f>
        <v/>
      </c>
      <c r="Z68" s="109">
        <f t="shared" si="18"/>
        <v>17</v>
      </c>
      <c r="AA68" s="59">
        <v>45768</v>
      </c>
      <c r="AB68" t="str">
        <v>samuelbattista</v>
      </c>
      <c r="AC68" s="3">
        <v>2.6</v>
      </c>
      <c r="AD68">
        <v>1.019803902718557</v>
      </c>
      <c r="AE68" t="str">
        <v>Your Direction</v>
      </c>
      <c r="AF68" t="str">
        <v>Goose</v>
      </c>
      <c r="AG68" s="100">
        <f t="shared" si="17"/>
        <v>17</v>
      </c>
      <c r="AI68" s="115">
        <f>Apr_2025_SotM[[#This Row],[Max Seed]]/2 + 1</f>
        <v>9</v>
      </c>
      <c r="AJ68" s="105" t="str">
        <f ca="1">IF(Apr_2025_SotM[[#This Row],[Num]]&gt;=$A$56, "-", IF(Apr_2025_SotM[[#This Row],[Score 1]]&gt;=3, Apr_2025_SotM[[#This Row],[Song 2]], IF(Apr_2025_SotM[[#This Row],[Score 2]]&gt;=3, Apr_2025_SotM[[#This Row],[Song 1]], "TBD")))</f>
        <v>光るなら</v>
      </c>
      <c r="AK68" s="3">
        <f ca="1">IFERROR(VLOOKUP(Apr_2025_Results[[#This Row],[Song Title]], $AE$57:$AG$74, 3, FALSE)-Apr_2025_Results[[#This Row],[Result]], "TBD")</f>
        <v>-4</v>
      </c>
      <c r="AL68" s="3" t="str">
        <f t="shared" ca="1" si="19"/>
        <v>↓</v>
      </c>
    </row>
    <row r="69" spans="1:38">
      <c r="A69" s="197" t="str">
        <f>_xlfn.CONCAT("Seed ", Apr_2025_SotM[[#This Row],[Top Seed]], " vs ",Apr_2025_SotM[[#This Row],[Low Seed]])</f>
        <v>Seed 4 vs 13</v>
      </c>
      <c r="B69" s="115">
        <v>12</v>
      </c>
      <c r="C69" s="105">
        <f>FLOOR(LOG(Apr_2025_SotM[[#This Row],[Num]], 2), 1)</f>
        <v>3</v>
      </c>
      <c r="D69" s="105">
        <f>2^(Apr_2025_SotM[[#This Row],[Round]]+1)</f>
        <v>16</v>
      </c>
      <c r="E69" s="105">
        <f>Apr_2025_SotM[[#This Row],[Max Seed]]-Apr_2025_SotM[[#This Row],[Num]]</f>
        <v>4</v>
      </c>
      <c r="F69" s="105">
        <f>Apr_2025_SotM[[#This Row],[Max Seed]]-Apr_2025_SotM[[#This Row],[Top Seed]]+1</f>
        <v>13</v>
      </c>
      <c r="G69" s="105" t="b">
        <f>IF(Apr_2025_SotM[[#This Row],[Round]]=$C$56, TRUE(), IF(Apr_2025_SotM[[#This Row],[Round]]=$B$56, Apr_2025_SotM[[#This Row],[Top Seed]]&lt;=2*Apr_2025_SotM[[#This Row],[Max Seed]]-$A$56, FALSE()))</f>
        <v>1</v>
      </c>
      <c r="H69" s="105" t="b">
        <f>IF(Apr_2025_SotM[[#This Row],[Round]]=$C$56, TRUE(), IF(Apr_2025_SotM[[#This Row],[Round]]=$B$56, Apr_2025_SotM[[#This Row],[Low Seed]]&lt;=2*Apr_2025_SotM[[#This Row],[Max Seed]]-$A$56, FALSE()))</f>
        <v>1</v>
      </c>
      <c r="I69" s="28" t="s">
        <v>4191</v>
      </c>
      <c r="J69" s="31" t="s">
        <v>4191</v>
      </c>
      <c r="K69" s="33" t="s">
        <v>4191</v>
      </c>
      <c r="L69" s="35"/>
      <c r="M69" s="37" t="s">
        <v>4191</v>
      </c>
      <c r="N69" s="192" t="str">
        <f ca="1">IF(Apr_2025_SotM[[#This Row],[Num]]&gt;=$A$56, "-", IF(Apr_2025_SotM[[#This Row],[Initial 1]], VLOOKUP(Apr_2025_SotM[[#This Row],[Top Seed]], $Z$57:$AE$74, 6, FALSE), OFFSET(Apr_2025_SotM[[#This Row],[Winner]], Apr_2025_SotM[[#This Row],[Max Seed]], 0)))</f>
        <v>Movin' Out (Anthony's Song)</v>
      </c>
      <c r="O69" s="105">
        <f>COUNTIF(Apr_2025_SotM[[#This Row],[J]:[H]],"x")</f>
        <v>4</v>
      </c>
      <c r="P69" s="115" t="str">
        <f ca="1">IF(Apr_2025_SotM[[#This Row],[Num]]&gt;=$A$56, "-", IF(Apr_2025_SotM[[#This Row],[Score 1]]&gt;=3, Apr_2025_SotM[[#This Row],[Song 1]], IF(Apr_2025_SotM[[#This Row],[Score 2]]&gt;=3, Apr_2025_SotM[[#This Row],[Song 2]], "TBD")))</f>
        <v>Movin' Out (Anthony's Song)</v>
      </c>
      <c r="Q69" s="193">
        <f>COUNTIF(Apr_2025_SotM[[#This Row],[H ]:[J ]],"x")</f>
        <v>1</v>
      </c>
      <c r="R69" s="105" t="str">
        <f ca="1"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f>
        <v>Tom Sawyer</v>
      </c>
      <c r="S69" s="37"/>
      <c r="T69" s="35" t="s">
        <v>4191</v>
      </c>
      <c r="U69" s="33"/>
      <c r="V69" s="31"/>
      <c r="W69" s="28"/>
      <c r="X69" s="112" t="str">
        <f ca="1"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f>
        <v/>
      </c>
      <c r="Z69" s="109">
        <f t="shared" si="18"/>
        <v>10</v>
      </c>
      <c r="AA69" s="59">
        <v>45769</v>
      </c>
      <c r="AB69" t="str">
        <v>loganworsdell</v>
      </c>
      <c r="AC69" s="3">
        <v>2.4</v>
      </c>
      <c r="AD69">
        <v>1.019803902718557</v>
      </c>
      <c r="AE69" t="str">
        <v>Dramaturgy</v>
      </c>
      <c r="AF69" t="str">
        <v>Eve</v>
      </c>
      <c r="AG69" s="100">
        <f t="shared" si="17"/>
        <v>9</v>
      </c>
      <c r="AI69" s="115">
        <f>Apr_2025_SotM[[#This Row],[Max Seed]]/2 + 1</f>
        <v>9</v>
      </c>
      <c r="AJ69" s="105" t="str">
        <f ca="1">IF(Apr_2025_SotM[[#This Row],[Num]]&gt;=$A$56, "-", IF(Apr_2025_SotM[[#This Row],[Score 1]]&gt;=3, Apr_2025_SotM[[#This Row],[Song 2]], IF(Apr_2025_SotM[[#This Row],[Score 2]]&gt;=3, Apr_2025_SotM[[#This Row],[Song 1]], "TBD")))</f>
        <v>Tom Sawyer</v>
      </c>
      <c r="AK69" s="3">
        <f ca="1">IFERROR(VLOOKUP(Apr_2025_Results[[#This Row],[Song Title]], $AE$57:$AG$74, 3, FALSE)-Apr_2025_Results[[#This Row],[Result]], "TBD")</f>
        <v>0</v>
      </c>
      <c r="AL69" s="3" t="str">
        <f t="shared" ca="1" si="19"/>
        <v>-</v>
      </c>
    </row>
    <row r="70" spans="1:38">
      <c r="A70" s="197" t="str">
        <f>_xlfn.CONCAT("Seed ", Apr_2025_SotM[[#This Row],[Top Seed]], " vs ",Apr_2025_SotM[[#This Row],[Low Seed]])</f>
        <v>Seed 3 vs 14</v>
      </c>
      <c r="B70" s="115">
        <v>13</v>
      </c>
      <c r="C70" s="105">
        <f>FLOOR(LOG(Apr_2025_SotM[[#This Row],[Num]], 2), 1)</f>
        <v>3</v>
      </c>
      <c r="D70" s="105">
        <f>2^(Apr_2025_SotM[[#This Row],[Round]]+1)</f>
        <v>16</v>
      </c>
      <c r="E70" s="105">
        <f>Apr_2025_SotM[[#This Row],[Max Seed]]-Apr_2025_SotM[[#This Row],[Num]]</f>
        <v>3</v>
      </c>
      <c r="F70" s="105">
        <f>Apr_2025_SotM[[#This Row],[Max Seed]]-Apr_2025_SotM[[#This Row],[Top Seed]]+1</f>
        <v>14</v>
      </c>
      <c r="G70" s="105" t="b">
        <f>IF(Apr_2025_SotM[[#This Row],[Round]]=$C$56, TRUE(), IF(Apr_2025_SotM[[#This Row],[Round]]=$B$56, Apr_2025_SotM[[#This Row],[Top Seed]]&lt;=2*Apr_2025_SotM[[#This Row],[Max Seed]]-$A$56, FALSE()))</f>
        <v>1</v>
      </c>
      <c r="H70" s="105" t="b">
        <f>IF(Apr_2025_SotM[[#This Row],[Round]]=$C$56, TRUE(), IF(Apr_2025_SotM[[#This Row],[Round]]=$B$56, Apr_2025_SotM[[#This Row],[Low Seed]]&lt;=2*Apr_2025_SotM[[#This Row],[Max Seed]]-$A$56, FALSE()))</f>
        <v>1</v>
      </c>
      <c r="I70" s="28"/>
      <c r="J70" s="31" t="s">
        <v>4191</v>
      </c>
      <c r="K70" s="33" t="s">
        <v>4191</v>
      </c>
      <c r="L70" s="35"/>
      <c r="M70" s="37" t="s">
        <v>4191</v>
      </c>
      <c r="N70" s="192" t="str">
        <f ca="1">IF(Apr_2025_SotM[[#This Row],[Num]]&gt;=$A$56, "-", IF(Apr_2025_SotM[[#This Row],[Initial 1]], VLOOKUP(Apr_2025_SotM[[#This Row],[Top Seed]], $Z$57:$AE$74, 6, FALSE), OFFSET(Apr_2025_SotM[[#This Row],[Winner]], Apr_2025_SotM[[#This Row],[Max Seed]], 0)))</f>
        <v>Temptation</v>
      </c>
      <c r="O70" s="105">
        <f>COUNTIF(Apr_2025_SotM[[#This Row],[J]:[H]],"x")</f>
        <v>3</v>
      </c>
      <c r="P70" s="115" t="str">
        <f ca="1">IF(Apr_2025_SotM[[#This Row],[Num]]&gt;=$A$56, "-", IF(Apr_2025_SotM[[#This Row],[Score 1]]&gt;=3, Apr_2025_SotM[[#This Row],[Song 1]], IF(Apr_2025_SotM[[#This Row],[Score 2]]&gt;=3, Apr_2025_SotM[[#This Row],[Song 2]], "TBD")))</f>
        <v>Temptation</v>
      </c>
      <c r="Q70" s="193">
        <f>COUNTIF(Apr_2025_SotM[[#This Row],[H ]:[J ]],"x")</f>
        <v>2</v>
      </c>
      <c r="R70" s="105" t="str">
        <f ca="1"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f>
        <v>Isis</v>
      </c>
      <c r="S70" s="37"/>
      <c r="T70" s="35" t="s">
        <v>4191</v>
      </c>
      <c r="U70" s="33"/>
      <c r="V70" s="31"/>
      <c r="W70" s="28" t="s">
        <v>4191</v>
      </c>
      <c r="X70" s="112" t="str">
        <f ca="1"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f>
        <v/>
      </c>
      <c r="Z70" s="109">
        <f t="shared" si="18"/>
        <v>11</v>
      </c>
      <c r="AA70" s="59">
        <v>45770</v>
      </c>
      <c r="AB70" t="str">
        <v>currydestroyer27</v>
      </c>
      <c r="AC70" s="3">
        <v>2.4</v>
      </c>
      <c r="AD70">
        <v>1.019803902718557</v>
      </c>
      <c r="AE70" t="str">
        <v>I Think I Left the Stove On</v>
      </c>
      <c r="AF70" t="str">
        <v>Hotel Ugly</v>
      </c>
      <c r="AG70" s="100">
        <f t="shared" si="17"/>
        <v>9</v>
      </c>
      <c r="AI70" s="115">
        <f>Apr_2025_SotM[[#This Row],[Max Seed]]/2 + 1</f>
        <v>9</v>
      </c>
      <c r="AJ70" s="105" t="str">
        <f ca="1">IF(Apr_2025_SotM[[#This Row],[Num]]&gt;=$A$56, "-", IF(Apr_2025_SotM[[#This Row],[Score 1]]&gt;=3, Apr_2025_SotM[[#This Row],[Song 2]], IF(Apr_2025_SotM[[#This Row],[Score 2]]&gt;=3, Apr_2025_SotM[[#This Row],[Song 1]], "TBD")))</f>
        <v>Isis</v>
      </c>
      <c r="AK70" s="3">
        <f ca="1">IFERROR(VLOOKUP(Apr_2025_Results[[#This Row],[Song Title]], $AE$57:$AG$74, 3, FALSE)-Apr_2025_Results[[#This Row],[Result]], "TBD")</f>
        <v>0</v>
      </c>
      <c r="AL70" s="3" t="str">
        <f t="shared" ca="1" si="19"/>
        <v>-</v>
      </c>
    </row>
    <row r="71" spans="1:38">
      <c r="A71" s="197" t="str">
        <f>_xlfn.CONCAT("Seed ", Apr_2025_SotM[[#This Row],[Top Seed]], " vs ",Apr_2025_SotM[[#This Row],[Low Seed]])</f>
        <v>Seed 2 vs 15</v>
      </c>
      <c r="B71" s="115">
        <v>14</v>
      </c>
      <c r="C71" s="105">
        <f>FLOOR(LOG(Apr_2025_SotM[[#This Row],[Num]], 2), 1)</f>
        <v>3</v>
      </c>
      <c r="D71" s="105">
        <f>2^(Apr_2025_SotM[[#This Row],[Round]]+1)</f>
        <v>16</v>
      </c>
      <c r="E71" s="105">
        <f>Apr_2025_SotM[[#This Row],[Max Seed]]-Apr_2025_SotM[[#This Row],[Num]]</f>
        <v>2</v>
      </c>
      <c r="F71" s="105">
        <f>Apr_2025_SotM[[#This Row],[Max Seed]]-Apr_2025_SotM[[#This Row],[Top Seed]]+1</f>
        <v>15</v>
      </c>
      <c r="G71" s="105" t="b">
        <f>IF(Apr_2025_SotM[[#This Row],[Round]]=$C$56, TRUE(), IF(Apr_2025_SotM[[#This Row],[Round]]=$B$56, Apr_2025_SotM[[#This Row],[Top Seed]]&lt;=2*Apr_2025_SotM[[#This Row],[Max Seed]]-$A$56, FALSE()))</f>
        <v>1</v>
      </c>
      <c r="H71" s="105" t="b">
        <f>IF(Apr_2025_SotM[[#This Row],[Round]]=$C$56, TRUE(), IF(Apr_2025_SotM[[#This Row],[Round]]=$B$56, Apr_2025_SotM[[#This Row],[Low Seed]]&lt;=2*Apr_2025_SotM[[#This Row],[Max Seed]]-$A$56, FALSE()))</f>
        <v>0</v>
      </c>
      <c r="I71" s="28" t="s">
        <v>4191</v>
      </c>
      <c r="J71" s="31"/>
      <c r="K71" s="33" t="s">
        <v>4191</v>
      </c>
      <c r="L71" s="35" t="s">
        <v>4191</v>
      </c>
      <c r="M71" s="37"/>
      <c r="N71" s="192" t="str">
        <f ca="1">IF(Apr_2025_SotM[[#This Row],[Num]]&gt;=$A$56, "-", IF(Apr_2025_SotM[[#This Row],[Initial 1]], VLOOKUP(Apr_2025_SotM[[#This Row],[Top Seed]], $Z$57:$AE$74, 6, FALSE), OFFSET(Apr_2025_SotM[[#This Row],[Winner]], Apr_2025_SotM[[#This Row],[Max Seed]], 0)))</f>
        <v>Never</v>
      </c>
      <c r="O71" s="105">
        <f>COUNTIF(Apr_2025_SotM[[#This Row],[J]:[H]],"x")</f>
        <v>3</v>
      </c>
      <c r="P71" s="115" t="str">
        <f ca="1">IF(Apr_2025_SotM[[#This Row],[Num]]&gt;=$A$56, "-", IF(Apr_2025_SotM[[#This Row],[Score 1]]&gt;=3, Apr_2025_SotM[[#This Row],[Song 1]], IF(Apr_2025_SotM[[#This Row],[Score 2]]&gt;=3, Apr_2025_SotM[[#This Row],[Song 2]], "TBD")))</f>
        <v>Never</v>
      </c>
      <c r="Q71" s="193">
        <f>COUNTIF(Apr_2025_SotM[[#This Row],[H ]:[J ]],"x")</f>
        <v>2</v>
      </c>
      <c r="R71" s="105" t="str">
        <f ca="1"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f>
        <v>Kizukeyo Baby</v>
      </c>
      <c r="S71" s="37" t="s">
        <v>4191</v>
      </c>
      <c r="T71" s="35"/>
      <c r="U71" s="33"/>
      <c r="V71" s="31" t="s">
        <v>4191</v>
      </c>
      <c r="W71" s="28"/>
      <c r="X71" s="112" t="str">
        <f ca="1"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f>
        <v/>
      </c>
      <c r="Z71" s="109">
        <f t="shared" si="18"/>
        <v>2</v>
      </c>
      <c r="AA71" s="59">
        <v>45771</v>
      </c>
      <c r="AB71" t="str">
        <v>samuelbattista</v>
      </c>
      <c r="AC71" s="3">
        <v>1.6</v>
      </c>
      <c r="AD71">
        <v>0.4898979485566356</v>
      </c>
      <c r="AE71" t="str">
        <v>Never</v>
      </c>
      <c r="AF71" t="str">
        <v>Moving Pictures</v>
      </c>
      <c r="AG71" s="100">
        <f t="shared" si="17"/>
        <v>2</v>
      </c>
      <c r="AI71" s="115">
        <f>Apr_2025_SotM[[#This Row],[Max Seed]]/2 + 1</f>
        <v>9</v>
      </c>
      <c r="AJ71" s="105" t="str">
        <f ca="1">IF(Apr_2025_SotM[[#This Row],[Num]]&gt;=$A$56, "-", IF(Apr_2025_SotM[[#This Row],[Score 1]]&gt;=3, Apr_2025_SotM[[#This Row],[Song 2]], IF(Apr_2025_SotM[[#This Row],[Score 2]]&gt;=3, Apr_2025_SotM[[#This Row],[Song 1]], "TBD")))</f>
        <v>Kizukeyo Baby</v>
      </c>
      <c r="AK71" s="3">
        <f ca="1">IFERROR(VLOOKUP(Apr_2025_Results[[#This Row],[Song Title]], $AE$57:$AG$74, 3, FALSE)-Apr_2025_Results[[#This Row],[Result]], "TBD")</f>
        <v>8</v>
      </c>
      <c r="AL71" s="3" t="str">
        <f t="shared" ca="1" si="19"/>
        <v>↑</v>
      </c>
    </row>
    <row r="72" spans="1:38">
      <c r="A72" s="197" t="str">
        <f>_xlfn.CONCAT("Seed ", Apr_2025_SotM[[#This Row],[Top Seed]], " vs ",Apr_2025_SotM[[#This Row],[Low Seed]])</f>
        <v>Seed 1 vs 16</v>
      </c>
      <c r="B72" s="115">
        <v>15</v>
      </c>
      <c r="C72" s="105">
        <f>FLOOR(LOG(Apr_2025_SotM[[#This Row],[Num]], 2), 1)</f>
        <v>3</v>
      </c>
      <c r="D72" s="105">
        <f>2^(Apr_2025_SotM[[#This Row],[Round]]+1)</f>
        <v>16</v>
      </c>
      <c r="E72" s="105">
        <f>Apr_2025_SotM[[#This Row],[Max Seed]]-Apr_2025_SotM[[#This Row],[Num]]</f>
        <v>1</v>
      </c>
      <c r="F72" s="105">
        <f>Apr_2025_SotM[[#This Row],[Max Seed]]-Apr_2025_SotM[[#This Row],[Top Seed]]+1</f>
        <v>16</v>
      </c>
      <c r="G72" s="105" t="b">
        <f>IF(Apr_2025_SotM[[#This Row],[Round]]=$C$56, TRUE(), IF(Apr_2025_SotM[[#This Row],[Round]]=$B$56, Apr_2025_SotM[[#This Row],[Top Seed]]&lt;=2*Apr_2025_SotM[[#This Row],[Max Seed]]-$A$56, FALSE()))</f>
        <v>1</v>
      </c>
      <c r="H72" s="105" t="b">
        <f>IF(Apr_2025_SotM[[#This Row],[Round]]=$C$56, TRUE(), IF(Apr_2025_SotM[[#This Row],[Round]]=$B$56, Apr_2025_SotM[[#This Row],[Low Seed]]&lt;=2*Apr_2025_SotM[[#This Row],[Max Seed]]-$A$56, FALSE()))</f>
        <v>0</v>
      </c>
      <c r="I72" s="28"/>
      <c r="J72" s="31" t="s">
        <v>4191</v>
      </c>
      <c r="K72" s="33"/>
      <c r="L72" s="35"/>
      <c r="M72" s="37"/>
      <c r="N72" s="192" t="str">
        <f ca="1">IF(Apr_2025_SotM[[#This Row],[Num]]&gt;=$A$56, "-", IF(Apr_2025_SotM[[#This Row],[Initial 1]], VLOOKUP(Apr_2025_SotM[[#This Row],[Top Seed]], $Z$57:$AE$74, 6, FALSE), OFFSET(Apr_2025_SotM[[#This Row],[Winner]], Apr_2025_SotM[[#This Row],[Max Seed]], 0)))</f>
        <v>Helena</v>
      </c>
      <c r="O72" s="105">
        <f>COUNTIF(Apr_2025_SotM[[#This Row],[J]:[H]],"x")</f>
        <v>1</v>
      </c>
      <c r="P72" s="115" t="str">
        <f ca="1">IF(Apr_2025_SotM[[#This Row],[Num]]&gt;=$A$56, "-", IF(Apr_2025_SotM[[#This Row],[Score 1]]&gt;=3, Apr_2025_SotM[[#This Row],[Song 1]], IF(Apr_2025_SotM[[#This Row],[Score 2]]&gt;=3, Apr_2025_SotM[[#This Row],[Song 2]], "TBD")))</f>
        <v>Your Direction</v>
      </c>
      <c r="Q72" s="193">
        <f>COUNTIF(Apr_2025_SotM[[#This Row],[H ]:[J ]],"x")</f>
        <v>4</v>
      </c>
      <c r="R72" s="105" t="str">
        <f ca="1"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f>
        <v>Your Direction</v>
      </c>
      <c r="S72" s="37" t="s">
        <v>4191</v>
      </c>
      <c r="T72" s="35" t="s">
        <v>4191</v>
      </c>
      <c r="U72" s="33" t="s">
        <v>4191</v>
      </c>
      <c r="V72" s="31"/>
      <c r="W72" s="28" t="s">
        <v>4191</v>
      </c>
      <c r="X72" s="112" t="str">
        <f ca="1"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f>
        <v/>
      </c>
      <c r="Z72" s="109">
        <f t="shared" si="18"/>
        <v>18</v>
      </c>
      <c r="AA72" s="59">
        <v>45775</v>
      </c>
      <c r="AB72" t="str">
        <v>currydestroyer27</v>
      </c>
      <c r="AC72" s="3">
        <v>2.6</v>
      </c>
      <c r="AD72">
        <v>1.2</v>
      </c>
      <c r="AE72" t="str">
        <v>Kizukeyo Baby</v>
      </c>
      <c r="AF72" t="str">
        <v>THE ORAL CIGARETTES</v>
      </c>
      <c r="AG72" s="100">
        <f t="shared" si="17"/>
        <v>17</v>
      </c>
      <c r="AI72" s="115">
        <f>Apr_2025_SotM[[#This Row],[Max Seed]]/2 + 1</f>
        <v>9</v>
      </c>
      <c r="AJ72" s="105" t="str">
        <f ca="1">IF(Apr_2025_SotM[[#This Row],[Num]]&gt;=$A$56, "-", IF(Apr_2025_SotM[[#This Row],[Score 1]]&gt;=3, Apr_2025_SotM[[#This Row],[Song 2]], IF(Apr_2025_SotM[[#This Row],[Score 2]]&gt;=3, Apr_2025_SotM[[#This Row],[Song 1]], "TBD")))</f>
        <v>Helena</v>
      </c>
      <c r="AK72" s="3">
        <f ca="1">IFERROR(VLOOKUP(Apr_2025_Results[[#This Row],[Song Title]], $AE$57:$AG$74, 3, FALSE)-Apr_2025_Results[[#This Row],[Result]], "TBD")</f>
        <v>-8</v>
      </c>
      <c r="AL72" s="3" t="str">
        <f t="shared" ca="1" si="19"/>
        <v>↓</v>
      </c>
    </row>
    <row r="73" spans="1:38">
      <c r="A73" s="197" t="str">
        <f>_xlfn.CONCAT("Seed ", Apr_2025_SotM[[#This Row],[Top Seed]], " vs ",Apr_2025_SotM[[#This Row],[Low Seed]])</f>
        <v>Seed 16 vs 17</v>
      </c>
      <c r="B73" s="115">
        <v>16</v>
      </c>
      <c r="C73" s="105">
        <f>FLOOR(LOG(Apr_2025_SotM[[#This Row],[Num]], 2), 1)</f>
        <v>4</v>
      </c>
      <c r="D73" s="105">
        <f>2^(Apr_2025_SotM[[#This Row],[Round]]+1)</f>
        <v>32</v>
      </c>
      <c r="E73" s="105">
        <f>Apr_2025_SotM[[#This Row],[Max Seed]]-Apr_2025_SotM[[#This Row],[Num]]</f>
        <v>16</v>
      </c>
      <c r="F73" s="105">
        <f>Apr_2025_SotM[[#This Row],[Max Seed]]-Apr_2025_SotM[[#This Row],[Top Seed]]+1</f>
        <v>17</v>
      </c>
      <c r="G73" s="105" t="b">
        <f>IF(Apr_2025_SotM[[#This Row],[Round]]=$C$56, TRUE(), IF(Apr_2025_SotM[[#This Row],[Round]]=$B$56, Apr_2025_SotM[[#This Row],[Top Seed]]&lt;=2*Apr_2025_SotM[[#This Row],[Max Seed]]-$A$56, FALSE()))</f>
        <v>1</v>
      </c>
      <c r="H73" s="105" t="b">
        <f>IF(Apr_2025_SotM[[#This Row],[Round]]=$C$56, TRUE(), IF(Apr_2025_SotM[[#This Row],[Round]]=$B$56, Apr_2025_SotM[[#This Row],[Low Seed]]&lt;=2*Apr_2025_SotM[[#This Row],[Max Seed]]-$A$56, FALSE()))</f>
        <v>1</v>
      </c>
      <c r="I73" s="28"/>
      <c r="J73" s="31"/>
      <c r="K73" s="33"/>
      <c r="L73" s="35"/>
      <c r="M73" s="37"/>
      <c r="N73" s="192" t="str">
        <f ca="1">IF(Apr_2025_SotM[[#This Row],[Num]]&gt;=$A$56, "-", IF(Apr_2025_SotM[[#This Row],[Initial 1]], VLOOKUP(Apr_2025_SotM[[#This Row],[Top Seed]], $Z$57:$AE$74, 6, FALSE), OFFSET(Apr_2025_SotM[[#This Row],[Winner]], Apr_2025_SotM[[#This Row],[Max Seed]], 0)))</f>
        <v>Clocks</v>
      </c>
      <c r="O73" s="105">
        <f>COUNTIF(Apr_2025_SotM[[#This Row],[J]:[H]],"x")</f>
        <v>0</v>
      </c>
      <c r="P73" s="115" t="str">
        <f ca="1">IF(Apr_2025_SotM[[#This Row],[Num]]&gt;=$A$56, "-", IF(Apr_2025_SotM[[#This Row],[Score 1]]&gt;=3, Apr_2025_SotM[[#This Row],[Song 1]], IF(Apr_2025_SotM[[#This Row],[Score 2]]&gt;=3, Apr_2025_SotM[[#This Row],[Song 2]], "TBD")))</f>
        <v>Your Direction</v>
      </c>
      <c r="Q73" s="193">
        <f>COUNTIF(Apr_2025_SotM[[#This Row],[H ]:[J ]],"x")</f>
        <v>5</v>
      </c>
      <c r="R73" s="105" t="str">
        <f ca="1"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f>
        <v>Your Direction</v>
      </c>
      <c r="S73" s="37" t="s">
        <v>4191</v>
      </c>
      <c r="T73" s="35" t="s">
        <v>4191</v>
      </c>
      <c r="U73" s="33" t="s">
        <v>4191</v>
      </c>
      <c r="V73" s="31" t="s">
        <v>4191</v>
      </c>
      <c r="W73" s="28" t="s">
        <v>4191</v>
      </c>
      <c r="X73" s="112" t="str">
        <f ca="1"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f>
        <v/>
      </c>
      <c r="Z73" s="109">
        <f t="shared" si="18"/>
        <v>12</v>
      </c>
      <c r="AA73" s="59">
        <v>45776</v>
      </c>
      <c r="AB73" t="str">
        <v>loganworsdell</v>
      </c>
      <c r="AC73" s="3">
        <v>2.4</v>
      </c>
      <c r="AD73">
        <v>1.019803902718557</v>
      </c>
      <c r="AE73" t="str">
        <v>WASSUP</v>
      </c>
      <c r="AF73" t="str">
        <v>Young Miko</v>
      </c>
      <c r="AG73" s="100">
        <f t="shared" si="17"/>
        <v>9</v>
      </c>
      <c r="AI73" s="115">
        <f>Apr_2025_SotM[[#This Row],[Max Seed]]/2 + 1</f>
        <v>17</v>
      </c>
      <c r="AJ73" s="105" t="str">
        <f ca="1">IF(Apr_2025_SotM[[#This Row],[Num]]&gt;=$A$56, "-", IF(Apr_2025_SotM[[#This Row],[Score 1]]&gt;=3, Apr_2025_SotM[[#This Row],[Song 2]], IF(Apr_2025_SotM[[#This Row],[Score 2]]&gt;=3, Apr_2025_SotM[[#This Row],[Song 1]], "TBD")))</f>
        <v>Clocks</v>
      </c>
      <c r="AK73" s="3">
        <f ca="1">IFERROR(VLOOKUP(Apr_2025_Results[[#This Row],[Song Title]], $AE$57:$AG$74, 3, FALSE)-Apr_2025_Results[[#This Row],[Result]], "TBD")</f>
        <v>-8</v>
      </c>
      <c r="AL73" s="3" t="str">
        <f t="shared" ca="1" si="19"/>
        <v>↓</v>
      </c>
    </row>
    <row r="74" spans="1:38">
      <c r="A74" s="197" t="str">
        <f>_xlfn.CONCAT("Seed ", Apr_2025_SotM[[#This Row],[Top Seed]], " vs ",Apr_2025_SotM[[#This Row],[Low Seed]])</f>
        <v>Seed 15 vs 18</v>
      </c>
      <c r="B74" s="115">
        <v>17</v>
      </c>
      <c r="C74" s="105">
        <f>FLOOR(LOG(Apr_2025_SotM[[#This Row],[Num]], 2), 1)</f>
        <v>4</v>
      </c>
      <c r="D74" s="105">
        <f>2^(Apr_2025_SotM[[#This Row],[Round]]+1)</f>
        <v>32</v>
      </c>
      <c r="E74" s="105">
        <f>Apr_2025_SotM[[#This Row],[Max Seed]]-Apr_2025_SotM[[#This Row],[Num]]</f>
        <v>15</v>
      </c>
      <c r="F74" s="105">
        <f>Apr_2025_SotM[[#This Row],[Max Seed]]-Apr_2025_SotM[[#This Row],[Top Seed]]+1</f>
        <v>18</v>
      </c>
      <c r="G74" s="105" t="b">
        <f>IF(Apr_2025_SotM[[#This Row],[Round]]=$C$56, TRUE(), IF(Apr_2025_SotM[[#This Row],[Round]]=$B$56, Apr_2025_SotM[[#This Row],[Top Seed]]&lt;=2*Apr_2025_SotM[[#This Row],[Max Seed]]-$A$56, FALSE()))</f>
        <v>1</v>
      </c>
      <c r="H74" s="105" t="b">
        <f>IF(Apr_2025_SotM[[#This Row],[Round]]=$C$56, TRUE(), IF(Apr_2025_SotM[[#This Row],[Round]]=$B$56, Apr_2025_SotM[[#This Row],[Low Seed]]&lt;=2*Apr_2025_SotM[[#This Row],[Max Seed]]-$A$56, FALSE()))</f>
        <v>1</v>
      </c>
      <c r="I74" s="28"/>
      <c r="J74" s="31"/>
      <c r="K74" s="33" t="s">
        <v>4191</v>
      </c>
      <c r="L74" s="35" t="s">
        <v>4191</v>
      </c>
      <c r="M74" s="37"/>
      <c r="N74" s="192" t="str">
        <f ca="1">IF(Apr_2025_SotM[[#This Row],[Num]]&gt;=$A$56, "-", IF(Apr_2025_SotM[[#This Row],[Initial 1]], VLOOKUP(Apr_2025_SotM[[#This Row],[Top Seed]], $Z$57:$AE$74, 6, FALSE), OFFSET(Apr_2025_SotM[[#This Row],[Winner]], Apr_2025_SotM[[#This Row],[Max Seed]], 0)))</f>
        <v>selfdestruct</v>
      </c>
      <c r="O74" s="105">
        <f>COUNTIF(Apr_2025_SotM[[#This Row],[J]:[H]],"x")</f>
        <v>2</v>
      </c>
      <c r="P74" s="115" t="str">
        <f ca="1">IF(Apr_2025_SotM[[#This Row],[Num]]&gt;=$A$56, "-", IF(Apr_2025_SotM[[#This Row],[Score 1]]&gt;=3, Apr_2025_SotM[[#This Row],[Song 1]], IF(Apr_2025_SotM[[#This Row],[Score 2]]&gt;=3, Apr_2025_SotM[[#This Row],[Song 2]], "TBD")))</f>
        <v>Kizukeyo Baby</v>
      </c>
      <c r="Q74" s="193">
        <f>COUNTIF(Apr_2025_SotM[[#This Row],[H ]:[J ]],"x")</f>
        <v>3</v>
      </c>
      <c r="R74" s="105" t="str">
        <f ca="1">IF(Apr_2025_SotM[[#This Row],[Num]]&gt;=$A$56, "-", IF(Apr_2025_SotM[[#This Row],[Initial 2]], VLOOKUP(Apr_2025_SotM[[#This Row],[Low Seed]], $Z$57:$AE$74, 6, FALSE), OFFSET(Apr_2025_SotM[[#This Row],[Winner]], 2*(Apr_2025_SotM[[#This Row],[Max Seed]]-Apr_2025_SotM[[#This Row],[Low Seed]])+1, 0)))</f>
        <v>Kizukeyo Baby</v>
      </c>
      <c r="S74" s="37" t="s">
        <v>4191</v>
      </c>
      <c r="T74" s="35"/>
      <c r="U74" s="33"/>
      <c r="V74" s="31" t="s">
        <v>4191</v>
      </c>
      <c r="W74" s="28" t="s">
        <v>4191</v>
      </c>
      <c r="X74" s="112" t="str">
        <f ca="1">IF(OR(Apr_2025_SotM[[#This Row],[Song 1]]="TBD", Apr_2025_SotM[[#This Row],[Song 2]]="TBD"), "TBD", _xlfn.CONCAT(IF(_xlfn.XOR(ISBLANK(Apr_2025_SotM[[#This Row],[J]]), ISBLANK(Apr_2025_SotM[[#This Row],[J ]])), "", "J "), IF(_xlfn.XOR(ISBLANK(Apr_2025_SotM[[#This Row],[D]]), ISBLANK(Apr_2025_SotM[[#This Row],[D ]])), "", "D "), IF(_xlfn.XOR(ISBLANK(Apr_2025_SotM[[#This Row],[L]]), ISBLANK(Apr_2025_SotM[[#This Row],[L ]])), "", "L "), IF(_xlfn.XOR(ISBLANK(Apr_2025_SotM[[#This Row],[S]]), ISBLANK(Apr_2025_SotM[[#This Row],[S ]])), "", "S "), IF(_xlfn.XOR(ISBLANK(Apr_2025_SotM[[#This Row],[H]]), ISBLANK(Apr_2025_SotM[[#This Row],[H ]])), "", "H ")))</f>
        <v/>
      </c>
      <c r="Z74" s="110">
        <f t="shared" si="18"/>
        <v>5</v>
      </c>
      <c r="AA74" s="211">
        <v>45777</v>
      </c>
      <c r="AB74" s="157" t="str">
        <v>currydestroyer27</v>
      </c>
      <c r="AC74" s="101">
        <v>2</v>
      </c>
      <c r="AD74" s="157">
        <v>0.63245553203367588</v>
      </c>
      <c r="AE74" s="157" t="str">
        <v>光るなら</v>
      </c>
      <c r="AF74" s="157" t="str">
        <v>Goose House</v>
      </c>
      <c r="AG74" s="102">
        <f t="shared" si="17"/>
        <v>5</v>
      </c>
      <c r="AI74" s="115">
        <f>Apr_2025_SotM[[#This Row],[Max Seed]]/2 + 1</f>
        <v>17</v>
      </c>
      <c r="AJ74" s="105" t="str">
        <f ca="1">IF(Apr_2025_SotM[[#This Row],[Num]]&gt;=$A$56, "-", IF(Apr_2025_SotM[[#This Row],[Score 1]]&gt;=3, Apr_2025_SotM[[#This Row],[Song 2]], IF(Apr_2025_SotM[[#This Row],[Score 2]]&gt;=3, Apr_2025_SotM[[#This Row],[Song 1]], "TBD")))</f>
        <v>selfdestruct</v>
      </c>
      <c r="AK74" s="3">
        <f ca="1">IFERROR(VLOOKUP(Apr_2025_Results[[#This Row],[Song Title]], $AE$57:$AG$74, 3, FALSE)-Apr_2025_Results[[#This Row],[Result]], "TBD")</f>
        <v>-8</v>
      </c>
      <c r="AL74" s="3" t="str">
        <f t="shared" ca="1" si="19"/>
        <v>↓</v>
      </c>
    </row>
    <row r="76" spans="1:38">
      <c r="A76" s="302">
        <f>MAX(Z77:Z93)</f>
        <v>17</v>
      </c>
      <c r="B76" s="302">
        <f t="shared" ref="B76" si="20">FLOOR(LOG(A76, 2), 1)-1</f>
        <v>3</v>
      </c>
      <c r="C76" s="302">
        <f t="shared" ref="C76" si="21">_xlfn.CEILING.MATH(LOG(A76, 2), 1)-1</f>
        <v>4</v>
      </c>
      <c r="D76" s="302"/>
      <c r="E76" s="302"/>
      <c r="F76" s="302"/>
      <c r="G76" s="302"/>
      <c r="H76" s="302"/>
      <c r="I76" s="348" t="s">
        <v>4195</v>
      </c>
      <c r="J76" s="348"/>
      <c r="K76" s="348"/>
      <c r="L76" s="348"/>
      <c r="M76" s="348"/>
      <c r="N76" s="348"/>
      <c r="O76" s="348"/>
      <c r="P76" s="348"/>
      <c r="Q76" s="348"/>
      <c r="R76" s="348"/>
      <c r="S76" s="348"/>
      <c r="T76" s="348"/>
      <c r="U76" s="348"/>
      <c r="V76" s="348"/>
      <c r="W76" s="348"/>
      <c r="X76" s="302"/>
      <c r="Z76" s="221" t="s">
        <v>4163</v>
      </c>
      <c r="AA76" s="222" t="s">
        <v>29</v>
      </c>
      <c r="AB76" s="220" t="s">
        <v>32</v>
      </c>
      <c r="AC76" s="221" t="s">
        <v>33</v>
      </c>
      <c r="AD76" s="220" t="s">
        <v>34</v>
      </c>
      <c r="AE76" s="220" t="s">
        <v>4161</v>
      </c>
      <c r="AF76" s="220" t="s">
        <v>36</v>
      </c>
      <c r="AG76" s="221" t="s">
        <v>4164</v>
      </c>
      <c r="AI76" s="247" t="s">
        <v>4165</v>
      </c>
      <c r="AJ76" s="248" t="s">
        <v>35</v>
      </c>
      <c r="AK76" s="249" t="s">
        <v>4166</v>
      </c>
      <c r="AL76" s="249" t="s">
        <v>4167</v>
      </c>
    </row>
    <row r="77" spans="1:38">
      <c r="A77" s="218" t="s">
        <v>4168</v>
      </c>
      <c r="B77" s="213" t="s">
        <v>4169</v>
      </c>
      <c r="C77" s="219" t="s">
        <v>4170</v>
      </c>
      <c r="D77" s="219" t="s">
        <v>4171</v>
      </c>
      <c r="E77" s="219" t="s">
        <v>4172</v>
      </c>
      <c r="F77" s="219" t="s">
        <v>4173</v>
      </c>
      <c r="G77" s="219" t="s">
        <v>4174</v>
      </c>
      <c r="H77" s="219" t="s">
        <v>4175</v>
      </c>
      <c r="I77" s="219" t="s">
        <v>4176</v>
      </c>
      <c r="J77" s="219" t="s">
        <v>4177</v>
      </c>
      <c r="K77" s="219" t="s">
        <v>4178</v>
      </c>
      <c r="L77" s="219" t="s">
        <v>4179</v>
      </c>
      <c r="M77" s="219" t="s">
        <v>4180</v>
      </c>
      <c r="N77" s="226" t="s">
        <v>4181</v>
      </c>
      <c r="O77" s="219" t="s">
        <v>4182</v>
      </c>
      <c r="P77" s="213" t="s">
        <v>47</v>
      </c>
      <c r="Q77" s="231" t="s">
        <v>4183</v>
      </c>
      <c r="R77" s="219" t="s">
        <v>4184</v>
      </c>
      <c r="S77" s="219" t="s">
        <v>4185</v>
      </c>
      <c r="T77" s="219" t="s">
        <v>4186</v>
      </c>
      <c r="U77" s="219" t="s">
        <v>4187</v>
      </c>
      <c r="V77" s="219" t="s">
        <v>4188</v>
      </c>
      <c r="W77" s="219" t="s">
        <v>4189</v>
      </c>
      <c r="X77" s="110" t="s">
        <v>4190</v>
      </c>
      <c r="Z77" s="109">
        <f>IF(AC77&gt;0, COUNTIF(AC$77:AC$93, "&lt;"&amp;AC77) + COUNTIFS(AC$77:AC$93, AC77, AD$77:AD$93, "&lt;"&amp;AD77) + COUNTIFS(AC$77:AC$93, AC77, AD$77:AD$93, AD77, AA$77:AA$93, "&lt;"&amp;AA77) + 1, "TBD")</f>
        <v>10</v>
      </c>
      <c r="AA77" s="59" cm="1">
        <f t="array" ref="AA77:AF93">_xlfn._xlws.FILTER(Data[Date]:Data[Artist], (Data[Date]&gt;=DATE(2025,5,1))*(Data[Date]&lt;=DATE(2025,5,31))*(Data[Winner]=TRUE()), "TBD")</f>
        <v>45778</v>
      </c>
      <c r="AB77" t="str">
        <v>samuelbattista</v>
      </c>
      <c r="AC77" s="3">
        <v>2.4</v>
      </c>
      <c r="AD77">
        <v>0.8</v>
      </c>
      <c r="AE77" t="str">
        <v>15 Minutes</v>
      </c>
      <c r="AF77" t="str">
        <v>Sabrina Carpenter</v>
      </c>
      <c r="AG77" s="100">
        <f t="shared" ref="AG77:AG93" si="22">IF(Z77&gt;1, 2^FLOOR(LOG(Z77-1, 2), 1)+1, 1)</f>
        <v>9</v>
      </c>
      <c r="AI77" s="115">
        <v>1</v>
      </c>
      <c r="AJ77" s="105" t="str">
        <f ca="1">P78</f>
        <v>Hard Times</v>
      </c>
      <c r="AK77" s="246">
        <f ca="1">IFERROR(VLOOKUP(May_2025_Results[[#This Row],[Song Title]], $AE$77:$AG$93, 3, FALSE)-May_2025_Results[[#This Row],[Result]], "TBD")</f>
        <v>4</v>
      </c>
      <c r="AL77" s="246" t="str">
        <f ca="1">IF(AK77&lt;0,"↓",IF(AK77=0,"-","↑"))</f>
        <v>↑</v>
      </c>
    </row>
    <row r="78" spans="1:38">
      <c r="A78" s="197" t="str">
        <f>_xlfn.CONCAT("Seed ", May_2025_SotM[[#This Row],[Top Seed]], " vs ",May_2025_SotM[[#This Row],[Low Seed]])</f>
        <v>Seed 1 vs 2</v>
      </c>
      <c r="B78" s="115">
        <v>1</v>
      </c>
      <c r="C78" s="105">
        <f>FLOOR(LOG(May_2025_SotM[[#This Row],[Num]], 2), 1)</f>
        <v>0</v>
      </c>
      <c r="D78" s="105">
        <f>2^(May_2025_SotM[[#This Row],[Round]]+1)</f>
        <v>2</v>
      </c>
      <c r="E78" s="105">
        <f>May_2025_SotM[[#This Row],[Max Seed]]-May_2025_SotM[[#This Row],[Num]]</f>
        <v>1</v>
      </c>
      <c r="F78" s="105">
        <f>May_2025_SotM[[#This Row],[Max Seed]]-May_2025_SotM[[#This Row],[Top Seed]]+1</f>
        <v>2</v>
      </c>
      <c r="G78" s="105" t="b">
        <f>IF(May_2025_SotM[[#This Row],[Round]]=$C$76, TRUE(), IF(May_2025_SotM[[#This Row],[Round]]=$B$76, May_2025_SotM[[#This Row],[Top Seed]]&lt;=2*May_2025_SotM[[#This Row],[Max Seed]]-$A$76, FALSE()))</f>
        <v>0</v>
      </c>
      <c r="H78" s="105" t="b">
        <f>IF(May_2025_SotM[[#This Row],[Round]]=$C$76, TRUE(), IF(May_2025_SotM[[#This Row],[Round]]=$B$76, May_2025_SotM[[#This Row],[Low Seed]]&lt;=2*May_2025_SotM[[#This Row],[Max Seed]]-$A$76, FALSE()))</f>
        <v>0</v>
      </c>
      <c r="I78" s="28"/>
      <c r="J78" s="31" t="s">
        <v>4191</v>
      </c>
      <c r="K78" s="33" t="s">
        <v>4191</v>
      </c>
      <c r="L78" s="35" t="s">
        <v>4191</v>
      </c>
      <c r="M78" s="37" t="s">
        <v>4191</v>
      </c>
      <c r="N78" s="192" t="str">
        <f ca="1">IF(May_2025_SotM[[#This Row],[Num]]&gt;=$A$76, "-", IF(May_2025_SotM[[#This Row],[Initial 1]], VLOOKUP(May_2025_SotM[[#This Row],[Top Seed]], $Z$77:$AE$93, 6, FALSE), OFFSET(May_2025_SotM[[#This Row],[Winner]], May_2025_SotM[[#This Row],[Max Seed]], 0)))</f>
        <v>Hard Times</v>
      </c>
      <c r="O78" s="105">
        <f>COUNTIF(May_2025_SotM[[#This Row],[J]:[H]],"x")</f>
        <v>4</v>
      </c>
      <c r="P78" s="115" t="str">
        <f ca="1">IF(May_2025_SotM[[#This Row],[Num]]&gt;=$A$76, "-", IF(May_2025_SotM[[#This Row],[Score 1]]&gt;=3, May_2025_SotM[[#This Row],[Song 1]], IF(May_2025_SotM[[#This Row],[Score 2]]&gt;=3, May_2025_SotM[[#This Row],[Song 2]], "TBD")))</f>
        <v>Hard Times</v>
      </c>
      <c r="Q78" s="193">
        <f>COUNTIF(May_2025_SotM[[#This Row],[H ]:[J ]],"x")</f>
        <v>1</v>
      </c>
      <c r="R78" s="105" t="str">
        <f ca="1">IF(May_2025_SotM[[#This Row],[Num]]&gt;=$A$76, "-", IF(May_2025_SotM[[#This Row],[Initial 2]], VLOOKUP(May_2025_SotM[[#This Row],[Low Seed]], $Z$77:$AE$93, 6, FALSE), OFFSET(May_2025_SotM[[#This Row],[Winner]], 2*(May_2025_SotM[[#This Row],[Max Seed]]-May_2025_SotM[[#This Row],[Low Seed]])+1, 0)))</f>
        <v>So Good</v>
      </c>
      <c r="S78" s="37"/>
      <c r="T78" s="35"/>
      <c r="U78" s="33"/>
      <c r="V78" s="31"/>
      <c r="W78" s="28" t="s">
        <v>4191</v>
      </c>
      <c r="X78" s="112" t="str">
        <f ca="1">IF(OR(May_2025_SotM[[#This Row],[Song 1]]="TBD", May_2025_SotM[[#This Row],[Song 2]]="TBD"), "TBD", _xlfn.CONCAT(IF(_xlfn.XOR(ISBLANK(May_2025_SotM[[#This Row],[J]]), ISBLANK(May_2025_SotM[[#This Row],[J ]])), "", "J "), IF(_xlfn.XOR(ISBLANK(May_2025_SotM[[#This Row],[D]]), ISBLANK(May_2025_SotM[[#This Row],[D ]])), "", "D "), IF(_xlfn.XOR(ISBLANK(May_2025_SotM[[#This Row],[L]]), ISBLANK(May_2025_SotM[[#This Row],[L ]])), "", "L "), IF(_xlfn.XOR(ISBLANK(May_2025_SotM[[#This Row],[S]]), ISBLANK(May_2025_SotM[[#This Row],[S ]])), "", "S "), IF(_xlfn.XOR(ISBLANK(May_2025_SotM[[#This Row],[H]]), ISBLANK(May_2025_SotM[[#This Row],[H ]])), "", "H ")))</f>
        <v/>
      </c>
      <c r="Z78" s="109">
        <f t="shared" ref="Z78:Z93" si="23">IF(AC78&gt;0, COUNTIF(AC$77:AC$93, "&lt;"&amp;AC78) + COUNTIFS(AC$77:AC$93, AC78, AD$77:AD$93, "&lt;"&amp;AD78) + COUNTIFS(AC$77:AC$93, AC78, AD$77:AD$93, AD78, AA$77:AA$93, "&lt;"&amp;AA78) + 1, "TBD")</f>
        <v>7</v>
      </c>
      <c r="AA78" s="59">
        <v>45782</v>
      </c>
      <c r="AB78" t="str">
        <v>alappatjoe</v>
      </c>
      <c r="AC78" s="3">
        <v>2.2000000000000002</v>
      </c>
      <c r="AD78">
        <v>1.1661903789690602</v>
      </c>
      <c r="AE78" t="str">
        <v>After Midnight</v>
      </c>
      <c r="AF78" t="str">
        <v>Jordan Astra, Misha, Jussi Halme</v>
      </c>
      <c r="AG78" s="100">
        <f t="shared" si="22"/>
        <v>5</v>
      </c>
      <c r="AI78" s="115">
        <f>May_2025_SotM[[#This Row],[Max Seed]]/2 + 1</f>
        <v>2</v>
      </c>
      <c r="AJ78" s="105" t="str">
        <f ca="1">IF(May_2025_SotM[[#This Row],[Num]]&gt;=$A$76, "-", IF(May_2025_SotM[[#This Row],[Score 1]]&gt;=3, May_2025_SotM[[#This Row],[Song 2]], IF(May_2025_SotM[[#This Row],[Score 2]]&gt;=3, May_2025_SotM[[#This Row],[Song 1]], "TBD")))</f>
        <v>So Good</v>
      </c>
      <c r="AK78" s="246">
        <f ca="1">IFERROR(VLOOKUP(May_2025_Results[[#This Row],[Song Title]], $AE$77:$AG$93, 3, FALSE)-May_2025_Results[[#This Row],[Result]], "TBD")</f>
        <v>3</v>
      </c>
      <c r="AL78" s="246" t="str">
        <f ca="1">IF(AK78&lt;0,"↓",IF(AK78=0,"-","↑"))</f>
        <v>↑</v>
      </c>
    </row>
    <row r="79" spans="1:38">
      <c r="A79" s="197" t="str">
        <f>_xlfn.CONCAT("Seed ", May_2025_SotM[[#This Row],[Top Seed]], " vs ",May_2025_SotM[[#This Row],[Low Seed]])</f>
        <v>Seed 2 vs 3</v>
      </c>
      <c r="B79" s="115">
        <v>2</v>
      </c>
      <c r="C79" s="105">
        <f>FLOOR(LOG(May_2025_SotM[[#This Row],[Num]], 2), 1)</f>
        <v>1</v>
      </c>
      <c r="D79" s="105">
        <f>2^(May_2025_SotM[[#This Row],[Round]]+1)</f>
        <v>4</v>
      </c>
      <c r="E79" s="105">
        <f>May_2025_SotM[[#This Row],[Max Seed]]-May_2025_SotM[[#This Row],[Num]]</f>
        <v>2</v>
      </c>
      <c r="F79" s="105">
        <f>May_2025_SotM[[#This Row],[Max Seed]]-May_2025_SotM[[#This Row],[Top Seed]]+1</f>
        <v>3</v>
      </c>
      <c r="G79" s="105" t="b">
        <f>IF(May_2025_SotM[[#This Row],[Round]]=$C$76, TRUE(), IF(May_2025_SotM[[#This Row],[Round]]=$B$76, May_2025_SotM[[#This Row],[Top Seed]]&lt;=2*May_2025_SotM[[#This Row],[Max Seed]]-$A$76, FALSE()))</f>
        <v>0</v>
      </c>
      <c r="H79" s="105" t="b">
        <f>IF(May_2025_SotM[[#This Row],[Round]]=$C$76, TRUE(), IF(May_2025_SotM[[#This Row],[Round]]=$B$76, May_2025_SotM[[#This Row],[Low Seed]]&lt;=2*May_2025_SotM[[#This Row],[Max Seed]]-$A$76, FALSE()))</f>
        <v>0</v>
      </c>
      <c r="I79" s="28" t="s">
        <v>4191</v>
      </c>
      <c r="J79" s="31"/>
      <c r="K79" s="33"/>
      <c r="L79" s="35"/>
      <c r="M79" s="37" t="s">
        <v>4191</v>
      </c>
      <c r="N79" s="192" t="str">
        <f ca="1">IF(May_2025_SotM[[#This Row],[Num]]&gt;=$A$76, "-", IF(May_2025_SotM[[#This Row],[Initial 1]], VLOOKUP(May_2025_SotM[[#This Row],[Top Seed]], $Z$77:$AE$93, 6, FALSE), OFFSET(May_2025_SotM[[#This Row],[Winner]], May_2025_SotM[[#This Row],[Max Seed]], 0)))</f>
        <v>After Midnight</v>
      </c>
      <c r="O79" s="105">
        <f>COUNTIF(May_2025_SotM[[#This Row],[J]:[H]],"x")</f>
        <v>2</v>
      </c>
      <c r="P79" s="115" t="str">
        <f ca="1">IF(May_2025_SotM[[#This Row],[Num]]&gt;=$A$76, "-", IF(May_2025_SotM[[#This Row],[Score 1]]&gt;=3, May_2025_SotM[[#This Row],[Song 1]], IF(May_2025_SotM[[#This Row],[Score 2]]&gt;=3, May_2025_SotM[[#This Row],[Song 2]], "TBD")))</f>
        <v>So Good</v>
      </c>
      <c r="Q79" s="193">
        <f>COUNTIF(May_2025_SotM[[#This Row],[H ]:[J ]],"x")</f>
        <v>3</v>
      </c>
      <c r="R79" s="105" t="str">
        <f ca="1">IF(May_2025_SotM[[#This Row],[Num]]&gt;=$A$76, "-", IF(May_2025_SotM[[#This Row],[Initial 2]], VLOOKUP(May_2025_SotM[[#This Row],[Low Seed]], $Z$77:$AE$93, 6, FALSE), OFFSET(May_2025_SotM[[#This Row],[Winner]], 2*(May_2025_SotM[[#This Row],[Max Seed]]-May_2025_SotM[[#This Row],[Low Seed]])+1, 0)))</f>
        <v>So Good</v>
      </c>
      <c r="S79" s="37"/>
      <c r="T79" s="35" t="s">
        <v>4191</v>
      </c>
      <c r="U79" s="33" t="s">
        <v>4191</v>
      </c>
      <c r="V79" s="31" t="s">
        <v>4191</v>
      </c>
      <c r="W79" s="28"/>
      <c r="X79" s="112" t="str">
        <f ca="1">IF(OR(May_2025_SotM[[#This Row],[Song 1]]="TBD", May_2025_SotM[[#This Row],[Song 2]]="TBD"), "TBD", _xlfn.CONCAT(IF(_xlfn.XOR(ISBLANK(May_2025_SotM[[#This Row],[J]]), ISBLANK(May_2025_SotM[[#This Row],[J ]])), "", "J "), IF(_xlfn.XOR(ISBLANK(May_2025_SotM[[#This Row],[D]]), ISBLANK(May_2025_SotM[[#This Row],[D ]])), "", "D "), IF(_xlfn.XOR(ISBLANK(May_2025_SotM[[#This Row],[L]]), ISBLANK(May_2025_SotM[[#This Row],[L ]])), "", "L "), IF(_xlfn.XOR(ISBLANK(May_2025_SotM[[#This Row],[S]]), ISBLANK(May_2025_SotM[[#This Row],[S ]])), "", "S "), IF(_xlfn.XOR(ISBLANK(May_2025_SotM[[#This Row],[H]]), ISBLANK(May_2025_SotM[[#This Row],[H ]])), "", "H ")))</f>
        <v/>
      </c>
      <c r="Z79" s="109">
        <f t="shared" si="23"/>
        <v>5</v>
      </c>
      <c r="AA79" s="59">
        <v>45783</v>
      </c>
      <c r="AB79" t="str">
        <v>loganworsdell</v>
      </c>
      <c r="AC79" s="3">
        <v>2.2000000000000002</v>
      </c>
      <c r="AD79">
        <v>0.74833147735478833</v>
      </c>
      <c r="AE79" t="str">
        <v>venus fly trap</v>
      </c>
      <c r="AF79" t="str">
        <v>brakence</v>
      </c>
      <c r="AG79" s="100">
        <f t="shared" si="22"/>
        <v>5</v>
      </c>
      <c r="AI79" s="115">
        <f>May_2025_SotM[[#This Row],[Max Seed]]/2 + 1</f>
        <v>3</v>
      </c>
      <c r="AJ79" s="105" t="str">
        <f ca="1">IF(May_2025_SotM[[#This Row],[Num]]&gt;=$A$76, "-", IF(May_2025_SotM[[#This Row],[Score 1]]&gt;=3, May_2025_SotM[[#This Row],[Song 2]], IF(May_2025_SotM[[#This Row],[Score 2]]&gt;=3, May_2025_SotM[[#This Row],[Song 1]], "TBD")))</f>
        <v>After Midnight</v>
      </c>
      <c r="AK79" s="246">
        <f ca="1">IFERROR(VLOOKUP(May_2025_Results[[#This Row],[Song Title]], $AE$77:$AG$93, 3, FALSE)-May_2025_Results[[#This Row],[Result]], "TBD")</f>
        <v>2</v>
      </c>
      <c r="AL79" s="246" t="str">
        <f t="shared" ref="AL79:AL93" ca="1" si="24">IF(AK79&lt;0,"↓",IF(AK79=0,"-","↑"))</f>
        <v>↑</v>
      </c>
    </row>
    <row r="80" spans="1:38">
      <c r="A80" s="197" t="str">
        <f>_xlfn.CONCAT("Seed ", May_2025_SotM[[#This Row],[Top Seed]], " vs ",May_2025_SotM[[#This Row],[Low Seed]])</f>
        <v>Seed 1 vs 4</v>
      </c>
      <c r="B80" s="115">
        <v>3</v>
      </c>
      <c r="C80" s="105">
        <f>FLOOR(LOG(May_2025_SotM[[#This Row],[Num]], 2), 1)</f>
        <v>1</v>
      </c>
      <c r="D80" s="105">
        <f>2^(May_2025_SotM[[#This Row],[Round]]+1)</f>
        <v>4</v>
      </c>
      <c r="E80" s="105">
        <f>May_2025_SotM[[#This Row],[Max Seed]]-May_2025_SotM[[#This Row],[Num]]</f>
        <v>1</v>
      </c>
      <c r="F80" s="105">
        <f>May_2025_SotM[[#This Row],[Max Seed]]-May_2025_SotM[[#This Row],[Top Seed]]+1</f>
        <v>4</v>
      </c>
      <c r="G80" s="105" t="b">
        <f>IF(May_2025_SotM[[#This Row],[Round]]=$C$76, TRUE(), IF(May_2025_SotM[[#This Row],[Round]]=$B$76, May_2025_SotM[[#This Row],[Top Seed]]&lt;=2*May_2025_SotM[[#This Row],[Max Seed]]-$A$76, FALSE()))</f>
        <v>0</v>
      </c>
      <c r="H80" s="105" t="b">
        <f>IF(May_2025_SotM[[#This Row],[Round]]=$C$76, TRUE(), IF(May_2025_SotM[[#This Row],[Round]]=$B$76, May_2025_SotM[[#This Row],[Low Seed]]&lt;=2*May_2025_SotM[[#This Row],[Max Seed]]-$A$76, FALSE()))</f>
        <v>0</v>
      </c>
      <c r="I80" s="28"/>
      <c r="J80" s="31" t="s">
        <v>4191</v>
      </c>
      <c r="K80" s="33" t="s">
        <v>4191</v>
      </c>
      <c r="L80" s="35" t="s">
        <v>4191</v>
      </c>
      <c r="M80" s="37"/>
      <c r="N80" s="192" t="str">
        <f ca="1">IF(May_2025_SotM[[#This Row],[Num]]&gt;=$A$76, "-", IF(May_2025_SotM[[#This Row],[Initial 1]], VLOOKUP(May_2025_SotM[[#This Row],[Top Seed]], $Z$77:$AE$93, 6, FALSE), OFFSET(May_2025_SotM[[#This Row],[Winner]], May_2025_SotM[[#This Row],[Max Seed]], 0)))</f>
        <v>Hard Times</v>
      </c>
      <c r="O80" s="105">
        <f>COUNTIF(May_2025_SotM[[#This Row],[J]:[H]],"x")</f>
        <v>3</v>
      </c>
      <c r="P80" s="115" t="str">
        <f ca="1">IF(May_2025_SotM[[#This Row],[Num]]&gt;=$A$76, "-", IF(May_2025_SotM[[#This Row],[Score 1]]&gt;=3, May_2025_SotM[[#This Row],[Song 1]], IF(May_2025_SotM[[#This Row],[Score 2]]&gt;=3, May_2025_SotM[[#This Row],[Song 2]], "TBD")))</f>
        <v>Hard Times</v>
      </c>
      <c r="Q80" s="193">
        <f>COUNTIF(May_2025_SotM[[#This Row],[H ]:[J ]],"x")</f>
        <v>2</v>
      </c>
      <c r="R80" s="105" t="str">
        <f ca="1">IF(May_2025_SotM[[#This Row],[Num]]&gt;=$A$76, "-", IF(May_2025_SotM[[#This Row],[Initial 2]], VLOOKUP(May_2025_SotM[[#This Row],[Low Seed]], $Z$77:$AE$93, 6, FALSE), OFFSET(May_2025_SotM[[#This Row],[Winner]], 2*(May_2025_SotM[[#This Row],[Max Seed]]-May_2025_SotM[[#This Row],[Low Seed]])+1, 0)))</f>
        <v>SOUVENIR</v>
      </c>
      <c r="S80" s="37" t="s">
        <v>4191</v>
      </c>
      <c r="T80" s="35"/>
      <c r="U80" s="33"/>
      <c r="V80" s="31"/>
      <c r="W80" s="28" t="s">
        <v>4191</v>
      </c>
      <c r="X80" s="112" t="str">
        <f ca="1">IF(OR(May_2025_SotM[[#This Row],[Song 1]]="TBD", May_2025_SotM[[#This Row],[Song 2]]="TBD"), "TBD", _xlfn.CONCAT(IF(_xlfn.XOR(ISBLANK(May_2025_SotM[[#This Row],[J]]), ISBLANK(May_2025_SotM[[#This Row],[J ]])), "", "J "), IF(_xlfn.XOR(ISBLANK(May_2025_SotM[[#This Row],[D]]), ISBLANK(May_2025_SotM[[#This Row],[D ]])), "", "D "), IF(_xlfn.XOR(ISBLANK(May_2025_SotM[[#This Row],[L]]), ISBLANK(May_2025_SotM[[#This Row],[L ]])), "", "L "), IF(_xlfn.XOR(ISBLANK(May_2025_SotM[[#This Row],[S]]), ISBLANK(May_2025_SotM[[#This Row],[S ]])), "", "S "), IF(_xlfn.XOR(ISBLANK(May_2025_SotM[[#This Row],[H]]), ISBLANK(May_2025_SotM[[#This Row],[H ]])), "", "H ")))</f>
        <v/>
      </c>
      <c r="Z80" s="109">
        <f t="shared" si="23"/>
        <v>16</v>
      </c>
      <c r="AA80" s="59">
        <v>45784</v>
      </c>
      <c r="AB80" t="str">
        <v>danram</v>
      </c>
      <c r="AC80" s="3">
        <v>2.6</v>
      </c>
      <c r="AD80">
        <v>1.2</v>
      </c>
      <c r="AE80" t="str">
        <v>I Can't Win</v>
      </c>
      <c r="AF80" t="str">
        <v>The Strokes</v>
      </c>
      <c r="AG80" s="100">
        <f t="shared" si="22"/>
        <v>9</v>
      </c>
      <c r="AI80" s="115">
        <f>May_2025_SotM[[#This Row],[Max Seed]]/2 + 1</f>
        <v>3</v>
      </c>
      <c r="AJ80" s="105" t="str">
        <f ca="1">IF(May_2025_SotM[[#This Row],[Num]]&gt;=$A$76, "-", IF(May_2025_SotM[[#This Row],[Score 1]]&gt;=3, May_2025_SotM[[#This Row],[Song 2]], IF(May_2025_SotM[[#This Row],[Score 2]]&gt;=3, May_2025_SotM[[#This Row],[Song 1]], "TBD")))</f>
        <v>SOUVENIR</v>
      </c>
      <c r="AK80" s="3">
        <f ca="1">IFERROR(VLOOKUP(May_2025_Results[[#This Row],[Song Title]], $AE$77:$AG$93, 3, FALSE)-May_2025_Results[[#This Row],[Result]], "TBD")</f>
        <v>0</v>
      </c>
      <c r="AL80" s="3" t="str">
        <f t="shared" ca="1" si="24"/>
        <v>-</v>
      </c>
    </row>
    <row r="81" spans="1:38">
      <c r="A81" s="197" t="str">
        <f>_xlfn.CONCAT("Seed ", May_2025_SotM[[#This Row],[Top Seed]], " vs ",May_2025_SotM[[#This Row],[Low Seed]])</f>
        <v>Seed 4 vs 5</v>
      </c>
      <c r="B81" s="115">
        <v>4</v>
      </c>
      <c r="C81" s="105">
        <f>FLOOR(LOG(May_2025_SotM[[#This Row],[Num]], 2), 1)</f>
        <v>2</v>
      </c>
      <c r="D81" s="105">
        <f>2^(May_2025_SotM[[#This Row],[Round]]+1)</f>
        <v>8</v>
      </c>
      <c r="E81" s="105">
        <f>May_2025_SotM[[#This Row],[Max Seed]]-May_2025_SotM[[#This Row],[Num]]</f>
        <v>4</v>
      </c>
      <c r="F81" s="105">
        <f>May_2025_SotM[[#This Row],[Max Seed]]-May_2025_SotM[[#This Row],[Top Seed]]+1</f>
        <v>5</v>
      </c>
      <c r="G81" s="105" t="b">
        <f>IF(May_2025_SotM[[#This Row],[Round]]=$C$76, TRUE(), IF(May_2025_SotM[[#This Row],[Round]]=$B$76, May_2025_SotM[[#This Row],[Top Seed]]&lt;=2*May_2025_SotM[[#This Row],[Max Seed]]-$A$76, FALSE()))</f>
        <v>0</v>
      </c>
      <c r="H81" s="105" t="b">
        <f>IF(May_2025_SotM[[#This Row],[Round]]=$C$76, TRUE(), IF(May_2025_SotM[[#This Row],[Round]]=$B$76, May_2025_SotM[[#This Row],[Low Seed]]&lt;=2*May_2025_SotM[[#This Row],[Max Seed]]-$A$76, FALSE()))</f>
        <v>0</v>
      </c>
      <c r="I81" s="28" t="s">
        <v>4191</v>
      </c>
      <c r="J81" s="31"/>
      <c r="K81" s="33" t="s">
        <v>4191</v>
      </c>
      <c r="L81" s="35" t="s">
        <v>4191</v>
      </c>
      <c r="M81" s="37" t="s">
        <v>4191</v>
      </c>
      <c r="N81" s="192" t="str">
        <f ca="1">IF(May_2025_SotM[[#This Row],[Num]]&gt;=$A$76, "-", IF(May_2025_SotM[[#This Row],[Initial 1]], VLOOKUP(May_2025_SotM[[#This Row],[Top Seed]], $Z$77:$AE$93, 6, FALSE), OFFSET(May_2025_SotM[[#This Row],[Winner]], May_2025_SotM[[#This Row],[Max Seed]], 0)))</f>
        <v>SOUVENIR</v>
      </c>
      <c r="O81" s="105">
        <f>COUNTIF(May_2025_SotM[[#This Row],[J]:[H]],"x")</f>
        <v>4</v>
      </c>
      <c r="P81" s="115" t="str">
        <f ca="1">IF(May_2025_SotM[[#This Row],[Num]]&gt;=$A$76, "-", IF(May_2025_SotM[[#This Row],[Score 1]]&gt;=3, May_2025_SotM[[#This Row],[Song 1]], IF(May_2025_SotM[[#This Row],[Score 2]]&gt;=3, May_2025_SotM[[#This Row],[Song 2]], "TBD")))</f>
        <v>SOUVENIR</v>
      </c>
      <c r="Q81" s="193">
        <f>COUNTIF(May_2025_SotM[[#This Row],[H ]:[J ]],"x")</f>
        <v>1</v>
      </c>
      <c r="R81" s="105" t="str">
        <f ca="1">IF(May_2025_SotM[[#This Row],[Num]]&gt;=$A$76, "-", IF(May_2025_SotM[[#This Row],[Initial 2]], VLOOKUP(May_2025_SotM[[#This Row],[Low Seed]], $Z$77:$AE$93, 6, FALSE), OFFSET(May_2025_SotM[[#This Row],[Winner]], 2*(May_2025_SotM[[#This Row],[Max Seed]]-May_2025_SotM[[#This Row],[Low Seed]])+1, 0)))</f>
        <v>CUFF IT</v>
      </c>
      <c r="S81" s="37"/>
      <c r="T81" s="35"/>
      <c r="U81" s="33"/>
      <c r="V81" s="31" t="s">
        <v>4191</v>
      </c>
      <c r="W81" s="28"/>
      <c r="X81" s="112" t="str">
        <f ca="1">IF(OR(May_2025_SotM[[#This Row],[Song 1]]="TBD", May_2025_SotM[[#This Row],[Song 2]]="TBD"), "TBD", _xlfn.CONCAT(IF(_xlfn.XOR(ISBLANK(May_2025_SotM[[#This Row],[J]]), ISBLANK(May_2025_SotM[[#This Row],[J ]])), "", "J "), IF(_xlfn.XOR(ISBLANK(May_2025_SotM[[#This Row],[D]]), ISBLANK(May_2025_SotM[[#This Row],[D ]])), "", "D "), IF(_xlfn.XOR(ISBLANK(May_2025_SotM[[#This Row],[L]]), ISBLANK(May_2025_SotM[[#This Row],[L ]])), "", "L "), IF(_xlfn.XOR(ISBLANK(May_2025_SotM[[#This Row],[S]]), ISBLANK(May_2025_SotM[[#This Row],[S ]])), "", "S "), IF(_xlfn.XOR(ISBLANK(May_2025_SotM[[#This Row],[H]]), ISBLANK(May_2025_SotM[[#This Row],[H ]])), "", "H ")))</f>
        <v/>
      </c>
      <c r="Z81" s="109">
        <f t="shared" si="23"/>
        <v>13</v>
      </c>
      <c r="AA81" s="59">
        <v>45785</v>
      </c>
      <c r="AB81" t="str">
        <v>alappatjoe</v>
      </c>
      <c r="AC81" s="3">
        <v>2.4</v>
      </c>
      <c r="AD81">
        <v>1.2</v>
      </c>
      <c r="AE81" t="str">
        <v>Right Round</v>
      </c>
      <c r="AF81" t="str">
        <v>Flo Rida, Kesha</v>
      </c>
      <c r="AG81" s="100">
        <f t="shared" si="22"/>
        <v>9</v>
      </c>
      <c r="AI81" s="115">
        <f>May_2025_SotM[[#This Row],[Max Seed]]/2 + 1</f>
        <v>5</v>
      </c>
      <c r="AJ81" s="105" t="str">
        <f ca="1">IF(May_2025_SotM[[#This Row],[Num]]&gt;=$A$76, "-", IF(May_2025_SotM[[#This Row],[Score 1]]&gt;=3, May_2025_SotM[[#This Row],[Song 2]], IF(May_2025_SotM[[#This Row],[Score 2]]&gt;=3, May_2025_SotM[[#This Row],[Song 1]], "TBD")))</f>
        <v>CUFF IT</v>
      </c>
      <c r="AK81" s="3">
        <f ca="1">IFERROR(VLOOKUP(May_2025_Results[[#This Row],[Song Title]], $AE$77:$AG$93, 3, FALSE)-May_2025_Results[[#This Row],[Result]], "TBD")</f>
        <v>4</v>
      </c>
      <c r="AL81" s="3" t="str">
        <f t="shared" ca="1" si="24"/>
        <v>↑</v>
      </c>
    </row>
    <row r="82" spans="1:38">
      <c r="A82" s="197" t="str">
        <f>_xlfn.CONCAT("Seed ", May_2025_SotM[[#This Row],[Top Seed]], " vs ",May_2025_SotM[[#This Row],[Low Seed]])</f>
        <v>Seed 3 vs 6</v>
      </c>
      <c r="B82" s="115">
        <v>5</v>
      </c>
      <c r="C82" s="105">
        <f>FLOOR(LOG(May_2025_SotM[[#This Row],[Num]], 2), 1)</f>
        <v>2</v>
      </c>
      <c r="D82" s="105">
        <f>2^(May_2025_SotM[[#This Row],[Round]]+1)</f>
        <v>8</v>
      </c>
      <c r="E82" s="105">
        <f>May_2025_SotM[[#This Row],[Max Seed]]-May_2025_SotM[[#This Row],[Num]]</f>
        <v>3</v>
      </c>
      <c r="F82" s="105">
        <f>May_2025_SotM[[#This Row],[Max Seed]]-May_2025_SotM[[#This Row],[Top Seed]]+1</f>
        <v>6</v>
      </c>
      <c r="G82" s="105" t="b">
        <f>IF(May_2025_SotM[[#This Row],[Round]]=$C$76, TRUE(), IF(May_2025_SotM[[#This Row],[Round]]=$B$76, May_2025_SotM[[#This Row],[Top Seed]]&lt;=2*May_2025_SotM[[#This Row],[Max Seed]]-$A$76, FALSE()))</f>
        <v>0</v>
      </c>
      <c r="H82" s="105" t="b">
        <f>IF(May_2025_SotM[[#This Row],[Round]]=$C$76, TRUE(), IF(May_2025_SotM[[#This Row],[Round]]=$B$76, May_2025_SotM[[#This Row],[Low Seed]]&lt;=2*May_2025_SotM[[#This Row],[Max Seed]]-$A$76, FALSE()))</f>
        <v>0</v>
      </c>
      <c r="I82" s="28" t="s">
        <v>4191</v>
      </c>
      <c r="J82" s="31"/>
      <c r="K82" s="33"/>
      <c r="L82" s="35"/>
      <c r="M82" s="37" t="s">
        <v>4191</v>
      </c>
      <c r="N82" s="192" t="str">
        <f ca="1">IF(May_2025_SotM[[#This Row],[Num]]&gt;=$A$76, "-", IF(May_2025_SotM[[#This Row],[Initial 1]], VLOOKUP(May_2025_SotM[[#This Row],[Top Seed]], $Z$77:$AE$93, 6, FALSE), OFFSET(May_2025_SotM[[#This Row],[Winner]], May_2025_SotM[[#This Row],[Max Seed]], 0)))</f>
        <v>It's Not Design</v>
      </c>
      <c r="O82" s="105">
        <f>COUNTIF(May_2025_SotM[[#This Row],[J]:[H]],"x")</f>
        <v>2</v>
      </c>
      <c r="P82" s="115" t="str">
        <f ca="1">IF(May_2025_SotM[[#This Row],[Num]]&gt;=$A$76, "-", IF(May_2025_SotM[[#This Row],[Score 1]]&gt;=3, May_2025_SotM[[#This Row],[Song 1]], IF(May_2025_SotM[[#This Row],[Score 2]]&gt;=3, May_2025_SotM[[#This Row],[Song 2]], "TBD")))</f>
        <v>So Good</v>
      </c>
      <c r="Q82" s="193">
        <f>COUNTIF(May_2025_SotM[[#This Row],[H ]:[J ]],"x")</f>
        <v>3</v>
      </c>
      <c r="R82" s="105" t="str">
        <f ca="1">IF(May_2025_SotM[[#This Row],[Num]]&gt;=$A$76, "-", IF(May_2025_SotM[[#This Row],[Initial 2]], VLOOKUP(May_2025_SotM[[#This Row],[Low Seed]], $Z$77:$AE$93, 6, FALSE), OFFSET(May_2025_SotM[[#This Row],[Winner]], 2*(May_2025_SotM[[#This Row],[Max Seed]]-May_2025_SotM[[#This Row],[Low Seed]])+1, 0)))</f>
        <v>So Good</v>
      </c>
      <c r="S82" s="37"/>
      <c r="T82" s="35" t="s">
        <v>4191</v>
      </c>
      <c r="U82" s="33" t="s">
        <v>4191</v>
      </c>
      <c r="V82" s="31" t="s">
        <v>4191</v>
      </c>
      <c r="W82" s="28"/>
      <c r="X82" s="112" t="str">
        <f ca="1">IF(OR(May_2025_SotM[[#This Row],[Song 1]]="TBD", May_2025_SotM[[#This Row],[Song 2]]="TBD"), "TBD", _xlfn.CONCAT(IF(_xlfn.XOR(ISBLANK(May_2025_SotM[[#This Row],[J]]), ISBLANK(May_2025_SotM[[#This Row],[J ]])), "", "J "), IF(_xlfn.XOR(ISBLANK(May_2025_SotM[[#This Row],[D]]), ISBLANK(May_2025_SotM[[#This Row],[D ]])), "", "D "), IF(_xlfn.XOR(ISBLANK(May_2025_SotM[[#This Row],[L]]), ISBLANK(May_2025_SotM[[#This Row],[L ]])), "", "L "), IF(_xlfn.XOR(ISBLANK(May_2025_SotM[[#This Row],[S]]), ISBLANK(May_2025_SotM[[#This Row],[S ]])), "", "S "), IF(_xlfn.XOR(ISBLANK(May_2025_SotM[[#This Row],[H]]), ISBLANK(May_2025_SotM[[#This Row],[H ]])), "", "H ")))</f>
        <v/>
      </c>
      <c r="Z82" s="109">
        <f t="shared" si="23"/>
        <v>14</v>
      </c>
      <c r="AA82" s="59">
        <v>45789</v>
      </c>
      <c r="AB82" t="str">
        <v>samuelbattista</v>
      </c>
      <c r="AC82" s="3">
        <v>2.6</v>
      </c>
      <c r="AD82">
        <v>0.8</v>
      </c>
      <c r="AE82" t="str">
        <v>Fire Escape</v>
      </c>
      <c r="AF82" t="str">
        <v>Tyson Motsenbocker</v>
      </c>
      <c r="AG82" s="100">
        <f t="shared" si="22"/>
        <v>9</v>
      </c>
      <c r="AI82" s="115">
        <f>May_2025_SotM[[#This Row],[Max Seed]]/2 + 1</f>
        <v>5</v>
      </c>
      <c r="AJ82" s="105" t="str">
        <f ca="1">IF(May_2025_SotM[[#This Row],[Num]]&gt;=$A$76, "-", IF(May_2025_SotM[[#This Row],[Score 1]]&gt;=3, May_2025_SotM[[#This Row],[Song 2]], IF(May_2025_SotM[[#This Row],[Score 2]]&gt;=3, May_2025_SotM[[#This Row],[Song 1]], "TBD")))</f>
        <v>It's Not Design</v>
      </c>
      <c r="AK82" s="3">
        <f ca="1">IFERROR(VLOOKUP(May_2025_Results[[#This Row],[Song Title]], $AE$77:$AG$93, 3, FALSE)-May_2025_Results[[#This Row],[Result]], "TBD")</f>
        <v>-2</v>
      </c>
      <c r="AL82" s="3" t="str">
        <f t="shared" ca="1" si="24"/>
        <v>↓</v>
      </c>
    </row>
    <row r="83" spans="1:38">
      <c r="A83" s="197" t="str">
        <f>_xlfn.CONCAT("Seed ", May_2025_SotM[[#This Row],[Top Seed]], " vs ",May_2025_SotM[[#This Row],[Low Seed]])</f>
        <v>Seed 2 vs 7</v>
      </c>
      <c r="B83" s="115">
        <v>6</v>
      </c>
      <c r="C83" s="105">
        <f>FLOOR(LOG(May_2025_SotM[[#This Row],[Num]], 2), 1)</f>
        <v>2</v>
      </c>
      <c r="D83" s="105">
        <f>2^(May_2025_SotM[[#This Row],[Round]]+1)</f>
        <v>8</v>
      </c>
      <c r="E83" s="105">
        <f>May_2025_SotM[[#This Row],[Max Seed]]-May_2025_SotM[[#This Row],[Num]]</f>
        <v>2</v>
      </c>
      <c r="F83" s="105">
        <f>May_2025_SotM[[#This Row],[Max Seed]]-May_2025_SotM[[#This Row],[Top Seed]]+1</f>
        <v>7</v>
      </c>
      <c r="G83" s="105" t="b">
        <f>IF(May_2025_SotM[[#This Row],[Round]]=$C$76, TRUE(), IF(May_2025_SotM[[#This Row],[Round]]=$B$76, May_2025_SotM[[#This Row],[Top Seed]]&lt;=2*May_2025_SotM[[#This Row],[Max Seed]]-$A$76, FALSE()))</f>
        <v>0</v>
      </c>
      <c r="H83" s="105" t="b">
        <f>IF(May_2025_SotM[[#This Row],[Round]]=$C$76, TRUE(), IF(May_2025_SotM[[#This Row],[Round]]=$B$76, May_2025_SotM[[#This Row],[Low Seed]]&lt;=2*May_2025_SotM[[#This Row],[Max Seed]]-$A$76, FALSE()))</f>
        <v>0</v>
      </c>
      <c r="I83" s="28"/>
      <c r="J83" s="31"/>
      <c r="K83" s="33"/>
      <c r="L83" s="35"/>
      <c r="M83" s="37"/>
      <c r="N83" s="192" t="str">
        <f ca="1">IF(May_2025_SotM[[#This Row],[Num]]&gt;=$A$76, "-", IF(May_2025_SotM[[#This Row],[Initial 1]], VLOOKUP(May_2025_SotM[[#This Row],[Top Seed]], $Z$77:$AE$93, 6, FALSE), OFFSET(May_2025_SotM[[#This Row],[Winner]], May_2025_SotM[[#This Row],[Max Seed]], 0)))</f>
        <v>Thru These Tears</v>
      </c>
      <c r="O83" s="105">
        <f>COUNTIF(May_2025_SotM[[#This Row],[J]:[H]],"x")</f>
        <v>0</v>
      </c>
      <c r="P83" s="115" t="str">
        <f ca="1">IF(May_2025_SotM[[#This Row],[Num]]&gt;=$A$76, "-", IF(May_2025_SotM[[#This Row],[Score 1]]&gt;=3, May_2025_SotM[[#This Row],[Song 1]], IF(May_2025_SotM[[#This Row],[Score 2]]&gt;=3, May_2025_SotM[[#This Row],[Song 2]], "TBD")))</f>
        <v>After Midnight</v>
      </c>
      <c r="Q83" s="193">
        <f>COUNTIF(May_2025_SotM[[#This Row],[H ]:[J ]],"x")</f>
        <v>5</v>
      </c>
      <c r="R83" s="105" t="str">
        <f ca="1">IF(May_2025_SotM[[#This Row],[Num]]&gt;=$A$76, "-", IF(May_2025_SotM[[#This Row],[Initial 2]], VLOOKUP(May_2025_SotM[[#This Row],[Low Seed]], $Z$77:$AE$93, 6, FALSE), OFFSET(May_2025_SotM[[#This Row],[Winner]], 2*(May_2025_SotM[[#This Row],[Max Seed]]-May_2025_SotM[[#This Row],[Low Seed]])+1, 0)))</f>
        <v>After Midnight</v>
      </c>
      <c r="S83" s="37" t="s">
        <v>4191</v>
      </c>
      <c r="T83" s="35" t="s">
        <v>4191</v>
      </c>
      <c r="U83" s="33" t="s">
        <v>4191</v>
      </c>
      <c r="V83" s="31" t="s">
        <v>4191</v>
      </c>
      <c r="W83" s="28" t="s">
        <v>4191</v>
      </c>
      <c r="X83" s="112" t="str">
        <f ca="1">IF(OR(May_2025_SotM[[#This Row],[Song 1]]="TBD", May_2025_SotM[[#This Row],[Song 2]]="TBD"), "TBD", _xlfn.CONCAT(IF(_xlfn.XOR(ISBLANK(May_2025_SotM[[#This Row],[J]]), ISBLANK(May_2025_SotM[[#This Row],[J ]])), "", "J "), IF(_xlfn.XOR(ISBLANK(May_2025_SotM[[#This Row],[D]]), ISBLANK(May_2025_SotM[[#This Row],[D ]])), "", "D "), IF(_xlfn.XOR(ISBLANK(May_2025_SotM[[#This Row],[L]]), ISBLANK(May_2025_SotM[[#This Row],[L ]])), "", "L "), IF(_xlfn.XOR(ISBLANK(May_2025_SotM[[#This Row],[S]]), ISBLANK(May_2025_SotM[[#This Row],[S ]])), "", "S "), IF(_xlfn.XOR(ISBLANK(May_2025_SotM[[#This Row],[H]]), ISBLANK(May_2025_SotM[[#This Row],[H ]])), "", "H ")))</f>
        <v/>
      </c>
      <c r="Z83" s="109">
        <f t="shared" si="23"/>
        <v>6</v>
      </c>
      <c r="AA83" s="59">
        <v>45790</v>
      </c>
      <c r="AB83" t="str">
        <v>loganworsdell</v>
      </c>
      <c r="AC83" s="3">
        <v>2.2000000000000002</v>
      </c>
      <c r="AD83">
        <v>0.74833147735478833</v>
      </c>
      <c r="AE83" t="str">
        <v>So Good</v>
      </c>
      <c r="AF83" t="str">
        <v>Weston Estate</v>
      </c>
      <c r="AG83" s="100">
        <f t="shared" si="22"/>
        <v>5</v>
      </c>
      <c r="AI83" s="115">
        <f>May_2025_SotM[[#This Row],[Max Seed]]/2 + 1</f>
        <v>5</v>
      </c>
      <c r="AJ83" s="105" t="str">
        <f ca="1">IF(May_2025_SotM[[#This Row],[Num]]&gt;=$A$76, "-", IF(May_2025_SotM[[#This Row],[Score 1]]&gt;=3, May_2025_SotM[[#This Row],[Song 2]], IF(May_2025_SotM[[#This Row],[Score 2]]&gt;=3, May_2025_SotM[[#This Row],[Song 1]], "TBD")))</f>
        <v>Thru These Tears</v>
      </c>
      <c r="AK83" s="3">
        <f ca="1">IFERROR(VLOOKUP(May_2025_Results[[#This Row],[Song Title]], $AE$77:$AG$93, 3, FALSE)-May_2025_Results[[#This Row],[Result]], "TBD")</f>
        <v>-3</v>
      </c>
      <c r="AL83" s="3" t="str">
        <f t="shared" ca="1" si="24"/>
        <v>↓</v>
      </c>
    </row>
    <row r="84" spans="1:38">
      <c r="A84" s="197" t="str">
        <f>_xlfn.CONCAT("Seed ", May_2025_SotM[[#This Row],[Top Seed]], " vs ",May_2025_SotM[[#This Row],[Low Seed]])</f>
        <v>Seed 1 vs 8</v>
      </c>
      <c r="B84" s="115">
        <v>7</v>
      </c>
      <c r="C84" s="105">
        <f>FLOOR(LOG(May_2025_SotM[[#This Row],[Num]], 2), 1)</f>
        <v>2</v>
      </c>
      <c r="D84" s="105">
        <f>2^(May_2025_SotM[[#This Row],[Round]]+1)</f>
        <v>8</v>
      </c>
      <c r="E84" s="105">
        <f>May_2025_SotM[[#This Row],[Max Seed]]-May_2025_SotM[[#This Row],[Num]]</f>
        <v>1</v>
      </c>
      <c r="F84" s="105">
        <f>May_2025_SotM[[#This Row],[Max Seed]]-May_2025_SotM[[#This Row],[Top Seed]]+1</f>
        <v>8</v>
      </c>
      <c r="G84" s="105" t="b">
        <f>IF(May_2025_SotM[[#This Row],[Round]]=$C$76, TRUE(), IF(May_2025_SotM[[#This Row],[Round]]=$B$76, May_2025_SotM[[#This Row],[Top Seed]]&lt;=2*May_2025_SotM[[#This Row],[Max Seed]]-$A$76, FALSE()))</f>
        <v>0</v>
      </c>
      <c r="H84" s="105" t="b">
        <f>IF(May_2025_SotM[[#This Row],[Round]]=$C$76, TRUE(), IF(May_2025_SotM[[#This Row],[Round]]=$B$76, May_2025_SotM[[#This Row],[Low Seed]]&lt;=2*May_2025_SotM[[#This Row],[Max Seed]]-$A$76, FALSE()))</f>
        <v>0</v>
      </c>
      <c r="I84" s="28" t="s">
        <v>4191</v>
      </c>
      <c r="J84" s="31"/>
      <c r="K84" s="33"/>
      <c r="L84" s="35"/>
      <c r="M84" s="37" t="s">
        <v>4191</v>
      </c>
      <c r="N84" s="192" t="str">
        <f ca="1">IF(May_2025_SotM[[#This Row],[Num]]&gt;=$A$76, "-", IF(May_2025_SotM[[#This Row],[Initial 1]], VLOOKUP(May_2025_SotM[[#This Row],[Top Seed]], $Z$77:$AE$93, 6, FALSE), OFFSET(May_2025_SotM[[#This Row],[Winner]], May_2025_SotM[[#This Row],[Max Seed]], 0)))</f>
        <v>BLACK MEMORY</v>
      </c>
      <c r="O84" s="105">
        <f>COUNTIF(May_2025_SotM[[#This Row],[J]:[H]],"x")</f>
        <v>2</v>
      </c>
      <c r="P84" s="115" t="str">
        <f ca="1">IF(May_2025_SotM[[#This Row],[Num]]&gt;=$A$76, "-", IF(May_2025_SotM[[#This Row],[Score 1]]&gt;=3, May_2025_SotM[[#This Row],[Song 1]], IF(May_2025_SotM[[#This Row],[Score 2]]&gt;=3, May_2025_SotM[[#This Row],[Song 2]], "TBD")))</f>
        <v>Hard Times</v>
      </c>
      <c r="Q84" s="193">
        <f>COUNTIF(May_2025_SotM[[#This Row],[H ]:[J ]],"x")</f>
        <v>3</v>
      </c>
      <c r="R84" s="105" t="str">
        <f ca="1">IF(May_2025_SotM[[#This Row],[Num]]&gt;=$A$76, "-", IF(May_2025_SotM[[#This Row],[Initial 2]], VLOOKUP(May_2025_SotM[[#This Row],[Low Seed]], $Z$77:$AE$93, 6, FALSE), OFFSET(May_2025_SotM[[#This Row],[Winner]], 2*(May_2025_SotM[[#This Row],[Max Seed]]-May_2025_SotM[[#This Row],[Low Seed]])+1, 0)))</f>
        <v>Hard Times</v>
      </c>
      <c r="S84" s="37"/>
      <c r="T84" s="35" t="s">
        <v>4191</v>
      </c>
      <c r="U84" s="33" t="s">
        <v>4191</v>
      </c>
      <c r="V84" s="31" t="s">
        <v>4191</v>
      </c>
      <c r="W84" s="28"/>
      <c r="X84" s="112" t="str">
        <f ca="1">IF(OR(May_2025_SotM[[#This Row],[Song 1]]="TBD", May_2025_SotM[[#This Row],[Song 2]]="TBD"), "TBD", _xlfn.CONCAT(IF(_xlfn.XOR(ISBLANK(May_2025_SotM[[#This Row],[J]]), ISBLANK(May_2025_SotM[[#This Row],[J ]])), "", "J "), IF(_xlfn.XOR(ISBLANK(May_2025_SotM[[#This Row],[D]]), ISBLANK(May_2025_SotM[[#This Row],[D ]])), "", "D "), IF(_xlfn.XOR(ISBLANK(May_2025_SotM[[#This Row],[L]]), ISBLANK(May_2025_SotM[[#This Row],[L ]])), "", "L "), IF(_xlfn.XOR(ISBLANK(May_2025_SotM[[#This Row],[S]]), ISBLANK(May_2025_SotM[[#This Row],[S ]])), "", "S "), IF(_xlfn.XOR(ISBLANK(May_2025_SotM[[#This Row],[H]]), ISBLANK(May_2025_SotM[[#This Row],[H ]])), "", "H ")))</f>
        <v/>
      </c>
      <c r="Z84" s="109">
        <f t="shared" si="23"/>
        <v>11</v>
      </c>
      <c r="AA84" s="59">
        <v>45791</v>
      </c>
      <c r="AB84" t="str">
        <v>loganworsdell</v>
      </c>
      <c r="AC84" s="3">
        <v>2.4</v>
      </c>
      <c r="AD84">
        <v>0.8</v>
      </c>
      <c r="AE84" t="str">
        <v>Houston</v>
      </c>
      <c r="AF84" t="str">
        <v>Jean Dawson</v>
      </c>
      <c r="AG84" s="100">
        <f t="shared" si="22"/>
        <v>9</v>
      </c>
      <c r="AI84" s="115">
        <f>May_2025_SotM[[#This Row],[Max Seed]]/2 + 1</f>
        <v>5</v>
      </c>
      <c r="AJ84" s="105" t="str">
        <f ca="1">IF(May_2025_SotM[[#This Row],[Num]]&gt;=$A$76, "-", IF(May_2025_SotM[[#This Row],[Score 1]]&gt;=3, May_2025_SotM[[#This Row],[Song 2]], IF(May_2025_SotM[[#This Row],[Score 2]]&gt;=3, May_2025_SotM[[#This Row],[Song 1]], "TBD")))</f>
        <v>BLACK MEMORY</v>
      </c>
      <c r="AK84" s="3">
        <f ca="1">IFERROR(VLOOKUP(May_2025_Results[[#This Row],[Song Title]], $AE$77:$AG$93, 3, FALSE)-May_2025_Results[[#This Row],[Result]], "TBD")</f>
        <v>-4</v>
      </c>
      <c r="AL84" s="3" t="str">
        <f t="shared" ca="1" si="24"/>
        <v>↓</v>
      </c>
    </row>
    <row r="85" spans="1:38">
      <c r="A85" s="197" t="str">
        <f>_xlfn.CONCAT("Seed ", May_2025_SotM[[#This Row],[Top Seed]], " vs ",May_2025_SotM[[#This Row],[Low Seed]])</f>
        <v>Seed 8 vs 9</v>
      </c>
      <c r="B85" s="115">
        <v>8</v>
      </c>
      <c r="C85" s="105">
        <f>FLOOR(LOG(May_2025_SotM[[#This Row],[Num]], 2), 1)</f>
        <v>3</v>
      </c>
      <c r="D85" s="105">
        <f>2^(May_2025_SotM[[#This Row],[Round]]+1)</f>
        <v>16</v>
      </c>
      <c r="E85" s="105">
        <f>May_2025_SotM[[#This Row],[Max Seed]]-May_2025_SotM[[#This Row],[Num]]</f>
        <v>8</v>
      </c>
      <c r="F85" s="105">
        <f>May_2025_SotM[[#This Row],[Max Seed]]-May_2025_SotM[[#This Row],[Top Seed]]+1</f>
        <v>9</v>
      </c>
      <c r="G85" s="105" t="b">
        <f>IF(May_2025_SotM[[#This Row],[Round]]=$C$76, TRUE(), IF(May_2025_SotM[[#This Row],[Round]]=$B$76, May_2025_SotM[[#This Row],[Top Seed]]&lt;=2*May_2025_SotM[[#This Row],[Max Seed]]-$A$76, FALSE()))</f>
        <v>1</v>
      </c>
      <c r="H85" s="105" t="b">
        <f>IF(May_2025_SotM[[#This Row],[Round]]=$C$76, TRUE(), IF(May_2025_SotM[[#This Row],[Round]]=$B$76, May_2025_SotM[[#This Row],[Low Seed]]&lt;=2*May_2025_SotM[[#This Row],[Max Seed]]-$A$76, FALSE()))</f>
        <v>1</v>
      </c>
      <c r="I85" s="28" t="s">
        <v>4191</v>
      </c>
      <c r="J85" s="31" t="s">
        <v>4191</v>
      </c>
      <c r="K85" s="33" t="s">
        <v>4191</v>
      </c>
      <c r="L85" s="35" t="s">
        <v>4191</v>
      </c>
      <c r="M85" s="37" t="s">
        <v>4191</v>
      </c>
      <c r="N85" s="192" t="str">
        <f ca="1">IF(May_2025_SotM[[#This Row],[Num]]&gt;=$A$76, "-", IF(May_2025_SotM[[#This Row],[Initial 1]], VLOOKUP(May_2025_SotM[[#This Row],[Top Seed]], $Z$77:$AE$93, 6, FALSE), OFFSET(May_2025_SotM[[#This Row],[Winner]], May_2025_SotM[[#This Row],[Max Seed]], 0)))</f>
        <v>Hard Times</v>
      </c>
      <c r="O85" s="105">
        <f>COUNTIF(May_2025_SotM[[#This Row],[J]:[H]],"x")</f>
        <v>5</v>
      </c>
      <c r="P85" s="115" t="str">
        <f ca="1">IF(May_2025_SotM[[#This Row],[Num]]&gt;=$A$76, "-", IF(May_2025_SotM[[#This Row],[Score 1]]&gt;=3, May_2025_SotM[[#This Row],[Song 1]], IF(May_2025_SotM[[#This Row],[Score 2]]&gt;=3, May_2025_SotM[[#This Row],[Song 2]], "TBD")))</f>
        <v>Hard Times</v>
      </c>
      <c r="Q85" s="193">
        <f>COUNTIF(May_2025_SotM[[#This Row],[H ]:[J ]],"x")</f>
        <v>0</v>
      </c>
      <c r="R85" s="105" t="str">
        <f ca="1">IF(May_2025_SotM[[#This Row],[Num]]&gt;=$A$76, "-", IF(May_2025_SotM[[#This Row],[Initial 2]], VLOOKUP(May_2025_SotM[[#This Row],[Low Seed]], $Z$77:$AE$93, 6, FALSE), OFFSET(May_2025_SotM[[#This Row],[Winner]], 2*(May_2025_SotM[[#This Row],[Max Seed]]-May_2025_SotM[[#This Row],[Low Seed]])+1, 0)))</f>
        <v>No Rain, No Flowers</v>
      </c>
      <c r="S85" s="37"/>
      <c r="T85" s="35"/>
      <c r="U85" s="33"/>
      <c r="V85" s="31"/>
      <c r="W85" s="28"/>
      <c r="X85" s="112" t="str">
        <f ca="1">IF(OR(May_2025_SotM[[#This Row],[Song 1]]="TBD", May_2025_SotM[[#This Row],[Song 2]]="TBD"), "TBD", _xlfn.CONCAT(IF(_xlfn.XOR(ISBLANK(May_2025_SotM[[#This Row],[J]]), ISBLANK(May_2025_SotM[[#This Row],[J ]])), "", "J "), IF(_xlfn.XOR(ISBLANK(May_2025_SotM[[#This Row],[D]]), ISBLANK(May_2025_SotM[[#This Row],[D ]])), "", "D "), IF(_xlfn.XOR(ISBLANK(May_2025_SotM[[#This Row],[L]]), ISBLANK(May_2025_SotM[[#This Row],[L ]])), "", "L "), IF(_xlfn.XOR(ISBLANK(May_2025_SotM[[#This Row],[S]]), ISBLANK(May_2025_SotM[[#This Row],[S ]])), "", "S "), IF(_xlfn.XOR(ISBLANK(May_2025_SotM[[#This Row],[H]]), ISBLANK(May_2025_SotM[[#This Row],[H ]])), "", "H ")))</f>
        <v/>
      </c>
      <c r="Z85" s="109">
        <f t="shared" si="23"/>
        <v>12</v>
      </c>
      <c r="AA85" s="59">
        <v>45792</v>
      </c>
      <c r="AB85" t="str">
        <v>alappatjoe</v>
      </c>
      <c r="AC85" s="3">
        <v>2.4</v>
      </c>
      <c r="AD85">
        <v>1.019803902718557</v>
      </c>
      <c r="AE85" t="str">
        <v>CUFF IT</v>
      </c>
      <c r="AF85" t="str">
        <v>Beyoncé</v>
      </c>
      <c r="AG85" s="100">
        <f t="shared" si="22"/>
        <v>9</v>
      </c>
      <c r="AI85" s="115">
        <f>May_2025_SotM[[#This Row],[Max Seed]]/2 + 1</f>
        <v>9</v>
      </c>
      <c r="AJ85" s="105" t="str">
        <f ca="1">IF(May_2025_SotM[[#This Row],[Num]]&gt;=$A$76, "-", IF(May_2025_SotM[[#This Row],[Score 1]]&gt;=3, May_2025_SotM[[#This Row],[Song 2]], IF(May_2025_SotM[[#This Row],[Score 2]]&gt;=3, May_2025_SotM[[#This Row],[Song 1]], "TBD")))</f>
        <v>No Rain, No Flowers</v>
      </c>
      <c r="AK85" s="3">
        <f ca="1">IFERROR(VLOOKUP(May_2025_Results[[#This Row],[Song Title]], $AE$77:$AG$93, 3, FALSE)-May_2025_Results[[#This Row],[Result]], "TBD")</f>
        <v>0</v>
      </c>
      <c r="AL85" s="3" t="str">
        <f t="shared" ca="1" si="24"/>
        <v>-</v>
      </c>
    </row>
    <row r="86" spans="1:38">
      <c r="A86" s="197" t="str">
        <f>_xlfn.CONCAT("Seed ", May_2025_SotM[[#This Row],[Top Seed]], " vs ",May_2025_SotM[[#This Row],[Low Seed]])</f>
        <v>Seed 7 vs 10</v>
      </c>
      <c r="B86" s="115">
        <v>9</v>
      </c>
      <c r="C86" s="105">
        <f>FLOOR(LOG(May_2025_SotM[[#This Row],[Num]], 2), 1)</f>
        <v>3</v>
      </c>
      <c r="D86" s="105">
        <f>2^(May_2025_SotM[[#This Row],[Round]]+1)</f>
        <v>16</v>
      </c>
      <c r="E86" s="105">
        <f>May_2025_SotM[[#This Row],[Max Seed]]-May_2025_SotM[[#This Row],[Num]]</f>
        <v>7</v>
      </c>
      <c r="F86" s="105">
        <f>May_2025_SotM[[#This Row],[Max Seed]]-May_2025_SotM[[#This Row],[Top Seed]]+1</f>
        <v>10</v>
      </c>
      <c r="G86" s="105" t="b">
        <f>IF(May_2025_SotM[[#This Row],[Round]]=$C$76, TRUE(), IF(May_2025_SotM[[#This Row],[Round]]=$B$76, May_2025_SotM[[#This Row],[Top Seed]]&lt;=2*May_2025_SotM[[#This Row],[Max Seed]]-$A$76, FALSE()))</f>
        <v>1</v>
      </c>
      <c r="H86" s="105" t="b">
        <f>IF(May_2025_SotM[[#This Row],[Round]]=$C$76, TRUE(), IF(May_2025_SotM[[#This Row],[Round]]=$B$76, May_2025_SotM[[#This Row],[Low Seed]]&lt;=2*May_2025_SotM[[#This Row],[Max Seed]]-$A$76, FALSE()))</f>
        <v>1</v>
      </c>
      <c r="I86" s="28" t="s">
        <v>4191</v>
      </c>
      <c r="J86" s="31" t="s">
        <v>4191</v>
      </c>
      <c r="K86" s="33" t="s">
        <v>4191</v>
      </c>
      <c r="L86" s="35"/>
      <c r="M86" s="37"/>
      <c r="N86" s="192" t="str">
        <f ca="1">IF(May_2025_SotM[[#This Row],[Num]]&gt;=$A$76, "-", IF(May_2025_SotM[[#This Row],[Initial 1]], VLOOKUP(May_2025_SotM[[#This Row],[Top Seed]], $Z$77:$AE$93, 6, FALSE), OFFSET(May_2025_SotM[[#This Row],[Winner]], May_2025_SotM[[#This Row],[Max Seed]], 0)))</f>
        <v>After Midnight</v>
      </c>
      <c r="O86" s="105">
        <f>COUNTIF(May_2025_SotM[[#This Row],[J]:[H]],"x")</f>
        <v>3</v>
      </c>
      <c r="P86" s="115" t="str">
        <f ca="1">IF(May_2025_SotM[[#This Row],[Num]]&gt;=$A$76, "-", IF(May_2025_SotM[[#This Row],[Score 1]]&gt;=3, May_2025_SotM[[#This Row],[Song 1]], IF(May_2025_SotM[[#This Row],[Score 2]]&gt;=3, May_2025_SotM[[#This Row],[Song 2]], "TBD")))</f>
        <v>After Midnight</v>
      </c>
      <c r="Q86" s="193">
        <f>COUNTIF(May_2025_SotM[[#This Row],[H ]:[J ]],"x")</f>
        <v>2</v>
      </c>
      <c r="R86" s="105" t="str">
        <f ca="1">IF(May_2025_SotM[[#This Row],[Num]]&gt;=$A$76, "-", IF(May_2025_SotM[[#This Row],[Initial 2]], VLOOKUP(May_2025_SotM[[#This Row],[Low Seed]], $Z$77:$AE$93, 6, FALSE), OFFSET(May_2025_SotM[[#This Row],[Winner]], 2*(May_2025_SotM[[#This Row],[Max Seed]]-May_2025_SotM[[#This Row],[Low Seed]])+1, 0)))</f>
        <v>15 Minutes</v>
      </c>
      <c r="S86" s="37" t="s">
        <v>4191</v>
      </c>
      <c r="T86" s="35" t="s">
        <v>4191</v>
      </c>
      <c r="U86" s="33"/>
      <c r="V86" s="31"/>
      <c r="W86" s="28"/>
      <c r="X86" s="112" t="str">
        <f ca="1">IF(OR(May_2025_SotM[[#This Row],[Song 1]]="TBD", May_2025_SotM[[#This Row],[Song 2]]="TBD"), "TBD", _xlfn.CONCAT(IF(_xlfn.XOR(ISBLANK(May_2025_SotM[[#This Row],[J]]), ISBLANK(May_2025_SotM[[#This Row],[J ]])), "", "J "), IF(_xlfn.XOR(ISBLANK(May_2025_SotM[[#This Row],[D]]), ISBLANK(May_2025_SotM[[#This Row],[D ]])), "", "D "), IF(_xlfn.XOR(ISBLANK(May_2025_SotM[[#This Row],[L]]), ISBLANK(May_2025_SotM[[#This Row],[L ]])), "", "L "), IF(_xlfn.XOR(ISBLANK(May_2025_SotM[[#This Row],[S]]), ISBLANK(May_2025_SotM[[#This Row],[S ]])), "", "S "), IF(_xlfn.XOR(ISBLANK(May_2025_SotM[[#This Row],[H]]), ISBLANK(May_2025_SotM[[#This Row],[H ]])), "", "H ")))</f>
        <v/>
      </c>
      <c r="Z86" s="109">
        <f t="shared" si="23"/>
        <v>1</v>
      </c>
      <c r="AA86" s="59">
        <v>45796</v>
      </c>
      <c r="AB86" t="str">
        <v>currydestroyer27</v>
      </c>
      <c r="AC86" s="3">
        <v>1.8</v>
      </c>
      <c r="AD86">
        <v>0.4</v>
      </c>
      <c r="AE86" t="str">
        <v>BLACK MEMORY</v>
      </c>
      <c r="AF86" t="str">
        <v>THE ORAL CIGARETTES</v>
      </c>
      <c r="AG86" s="100">
        <f t="shared" si="22"/>
        <v>1</v>
      </c>
      <c r="AI86" s="115">
        <f>May_2025_SotM[[#This Row],[Max Seed]]/2 + 1</f>
        <v>9</v>
      </c>
      <c r="AJ86" s="105" t="str">
        <f ca="1">IF(May_2025_SotM[[#This Row],[Num]]&gt;=$A$76, "-", IF(May_2025_SotM[[#This Row],[Score 1]]&gt;=3, May_2025_SotM[[#This Row],[Song 2]], IF(May_2025_SotM[[#This Row],[Score 2]]&gt;=3, May_2025_SotM[[#This Row],[Song 1]], "TBD")))</f>
        <v>15 Minutes</v>
      </c>
      <c r="AK86" s="3">
        <f ca="1">IFERROR(VLOOKUP(May_2025_Results[[#This Row],[Song Title]], $AE$77:$AG$93, 3, FALSE)-May_2025_Results[[#This Row],[Result]], "TBD")</f>
        <v>0</v>
      </c>
      <c r="AL86" s="3" t="str">
        <f t="shared" ca="1" si="24"/>
        <v>-</v>
      </c>
    </row>
    <row r="87" spans="1:38">
      <c r="A87" s="197" t="str">
        <f>_xlfn.CONCAT("Seed ", May_2025_SotM[[#This Row],[Top Seed]], " vs ",May_2025_SotM[[#This Row],[Low Seed]])</f>
        <v>Seed 6 vs 11</v>
      </c>
      <c r="B87" s="115">
        <v>10</v>
      </c>
      <c r="C87" s="105">
        <f>FLOOR(LOG(May_2025_SotM[[#This Row],[Num]], 2), 1)</f>
        <v>3</v>
      </c>
      <c r="D87" s="105">
        <f>2^(May_2025_SotM[[#This Row],[Round]]+1)</f>
        <v>16</v>
      </c>
      <c r="E87" s="105">
        <f>May_2025_SotM[[#This Row],[Max Seed]]-May_2025_SotM[[#This Row],[Num]]</f>
        <v>6</v>
      </c>
      <c r="F87" s="105">
        <f>May_2025_SotM[[#This Row],[Max Seed]]-May_2025_SotM[[#This Row],[Top Seed]]+1</f>
        <v>11</v>
      </c>
      <c r="G87" s="105" t="b">
        <f>IF(May_2025_SotM[[#This Row],[Round]]=$C$76, TRUE(), IF(May_2025_SotM[[#This Row],[Round]]=$B$76, May_2025_SotM[[#This Row],[Top Seed]]&lt;=2*May_2025_SotM[[#This Row],[Max Seed]]-$A$76, FALSE()))</f>
        <v>1</v>
      </c>
      <c r="H87" s="105" t="b">
        <f>IF(May_2025_SotM[[#This Row],[Round]]=$C$76, TRUE(), IF(May_2025_SotM[[#This Row],[Round]]=$B$76, May_2025_SotM[[#This Row],[Low Seed]]&lt;=2*May_2025_SotM[[#This Row],[Max Seed]]-$A$76, FALSE()))</f>
        <v>1</v>
      </c>
      <c r="I87" s="28" t="s">
        <v>4191</v>
      </c>
      <c r="J87" s="31" t="s">
        <v>4191</v>
      </c>
      <c r="K87" s="33" t="s">
        <v>4191</v>
      </c>
      <c r="L87" s="35" t="s">
        <v>4191</v>
      </c>
      <c r="M87" s="37" t="s">
        <v>4191</v>
      </c>
      <c r="N87" s="192" t="str">
        <f ca="1">IF(May_2025_SotM[[#This Row],[Num]]&gt;=$A$76, "-", IF(May_2025_SotM[[#This Row],[Initial 1]], VLOOKUP(May_2025_SotM[[#This Row],[Top Seed]], $Z$77:$AE$93, 6, FALSE), OFFSET(May_2025_SotM[[#This Row],[Winner]], May_2025_SotM[[#This Row],[Max Seed]], 0)))</f>
        <v>So Good</v>
      </c>
      <c r="O87" s="105">
        <f>COUNTIF(May_2025_SotM[[#This Row],[J]:[H]],"x")</f>
        <v>5</v>
      </c>
      <c r="P87" s="115" t="str">
        <f ca="1">IF(May_2025_SotM[[#This Row],[Num]]&gt;=$A$76, "-", IF(May_2025_SotM[[#This Row],[Score 1]]&gt;=3, May_2025_SotM[[#This Row],[Song 1]], IF(May_2025_SotM[[#This Row],[Score 2]]&gt;=3, May_2025_SotM[[#This Row],[Song 2]], "TBD")))</f>
        <v>So Good</v>
      </c>
      <c r="Q87" s="193">
        <f>COUNTIF(May_2025_SotM[[#This Row],[H ]:[J ]],"x")</f>
        <v>0</v>
      </c>
      <c r="R87" s="105" t="str">
        <f ca="1">IF(May_2025_SotM[[#This Row],[Num]]&gt;=$A$76, "-", IF(May_2025_SotM[[#This Row],[Initial 2]], VLOOKUP(May_2025_SotM[[#This Row],[Low Seed]], $Z$77:$AE$93, 6, FALSE), OFFSET(May_2025_SotM[[#This Row],[Winner]], 2*(May_2025_SotM[[#This Row],[Max Seed]]-May_2025_SotM[[#This Row],[Low Seed]])+1, 0)))</f>
        <v>Houston</v>
      </c>
      <c r="S87" s="37"/>
      <c r="T87" s="35"/>
      <c r="U87" s="33"/>
      <c r="V87" s="31"/>
      <c r="W87" s="28"/>
      <c r="X87" s="112" t="str">
        <f ca="1">IF(OR(May_2025_SotM[[#This Row],[Song 1]]="TBD", May_2025_SotM[[#This Row],[Song 2]]="TBD"), "TBD", _xlfn.CONCAT(IF(_xlfn.XOR(ISBLANK(May_2025_SotM[[#This Row],[J]]), ISBLANK(May_2025_SotM[[#This Row],[J ]])), "", "J "), IF(_xlfn.XOR(ISBLANK(May_2025_SotM[[#This Row],[D]]), ISBLANK(May_2025_SotM[[#This Row],[D ]])), "", "D "), IF(_xlfn.XOR(ISBLANK(May_2025_SotM[[#This Row],[L]]), ISBLANK(May_2025_SotM[[#This Row],[L ]])), "", "L "), IF(_xlfn.XOR(ISBLANK(May_2025_SotM[[#This Row],[S]]), ISBLANK(May_2025_SotM[[#This Row],[S ]])), "", "S "), IF(_xlfn.XOR(ISBLANK(May_2025_SotM[[#This Row],[H]]), ISBLANK(May_2025_SotM[[#This Row],[H ]])), "", "H ")))</f>
        <v/>
      </c>
      <c r="Z87" s="109">
        <f t="shared" si="23"/>
        <v>17</v>
      </c>
      <c r="AA87" s="59">
        <v>45797</v>
      </c>
      <c r="AB87" t="str">
        <v>alappatjoe</v>
      </c>
      <c r="AC87" s="3">
        <v>2.8</v>
      </c>
      <c r="AD87">
        <v>1.1661903789690602</v>
      </c>
      <c r="AE87" t="str">
        <v>Kid Charlemagne</v>
      </c>
      <c r="AF87" t="str">
        <v>Steely Dan</v>
      </c>
      <c r="AG87" s="100">
        <f t="shared" si="22"/>
        <v>17</v>
      </c>
      <c r="AI87" s="115">
        <f>May_2025_SotM[[#This Row],[Max Seed]]/2 + 1</f>
        <v>9</v>
      </c>
      <c r="AJ87" s="105" t="str">
        <f ca="1">IF(May_2025_SotM[[#This Row],[Num]]&gt;=$A$76, "-", IF(May_2025_SotM[[#This Row],[Score 1]]&gt;=3, May_2025_SotM[[#This Row],[Song 2]], IF(May_2025_SotM[[#This Row],[Score 2]]&gt;=3, May_2025_SotM[[#This Row],[Song 1]], "TBD")))</f>
        <v>Houston</v>
      </c>
      <c r="AK87" s="3">
        <f ca="1">IFERROR(VLOOKUP(May_2025_Results[[#This Row],[Song Title]], $AE$77:$AG$93, 3, FALSE)-May_2025_Results[[#This Row],[Result]], "TBD")</f>
        <v>0</v>
      </c>
      <c r="AL87" s="3" t="str">
        <f t="shared" ca="1" si="24"/>
        <v>-</v>
      </c>
    </row>
    <row r="88" spans="1:38">
      <c r="A88" s="197" t="str">
        <f>_xlfn.CONCAT("Seed ", May_2025_SotM[[#This Row],[Top Seed]], " vs ",May_2025_SotM[[#This Row],[Low Seed]])</f>
        <v>Seed 5 vs 12</v>
      </c>
      <c r="B88" s="115">
        <v>11</v>
      </c>
      <c r="C88" s="105">
        <f>FLOOR(LOG(May_2025_SotM[[#This Row],[Num]], 2), 1)</f>
        <v>3</v>
      </c>
      <c r="D88" s="105">
        <f>2^(May_2025_SotM[[#This Row],[Round]]+1)</f>
        <v>16</v>
      </c>
      <c r="E88" s="105">
        <f>May_2025_SotM[[#This Row],[Max Seed]]-May_2025_SotM[[#This Row],[Num]]</f>
        <v>5</v>
      </c>
      <c r="F88" s="105">
        <f>May_2025_SotM[[#This Row],[Max Seed]]-May_2025_SotM[[#This Row],[Top Seed]]+1</f>
        <v>12</v>
      </c>
      <c r="G88" s="105" t="b">
        <f>IF(May_2025_SotM[[#This Row],[Round]]=$C$76, TRUE(), IF(May_2025_SotM[[#This Row],[Round]]=$B$76, May_2025_SotM[[#This Row],[Top Seed]]&lt;=2*May_2025_SotM[[#This Row],[Max Seed]]-$A$76, FALSE()))</f>
        <v>1</v>
      </c>
      <c r="H88" s="105" t="b">
        <f>IF(May_2025_SotM[[#This Row],[Round]]=$C$76, TRUE(), IF(May_2025_SotM[[#This Row],[Round]]=$B$76, May_2025_SotM[[#This Row],[Low Seed]]&lt;=2*May_2025_SotM[[#This Row],[Max Seed]]-$A$76, FALSE()))</f>
        <v>1</v>
      </c>
      <c r="I88" s="28"/>
      <c r="J88" s="31"/>
      <c r="K88" s="33" t="s">
        <v>4191</v>
      </c>
      <c r="L88" s="35" t="s">
        <v>4191</v>
      </c>
      <c r="M88" s="37"/>
      <c r="N88" s="192" t="str">
        <f ca="1">IF(May_2025_SotM[[#This Row],[Num]]&gt;=$A$76, "-", IF(May_2025_SotM[[#This Row],[Initial 1]], VLOOKUP(May_2025_SotM[[#This Row],[Top Seed]], $Z$77:$AE$93, 6, FALSE), OFFSET(May_2025_SotM[[#This Row],[Winner]], May_2025_SotM[[#This Row],[Max Seed]], 0)))</f>
        <v>venus fly trap</v>
      </c>
      <c r="O88" s="105">
        <f>COUNTIF(May_2025_SotM[[#This Row],[J]:[H]],"x")</f>
        <v>2</v>
      </c>
      <c r="P88" s="115" t="str">
        <f ca="1">IF(May_2025_SotM[[#This Row],[Num]]&gt;=$A$76, "-", IF(May_2025_SotM[[#This Row],[Score 1]]&gt;=3, May_2025_SotM[[#This Row],[Song 1]], IF(May_2025_SotM[[#This Row],[Score 2]]&gt;=3, May_2025_SotM[[#This Row],[Song 2]], "TBD")))</f>
        <v>CUFF IT</v>
      </c>
      <c r="Q88" s="193">
        <f>COUNTIF(May_2025_SotM[[#This Row],[H ]:[J ]],"x")</f>
        <v>3</v>
      </c>
      <c r="R88" s="105" t="str">
        <f ca="1">IF(May_2025_SotM[[#This Row],[Num]]&gt;=$A$76, "-", IF(May_2025_SotM[[#This Row],[Initial 2]], VLOOKUP(May_2025_SotM[[#This Row],[Low Seed]], $Z$77:$AE$93, 6, FALSE), OFFSET(May_2025_SotM[[#This Row],[Winner]], 2*(May_2025_SotM[[#This Row],[Max Seed]]-May_2025_SotM[[#This Row],[Low Seed]])+1, 0)))</f>
        <v>CUFF IT</v>
      </c>
      <c r="S88" s="37" t="s">
        <v>4191</v>
      </c>
      <c r="T88" s="35"/>
      <c r="U88" s="33"/>
      <c r="V88" s="31" t="s">
        <v>4191</v>
      </c>
      <c r="W88" s="28" t="s">
        <v>4191</v>
      </c>
      <c r="X88" s="112" t="str">
        <f ca="1">IF(OR(May_2025_SotM[[#This Row],[Song 1]]="TBD", May_2025_SotM[[#This Row],[Song 2]]="TBD"), "TBD", _xlfn.CONCAT(IF(_xlfn.XOR(ISBLANK(May_2025_SotM[[#This Row],[J]]), ISBLANK(May_2025_SotM[[#This Row],[J ]])), "", "J "), IF(_xlfn.XOR(ISBLANK(May_2025_SotM[[#This Row],[D]]), ISBLANK(May_2025_SotM[[#This Row],[D ]])), "", "D "), IF(_xlfn.XOR(ISBLANK(May_2025_SotM[[#This Row],[L]]), ISBLANK(May_2025_SotM[[#This Row],[L ]])), "", "L "), IF(_xlfn.XOR(ISBLANK(May_2025_SotM[[#This Row],[S]]), ISBLANK(May_2025_SotM[[#This Row],[S ]])), "", "S "), IF(_xlfn.XOR(ISBLANK(May_2025_SotM[[#This Row],[H]]), ISBLANK(May_2025_SotM[[#This Row],[H ]])), "", "H ")))</f>
        <v/>
      </c>
      <c r="Z88" s="109">
        <f t="shared" si="23"/>
        <v>8</v>
      </c>
      <c r="AA88" s="59">
        <v>45798</v>
      </c>
      <c r="AB88" t="str">
        <v>currydestroyer27</v>
      </c>
      <c r="AC88" s="3">
        <v>2.2000000000000002</v>
      </c>
      <c r="AD88">
        <v>1.1661903789690602</v>
      </c>
      <c r="AE88" t="str">
        <v>Hard Times</v>
      </c>
      <c r="AF88" t="str">
        <v>Paramore</v>
      </c>
      <c r="AG88" s="100">
        <f t="shared" si="22"/>
        <v>5</v>
      </c>
      <c r="AI88" s="115">
        <f>May_2025_SotM[[#This Row],[Max Seed]]/2 + 1</f>
        <v>9</v>
      </c>
      <c r="AJ88" s="105" t="str">
        <f ca="1">IF(May_2025_SotM[[#This Row],[Num]]&gt;=$A$76, "-", IF(May_2025_SotM[[#This Row],[Score 1]]&gt;=3, May_2025_SotM[[#This Row],[Song 2]], IF(May_2025_SotM[[#This Row],[Score 2]]&gt;=3, May_2025_SotM[[#This Row],[Song 1]], "TBD")))</f>
        <v>venus fly trap</v>
      </c>
      <c r="AK88" s="3">
        <f ca="1">IFERROR(VLOOKUP(May_2025_Results[[#This Row],[Song Title]], $AE$77:$AG$93, 3, FALSE)-May_2025_Results[[#This Row],[Result]], "TBD")</f>
        <v>-4</v>
      </c>
      <c r="AL88" s="3" t="str">
        <f t="shared" ca="1" si="24"/>
        <v>↓</v>
      </c>
    </row>
    <row r="89" spans="1:38">
      <c r="A89" s="197" t="str">
        <f>_xlfn.CONCAT("Seed ", May_2025_SotM[[#This Row],[Top Seed]], " vs ",May_2025_SotM[[#This Row],[Low Seed]])</f>
        <v>Seed 4 vs 13</v>
      </c>
      <c r="B89" s="115">
        <v>12</v>
      </c>
      <c r="C89" s="105">
        <f>FLOOR(LOG(May_2025_SotM[[#This Row],[Num]], 2), 1)</f>
        <v>3</v>
      </c>
      <c r="D89" s="105">
        <f>2^(May_2025_SotM[[#This Row],[Round]]+1)</f>
        <v>16</v>
      </c>
      <c r="E89" s="105">
        <f>May_2025_SotM[[#This Row],[Max Seed]]-May_2025_SotM[[#This Row],[Num]]</f>
        <v>4</v>
      </c>
      <c r="F89" s="105">
        <f>May_2025_SotM[[#This Row],[Max Seed]]-May_2025_SotM[[#This Row],[Top Seed]]+1</f>
        <v>13</v>
      </c>
      <c r="G89" s="105" t="b">
        <f>IF(May_2025_SotM[[#This Row],[Round]]=$C$76, TRUE(), IF(May_2025_SotM[[#This Row],[Round]]=$B$76, May_2025_SotM[[#This Row],[Top Seed]]&lt;=2*May_2025_SotM[[#This Row],[Max Seed]]-$A$76, FALSE()))</f>
        <v>1</v>
      </c>
      <c r="H89" s="105" t="b">
        <f>IF(May_2025_SotM[[#This Row],[Round]]=$C$76, TRUE(), IF(May_2025_SotM[[#This Row],[Round]]=$B$76, May_2025_SotM[[#This Row],[Low Seed]]&lt;=2*May_2025_SotM[[#This Row],[Max Seed]]-$A$76, FALSE()))</f>
        <v>1</v>
      </c>
      <c r="I89" s="28" t="s">
        <v>4437</v>
      </c>
      <c r="J89" s="31" t="s">
        <v>4191</v>
      </c>
      <c r="K89" s="33" t="s">
        <v>4191</v>
      </c>
      <c r="L89" s="35" t="s">
        <v>4191</v>
      </c>
      <c r="M89" s="37" t="s">
        <v>4191</v>
      </c>
      <c r="N89" s="192" t="str">
        <f ca="1">IF(May_2025_SotM[[#This Row],[Num]]&gt;=$A$76, "-", IF(May_2025_SotM[[#This Row],[Initial 1]], VLOOKUP(May_2025_SotM[[#This Row],[Top Seed]], $Z$77:$AE$93, 6, FALSE), OFFSET(May_2025_SotM[[#This Row],[Winner]], May_2025_SotM[[#This Row],[Max Seed]], 0)))</f>
        <v>SOUVENIR</v>
      </c>
      <c r="O89" s="105">
        <f>COUNTIF(May_2025_SotM[[#This Row],[J]:[H]],"x")</f>
        <v>5</v>
      </c>
      <c r="P89" s="115" t="str">
        <f ca="1">IF(May_2025_SotM[[#This Row],[Num]]&gt;=$A$76, "-", IF(May_2025_SotM[[#This Row],[Score 1]]&gt;=3, May_2025_SotM[[#This Row],[Song 1]], IF(May_2025_SotM[[#This Row],[Score 2]]&gt;=3, May_2025_SotM[[#This Row],[Song 2]], "TBD")))</f>
        <v>SOUVENIR</v>
      </c>
      <c r="Q89" s="193">
        <f>COUNTIF(May_2025_SotM[[#This Row],[H ]:[J ]],"x")</f>
        <v>0</v>
      </c>
      <c r="R89" s="105" t="str">
        <f ca="1">IF(May_2025_SotM[[#This Row],[Num]]&gt;=$A$76, "-", IF(May_2025_SotM[[#This Row],[Initial 2]], VLOOKUP(May_2025_SotM[[#This Row],[Low Seed]], $Z$77:$AE$93, 6, FALSE), OFFSET(May_2025_SotM[[#This Row],[Winner]], 2*(May_2025_SotM[[#This Row],[Max Seed]]-May_2025_SotM[[#This Row],[Low Seed]])+1, 0)))</f>
        <v>Right Round</v>
      </c>
      <c r="S89" s="37"/>
      <c r="T89" s="35"/>
      <c r="U89" s="33"/>
      <c r="V89" s="31"/>
      <c r="W89" s="28"/>
      <c r="X89" s="112" t="str">
        <f ca="1">IF(OR(May_2025_SotM[[#This Row],[Song 1]]="TBD", May_2025_SotM[[#This Row],[Song 2]]="TBD"), "TBD", _xlfn.CONCAT(IF(_xlfn.XOR(ISBLANK(May_2025_SotM[[#This Row],[J]]), ISBLANK(May_2025_SotM[[#This Row],[J ]])), "", "J "), IF(_xlfn.XOR(ISBLANK(May_2025_SotM[[#This Row],[D]]), ISBLANK(May_2025_SotM[[#This Row],[D ]])), "", "D "), IF(_xlfn.XOR(ISBLANK(May_2025_SotM[[#This Row],[L]]), ISBLANK(May_2025_SotM[[#This Row],[L ]])), "", "L "), IF(_xlfn.XOR(ISBLANK(May_2025_SotM[[#This Row],[S]]), ISBLANK(May_2025_SotM[[#This Row],[S ]])), "", "S "), IF(_xlfn.XOR(ISBLANK(May_2025_SotM[[#This Row],[H]]), ISBLANK(May_2025_SotM[[#This Row],[H ]])), "", "H ")))</f>
        <v/>
      </c>
      <c r="Z89" s="109">
        <f t="shared" si="23"/>
        <v>15</v>
      </c>
      <c r="AA89" s="59">
        <v>45799</v>
      </c>
      <c r="AB89" t="str">
        <v>danram</v>
      </c>
      <c r="AC89" s="3">
        <v>2.6</v>
      </c>
      <c r="AD89">
        <v>1.019803902718557</v>
      </c>
      <c r="AE89" t="str">
        <v>Open Arms (Feat. Travis Scott)</v>
      </c>
      <c r="AF89" t="str">
        <v>SZA, Travis Scott</v>
      </c>
      <c r="AG89" s="100">
        <f t="shared" si="22"/>
        <v>9</v>
      </c>
      <c r="AI89" s="115">
        <f>May_2025_SotM[[#This Row],[Max Seed]]/2 + 1</f>
        <v>9</v>
      </c>
      <c r="AJ89" s="105" t="str">
        <f ca="1">IF(May_2025_SotM[[#This Row],[Num]]&gt;=$A$76, "-", IF(May_2025_SotM[[#This Row],[Score 1]]&gt;=3, May_2025_SotM[[#This Row],[Song 2]], IF(May_2025_SotM[[#This Row],[Score 2]]&gt;=3, May_2025_SotM[[#This Row],[Song 1]], "TBD")))</f>
        <v>Right Round</v>
      </c>
      <c r="AK89" s="3">
        <f ca="1">IFERROR(VLOOKUP(May_2025_Results[[#This Row],[Song Title]], $AE$77:$AG$93, 3, FALSE)-May_2025_Results[[#This Row],[Result]], "TBD")</f>
        <v>0</v>
      </c>
      <c r="AL89" s="3" t="str">
        <f t="shared" ca="1" si="24"/>
        <v>-</v>
      </c>
    </row>
    <row r="90" spans="1:38">
      <c r="A90" s="197" t="str">
        <f>_xlfn.CONCAT("Seed ", May_2025_SotM[[#This Row],[Top Seed]], " vs ",May_2025_SotM[[#This Row],[Low Seed]])</f>
        <v>Seed 3 vs 14</v>
      </c>
      <c r="B90" s="115">
        <v>13</v>
      </c>
      <c r="C90" s="105">
        <f>FLOOR(LOG(May_2025_SotM[[#This Row],[Num]], 2), 1)</f>
        <v>3</v>
      </c>
      <c r="D90" s="105">
        <f>2^(May_2025_SotM[[#This Row],[Round]]+1)</f>
        <v>16</v>
      </c>
      <c r="E90" s="105">
        <f>May_2025_SotM[[#This Row],[Max Seed]]-May_2025_SotM[[#This Row],[Num]]</f>
        <v>3</v>
      </c>
      <c r="F90" s="105">
        <f>May_2025_SotM[[#This Row],[Max Seed]]-May_2025_SotM[[#This Row],[Top Seed]]+1</f>
        <v>14</v>
      </c>
      <c r="G90" s="105" t="b">
        <f>IF(May_2025_SotM[[#This Row],[Round]]=$C$76, TRUE(), IF(May_2025_SotM[[#This Row],[Round]]=$B$76, May_2025_SotM[[#This Row],[Top Seed]]&lt;=2*May_2025_SotM[[#This Row],[Max Seed]]-$A$76, FALSE()))</f>
        <v>1</v>
      </c>
      <c r="H90" s="105" t="b">
        <f>IF(May_2025_SotM[[#This Row],[Round]]=$C$76, TRUE(), IF(May_2025_SotM[[#This Row],[Round]]=$B$76, May_2025_SotM[[#This Row],[Low Seed]]&lt;=2*May_2025_SotM[[#This Row],[Max Seed]]-$A$76, FALSE()))</f>
        <v>1</v>
      </c>
      <c r="I90" s="28" t="s">
        <v>4191</v>
      </c>
      <c r="J90" s="31" t="s">
        <v>4191</v>
      </c>
      <c r="K90" s="33" t="s">
        <v>4191</v>
      </c>
      <c r="L90" s="35"/>
      <c r="M90" s="37" t="s">
        <v>4191</v>
      </c>
      <c r="N90" s="192" t="str">
        <f ca="1">IF(May_2025_SotM[[#This Row],[Num]]&gt;=$A$76, "-", IF(May_2025_SotM[[#This Row],[Initial 1]], VLOOKUP(May_2025_SotM[[#This Row],[Top Seed]], $Z$77:$AE$93, 6, FALSE), OFFSET(May_2025_SotM[[#This Row],[Winner]], May_2025_SotM[[#This Row],[Max Seed]], 0)))</f>
        <v>It's Not Design</v>
      </c>
      <c r="O90" s="105">
        <f>COUNTIF(May_2025_SotM[[#This Row],[J]:[H]],"x")</f>
        <v>4</v>
      </c>
      <c r="P90" s="115" t="str">
        <f ca="1">IF(May_2025_SotM[[#This Row],[Num]]&gt;=$A$76, "-", IF(May_2025_SotM[[#This Row],[Score 1]]&gt;=3, May_2025_SotM[[#This Row],[Song 1]], IF(May_2025_SotM[[#This Row],[Score 2]]&gt;=3, May_2025_SotM[[#This Row],[Song 2]], "TBD")))</f>
        <v>It's Not Design</v>
      </c>
      <c r="Q90" s="193">
        <f>COUNTIF(May_2025_SotM[[#This Row],[H ]:[J ]],"x")</f>
        <v>1</v>
      </c>
      <c r="R90" s="105" t="str">
        <f ca="1">IF(May_2025_SotM[[#This Row],[Num]]&gt;=$A$76, "-", IF(May_2025_SotM[[#This Row],[Initial 2]], VLOOKUP(May_2025_SotM[[#This Row],[Low Seed]], $Z$77:$AE$93, 6, FALSE), OFFSET(May_2025_SotM[[#This Row],[Winner]], 2*(May_2025_SotM[[#This Row],[Max Seed]]-May_2025_SotM[[#This Row],[Low Seed]])+1, 0)))</f>
        <v>Fire Escape</v>
      </c>
      <c r="S90" s="37"/>
      <c r="T90" s="35" t="s">
        <v>4191</v>
      </c>
      <c r="U90" s="33"/>
      <c r="V90" s="31"/>
      <c r="W90" s="28"/>
      <c r="X90" s="112" t="str">
        <f ca="1">IF(OR(May_2025_SotM[[#This Row],[Song 1]]="TBD", May_2025_SotM[[#This Row],[Song 2]]="TBD"), "TBD", _xlfn.CONCAT(IF(_xlfn.XOR(ISBLANK(May_2025_SotM[[#This Row],[J]]), ISBLANK(May_2025_SotM[[#This Row],[J ]])), "", "J "), IF(_xlfn.XOR(ISBLANK(May_2025_SotM[[#This Row],[D]]), ISBLANK(May_2025_SotM[[#This Row],[D ]])), "", "D "), IF(_xlfn.XOR(ISBLANK(May_2025_SotM[[#This Row],[L]]), ISBLANK(May_2025_SotM[[#This Row],[L ]])), "", "L "), IF(_xlfn.XOR(ISBLANK(May_2025_SotM[[#This Row],[S]]), ISBLANK(May_2025_SotM[[#This Row],[S ]])), "", "S "), IF(_xlfn.XOR(ISBLANK(May_2025_SotM[[#This Row],[H]]), ISBLANK(May_2025_SotM[[#This Row],[H ]])), "", "H ")))</f>
        <v/>
      </c>
      <c r="Z90" s="109">
        <f t="shared" si="23"/>
        <v>2</v>
      </c>
      <c r="AA90" s="59">
        <v>45803</v>
      </c>
      <c r="AB90" t="str">
        <v>loganworsdell</v>
      </c>
      <c r="AC90" s="3">
        <v>2</v>
      </c>
      <c r="AD90">
        <v>0.89442719099991586</v>
      </c>
      <c r="AE90" t="str">
        <v>Thru These Tears</v>
      </c>
      <c r="AF90" t="str">
        <v>LANY</v>
      </c>
      <c r="AG90" s="100">
        <f t="shared" si="22"/>
        <v>2</v>
      </c>
      <c r="AI90" s="115">
        <f>May_2025_SotM[[#This Row],[Max Seed]]/2 + 1</f>
        <v>9</v>
      </c>
      <c r="AJ90" s="105" t="str">
        <f ca="1">IF(May_2025_SotM[[#This Row],[Num]]&gt;=$A$76, "-", IF(May_2025_SotM[[#This Row],[Score 1]]&gt;=3, May_2025_SotM[[#This Row],[Song 2]], IF(May_2025_SotM[[#This Row],[Score 2]]&gt;=3, May_2025_SotM[[#This Row],[Song 1]], "TBD")))</f>
        <v>Fire Escape</v>
      </c>
      <c r="AK90" s="3">
        <f ca="1">IFERROR(VLOOKUP(May_2025_Results[[#This Row],[Song Title]], $AE$77:$AG$93, 3, FALSE)-May_2025_Results[[#This Row],[Result]], "TBD")</f>
        <v>0</v>
      </c>
      <c r="AL90" s="3" t="str">
        <f t="shared" ca="1" si="24"/>
        <v>-</v>
      </c>
    </row>
    <row r="91" spans="1:38">
      <c r="A91" s="197" t="str">
        <f>_xlfn.CONCAT("Seed ", May_2025_SotM[[#This Row],[Top Seed]], " vs ",May_2025_SotM[[#This Row],[Low Seed]])</f>
        <v>Seed 2 vs 15</v>
      </c>
      <c r="B91" s="115">
        <v>14</v>
      </c>
      <c r="C91" s="105">
        <f>FLOOR(LOG(May_2025_SotM[[#This Row],[Num]], 2), 1)</f>
        <v>3</v>
      </c>
      <c r="D91" s="105">
        <f>2^(May_2025_SotM[[#This Row],[Round]]+1)</f>
        <v>16</v>
      </c>
      <c r="E91" s="105">
        <f>May_2025_SotM[[#This Row],[Max Seed]]-May_2025_SotM[[#This Row],[Num]]</f>
        <v>2</v>
      </c>
      <c r="F91" s="105">
        <f>May_2025_SotM[[#This Row],[Max Seed]]-May_2025_SotM[[#This Row],[Top Seed]]+1</f>
        <v>15</v>
      </c>
      <c r="G91" s="105" t="b">
        <f>IF(May_2025_SotM[[#This Row],[Round]]=$C$76, TRUE(), IF(May_2025_SotM[[#This Row],[Round]]=$B$76, May_2025_SotM[[#This Row],[Top Seed]]&lt;=2*May_2025_SotM[[#This Row],[Max Seed]]-$A$76, FALSE()))</f>
        <v>1</v>
      </c>
      <c r="H91" s="105" t="b">
        <f>IF(May_2025_SotM[[#This Row],[Round]]=$C$76, TRUE(), IF(May_2025_SotM[[#This Row],[Round]]=$B$76, May_2025_SotM[[#This Row],[Low Seed]]&lt;=2*May_2025_SotM[[#This Row],[Max Seed]]-$A$76, FALSE()))</f>
        <v>1</v>
      </c>
      <c r="I91" s="28"/>
      <c r="J91" s="31"/>
      <c r="K91" s="33" t="s">
        <v>4191</v>
      </c>
      <c r="L91" s="35" t="s">
        <v>4191</v>
      </c>
      <c r="M91" s="37" t="s">
        <v>4191</v>
      </c>
      <c r="N91" s="192" t="str">
        <f ca="1">IF(May_2025_SotM[[#This Row],[Num]]&gt;=$A$76, "-", IF(May_2025_SotM[[#This Row],[Initial 1]], VLOOKUP(May_2025_SotM[[#This Row],[Top Seed]], $Z$77:$AE$93, 6, FALSE), OFFSET(May_2025_SotM[[#This Row],[Winner]], May_2025_SotM[[#This Row],[Max Seed]], 0)))</f>
        <v>Thru These Tears</v>
      </c>
      <c r="O91" s="105">
        <f>COUNTIF(May_2025_SotM[[#This Row],[J]:[H]],"x")</f>
        <v>3</v>
      </c>
      <c r="P91" s="115" t="str">
        <f ca="1">IF(May_2025_SotM[[#This Row],[Num]]&gt;=$A$76, "-", IF(May_2025_SotM[[#This Row],[Score 1]]&gt;=3, May_2025_SotM[[#This Row],[Song 1]], IF(May_2025_SotM[[#This Row],[Score 2]]&gt;=3, May_2025_SotM[[#This Row],[Song 2]], "TBD")))</f>
        <v>Thru These Tears</v>
      </c>
      <c r="Q91" s="193">
        <f>COUNTIF(May_2025_SotM[[#This Row],[H ]:[J ]],"x")</f>
        <v>2</v>
      </c>
      <c r="R91" s="105" t="str">
        <f ca="1">IF(May_2025_SotM[[#This Row],[Num]]&gt;=$A$76, "-", IF(May_2025_SotM[[#This Row],[Initial 2]], VLOOKUP(May_2025_SotM[[#This Row],[Low Seed]], $Z$77:$AE$93, 6, FALSE), OFFSET(May_2025_SotM[[#This Row],[Winner]], 2*(May_2025_SotM[[#This Row],[Max Seed]]-May_2025_SotM[[#This Row],[Low Seed]])+1, 0)))</f>
        <v>Open Arms (Feat. Travis Scott)</v>
      </c>
      <c r="S91" s="37"/>
      <c r="T91" s="35"/>
      <c r="U91" s="33"/>
      <c r="V91" s="31" t="s">
        <v>4191</v>
      </c>
      <c r="W91" s="28" t="s">
        <v>4191</v>
      </c>
      <c r="X91" s="112" t="str">
        <f ca="1">IF(OR(May_2025_SotM[[#This Row],[Song 1]]="TBD", May_2025_SotM[[#This Row],[Song 2]]="TBD"), "TBD", _xlfn.CONCAT(IF(_xlfn.XOR(ISBLANK(May_2025_SotM[[#This Row],[J]]), ISBLANK(May_2025_SotM[[#This Row],[J ]])), "", "J "), IF(_xlfn.XOR(ISBLANK(May_2025_SotM[[#This Row],[D]]), ISBLANK(May_2025_SotM[[#This Row],[D ]])), "", "D "), IF(_xlfn.XOR(ISBLANK(May_2025_SotM[[#This Row],[L]]), ISBLANK(May_2025_SotM[[#This Row],[L ]])), "", "L "), IF(_xlfn.XOR(ISBLANK(May_2025_SotM[[#This Row],[S]]), ISBLANK(May_2025_SotM[[#This Row],[S ]])), "", "S "), IF(_xlfn.XOR(ISBLANK(May_2025_SotM[[#This Row],[H]]), ISBLANK(May_2025_SotM[[#This Row],[H ]])), "", "H ")))</f>
        <v/>
      </c>
      <c r="Z91" s="109">
        <f t="shared" si="23"/>
        <v>3</v>
      </c>
      <c r="AA91" s="59">
        <v>45804</v>
      </c>
      <c r="AB91" t="str">
        <v>loganworsdell</v>
      </c>
      <c r="AC91" s="3">
        <v>2</v>
      </c>
      <c r="AD91">
        <v>0.89442719099991586</v>
      </c>
      <c r="AE91" t="str">
        <v>It's Not Design</v>
      </c>
      <c r="AF91" t="str">
        <v>Lupe Fiasco, Salim</v>
      </c>
      <c r="AG91" s="100">
        <f t="shared" si="22"/>
        <v>3</v>
      </c>
      <c r="AI91" s="115">
        <f>May_2025_SotM[[#This Row],[Max Seed]]/2 + 1</f>
        <v>9</v>
      </c>
      <c r="AJ91" s="105" t="str">
        <f ca="1">IF(May_2025_SotM[[#This Row],[Num]]&gt;=$A$76, "-", IF(May_2025_SotM[[#This Row],[Score 1]]&gt;=3, May_2025_SotM[[#This Row],[Song 2]], IF(May_2025_SotM[[#This Row],[Score 2]]&gt;=3, May_2025_SotM[[#This Row],[Song 1]], "TBD")))</f>
        <v>Open Arms (Feat. Travis Scott)</v>
      </c>
      <c r="AK91" s="3">
        <f ca="1">IFERROR(VLOOKUP(May_2025_Results[[#This Row],[Song Title]], $AE$77:$AG$93, 3, FALSE)-May_2025_Results[[#This Row],[Result]], "TBD")</f>
        <v>0</v>
      </c>
      <c r="AL91" s="3" t="str">
        <f t="shared" ca="1" si="24"/>
        <v>-</v>
      </c>
    </row>
    <row r="92" spans="1:38">
      <c r="A92" s="197" t="str">
        <f>_xlfn.CONCAT("Seed ", May_2025_SotM[[#This Row],[Top Seed]], " vs ",May_2025_SotM[[#This Row],[Low Seed]])</f>
        <v>Seed 1 vs 16</v>
      </c>
      <c r="B92" s="115">
        <v>15</v>
      </c>
      <c r="C92" s="105">
        <f>FLOOR(LOG(May_2025_SotM[[#This Row],[Num]], 2), 1)</f>
        <v>3</v>
      </c>
      <c r="D92" s="105">
        <f>2^(May_2025_SotM[[#This Row],[Round]]+1)</f>
        <v>16</v>
      </c>
      <c r="E92" s="105">
        <f>May_2025_SotM[[#This Row],[Max Seed]]-May_2025_SotM[[#This Row],[Num]]</f>
        <v>1</v>
      </c>
      <c r="F92" s="105">
        <f>May_2025_SotM[[#This Row],[Max Seed]]-May_2025_SotM[[#This Row],[Top Seed]]+1</f>
        <v>16</v>
      </c>
      <c r="G92" s="105" t="b">
        <f>IF(May_2025_SotM[[#This Row],[Round]]=$C$76, TRUE(), IF(May_2025_SotM[[#This Row],[Round]]=$B$76, May_2025_SotM[[#This Row],[Top Seed]]&lt;=2*May_2025_SotM[[#This Row],[Max Seed]]-$A$76, FALSE()))</f>
        <v>1</v>
      </c>
      <c r="H92" s="105" t="b">
        <f>IF(May_2025_SotM[[#This Row],[Round]]=$C$76, TRUE(), IF(May_2025_SotM[[#This Row],[Round]]=$B$76, May_2025_SotM[[#This Row],[Low Seed]]&lt;=2*May_2025_SotM[[#This Row],[Max Seed]]-$A$76, FALSE()))</f>
        <v>0</v>
      </c>
      <c r="I92" s="28" t="s">
        <v>4191</v>
      </c>
      <c r="J92" s="31"/>
      <c r="K92" s="33" t="s">
        <v>4191</v>
      </c>
      <c r="L92" s="35"/>
      <c r="M92" s="37" t="s">
        <v>4191</v>
      </c>
      <c r="N92" s="192" t="str">
        <f ca="1">IF(May_2025_SotM[[#This Row],[Num]]&gt;=$A$76, "-", IF(May_2025_SotM[[#This Row],[Initial 1]], VLOOKUP(May_2025_SotM[[#This Row],[Top Seed]], $Z$77:$AE$93, 6, FALSE), OFFSET(May_2025_SotM[[#This Row],[Winner]], May_2025_SotM[[#This Row],[Max Seed]], 0)))</f>
        <v>BLACK MEMORY</v>
      </c>
      <c r="O92" s="105">
        <f>COUNTIF(May_2025_SotM[[#This Row],[J]:[H]],"x")</f>
        <v>3</v>
      </c>
      <c r="P92" s="115" t="str">
        <f ca="1">IF(May_2025_SotM[[#This Row],[Num]]&gt;=$A$76, "-", IF(May_2025_SotM[[#This Row],[Score 1]]&gt;=3, May_2025_SotM[[#This Row],[Song 1]], IF(May_2025_SotM[[#This Row],[Score 2]]&gt;=3, May_2025_SotM[[#This Row],[Song 2]], "TBD")))</f>
        <v>BLACK MEMORY</v>
      </c>
      <c r="Q92" s="193">
        <f>COUNTIF(May_2025_SotM[[#This Row],[H ]:[J ]],"x")</f>
        <v>2</v>
      </c>
      <c r="R92" s="105" t="str">
        <f ca="1">IF(May_2025_SotM[[#This Row],[Num]]&gt;=$A$76, "-", IF(May_2025_SotM[[#This Row],[Initial 2]], VLOOKUP(May_2025_SotM[[#This Row],[Low Seed]], $Z$77:$AE$93, 6, FALSE), OFFSET(May_2025_SotM[[#This Row],[Winner]], 2*(May_2025_SotM[[#This Row],[Max Seed]]-May_2025_SotM[[#This Row],[Low Seed]])+1, 0)))</f>
        <v>Kid Charlemagne</v>
      </c>
      <c r="S92" s="37"/>
      <c r="T92" s="35" t="s">
        <v>4191</v>
      </c>
      <c r="U92" s="33"/>
      <c r="V92" s="31" t="s">
        <v>4191</v>
      </c>
      <c r="W92" s="28"/>
      <c r="X92" s="112" t="str">
        <f ca="1">IF(OR(May_2025_SotM[[#This Row],[Song 1]]="TBD", May_2025_SotM[[#This Row],[Song 2]]="TBD"), "TBD", _xlfn.CONCAT(IF(_xlfn.XOR(ISBLANK(May_2025_SotM[[#This Row],[J]]), ISBLANK(May_2025_SotM[[#This Row],[J ]])), "", "J "), IF(_xlfn.XOR(ISBLANK(May_2025_SotM[[#This Row],[D]]), ISBLANK(May_2025_SotM[[#This Row],[D ]])), "", "D "), IF(_xlfn.XOR(ISBLANK(May_2025_SotM[[#This Row],[L]]), ISBLANK(May_2025_SotM[[#This Row],[L ]])), "", "L "), IF(_xlfn.XOR(ISBLANK(May_2025_SotM[[#This Row],[S]]), ISBLANK(May_2025_SotM[[#This Row],[S ]])), "", "S "), IF(_xlfn.XOR(ISBLANK(May_2025_SotM[[#This Row],[H]]), ISBLANK(May_2025_SotM[[#This Row],[H ]])), "", "H ")))</f>
        <v/>
      </c>
      <c r="Z92" s="109">
        <f t="shared" si="23"/>
        <v>9</v>
      </c>
      <c r="AA92" s="59">
        <v>45805</v>
      </c>
      <c r="AB92" t="str">
        <v>samuelbattista</v>
      </c>
      <c r="AC92" s="3">
        <v>2.2000000000000002</v>
      </c>
      <c r="AD92">
        <v>1.1661903789690602</v>
      </c>
      <c r="AE92" t="str">
        <v>No Rain, No Flowers</v>
      </c>
      <c r="AF92" t="str">
        <v>The Black Keys</v>
      </c>
      <c r="AG92" s="100">
        <f t="shared" si="22"/>
        <v>9</v>
      </c>
      <c r="AI92" s="115">
        <f>May_2025_SotM[[#This Row],[Max Seed]]/2 + 1</f>
        <v>9</v>
      </c>
      <c r="AJ92" s="105" t="str">
        <f ca="1">IF(May_2025_SotM[[#This Row],[Num]]&gt;=$A$76, "-", IF(May_2025_SotM[[#This Row],[Score 1]]&gt;=3, May_2025_SotM[[#This Row],[Song 2]], IF(May_2025_SotM[[#This Row],[Score 2]]&gt;=3, May_2025_SotM[[#This Row],[Song 1]], "TBD")))</f>
        <v>Kid Charlemagne</v>
      </c>
      <c r="AK92" s="3">
        <f ca="1">IFERROR(VLOOKUP(May_2025_Results[[#This Row],[Song Title]], $AE$77:$AG$93, 3, FALSE)-May_2025_Results[[#This Row],[Result]], "TBD")</f>
        <v>8</v>
      </c>
      <c r="AL92" s="3" t="str">
        <f t="shared" ca="1" si="24"/>
        <v>↑</v>
      </c>
    </row>
    <row r="93" spans="1:38">
      <c r="A93" s="197" t="str">
        <f>_xlfn.CONCAT("Seed ", May_2025_SotM[[#This Row],[Top Seed]], " vs ",May_2025_SotM[[#This Row],[Low Seed]])</f>
        <v>Seed 16 vs 17</v>
      </c>
      <c r="B93" s="115">
        <v>16</v>
      </c>
      <c r="C93" s="105">
        <f>FLOOR(LOG(May_2025_SotM[[#This Row],[Num]], 2), 1)</f>
        <v>4</v>
      </c>
      <c r="D93" s="105">
        <f>2^(May_2025_SotM[[#This Row],[Round]]+1)</f>
        <v>32</v>
      </c>
      <c r="E93" s="105">
        <f>May_2025_SotM[[#This Row],[Max Seed]]-May_2025_SotM[[#This Row],[Num]]</f>
        <v>16</v>
      </c>
      <c r="F93" s="105">
        <f>May_2025_SotM[[#This Row],[Max Seed]]-May_2025_SotM[[#This Row],[Top Seed]]+1</f>
        <v>17</v>
      </c>
      <c r="G93" s="105" t="b">
        <f>IF(May_2025_SotM[[#This Row],[Round]]=$C$76, TRUE(), IF(May_2025_SotM[[#This Row],[Round]]=$B$76, May_2025_SotM[[#This Row],[Top Seed]]&lt;=2*May_2025_SotM[[#This Row],[Max Seed]]-$A$76, FALSE()))</f>
        <v>1</v>
      </c>
      <c r="H93" s="105" t="b">
        <f>IF(May_2025_SotM[[#This Row],[Round]]=$C$76, TRUE(), IF(May_2025_SotM[[#This Row],[Round]]=$B$76, May_2025_SotM[[#This Row],[Low Seed]]&lt;=2*May_2025_SotM[[#This Row],[Max Seed]]-$A$76, FALSE()))</f>
        <v>1</v>
      </c>
      <c r="I93" s="28"/>
      <c r="J93" s="31" t="s">
        <v>4191</v>
      </c>
      <c r="K93" s="33"/>
      <c r="L93" s="35"/>
      <c r="M93" s="37" t="s">
        <v>4191</v>
      </c>
      <c r="N93" s="192" t="str">
        <f ca="1">IF(May_2025_SotM[[#This Row],[Num]]&gt;=$A$76, "-", IF(May_2025_SotM[[#This Row],[Initial 1]], VLOOKUP(May_2025_SotM[[#This Row],[Top Seed]], $Z$77:$AE$93, 6, FALSE), OFFSET(May_2025_SotM[[#This Row],[Winner]], May_2025_SotM[[#This Row],[Max Seed]], 0)))</f>
        <v>I Can't Win</v>
      </c>
      <c r="O93" s="105">
        <f>COUNTIF(May_2025_SotM[[#This Row],[J]:[H]],"x")</f>
        <v>2</v>
      </c>
      <c r="P93" s="115" t="str">
        <f ca="1">IF(May_2025_SotM[[#This Row],[Num]]&gt;=$A$76, "-", IF(May_2025_SotM[[#This Row],[Score 1]]&gt;=3, May_2025_SotM[[#This Row],[Song 1]], IF(May_2025_SotM[[#This Row],[Score 2]]&gt;=3, May_2025_SotM[[#This Row],[Song 2]], "TBD")))</f>
        <v>Kid Charlemagne</v>
      </c>
      <c r="Q93" s="193">
        <f>COUNTIF(May_2025_SotM[[#This Row],[H ]:[J ]],"x")</f>
        <v>3</v>
      </c>
      <c r="R93" s="105" t="str">
        <f ca="1">IF(May_2025_SotM[[#This Row],[Num]]&gt;=$A$76, "-", IF(May_2025_SotM[[#This Row],[Initial 2]], VLOOKUP(May_2025_SotM[[#This Row],[Low Seed]], $Z$77:$AE$93, 6, FALSE), OFFSET(May_2025_SotM[[#This Row],[Winner]], 2*(May_2025_SotM[[#This Row],[Max Seed]]-May_2025_SotM[[#This Row],[Low Seed]])+1, 0)))</f>
        <v>Kid Charlemagne</v>
      </c>
      <c r="S93" s="37"/>
      <c r="T93" s="35" t="s">
        <v>4191</v>
      </c>
      <c r="U93" s="33" t="s">
        <v>4191</v>
      </c>
      <c r="V93" s="31"/>
      <c r="W93" s="28" t="s">
        <v>4191</v>
      </c>
      <c r="X93" s="112" t="str">
        <f ca="1">IF(OR(May_2025_SotM[[#This Row],[Song 1]]="TBD", May_2025_SotM[[#This Row],[Song 2]]="TBD"), "TBD", _xlfn.CONCAT(IF(_xlfn.XOR(ISBLANK(May_2025_SotM[[#This Row],[J]]), ISBLANK(May_2025_SotM[[#This Row],[J ]])), "", "J "), IF(_xlfn.XOR(ISBLANK(May_2025_SotM[[#This Row],[D]]), ISBLANK(May_2025_SotM[[#This Row],[D ]])), "", "D "), IF(_xlfn.XOR(ISBLANK(May_2025_SotM[[#This Row],[L]]), ISBLANK(May_2025_SotM[[#This Row],[L ]])), "", "L "), IF(_xlfn.XOR(ISBLANK(May_2025_SotM[[#This Row],[S]]), ISBLANK(May_2025_SotM[[#This Row],[S ]])), "", "S "), IF(_xlfn.XOR(ISBLANK(May_2025_SotM[[#This Row],[H]]), ISBLANK(May_2025_SotM[[#This Row],[H ]])), "", "H ")))</f>
        <v/>
      </c>
      <c r="Z93" s="110">
        <f t="shared" si="23"/>
        <v>4</v>
      </c>
      <c r="AA93" s="211">
        <v>45806</v>
      </c>
      <c r="AB93" s="157" t="str">
        <v>alappatjoe</v>
      </c>
      <c r="AC93" s="101">
        <v>2</v>
      </c>
      <c r="AD93" s="157">
        <v>1.0954451150103321</v>
      </c>
      <c r="AE93" s="157" t="str">
        <v>SOUVENIR</v>
      </c>
      <c r="AF93" s="157" t="str">
        <v>BUMP OF CHICKEN</v>
      </c>
      <c r="AG93" s="102">
        <f t="shared" si="22"/>
        <v>3</v>
      </c>
      <c r="AI93" s="115">
        <f>May_2025_SotM[[#This Row],[Max Seed]]/2 + 1</f>
        <v>17</v>
      </c>
      <c r="AJ93" s="105" t="str">
        <f ca="1">IF(May_2025_SotM[[#This Row],[Num]]&gt;=$A$76, "-", IF(May_2025_SotM[[#This Row],[Score 1]]&gt;=3, May_2025_SotM[[#This Row],[Song 2]], IF(May_2025_SotM[[#This Row],[Score 2]]&gt;=3, May_2025_SotM[[#This Row],[Song 1]], "TBD")))</f>
        <v>I Can't Win</v>
      </c>
      <c r="AK93" s="3">
        <f ca="1">IFERROR(VLOOKUP(May_2025_Results[[#This Row],[Song Title]], $AE$77:$AG$93, 3, FALSE)-May_2025_Results[[#This Row],[Result]], "TBD")</f>
        <v>-8</v>
      </c>
      <c r="AL93" s="3" t="str">
        <f t="shared" ca="1" si="24"/>
        <v>↓</v>
      </c>
    </row>
    <row r="95" spans="1:38">
      <c r="A95" s="302">
        <f>MAX(Z96:Z112)</f>
        <v>17</v>
      </c>
      <c r="B95" s="302">
        <f t="shared" ref="B95" si="25">FLOOR(LOG(A95, 2), 1)-1</f>
        <v>3</v>
      </c>
      <c r="C95" s="302">
        <f t="shared" ref="C95" si="26">_xlfn.CEILING.MATH(LOG(A95, 2), 1)-1</f>
        <v>4</v>
      </c>
      <c r="D95" s="302"/>
      <c r="E95" s="302"/>
      <c r="F95" s="302"/>
      <c r="G95" s="302"/>
      <c r="H95" s="302"/>
      <c r="I95" s="348" t="s">
        <v>3926</v>
      </c>
      <c r="J95" s="348"/>
      <c r="K95" s="348"/>
      <c r="L95" s="348"/>
      <c r="M95" s="348"/>
      <c r="N95" s="348"/>
      <c r="O95" s="348"/>
      <c r="P95" s="348"/>
      <c r="Q95" s="348"/>
      <c r="R95" s="348"/>
      <c r="S95" s="348"/>
      <c r="T95" s="348"/>
      <c r="U95" s="348"/>
      <c r="V95" s="348"/>
      <c r="W95" s="348"/>
      <c r="X95" s="302"/>
      <c r="Z95" s="221" t="s">
        <v>4163</v>
      </c>
      <c r="AA95" s="222" t="s">
        <v>29</v>
      </c>
      <c r="AB95" s="220" t="s">
        <v>32</v>
      </c>
      <c r="AC95" s="221" t="s">
        <v>33</v>
      </c>
      <c r="AD95" s="220" t="s">
        <v>34</v>
      </c>
      <c r="AE95" s="220" t="s">
        <v>4161</v>
      </c>
      <c r="AF95" s="220" t="s">
        <v>36</v>
      </c>
      <c r="AG95" s="221" t="s">
        <v>4164</v>
      </c>
      <c r="AI95" s="247" t="s">
        <v>4165</v>
      </c>
      <c r="AJ95" s="248" t="s">
        <v>35</v>
      </c>
      <c r="AK95" s="249" t="s">
        <v>4166</v>
      </c>
      <c r="AL95" s="249" t="s">
        <v>4167</v>
      </c>
    </row>
    <row r="96" spans="1:38">
      <c r="A96" s="218" t="s">
        <v>4168</v>
      </c>
      <c r="B96" s="213" t="s">
        <v>4169</v>
      </c>
      <c r="C96" s="219" t="s">
        <v>4170</v>
      </c>
      <c r="D96" s="219" t="s">
        <v>4171</v>
      </c>
      <c r="E96" s="219" t="s">
        <v>4172</v>
      </c>
      <c r="F96" s="219" t="s">
        <v>4173</v>
      </c>
      <c r="G96" s="219" t="s">
        <v>4174</v>
      </c>
      <c r="H96" s="219" t="s">
        <v>4175</v>
      </c>
      <c r="I96" s="219" t="s">
        <v>4176</v>
      </c>
      <c r="J96" s="219" t="s">
        <v>4177</v>
      </c>
      <c r="K96" s="219" t="s">
        <v>4178</v>
      </c>
      <c r="L96" s="219" t="s">
        <v>4179</v>
      </c>
      <c r="M96" s="219" t="s">
        <v>4180</v>
      </c>
      <c r="N96" s="226" t="s">
        <v>4181</v>
      </c>
      <c r="O96" s="219" t="s">
        <v>4182</v>
      </c>
      <c r="P96" s="213" t="s">
        <v>47</v>
      </c>
      <c r="Q96" s="231" t="s">
        <v>4183</v>
      </c>
      <c r="R96" s="219" t="s">
        <v>4184</v>
      </c>
      <c r="S96" s="219" t="s">
        <v>4185</v>
      </c>
      <c r="T96" s="219" t="s">
        <v>4186</v>
      </c>
      <c r="U96" s="219" t="s">
        <v>4187</v>
      </c>
      <c r="V96" s="219" t="s">
        <v>4188</v>
      </c>
      <c r="W96" s="219" t="s">
        <v>4189</v>
      </c>
      <c r="X96" s="110" t="s">
        <v>4190</v>
      </c>
      <c r="Z96" s="109">
        <f>IF(AC96&gt;0, COUNTIF(AC$96:AC$112, "&lt;"&amp;AC96) + COUNTIFS(AC$96:AC$112, AC96, AD$96:AD$112, "&lt;"&amp;AD96) + COUNTIFS(AC$96:AC$112, AC96, AD$96:AD$112, AD96, AA$96:AA$112, "&lt;"&amp;AA96) + 1, "TBD")</f>
        <v>10</v>
      </c>
      <c r="AA96" s="59" cm="1">
        <f t="array" ref="AA96:AF112">_xlfn._xlws.FILTER(Data[Date]:Data[Artist], (Data[Date]&gt;=DATE(2025,6,1))*(Data[Date]&lt;=DATE(2025,6,30))*(Data[Winner]=TRUE()), "TBD")</f>
        <v>45810</v>
      </c>
      <c r="AB96" t="str">
        <v>samuelbattista</v>
      </c>
      <c r="AC96" s="3">
        <v>2.2000000000000002</v>
      </c>
      <c r="AD96">
        <v>0.74833147735478833</v>
      </c>
      <c r="AE96" t="str">
        <v>Whateverrrr</v>
      </c>
      <c r="AF96" t="str">
        <v>Spacey Jane</v>
      </c>
      <c r="AG96" s="100">
        <f t="shared" ref="AG96:AG112" si="27">IF(Z96&gt;1, 2^FLOOR(LOG(Z96-1, 2), 1)+1, 1)</f>
        <v>9</v>
      </c>
      <c r="AI96" s="115">
        <v>1</v>
      </c>
      <c r="AJ96" s="105" t="str">
        <f ca="1">P97</f>
        <v>Umbrella</v>
      </c>
      <c r="AK96" s="246">
        <f ca="1">IFERROR(VLOOKUP(Jun_2025_Results[[#This Row],[Song Title]], $AE$96:$AG$112, 3, FALSE)-Jun_2025_Results[[#This Row],[Result]], "TBD")</f>
        <v>1</v>
      </c>
      <c r="AL96" s="246" t="str">
        <f ca="1">IF(AK96&lt;0,"↓",IF(AK96=0,"-","↑"))</f>
        <v>↑</v>
      </c>
    </row>
    <row r="97" spans="1:38">
      <c r="A97" s="199" t="str">
        <f>_xlfn.CONCAT("Seed ", Jun_2025_SotM[[#This Row],[Top Seed]], " vs ",Jun_2025_SotM[[#This Row],[Low Seed]])</f>
        <v>Seed 1 vs 2</v>
      </c>
      <c r="B97" s="201">
        <v>1</v>
      </c>
      <c r="C97" s="200">
        <f>FLOOR(LOG(Jun_2025_SotM[[#This Row],[Num]], 2), 1)</f>
        <v>0</v>
      </c>
      <c r="D97" s="200">
        <f>2^(Jun_2025_SotM[[#This Row],[Round]]+1)</f>
        <v>2</v>
      </c>
      <c r="E97" s="200">
        <f>Jun_2025_SotM[[#This Row],[Max Seed]]-Jun_2025_SotM[[#This Row],[Num]]</f>
        <v>1</v>
      </c>
      <c r="F97" s="200">
        <f>Jun_2025_SotM[[#This Row],[Max Seed]]-Jun_2025_SotM[[#This Row],[Top Seed]]+1</f>
        <v>2</v>
      </c>
      <c r="G97" s="200" t="b">
        <f>IF(Jun_2025_SotM[[#This Row],[Round]]=$C$95, TRUE(), IF(Jun_2025_SotM[[#This Row],[Round]]=$B$95, Jun_2025_SotM[[#This Row],[Top Seed]]&lt;=2*Jun_2025_SotM[[#This Row],[Max Seed]]-$A$95, FALSE()))</f>
        <v>0</v>
      </c>
      <c r="H97" s="200" t="b">
        <f>IF(Jun_2025_SotM[[#This Row],[Round]]=$C$95, TRUE(), IF(Jun_2025_SotM[[#This Row],[Round]]=$B$95, Jun_2025_SotM[[#This Row],[Low Seed]]&lt;=2*Jun_2025_SotM[[#This Row],[Max Seed]]-$A$95, FALSE()))</f>
        <v>0</v>
      </c>
      <c r="I97" s="28" t="s">
        <v>4191</v>
      </c>
      <c r="J97" s="31"/>
      <c r="K97" s="33"/>
      <c r="L97" s="35"/>
      <c r="M97" s="37" t="s">
        <v>4191</v>
      </c>
      <c r="N97" s="203" t="str">
        <f ca="1">IF(Jun_2025_SotM[[#This Row],[Num]]&gt;=$A$95, "-", IF(Jun_2025_SotM[[#This Row],[Initial 1]], VLOOKUP(Jun_2025_SotM[[#This Row],[Top Seed]], $Z$96:$AE$112, 6, FALSE), OFFSET(Jun_2025_SotM[[#This Row],[Winner]], Jun_2025_SotM[[#This Row],[Max Seed]], 0)))</f>
        <v>ブルーバード</v>
      </c>
      <c r="O97" s="200">
        <f>COUNTIF(Jun_2025_SotM[[#This Row],[J]:[H]],"x")</f>
        <v>2</v>
      </c>
      <c r="P97" s="201" t="str">
        <f ca="1">IF(Jun_2025_SotM[[#This Row],[Num]]&gt;=$A$95, "-", IF(Jun_2025_SotM[[#This Row],[Score 1]]&gt;=3, Jun_2025_SotM[[#This Row],[Song 1]], IF(Jun_2025_SotM[[#This Row],[Score 2]]&gt;=3, Jun_2025_SotM[[#This Row],[Song 2]], "TBD")))</f>
        <v>Umbrella</v>
      </c>
      <c r="Q97" s="206">
        <f>COUNTIF(Jun_2025_SotM[[#This Row],[H ]:[J ]],"x")</f>
        <v>3</v>
      </c>
      <c r="R97" s="200" t="str">
        <f ca="1">IF(Jun_2025_SotM[[#This Row],[Num]]&gt;=$A$95, "-", IF(Jun_2025_SotM[[#This Row],[Initial 2]], VLOOKUP(Jun_2025_SotM[[#This Row],[Low Seed]], $Z$96:$AE$112, 6, FALSE), OFFSET(Jun_2025_SotM[[#This Row],[Winner]], 2*(Jun_2025_SotM[[#This Row],[Max Seed]]-Jun_2025_SotM[[#This Row],[Low Seed]])+1, 0)))</f>
        <v>Umbrella</v>
      </c>
      <c r="S97" s="37"/>
      <c r="T97" s="35" t="s">
        <v>4191</v>
      </c>
      <c r="U97" s="33" t="s">
        <v>4191</v>
      </c>
      <c r="V97" s="31" t="s">
        <v>4191</v>
      </c>
      <c r="W97" s="28"/>
      <c r="X97" s="106" t="str">
        <f ca="1">IF(OR(Jun_2025_SotM[[#This Row],[Song 1]]="TBD", Jun_2025_SotM[[#This Row],[Song 2]]="TBD"), "TBD", _xlfn.CONCAT(IF(_xlfn.XOR(ISBLANK(Jun_2025_SotM[[#This Row],[J]]), ISBLANK(Jun_2025_SotM[[#This Row],[J ]])), "", "J "), IF(_xlfn.XOR(ISBLANK(Jun_2025_SotM[[#This Row],[D]]), ISBLANK(Jun_2025_SotM[[#This Row],[D ]])), "", "D "), IF(_xlfn.XOR(ISBLANK(Jun_2025_SotM[[#This Row],[L]]), ISBLANK(Jun_2025_SotM[[#This Row],[L ]])), "", "L "), IF(_xlfn.XOR(ISBLANK(Jun_2025_SotM[[#This Row],[S]]), ISBLANK(Jun_2025_SotM[[#This Row],[S ]])), "", "S "), IF(_xlfn.XOR(ISBLANK(Jun_2025_SotM[[#This Row],[H]]), ISBLANK(Jun_2025_SotM[[#This Row],[H ]])), "", "H ")))</f>
        <v/>
      </c>
      <c r="Z97" s="109">
        <f>IF(AC97&gt;0, COUNTIF(AC$96:AC$112, "&lt;"&amp;AC97) + COUNTIFS(AC$96:AC$112, AC97, AD$96:AD$112, "&lt;"&amp;AD97) + COUNTIFS(AC$96:AC$112, AC97, AD$96:AD$112, AD97, AA$96:AA$112, "&lt;"&amp;AA97) + 1, "TBD")</f>
        <v>14</v>
      </c>
      <c r="AA97" s="59">
        <v>45811</v>
      </c>
      <c r="AB97" t="str">
        <v>currydestroyer27</v>
      </c>
      <c r="AC97" s="3">
        <v>2.2000000000000002</v>
      </c>
      <c r="AD97">
        <v>1.4696938456699069</v>
      </c>
      <c r="AE97" t="str">
        <v>Rather Be</v>
      </c>
      <c r="AF97" t="str">
        <v>Clean Bandit, Jess Glynne</v>
      </c>
      <c r="AG97" s="100">
        <f t="shared" si="27"/>
        <v>9</v>
      </c>
      <c r="AI97" s="115">
        <f>Jun_2025_SotM[[#This Row],[Max Seed]]/2 + 1</f>
        <v>2</v>
      </c>
      <c r="AJ97" s="105" t="str">
        <f ca="1">IF(Jun_2025_SotM[[#This Row],[Num]]&gt;=$A$95, "-", IF(Jun_2025_SotM[[#This Row],[Score 1]]&gt;=3, Jun_2025_SotM[[#This Row],[Song 2]], IF(Jun_2025_SotM[[#This Row],[Score 2]]&gt;=3, Jun_2025_SotM[[#This Row],[Song 1]], "TBD")))</f>
        <v>ブルーバード</v>
      </c>
      <c r="AK97" s="246">
        <f ca="1">IFERROR(VLOOKUP(Jun_2025_Results[[#This Row],[Song Title]], $AE$96:$AG$112, 3, FALSE)-Jun_2025_Results[[#This Row],[Result]], "TBD")</f>
        <v>3</v>
      </c>
      <c r="AL97" s="246" t="str">
        <f ca="1">IF(AK97&lt;0,"↓",IF(AK97=0,"-","↑"))</f>
        <v>↑</v>
      </c>
    </row>
    <row r="98" spans="1:38">
      <c r="A98" s="199" t="str">
        <f>_xlfn.CONCAT("Seed ", Jun_2025_SotM[[#This Row],[Top Seed]], " vs ",Jun_2025_SotM[[#This Row],[Low Seed]])</f>
        <v>Seed 2 vs 3</v>
      </c>
      <c r="B98" s="201">
        <v>2</v>
      </c>
      <c r="C98" s="200">
        <f>FLOOR(LOG(Jun_2025_SotM[[#This Row],[Num]], 2), 1)</f>
        <v>1</v>
      </c>
      <c r="D98" s="200">
        <f>2^(Jun_2025_SotM[[#This Row],[Round]]+1)</f>
        <v>4</v>
      </c>
      <c r="E98" s="200">
        <f>Jun_2025_SotM[[#This Row],[Max Seed]]-Jun_2025_SotM[[#This Row],[Num]]</f>
        <v>2</v>
      </c>
      <c r="F98" s="200">
        <f>Jun_2025_SotM[[#This Row],[Max Seed]]-Jun_2025_SotM[[#This Row],[Top Seed]]+1</f>
        <v>3</v>
      </c>
      <c r="G98" s="200" t="b">
        <f>IF(Jun_2025_SotM[[#This Row],[Round]]=$C$95, TRUE(), IF(Jun_2025_SotM[[#This Row],[Round]]=$B$95, Jun_2025_SotM[[#This Row],[Top Seed]]&lt;=2*Jun_2025_SotM[[#This Row],[Max Seed]]-$A$95, FALSE()))</f>
        <v>0</v>
      </c>
      <c r="H98" s="200" t="b">
        <f>IF(Jun_2025_SotM[[#This Row],[Round]]=$C$95, TRUE(), IF(Jun_2025_SotM[[#This Row],[Round]]=$B$95, Jun_2025_SotM[[#This Row],[Low Seed]]&lt;=2*Jun_2025_SotM[[#This Row],[Max Seed]]-$A$95, FALSE()))</f>
        <v>0</v>
      </c>
      <c r="I98" s="28" t="s">
        <v>4191</v>
      </c>
      <c r="J98" s="31" t="s">
        <v>4191</v>
      </c>
      <c r="K98" s="33"/>
      <c r="L98" s="35" t="s">
        <v>4191</v>
      </c>
      <c r="M98" s="37" t="s">
        <v>4191</v>
      </c>
      <c r="N98" s="203" t="str">
        <f ca="1">IF(Jun_2025_SotM[[#This Row],[Num]]&gt;=$A$95, "-", IF(Jun_2025_SotM[[#This Row],[Initial 1]], VLOOKUP(Jun_2025_SotM[[#This Row],[Top Seed]], $Z$96:$AE$112, 6, FALSE), OFFSET(Jun_2025_SotM[[#This Row],[Winner]], Jun_2025_SotM[[#This Row],[Max Seed]], 0)))</f>
        <v>Umbrella</v>
      </c>
      <c r="O98" s="200">
        <f>COUNTIF(Jun_2025_SotM[[#This Row],[J]:[H]],"x")</f>
        <v>4</v>
      </c>
      <c r="P98" s="201" t="str">
        <f ca="1">IF(Jun_2025_SotM[[#This Row],[Num]]&gt;=$A$95, "-", IF(Jun_2025_SotM[[#This Row],[Score 1]]&gt;=3, Jun_2025_SotM[[#This Row],[Song 1]], IF(Jun_2025_SotM[[#This Row],[Score 2]]&gt;=3, Jun_2025_SotM[[#This Row],[Song 2]], "TBD")))</f>
        <v>Umbrella</v>
      </c>
      <c r="Q98" s="206">
        <f>COUNTIF(Jun_2025_SotM[[#This Row],[H ]:[J ]],"x")</f>
        <v>1</v>
      </c>
      <c r="R98" s="200" t="str">
        <f ca="1">IF(Jun_2025_SotM[[#This Row],[Num]]&gt;=$A$95, "-", IF(Jun_2025_SotM[[#This Row],[Initial 2]], VLOOKUP(Jun_2025_SotM[[#This Row],[Low Seed]], $Z$96:$AE$112, 6, FALSE), OFFSET(Jun_2025_SotM[[#This Row],[Winner]], 2*(Jun_2025_SotM[[#This Row],[Max Seed]]-Jun_2025_SotM[[#This Row],[Low Seed]])+1, 0)))</f>
        <v>Rather Be</v>
      </c>
      <c r="S98" s="37"/>
      <c r="T98" s="35"/>
      <c r="U98" s="33" t="s">
        <v>4191</v>
      </c>
      <c r="V98" s="31"/>
      <c r="W98" s="28"/>
      <c r="X98" s="106" t="str">
        <f ca="1">IF(OR(Jun_2025_SotM[[#This Row],[Song 1]]="TBD", Jun_2025_SotM[[#This Row],[Song 2]]="TBD"), "TBD", _xlfn.CONCAT(IF(_xlfn.XOR(ISBLANK(Jun_2025_SotM[[#This Row],[J]]), ISBLANK(Jun_2025_SotM[[#This Row],[J ]])), "", "J "), IF(_xlfn.XOR(ISBLANK(Jun_2025_SotM[[#This Row],[D]]), ISBLANK(Jun_2025_SotM[[#This Row],[D ]])), "", "D "), IF(_xlfn.XOR(ISBLANK(Jun_2025_SotM[[#This Row],[L]]), ISBLANK(Jun_2025_SotM[[#This Row],[L ]])), "", "L "), IF(_xlfn.XOR(ISBLANK(Jun_2025_SotM[[#This Row],[S]]), ISBLANK(Jun_2025_SotM[[#This Row],[S ]])), "", "S "), IF(_xlfn.XOR(ISBLANK(Jun_2025_SotM[[#This Row],[H]]), ISBLANK(Jun_2025_SotM[[#This Row],[H ]])), "", "H ")))</f>
        <v/>
      </c>
      <c r="Z98" s="109">
        <f t="shared" ref="Z98:Z112" si="28">IF(AC98&gt;0, COUNTIF(AC$96:AC$112, "&lt;"&amp;AC98) + COUNTIFS(AC$96:AC$112, AC98, AD$96:AD$112, "&lt;"&amp;AD98) + COUNTIFS(AC$96:AC$112, AC98, AD$96:AD$112, AD98, AA$96:AA$112, "&lt;"&amp;AA98) + 1, "TBD")</f>
        <v>17</v>
      </c>
      <c r="AA98" s="59">
        <v>45812</v>
      </c>
      <c r="AB98" t="str">
        <v>samuelbattista</v>
      </c>
      <c r="AC98" s="3">
        <v>2.4</v>
      </c>
      <c r="AD98">
        <v>1.3564659966250536</v>
      </c>
      <c r="AE98" t="str">
        <v>The Void</v>
      </c>
      <c r="AF98" t="str">
        <v>Spiritbox</v>
      </c>
      <c r="AG98" s="100">
        <f t="shared" si="27"/>
        <v>17</v>
      </c>
      <c r="AI98" s="115">
        <f>Jun_2025_SotM[[#This Row],[Max Seed]]/2 + 1</f>
        <v>3</v>
      </c>
      <c r="AJ98" s="105" t="str">
        <f ca="1">IF(Jun_2025_SotM[[#This Row],[Num]]&gt;=$A$95, "-", IF(Jun_2025_SotM[[#This Row],[Score 1]]&gt;=3, Jun_2025_SotM[[#This Row],[Song 2]], IF(Jun_2025_SotM[[#This Row],[Score 2]]&gt;=3, Jun_2025_SotM[[#This Row],[Song 1]], "TBD")))</f>
        <v>Rather Be</v>
      </c>
      <c r="AK98" s="246">
        <f ca="1">IFERROR(VLOOKUP(Jun_2025_Results[[#This Row],[Song Title]], $AE$96:$AG$112, 3, FALSE)-Jun_2025_Results[[#This Row],[Result]], "TBD")</f>
        <v>6</v>
      </c>
      <c r="AL98" s="246" t="str">
        <f t="shared" ref="AL98:AL112" ca="1" si="29">IF(AK98&lt;0,"↓",IF(AK98=0,"-","↑"))</f>
        <v>↑</v>
      </c>
    </row>
    <row r="99" spans="1:38">
      <c r="A99" s="199" t="str">
        <f>_xlfn.CONCAT("Seed ", Jun_2025_SotM[[#This Row],[Top Seed]], " vs ",Jun_2025_SotM[[#This Row],[Low Seed]])</f>
        <v>Seed 1 vs 4</v>
      </c>
      <c r="B99" s="201">
        <v>3</v>
      </c>
      <c r="C99" s="200">
        <f>FLOOR(LOG(Jun_2025_SotM[[#This Row],[Num]], 2), 1)</f>
        <v>1</v>
      </c>
      <c r="D99" s="200">
        <f>2^(Jun_2025_SotM[[#This Row],[Round]]+1)</f>
        <v>4</v>
      </c>
      <c r="E99" s="200">
        <f>Jun_2025_SotM[[#This Row],[Max Seed]]-Jun_2025_SotM[[#This Row],[Num]]</f>
        <v>1</v>
      </c>
      <c r="F99" s="200">
        <f>Jun_2025_SotM[[#This Row],[Max Seed]]-Jun_2025_SotM[[#This Row],[Top Seed]]+1</f>
        <v>4</v>
      </c>
      <c r="G99" s="200" t="b">
        <f>IF(Jun_2025_SotM[[#This Row],[Round]]=$C$95, TRUE(), IF(Jun_2025_SotM[[#This Row],[Round]]=$B$95, Jun_2025_SotM[[#This Row],[Top Seed]]&lt;=2*Jun_2025_SotM[[#This Row],[Max Seed]]-$A$95, FALSE()))</f>
        <v>0</v>
      </c>
      <c r="H99" s="200" t="b">
        <f>IF(Jun_2025_SotM[[#This Row],[Round]]=$C$95, TRUE(), IF(Jun_2025_SotM[[#This Row],[Round]]=$B$95, Jun_2025_SotM[[#This Row],[Low Seed]]&lt;=2*Jun_2025_SotM[[#This Row],[Max Seed]]-$A$95, FALSE()))</f>
        <v>0</v>
      </c>
      <c r="I99" s="28"/>
      <c r="J99" s="31"/>
      <c r="K99" s="33"/>
      <c r="L99" s="35"/>
      <c r="M99" s="37"/>
      <c r="N99" s="203" t="str">
        <f ca="1">IF(Jun_2025_SotM[[#This Row],[Num]]&gt;=$A$95, "-", IF(Jun_2025_SotM[[#This Row],[Initial 1]], VLOOKUP(Jun_2025_SotM[[#This Row],[Top Seed]], $Z$96:$AE$112, 6, FALSE), OFFSET(Jun_2025_SotM[[#This Row],[Winner]], Jun_2025_SotM[[#This Row],[Max Seed]], 0)))</f>
        <v>I Will Survive</v>
      </c>
      <c r="O99" s="200">
        <f>COUNTIF(Jun_2025_SotM[[#This Row],[J]:[H]],"x")</f>
        <v>0</v>
      </c>
      <c r="P99" s="201" t="str">
        <f ca="1">IF(Jun_2025_SotM[[#This Row],[Num]]&gt;=$A$95, "-", IF(Jun_2025_SotM[[#This Row],[Score 1]]&gt;=3, Jun_2025_SotM[[#This Row],[Song 1]], IF(Jun_2025_SotM[[#This Row],[Score 2]]&gt;=3, Jun_2025_SotM[[#This Row],[Song 2]], "TBD")))</f>
        <v>ブルーバード</v>
      </c>
      <c r="Q99" s="206">
        <f>COUNTIF(Jun_2025_SotM[[#This Row],[H ]:[J ]],"x")</f>
        <v>5</v>
      </c>
      <c r="R99" s="200" t="str">
        <f ca="1">IF(Jun_2025_SotM[[#This Row],[Num]]&gt;=$A$95, "-", IF(Jun_2025_SotM[[#This Row],[Initial 2]], VLOOKUP(Jun_2025_SotM[[#This Row],[Low Seed]], $Z$96:$AE$112, 6, FALSE), OFFSET(Jun_2025_SotM[[#This Row],[Winner]], 2*(Jun_2025_SotM[[#This Row],[Max Seed]]-Jun_2025_SotM[[#This Row],[Low Seed]])+1, 0)))</f>
        <v>ブルーバード</v>
      </c>
      <c r="S99" s="37" t="s">
        <v>4191</v>
      </c>
      <c r="T99" s="35" t="s">
        <v>4191</v>
      </c>
      <c r="U99" s="33" t="s">
        <v>4191</v>
      </c>
      <c r="V99" s="31" t="s">
        <v>4191</v>
      </c>
      <c r="W99" s="28" t="s">
        <v>4191</v>
      </c>
      <c r="X99" s="106" t="str">
        <f ca="1">IF(OR(Jun_2025_SotM[[#This Row],[Song 1]]="TBD", Jun_2025_SotM[[#This Row],[Song 2]]="TBD"), "TBD", _xlfn.CONCAT(IF(_xlfn.XOR(ISBLANK(Jun_2025_SotM[[#This Row],[J]]), ISBLANK(Jun_2025_SotM[[#This Row],[J ]])), "", "J "), IF(_xlfn.XOR(ISBLANK(Jun_2025_SotM[[#This Row],[D]]), ISBLANK(Jun_2025_SotM[[#This Row],[D ]])), "", "D "), IF(_xlfn.XOR(ISBLANK(Jun_2025_SotM[[#This Row],[L]]), ISBLANK(Jun_2025_SotM[[#This Row],[L ]])), "", "L "), IF(_xlfn.XOR(ISBLANK(Jun_2025_SotM[[#This Row],[S]]), ISBLANK(Jun_2025_SotM[[#This Row],[S ]])), "", "S "), IF(_xlfn.XOR(ISBLANK(Jun_2025_SotM[[#This Row],[H]]), ISBLANK(Jun_2025_SotM[[#This Row],[H ]])), "", "H ")))</f>
        <v/>
      </c>
      <c r="Z99" s="109">
        <f t="shared" si="28"/>
        <v>9</v>
      </c>
      <c r="AA99" s="59">
        <v>45813</v>
      </c>
      <c r="AB99" t="str">
        <v>loganworsdell</v>
      </c>
      <c r="AC99" s="3">
        <v>2.2000000000000002</v>
      </c>
      <c r="AD99">
        <v>0.4</v>
      </c>
      <c r="AE99" t="str">
        <v>Rat A Tat</v>
      </c>
      <c r="AF99" t="str">
        <v>Fall Out Boy, Courtney Love</v>
      </c>
      <c r="AG99" s="100">
        <f t="shared" si="27"/>
        <v>9</v>
      </c>
      <c r="AI99" s="115">
        <f>Jun_2025_SotM[[#This Row],[Max Seed]]/2 + 1</f>
        <v>3</v>
      </c>
      <c r="AJ99" s="105" t="str">
        <f ca="1">IF(Jun_2025_SotM[[#This Row],[Num]]&gt;=$A$95, "-", IF(Jun_2025_SotM[[#This Row],[Score 1]]&gt;=3, Jun_2025_SotM[[#This Row],[Song 2]], IF(Jun_2025_SotM[[#This Row],[Score 2]]&gt;=3, Jun_2025_SotM[[#This Row],[Song 1]], "TBD")))</f>
        <v>I Will Survive</v>
      </c>
      <c r="AK99" s="3">
        <f ca="1">IFERROR(VLOOKUP(Jun_2025_Results[[#This Row],[Song Title]], $AE$96:$AG$112, 3, FALSE)-Jun_2025_Results[[#This Row],[Result]], "TBD")</f>
        <v>-2</v>
      </c>
      <c r="AL99" s="3" t="str">
        <f t="shared" ca="1" si="29"/>
        <v>↓</v>
      </c>
    </row>
    <row r="100" spans="1:38">
      <c r="A100" s="199" t="str">
        <f>_xlfn.CONCAT("Seed ", Jun_2025_SotM[[#This Row],[Top Seed]], " vs ",Jun_2025_SotM[[#This Row],[Low Seed]])</f>
        <v>Seed 4 vs 5</v>
      </c>
      <c r="B100" s="201">
        <v>4</v>
      </c>
      <c r="C100" s="200">
        <f>FLOOR(LOG(Jun_2025_SotM[[#This Row],[Num]], 2), 1)</f>
        <v>2</v>
      </c>
      <c r="D100" s="200">
        <f>2^(Jun_2025_SotM[[#This Row],[Round]]+1)</f>
        <v>8</v>
      </c>
      <c r="E100" s="200">
        <f>Jun_2025_SotM[[#This Row],[Max Seed]]-Jun_2025_SotM[[#This Row],[Num]]</f>
        <v>4</v>
      </c>
      <c r="F100" s="200">
        <f>Jun_2025_SotM[[#This Row],[Max Seed]]-Jun_2025_SotM[[#This Row],[Top Seed]]+1</f>
        <v>5</v>
      </c>
      <c r="G100" s="200" t="b">
        <f>IF(Jun_2025_SotM[[#This Row],[Round]]=$C$95, TRUE(), IF(Jun_2025_SotM[[#This Row],[Round]]=$B$95, Jun_2025_SotM[[#This Row],[Top Seed]]&lt;=2*Jun_2025_SotM[[#This Row],[Max Seed]]-$A$95, FALSE()))</f>
        <v>0</v>
      </c>
      <c r="H100" s="200" t="b">
        <f>IF(Jun_2025_SotM[[#This Row],[Round]]=$C$95, TRUE(), IF(Jun_2025_SotM[[#This Row],[Round]]=$B$95, Jun_2025_SotM[[#This Row],[Low Seed]]&lt;=2*Jun_2025_SotM[[#This Row],[Max Seed]]-$A$95, FALSE()))</f>
        <v>0</v>
      </c>
      <c r="I100" s="28"/>
      <c r="J100" s="31" t="s">
        <v>4191</v>
      </c>
      <c r="K100" s="33" t="s">
        <v>4191</v>
      </c>
      <c r="L100" s="35"/>
      <c r="M100" s="37"/>
      <c r="N100" s="203" t="str">
        <f ca="1">IF(Jun_2025_SotM[[#This Row],[Num]]&gt;=$A$95, "-", IF(Jun_2025_SotM[[#This Row],[Initial 1]], VLOOKUP(Jun_2025_SotM[[#This Row],[Top Seed]], $Z$96:$AE$112, 6, FALSE), OFFSET(Jun_2025_SotM[[#This Row],[Winner]], Jun_2025_SotM[[#This Row],[Max Seed]], 0)))</f>
        <v>Laugh Now Cry Later (feat. Lil Durk)</v>
      </c>
      <c r="O100" s="200">
        <f>COUNTIF(Jun_2025_SotM[[#This Row],[J]:[H]],"x")</f>
        <v>2</v>
      </c>
      <c r="P100" s="201" t="str">
        <f ca="1">IF(Jun_2025_SotM[[#This Row],[Num]]&gt;=$A$95, "-", IF(Jun_2025_SotM[[#This Row],[Score 1]]&gt;=3, Jun_2025_SotM[[#This Row],[Song 1]], IF(Jun_2025_SotM[[#This Row],[Score 2]]&gt;=3, Jun_2025_SotM[[#This Row],[Song 2]], "TBD")))</f>
        <v>ブルーバード</v>
      </c>
      <c r="Q100" s="206">
        <f>COUNTIF(Jun_2025_SotM[[#This Row],[H ]:[J ]],"x")</f>
        <v>3</v>
      </c>
      <c r="R100" s="200" t="str">
        <f ca="1">IF(Jun_2025_SotM[[#This Row],[Num]]&gt;=$A$95, "-", IF(Jun_2025_SotM[[#This Row],[Initial 2]], VLOOKUP(Jun_2025_SotM[[#This Row],[Low Seed]], $Z$96:$AE$112, 6, FALSE), OFFSET(Jun_2025_SotM[[#This Row],[Winner]], 2*(Jun_2025_SotM[[#This Row],[Max Seed]]-Jun_2025_SotM[[#This Row],[Low Seed]])+1, 0)))</f>
        <v>ブルーバード</v>
      </c>
      <c r="S100" s="37" t="s">
        <v>4191</v>
      </c>
      <c r="T100" s="35" t="s">
        <v>4191</v>
      </c>
      <c r="U100" s="33"/>
      <c r="V100" s="31"/>
      <c r="W100" s="28" t="s">
        <v>4191</v>
      </c>
      <c r="X100" s="106" t="str">
        <f ca="1">IF(OR(Jun_2025_SotM[[#This Row],[Song 1]]="TBD", Jun_2025_SotM[[#This Row],[Song 2]]="TBD"), "TBD", _xlfn.CONCAT(IF(_xlfn.XOR(ISBLANK(Jun_2025_SotM[[#This Row],[J]]), ISBLANK(Jun_2025_SotM[[#This Row],[J ]])), "", "J "), IF(_xlfn.XOR(ISBLANK(Jun_2025_SotM[[#This Row],[D]]), ISBLANK(Jun_2025_SotM[[#This Row],[D ]])), "", "D "), IF(_xlfn.XOR(ISBLANK(Jun_2025_SotM[[#This Row],[L]]), ISBLANK(Jun_2025_SotM[[#This Row],[L ]])), "", "L "), IF(_xlfn.XOR(ISBLANK(Jun_2025_SotM[[#This Row],[S]]), ISBLANK(Jun_2025_SotM[[#This Row],[S ]])), "", "S "), IF(_xlfn.XOR(ISBLANK(Jun_2025_SotM[[#This Row],[H]]), ISBLANK(Jun_2025_SotM[[#This Row],[H ]])), "", "H ")))</f>
        <v/>
      </c>
      <c r="Z100" s="109">
        <f t="shared" si="28"/>
        <v>2</v>
      </c>
      <c r="AA100" s="59">
        <v>45817</v>
      </c>
      <c r="AB100" t="str">
        <v>danram</v>
      </c>
      <c r="AC100" s="3">
        <v>1.4</v>
      </c>
      <c r="AD100">
        <v>0.4898979485566356</v>
      </c>
      <c r="AE100" t="str">
        <v>Umbrella</v>
      </c>
      <c r="AF100" t="str">
        <v>Rihanna, JAY-Z</v>
      </c>
      <c r="AG100" s="100">
        <f t="shared" si="27"/>
        <v>2</v>
      </c>
      <c r="AI100" s="115">
        <f>Jun_2025_SotM[[#This Row],[Max Seed]]/2 + 1</f>
        <v>5</v>
      </c>
      <c r="AJ100" s="105" t="str">
        <f ca="1">IF(Jun_2025_SotM[[#This Row],[Num]]&gt;=$A$95, "-", IF(Jun_2025_SotM[[#This Row],[Score 1]]&gt;=3, Jun_2025_SotM[[#This Row],[Song 2]], IF(Jun_2025_SotM[[#This Row],[Score 2]]&gt;=3, Jun_2025_SotM[[#This Row],[Song 1]], "TBD")))</f>
        <v>Laugh Now Cry Later (feat. Lil Durk)</v>
      </c>
      <c r="AK100" s="3">
        <f ca="1">IFERROR(VLOOKUP(Jun_2025_Results[[#This Row],[Song Title]], $AE$96:$AG$112, 3, FALSE)-Jun_2025_Results[[#This Row],[Result]], "TBD")</f>
        <v>4</v>
      </c>
      <c r="AL100" s="3" t="str">
        <f t="shared" ca="1" si="29"/>
        <v>↑</v>
      </c>
    </row>
    <row r="101" spans="1:38">
      <c r="A101" s="199" t="str">
        <f>_xlfn.CONCAT("Seed ", Jun_2025_SotM[[#This Row],[Top Seed]], " vs ",Jun_2025_SotM[[#This Row],[Low Seed]])</f>
        <v>Seed 3 vs 6</v>
      </c>
      <c r="B101" s="201">
        <v>5</v>
      </c>
      <c r="C101" s="200">
        <f>FLOOR(LOG(Jun_2025_SotM[[#This Row],[Num]], 2), 1)</f>
        <v>2</v>
      </c>
      <c r="D101" s="200">
        <f>2^(Jun_2025_SotM[[#This Row],[Round]]+1)</f>
        <v>8</v>
      </c>
      <c r="E101" s="200">
        <f>Jun_2025_SotM[[#This Row],[Max Seed]]-Jun_2025_SotM[[#This Row],[Num]]</f>
        <v>3</v>
      </c>
      <c r="F101" s="200">
        <f>Jun_2025_SotM[[#This Row],[Max Seed]]-Jun_2025_SotM[[#This Row],[Top Seed]]+1</f>
        <v>6</v>
      </c>
      <c r="G101" s="200" t="b">
        <f>IF(Jun_2025_SotM[[#This Row],[Round]]=$C$95, TRUE(), IF(Jun_2025_SotM[[#This Row],[Round]]=$B$95, Jun_2025_SotM[[#This Row],[Top Seed]]&lt;=2*Jun_2025_SotM[[#This Row],[Max Seed]]-$A$95, FALSE()))</f>
        <v>0</v>
      </c>
      <c r="H101" s="200" t="b">
        <f>IF(Jun_2025_SotM[[#This Row],[Round]]=$C$95, TRUE(), IF(Jun_2025_SotM[[#This Row],[Round]]=$B$95, Jun_2025_SotM[[#This Row],[Low Seed]]&lt;=2*Jun_2025_SotM[[#This Row],[Max Seed]]-$A$95, FALSE()))</f>
        <v>0</v>
      </c>
      <c r="I101" s="28" t="s">
        <v>4191</v>
      </c>
      <c r="J101" s="31" t="s">
        <v>4191</v>
      </c>
      <c r="K101" s="33" t="s">
        <v>4191</v>
      </c>
      <c r="L101" s="35" t="s">
        <v>4191</v>
      </c>
      <c r="M101" s="37" t="s">
        <v>4191</v>
      </c>
      <c r="N101" s="203" t="str">
        <f ca="1">IF(Jun_2025_SotM[[#This Row],[Num]]&gt;=$A$95, "-", IF(Jun_2025_SotM[[#This Row],[Initial 1]], VLOOKUP(Jun_2025_SotM[[#This Row],[Top Seed]], $Z$96:$AE$112, 6, FALSE), OFFSET(Jun_2025_SotM[[#This Row],[Winner]], Jun_2025_SotM[[#This Row],[Max Seed]], 0)))</f>
        <v>Rather Be</v>
      </c>
      <c r="O101" s="200">
        <f>COUNTIF(Jun_2025_SotM[[#This Row],[J]:[H]],"x")</f>
        <v>5</v>
      </c>
      <c r="P101" s="201" t="str">
        <f ca="1">IF(Jun_2025_SotM[[#This Row],[Num]]&gt;=$A$95, "-", IF(Jun_2025_SotM[[#This Row],[Score 1]]&gt;=3, Jun_2025_SotM[[#This Row],[Song 1]], IF(Jun_2025_SotM[[#This Row],[Score 2]]&gt;=3, Jun_2025_SotM[[#This Row],[Song 2]], "TBD")))</f>
        <v>Rather Be</v>
      </c>
      <c r="Q101" s="206">
        <f>COUNTIF(Jun_2025_SotM[[#This Row],[H ]:[J ]],"x")</f>
        <v>0</v>
      </c>
      <c r="R101" s="200" t="str">
        <f ca="1">IF(Jun_2025_SotM[[#This Row],[Num]]&gt;=$A$95, "-", IF(Jun_2025_SotM[[#This Row],[Initial 2]], VLOOKUP(Jun_2025_SotM[[#This Row],[Low Seed]], $Z$96:$AE$112, 6, FALSE), OFFSET(Jun_2025_SotM[[#This Row],[Winner]], 2*(Jun_2025_SotM[[#This Row],[Max Seed]]-Jun_2025_SotM[[#This Row],[Low Seed]])+1, 0)))</f>
        <v>BedRock</v>
      </c>
      <c r="S101" s="37"/>
      <c r="T101" s="35"/>
      <c r="U101" s="33"/>
      <c r="V101" s="31"/>
      <c r="W101" s="28"/>
      <c r="X101" s="106" t="str">
        <f ca="1">IF(OR(Jun_2025_SotM[[#This Row],[Song 1]]="TBD", Jun_2025_SotM[[#This Row],[Song 2]]="TBD"), "TBD", _xlfn.CONCAT(IF(_xlfn.XOR(ISBLANK(Jun_2025_SotM[[#This Row],[J]]), ISBLANK(Jun_2025_SotM[[#This Row],[J ]])), "", "J "), IF(_xlfn.XOR(ISBLANK(Jun_2025_SotM[[#This Row],[D]]), ISBLANK(Jun_2025_SotM[[#This Row],[D ]])), "", "D "), IF(_xlfn.XOR(ISBLANK(Jun_2025_SotM[[#This Row],[L]]), ISBLANK(Jun_2025_SotM[[#This Row],[L ]])), "", "L "), IF(_xlfn.XOR(ISBLANK(Jun_2025_SotM[[#This Row],[S]]), ISBLANK(Jun_2025_SotM[[#This Row],[S ]])), "", "S "), IF(_xlfn.XOR(ISBLANK(Jun_2025_SotM[[#This Row],[H]]), ISBLANK(Jun_2025_SotM[[#This Row],[H ]])), "", "H ")))</f>
        <v/>
      </c>
      <c r="Z101" s="109">
        <f t="shared" si="28"/>
        <v>15</v>
      </c>
      <c r="AA101" s="59">
        <v>45818</v>
      </c>
      <c r="AB101" t="str">
        <v>alappatjoe</v>
      </c>
      <c r="AC101" s="3">
        <v>2.2000000000000002</v>
      </c>
      <c r="AD101">
        <v>1.4696938456699069</v>
      </c>
      <c r="AE101" t="str">
        <v>Cash In Cash Out</v>
      </c>
      <c r="AF101" t="str">
        <v>Pharrell Williams, 21 Savage, Tyler The Creator</v>
      </c>
      <c r="AG101" s="100">
        <f t="shared" si="27"/>
        <v>9</v>
      </c>
      <c r="AI101" s="115">
        <f>Jun_2025_SotM[[#This Row],[Max Seed]]/2 + 1</f>
        <v>5</v>
      </c>
      <c r="AJ101" s="105" t="str">
        <f ca="1">IF(Jun_2025_SotM[[#This Row],[Num]]&gt;=$A$95, "-", IF(Jun_2025_SotM[[#This Row],[Score 1]]&gt;=3, Jun_2025_SotM[[#This Row],[Song 2]], IF(Jun_2025_SotM[[#This Row],[Score 2]]&gt;=3, Jun_2025_SotM[[#This Row],[Song 1]], "TBD")))</f>
        <v>BedRock</v>
      </c>
      <c r="AK101" s="3">
        <f ca="1">IFERROR(VLOOKUP(Jun_2025_Results[[#This Row],[Song Title]], $AE$96:$AG$112, 3, FALSE)-Jun_2025_Results[[#This Row],[Result]], "TBD")</f>
        <v>4</v>
      </c>
      <c r="AL101" s="3" t="str">
        <f t="shared" ca="1" si="29"/>
        <v>↑</v>
      </c>
    </row>
    <row r="102" spans="1:38">
      <c r="A102" s="199" t="str">
        <f>_xlfn.CONCAT("Seed ", Jun_2025_SotM[[#This Row],[Top Seed]], " vs ",Jun_2025_SotM[[#This Row],[Low Seed]])</f>
        <v>Seed 2 vs 7</v>
      </c>
      <c r="B102" s="201">
        <v>6</v>
      </c>
      <c r="C102" s="200">
        <f>FLOOR(LOG(Jun_2025_SotM[[#This Row],[Num]], 2), 1)</f>
        <v>2</v>
      </c>
      <c r="D102" s="200">
        <f>2^(Jun_2025_SotM[[#This Row],[Round]]+1)</f>
        <v>8</v>
      </c>
      <c r="E102" s="200">
        <f>Jun_2025_SotM[[#This Row],[Max Seed]]-Jun_2025_SotM[[#This Row],[Num]]</f>
        <v>2</v>
      </c>
      <c r="F102" s="200">
        <f>Jun_2025_SotM[[#This Row],[Max Seed]]-Jun_2025_SotM[[#This Row],[Top Seed]]+1</f>
        <v>7</v>
      </c>
      <c r="G102" s="200" t="b">
        <f>IF(Jun_2025_SotM[[#This Row],[Round]]=$C$95, TRUE(), IF(Jun_2025_SotM[[#This Row],[Round]]=$B$95, Jun_2025_SotM[[#This Row],[Top Seed]]&lt;=2*Jun_2025_SotM[[#This Row],[Max Seed]]-$A$95, FALSE()))</f>
        <v>0</v>
      </c>
      <c r="H102" s="200" t="b">
        <f>IF(Jun_2025_SotM[[#This Row],[Round]]=$C$95, TRUE(), IF(Jun_2025_SotM[[#This Row],[Round]]=$B$95, Jun_2025_SotM[[#This Row],[Low Seed]]&lt;=2*Jun_2025_SotM[[#This Row],[Max Seed]]-$A$95, FALSE()))</f>
        <v>0</v>
      </c>
      <c r="I102" s="28" t="s">
        <v>4191</v>
      </c>
      <c r="J102" s="31" t="s">
        <v>4191</v>
      </c>
      <c r="K102" s="33" t="s">
        <v>4191</v>
      </c>
      <c r="L102" s="35"/>
      <c r="M102" s="37" t="s">
        <v>4191</v>
      </c>
      <c r="N102" s="203" t="str">
        <f ca="1">IF(Jun_2025_SotM[[#This Row],[Num]]&gt;=$A$95, "-", IF(Jun_2025_SotM[[#This Row],[Initial 1]], VLOOKUP(Jun_2025_SotM[[#This Row],[Top Seed]], $Z$96:$AE$112, 6, FALSE), OFFSET(Jun_2025_SotM[[#This Row],[Winner]], Jun_2025_SotM[[#This Row],[Max Seed]], 0)))</f>
        <v>Umbrella</v>
      </c>
      <c r="O102" s="200">
        <f>COUNTIF(Jun_2025_SotM[[#This Row],[J]:[H]],"x")</f>
        <v>4</v>
      </c>
      <c r="P102" s="201" t="str">
        <f ca="1">IF(Jun_2025_SotM[[#This Row],[Num]]&gt;=$A$95, "-", IF(Jun_2025_SotM[[#This Row],[Score 1]]&gt;=3, Jun_2025_SotM[[#This Row],[Song 1]], IF(Jun_2025_SotM[[#This Row],[Score 2]]&gt;=3, Jun_2025_SotM[[#This Row],[Song 2]], "TBD")))</f>
        <v>Umbrella</v>
      </c>
      <c r="Q102" s="206">
        <f>COUNTIF(Jun_2025_SotM[[#This Row],[H ]:[J ]],"x")</f>
        <v>1</v>
      </c>
      <c r="R102" s="200" t="str">
        <f ca="1">IF(Jun_2025_SotM[[#This Row],[Num]]&gt;=$A$95, "-", IF(Jun_2025_SotM[[#This Row],[Initial 2]], VLOOKUP(Jun_2025_SotM[[#This Row],[Low Seed]], $Z$96:$AE$112, 6, FALSE), OFFSET(Jun_2025_SotM[[#This Row],[Winner]], 2*(Jun_2025_SotM[[#This Row],[Max Seed]]-Jun_2025_SotM[[#This Row],[Low Seed]])+1, 0)))</f>
        <v>Ain't It Fun</v>
      </c>
      <c r="S102" s="37"/>
      <c r="T102" s="35" t="s">
        <v>4191</v>
      </c>
      <c r="U102" s="33"/>
      <c r="V102" s="31"/>
      <c r="W102" s="28"/>
      <c r="X102" s="106" t="str">
        <f ca="1">IF(OR(Jun_2025_SotM[[#This Row],[Song 1]]="TBD", Jun_2025_SotM[[#This Row],[Song 2]]="TBD"), "TBD", _xlfn.CONCAT(IF(_xlfn.XOR(ISBLANK(Jun_2025_SotM[[#This Row],[J]]), ISBLANK(Jun_2025_SotM[[#This Row],[J ]])), "", "J "), IF(_xlfn.XOR(ISBLANK(Jun_2025_SotM[[#This Row],[D]]), ISBLANK(Jun_2025_SotM[[#This Row],[D ]])), "", "D "), IF(_xlfn.XOR(ISBLANK(Jun_2025_SotM[[#This Row],[L]]), ISBLANK(Jun_2025_SotM[[#This Row],[L ]])), "", "L "), IF(_xlfn.XOR(ISBLANK(Jun_2025_SotM[[#This Row],[S]]), ISBLANK(Jun_2025_SotM[[#This Row],[S ]])), "", "S "), IF(_xlfn.XOR(ISBLANK(Jun_2025_SotM[[#This Row],[H]]), ISBLANK(Jun_2025_SotM[[#This Row],[H ]])), "", "H ")))</f>
        <v/>
      </c>
      <c r="Z102" s="109">
        <f t="shared" si="28"/>
        <v>6</v>
      </c>
      <c r="AA102" s="59">
        <v>45819</v>
      </c>
      <c r="AB102" t="str">
        <v>samuelbattista</v>
      </c>
      <c r="AC102" s="3">
        <v>2</v>
      </c>
      <c r="AD102">
        <v>0.89442719099991586</v>
      </c>
      <c r="AE102" t="str">
        <v>Renegade</v>
      </c>
      <c r="AF102" t="str">
        <v>Styx</v>
      </c>
      <c r="AG102" s="100">
        <f t="shared" si="27"/>
        <v>5</v>
      </c>
      <c r="AI102" s="115">
        <f>Jun_2025_SotM[[#This Row],[Max Seed]]/2 + 1</f>
        <v>5</v>
      </c>
      <c r="AJ102" s="105" t="str">
        <f ca="1">IF(Jun_2025_SotM[[#This Row],[Num]]&gt;=$A$95, "-", IF(Jun_2025_SotM[[#This Row],[Score 1]]&gt;=3, Jun_2025_SotM[[#This Row],[Song 2]], IF(Jun_2025_SotM[[#This Row],[Score 2]]&gt;=3, Jun_2025_SotM[[#This Row],[Song 1]], "TBD")))</f>
        <v>Ain't It Fun</v>
      </c>
      <c r="AK102" s="3">
        <f ca="1">IFERROR(VLOOKUP(Jun_2025_Results[[#This Row],[Song Title]], $AE$96:$AG$112, 3, FALSE)-Jun_2025_Results[[#This Row],[Result]], "TBD")</f>
        <v>0</v>
      </c>
      <c r="AL102" s="3" t="str">
        <f t="shared" ca="1" si="29"/>
        <v>-</v>
      </c>
    </row>
    <row r="103" spans="1:38">
      <c r="A103" s="199" t="str">
        <f>_xlfn.CONCAT("Seed ", Jun_2025_SotM[[#This Row],[Top Seed]], " vs ",Jun_2025_SotM[[#This Row],[Low Seed]])</f>
        <v>Seed 1 vs 8</v>
      </c>
      <c r="B103" s="201">
        <v>7</v>
      </c>
      <c r="C103" s="200">
        <f>FLOOR(LOG(Jun_2025_SotM[[#This Row],[Num]], 2), 1)</f>
        <v>2</v>
      </c>
      <c r="D103" s="200">
        <f>2^(Jun_2025_SotM[[#This Row],[Round]]+1)</f>
        <v>8</v>
      </c>
      <c r="E103" s="200">
        <f>Jun_2025_SotM[[#This Row],[Max Seed]]-Jun_2025_SotM[[#This Row],[Num]]</f>
        <v>1</v>
      </c>
      <c r="F103" s="200">
        <f>Jun_2025_SotM[[#This Row],[Max Seed]]-Jun_2025_SotM[[#This Row],[Top Seed]]+1</f>
        <v>8</v>
      </c>
      <c r="G103" s="200" t="b">
        <f>IF(Jun_2025_SotM[[#This Row],[Round]]=$C$95, TRUE(), IF(Jun_2025_SotM[[#This Row],[Round]]=$B$95, Jun_2025_SotM[[#This Row],[Top Seed]]&lt;=2*Jun_2025_SotM[[#This Row],[Max Seed]]-$A$95, FALSE()))</f>
        <v>0</v>
      </c>
      <c r="H103" s="200" t="b">
        <f>IF(Jun_2025_SotM[[#This Row],[Round]]=$C$95, TRUE(), IF(Jun_2025_SotM[[#This Row],[Round]]=$B$95, Jun_2025_SotM[[#This Row],[Low Seed]]&lt;=2*Jun_2025_SotM[[#This Row],[Max Seed]]-$A$95, FALSE()))</f>
        <v>0</v>
      </c>
      <c r="I103" s="28"/>
      <c r="J103" s="31" t="s">
        <v>4191</v>
      </c>
      <c r="K103" s="33" t="s">
        <v>4191</v>
      </c>
      <c r="L103" s="35" t="s">
        <v>4191</v>
      </c>
      <c r="M103" s="37" t="s">
        <v>4191</v>
      </c>
      <c r="N103" s="203" t="str">
        <f ca="1">IF(Jun_2025_SotM[[#This Row],[Num]]&gt;=$A$95, "-", IF(Jun_2025_SotM[[#This Row],[Initial 1]], VLOOKUP(Jun_2025_SotM[[#This Row],[Top Seed]], $Z$96:$AE$112, 6, FALSE), OFFSET(Jun_2025_SotM[[#This Row],[Winner]], Jun_2025_SotM[[#This Row],[Max Seed]], 0)))</f>
        <v>I Will Survive</v>
      </c>
      <c r="O103" s="200">
        <f>COUNTIF(Jun_2025_SotM[[#This Row],[J]:[H]],"x")</f>
        <v>4</v>
      </c>
      <c r="P103" s="201" t="str">
        <f ca="1">IF(Jun_2025_SotM[[#This Row],[Num]]&gt;=$A$95, "-", IF(Jun_2025_SotM[[#This Row],[Score 1]]&gt;=3, Jun_2025_SotM[[#This Row],[Song 1]], IF(Jun_2025_SotM[[#This Row],[Score 2]]&gt;=3, Jun_2025_SotM[[#This Row],[Song 2]], "TBD")))</f>
        <v>I Will Survive</v>
      </c>
      <c r="Q103" s="206">
        <f>COUNTIF(Jun_2025_SotM[[#This Row],[H ]:[J ]],"x")</f>
        <v>1</v>
      </c>
      <c r="R103" s="200" t="str">
        <f ca="1">IF(Jun_2025_SotM[[#This Row],[Num]]&gt;=$A$95, "-", IF(Jun_2025_SotM[[#This Row],[Initial 2]], VLOOKUP(Jun_2025_SotM[[#This Row],[Low Seed]], $Z$96:$AE$112, 6, FALSE), OFFSET(Jun_2025_SotM[[#This Row],[Winner]], 2*(Jun_2025_SotM[[#This Row],[Max Seed]]-Jun_2025_SotM[[#This Row],[Low Seed]])+1, 0)))</f>
        <v>Numb Little Bug</v>
      </c>
      <c r="S103" s="37"/>
      <c r="T103" s="35"/>
      <c r="U103" s="33"/>
      <c r="V103" s="31"/>
      <c r="W103" s="28" t="s">
        <v>4191</v>
      </c>
      <c r="X103" s="106" t="str">
        <f ca="1">IF(OR(Jun_2025_SotM[[#This Row],[Song 1]]="TBD", Jun_2025_SotM[[#This Row],[Song 2]]="TBD"), "TBD", _xlfn.CONCAT(IF(_xlfn.XOR(ISBLANK(Jun_2025_SotM[[#This Row],[J]]), ISBLANK(Jun_2025_SotM[[#This Row],[J ]])), "", "J "), IF(_xlfn.XOR(ISBLANK(Jun_2025_SotM[[#This Row],[D]]), ISBLANK(Jun_2025_SotM[[#This Row],[D ]])), "", "D "), IF(_xlfn.XOR(ISBLANK(Jun_2025_SotM[[#This Row],[L]]), ISBLANK(Jun_2025_SotM[[#This Row],[L ]])), "", "L "), IF(_xlfn.XOR(ISBLANK(Jun_2025_SotM[[#This Row],[S]]), ISBLANK(Jun_2025_SotM[[#This Row],[S ]])), "", "S "), IF(_xlfn.XOR(ISBLANK(Jun_2025_SotM[[#This Row],[H]]), ISBLANK(Jun_2025_SotM[[#This Row],[H ]])), "", "H ")))</f>
        <v/>
      </c>
      <c r="Z103" s="109">
        <f t="shared" si="28"/>
        <v>7</v>
      </c>
      <c r="AA103" s="59">
        <v>45820</v>
      </c>
      <c r="AB103" t="str">
        <v>currydestroyer27</v>
      </c>
      <c r="AC103" s="3">
        <v>2</v>
      </c>
      <c r="AD103">
        <v>1.0954451150103321</v>
      </c>
      <c r="AE103" t="str">
        <v>Ain't It Fun</v>
      </c>
      <c r="AF103" t="str">
        <v>Paramore</v>
      </c>
      <c r="AG103" s="100">
        <f t="shared" si="27"/>
        <v>5</v>
      </c>
      <c r="AI103" s="115">
        <f>Jun_2025_SotM[[#This Row],[Max Seed]]/2 + 1</f>
        <v>5</v>
      </c>
      <c r="AJ103" s="105" t="str">
        <f ca="1">IF(Jun_2025_SotM[[#This Row],[Num]]&gt;=$A$95, "-", IF(Jun_2025_SotM[[#This Row],[Score 1]]&gt;=3, Jun_2025_SotM[[#This Row],[Song 2]], IF(Jun_2025_SotM[[#This Row],[Score 2]]&gt;=3, Jun_2025_SotM[[#This Row],[Song 1]], "TBD")))</f>
        <v>Numb Little Bug</v>
      </c>
      <c r="AK103" s="3">
        <f ca="1">IFERROR(VLOOKUP(Jun_2025_Results[[#This Row],[Song Title]], $AE$96:$AG$112, 3, FALSE)-Jun_2025_Results[[#This Row],[Result]], "TBD")</f>
        <v>0</v>
      </c>
      <c r="AL103" s="3" t="str">
        <f t="shared" ca="1" si="29"/>
        <v>-</v>
      </c>
    </row>
    <row r="104" spans="1:38">
      <c r="A104" s="199" t="str">
        <f>_xlfn.CONCAT("Seed ", Jun_2025_SotM[[#This Row],[Top Seed]], " vs ",Jun_2025_SotM[[#This Row],[Low Seed]])</f>
        <v>Seed 8 vs 9</v>
      </c>
      <c r="B104" s="201">
        <v>8</v>
      </c>
      <c r="C104" s="200">
        <f>FLOOR(LOG(Jun_2025_SotM[[#This Row],[Num]], 2), 1)</f>
        <v>3</v>
      </c>
      <c r="D104" s="200">
        <f>2^(Jun_2025_SotM[[#This Row],[Round]]+1)</f>
        <v>16</v>
      </c>
      <c r="E104" s="200">
        <f>Jun_2025_SotM[[#This Row],[Max Seed]]-Jun_2025_SotM[[#This Row],[Num]]</f>
        <v>8</v>
      </c>
      <c r="F104" s="200">
        <f>Jun_2025_SotM[[#This Row],[Max Seed]]-Jun_2025_SotM[[#This Row],[Top Seed]]+1</f>
        <v>9</v>
      </c>
      <c r="G104" s="200" t="b">
        <f>IF(Jun_2025_SotM[[#This Row],[Round]]=$C$95, TRUE(), IF(Jun_2025_SotM[[#This Row],[Round]]=$B$95, Jun_2025_SotM[[#This Row],[Top Seed]]&lt;=2*Jun_2025_SotM[[#This Row],[Max Seed]]-$A$95, FALSE()))</f>
        <v>1</v>
      </c>
      <c r="H104" s="200" t="b">
        <f>IF(Jun_2025_SotM[[#This Row],[Round]]=$C$95, TRUE(), IF(Jun_2025_SotM[[#This Row],[Round]]=$B$95, Jun_2025_SotM[[#This Row],[Low Seed]]&lt;=2*Jun_2025_SotM[[#This Row],[Max Seed]]-$A$95, FALSE()))</f>
        <v>1</v>
      </c>
      <c r="I104" s="28" t="s">
        <v>4191</v>
      </c>
      <c r="J104" s="31" t="s">
        <v>4191</v>
      </c>
      <c r="K104" s="33"/>
      <c r="L104" s="35" t="s">
        <v>4191</v>
      </c>
      <c r="M104" s="37" t="s">
        <v>4191</v>
      </c>
      <c r="N104" s="203" t="str">
        <f ca="1">IF(Jun_2025_SotM[[#This Row],[Num]]&gt;=$A$95, "-", IF(Jun_2025_SotM[[#This Row],[Initial 1]], VLOOKUP(Jun_2025_SotM[[#This Row],[Top Seed]], $Z$96:$AE$112, 6, FALSE), OFFSET(Jun_2025_SotM[[#This Row],[Winner]], Jun_2025_SotM[[#This Row],[Max Seed]], 0)))</f>
        <v>Numb Little Bug</v>
      </c>
      <c r="O104" s="200">
        <f>COUNTIF(Jun_2025_SotM[[#This Row],[J]:[H]],"x")</f>
        <v>4</v>
      </c>
      <c r="P104" s="201" t="str">
        <f ca="1">IF(Jun_2025_SotM[[#This Row],[Num]]&gt;=$A$95, "-", IF(Jun_2025_SotM[[#This Row],[Score 1]]&gt;=3, Jun_2025_SotM[[#This Row],[Song 1]], IF(Jun_2025_SotM[[#This Row],[Score 2]]&gt;=3, Jun_2025_SotM[[#This Row],[Song 2]], "TBD")))</f>
        <v>Numb Little Bug</v>
      </c>
      <c r="Q104" s="206">
        <f>COUNTIF(Jun_2025_SotM[[#This Row],[H ]:[J ]],"x")</f>
        <v>1</v>
      </c>
      <c r="R104" s="200" t="str">
        <f ca="1">IF(Jun_2025_SotM[[#This Row],[Num]]&gt;=$A$95, "-", IF(Jun_2025_SotM[[#This Row],[Initial 2]], VLOOKUP(Jun_2025_SotM[[#This Row],[Low Seed]], $Z$96:$AE$112, 6, FALSE), OFFSET(Jun_2025_SotM[[#This Row],[Winner]], 2*(Jun_2025_SotM[[#This Row],[Max Seed]]-Jun_2025_SotM[[#This Row],[Low Seed]])+1, 0)))</f>
        <v>Rat A Tat</v>
      </c>
      <c r="S104" s="37"/>
      <c r="T104" s="35"/>
      <c r="U104" s="33" t="s">
        <v>4191</v>
      </c>
      <c r="V104" s="31"/>
      <c r="W104" s="28"/>
      <c r="X104" s="106" t="str">
        <f ca="1">IF(OR(Jun_2025_SotM[[#This Row],[Song 1]]="TBD", Jun_2025_SotM[[#This Row],[Song 2]]="TBD"), "TBD", _xlfn.CONCAT(IF(_xlfn.XOR(ISBLANK(Jun_2025_SotM[[#This Row],[J]]), ISBLANK(Jun_2025_SotM[[#This Row],[J ]])), "", "J "), IF(_xlfn.XOR(ISBLANK(Jun_2025_SotM[[#This Row],[D]]), ISBLANK(Jun_2025_SotM[[#This Row],[D ]])), "", "D "), IF(_xlfn.XOR(ISBLANK(Jun_2025_SotM[[#This Row],[L]]), ISBLANK(Jun_2025_SotM[[#This Row],[L ]])), "", "L "), IF(_xlfn.XOR(ISBLANK(Jun_2025_SotM[[#This Row],[S]]), ISBLANK(Jun_2025_SotM[[#This Row],[S ]])), "", "S "), IF(_xlfn.XOR(ISBLANK(Jun_2025_SotM[[#This Row],[H]]), ISBLANK(Jun_2025_SotM[[#This Row],[H ]])), "", "H ")))</f>
        <v/>
      </c>
      <c r="Z104" s="109">
        <f t="shared" si="28"/>
        <v>3</v>
      </c>
      <c r="AA104" s="59">
        <v>45824</v>
      </c>
      <c r="AB104" t="str">
        <v>alappatjoe</v>
      </c>
      <c r="AC104" s="3">
        <v>1.8</v>
      </c>
      <c r="AD104">
        <v>0.74833147735478833</v>
      </c>
      <c r="AE104" t="str">
        <v>Lucky (Song 7)</v>
      </c>
      <c r="AF104" t="str">
        <v>Busty and the Bass</v>
      </c>
      <c r="AG104" s="100">
        <f t="shared" si="27"/>
        <v>3</v>
      </c>
      <c r="AI104" s="115">
        <f>Jun_2025_SotM[[#This Row],[Max Seed]]/2 + 1</f>
        <v>9</v>
      </c>
      <c r="AJ104" s="105" t="str">
        <f ca="1">IF(Jun_2025_SotM[[#This Row],[Num]]&gt;=$A$95, "-", IF(Jun_2025_SotM[[#This Row],[Score 1]]&gt;=3, Jun_2025_SotM[[#This Row],[Song 2]], IF(Jun_2025_SotM[[#This Row],[Score 2]]&gt;=3, Jun_2025_SotM[[#This Row],[Song 1]], "TBD")))</f>
        <v>Rat A Tat</v>
      </c>
      <c r="AK104" s="3">
        <f ca="1">IFERROR(VLOOKUP(Jun_2025_Results[[#This Row],[Song Title]], $AE$96:$AG$112, 3, FALSE)-Jun_2025_Results[[#This Row],[Result]], "TBD")</f>
        <v>0</v>
      </c>
      <c r="AL104" s="3" t="str">
        <f t="shared" ca="1" si="29"/>
        <v>-</v>
      </c>
    </row>
    <row r="105" spans="1:38">
      <c r="A105" s="199" t="str">
        <f>_xlfn.CONCAT("Seed ", Jun_2025_SotM[[#This Row],[Top Seed]], " vs ",Jun_2025_SotM[[#This Row],[Low Seed]])</f>
        <v>Seed 7 vs 10</v>
      </c>
      <c r="B105" s="201">
        <v>9</v>
      </c>
      <c r="C105" s="200">
        <f>FLOOR(LOG(Jun_2025_SotM[[#This Row],[Num]], 2), 1)</f>
        <v>3</v>
      </c>
      <c r="D105" s="200">
        <f>2^(Jun_2025_SotM[[#This Row],[Round]]+1)</f>
        <v>16</v>
      </c>
      <c r="E105" s="200">
        <f>Jun_2025_SotM[[#This Row],[Max Seed]]-Jun_2025_SotM[[#This Row],[Num]]</f>
        <v>7</v>
      </c>
      <c r="F105" s="200">
        <f>Jun_2025_SotM[[#This Row],[Max Seed]]-Jun_2025_SotM[[#This Row],[Top Seed]]+1</f>
        <v>10</v>
      </c>
      <c r="G105" s="200" t="b">
        <f>IF(Jun_2025_SotM[[#This Row],[Round]]=$C$95, TRUE(), IF(Jun_2025_SotM[[#This Row],[Round]]=$B$95, Jun_2025_SotM[[#This Row],[Top Seed]]&lt;=2*Jun_2025_SotM[[#This Row],[Max Seed]]-$A$95, FALSE()))</f>
        <v>1</v>
      </c>
      <c r="H105" s="200" t="b">
        <f>IF(Jun_2025_SotM[[#This Row],[Round]]=$C$95, TRUE(), IF(Jun_2025_SotM[[#This Row],[Round]]=$B$95, Jun_2025_SotM[[#This Row],[Low Seed]]&lt;=2*Jun_2025_SotM[[#This Row],[Max Seed]]-$A$95, FALSE()))</f>
        <v>1</v>
      </c>
      <c r="I105" s="28" t="s">
        <v>4191</v>
      </c>
      <c r="J105" s="31" t="s">
        <v>4191</v>
      </c>
      <c r="K105" s="33" t="s">
        <v>4191</v>
      </c>
      <c r="L105" s="35"/>
      <c r="M105" s="37" t="s">
        <v>4191</v>
      </c>
      <c r="N105" s="203" t="str">
        <f ca="1">IF(Jun_2025_SotM[[#This Row],[Num]]&gt;=$A$95, "-", IF(Jun_2025_SotM[[#This Row],[Initial 1]], VLOOKUP(Jun_2025_SotM[[#This Row],[Top Seed]], $Z$96:$AE$112, 6, FALSE), OFFSET(Jun_2025_SotM[[#This Row],[Winner]], Jun_2025_SotM[[#This Row],[Max Seed]], 0)))</f>
        <v>Ain't It Fun</v>
      </c>
      <c r="O105" s="200">
        <f>COUNTIF(Jun_2025_SotM[[#This Row],[J]:[H]],"x")</f>
        <v>4</v>
      </c>
      <c r="P105" s="201" t="str">
        <f ca="1">IF(Jun_2025_SotM[[#This Row],[Num]]&gt;=$A$95, "-", IF(Jun_2025_SotM[[#This Row],[Score 1]]&gt;=3, Jun_2025_SotM[[#This Row],[Song 1]], IF(Jun_2025_SotM[[#This Row],[Score 2]]&gt;=3, Jun_2025_SotM[[#This Row],[Song 2]], "TBD")))</f>
        <v>Ain't It Fun</v>
      </c>
      <c r="Q105" s="206">
        <f>COUNTIF(Jun_2025_SotM[[#This Row],[H ]:[J ]],"x")</f>
        <v>1</v>
      </c>
      <c r="R105" s="200" t="str">
        <f ca="1">IF(Jun_2025_SotM[[#This Row],[Num]]&gt;=$A$95, "-", IF(Jun_2025_SotM[[#This Row],[Initial 2]], VLOOKUP(Jun_2025_SotM[[#This Row],[Low Seed]], $Z$96:$AE$112, 6, FALSE), OFFSET(Jun_2025_SotM[[#This Row],[Winner]], 2*(Jun_2025_SotM[[#This Row],[Max Seed]]-Jun_2025_SotM[[#This Row],[Low Seed]])+1, 0)))</f>
        <v>Whateverrrr</v>
      </c>
      <c r="S105" s="37"/>
      <c r="T105" s="35" t="s">
        <v>4191</v>
      </c>
      <c r="U105" s="33"/>
      <c r="V105" s="31"/>
      <c r="W105" s="28"/>
      <c r="X105" s="106" t="str">
        <f ca="1">IF(OR(Jun_2025_SotM[[#This Row],[Song 1]]="TBD", Jun_2025_SotM[[#This Row],[Song 2]]="TBD"), "TBD", _xlfn.CONCAT(IF(_xlfn.XOR(ISBLANK(Jun_2025_SotM[[#This Row],[J]]), ISBLANK(Jun_2025_SotM[[#This Row],[J ]])), "", "J "), IF(_xlfn.XOR(ISBLANK(Jun_2025_SotM[[#This Row],[D]]), ISBLANK(Jun_2025_SotM[[#This Row],[D ]])), "", "D "), IF(_xlfn.XOR(ISBLANK(Jun_2025_SotM[[#This Row],[L]]), ISBLANK(Jun_2025_SotM[[#This Row],[L ]])), "", "L "), IF(_xlfn.XOR(ISBLANK(Jun_2025_SotM[[#This Row],[S]]), ISBLANK(Jun_2025_SotM[[#This Row],[S ]])), "", "S "), IF(_xlfn.XOR(ISBLANK(Jun_2025_SotM[[#This Row],[H]]), ISBLANK(Jun_2025_SotM[[#This Row],[H ]])), "", "H ")))</f>
        <v/>
      </c>
      <c r="Z105" s="109">
        <f t="shared" si="28"/>
        <v>16</v>
      </c>
      <c r="AA105" s="59">
        <v>45825</v>
      </c>
      <c r="AB105" t="str">
        <v>alappatjoe</v>
      </c>
      <c r="AC105" s="3">
        <v>2.4</v>
      </c>
      <c r="AD105">
        <v>1.019803902718557</v>
      </c>
      <c r="AE105" t="str">
        <v>Look At Me</v>
      </c>
      <c r="AF105" t="str">
        <v>Cory Wong, Allen Stone</v>
      </c>
      <c r="AG105" s="100">
        <f t="shared" si="27"/>
        <v>9</v>
      </c>
      <c r="AI105" s="115">
        <f>Jun_2025_SotM[[#This Row],[Max Seed]]/2 + 1</f>
        <v>9</v>
      </c>
      <c r="AJ105" s="105" t="str">
        <f ca="1">IF(Jun_2025_SotM[[#This Row],[Num]]&gt;=$A$95, "-", IF(Jun_2025_SotM[[#This Row],[Score 1]]&gt;=3, Jun_2025_SotM[[#This Row],[Song 2]], IF(Jun_2025_SotM[[#This Row],[Score 2]]&gt;=3, Jun_2025_SotM[[#This Row],[Song 1]], "TBD")))</f>
        <v>Whateverrrr</v>
      </c>
      <c r="AK105" s="3">
        <f ca="1">IFERROR(VLOOKUP(Jun_2025_Results[[#This Row],[Song Title]], $AE$96:$AG$112, 3, FALSE)-Jun_2025_Results[[#This Row],[Result]], "TBD")</f>
        <v>0</v>
      </c>
      <c r="AL105" s="3" t="str">
        <f t="shared" ca="1" si="29"/>
        <v>-</v>
      </c>
    </row>
    <row r="106" spans="1:38">
      <c r="A106" s="199" t="str">
        <f>_xlfn.CONCAT("Seed ", Jun_2025_SotM[[#This Row],[Top Seed]], " vs ",Jun_2025_SotM[[#This Row],[Low Seed]])</f>
        <v>Seed 6 vs 11</v>
      </c>
      <c r="B106" s="201">
        <v>10</v>
      </c>
      <c r="C106" s="200">
        <f>FLOOR(LOG(Jun_2025_SotM[[#This Row],[Num]], 2), 1)</f>
        <v>3</v>
      </c>
      <c r="D106" s="200">
        <f>2^(Jun_2025_SotM[[#This Row],[Round]]+1)</f>
        <v>16</v>
      </c>
      <c r="E106" s="200">
        <f>Jun_2025_SotM[[#This Row],[Max Seed]]-Jun_2025_SotM[[#This Row],[Num]]</f>
        <v>6</v>
      </c>
      <c r="F106" s="200">
        <f>Jun_2025_SotM[[#This Row],[Max Seed]]-Jun_2025_SotM[[#This Row],[Top Seed]]+1</f>
        <v>11</v>
      </c>
      <c r="G106" s="200" t="b">
        <f>IF(Jun_2025_SotM[[#This Row],[Round]]=$C$95, TRUE(), IF(Jun_2025_SotM[[#This Row],[Round]]=$B$95, Jun_2025_SotM[[#This Row],[Top Seed]]&lt;=2*Jun_2025_SotM[[#This Row],[Max Seed]]-$A$95, FALSE()))</f>
        <v>1</v>
      </c>
      <c r="H106" s="200" t="b">
        <f>IF(Jun_2025_SotM[[#This Row],[Round]]=$C$95, TRUE(), IF(Jun_2025_SotM[[#This Row],[Round]]=$B$95, Jun_2025_SotM[[#This Row],[Low Seed]]&lt;=2*Jun_2025_SotM[[#This Row],[Max Seed]]-$A$95, FALSE()))</f>
        <v>1</v>
      </c>
      <c r="I106" s="28"/>
      <c r="J106" s="31"/>
      <c r="K106" s="33" t="s">
        <v>4191</v>
      </c>
      <c r="L106" s="35" t="s">
        <v>4191</v>
      </c>
      <c r="M106" s="37"/>
      <c r="N106" s="203" t="str">
        <f ca="1">IF(Jun_2025_SotM[[#This Row],[Num]]&gt;=$A$95, "-", IF(Jun_2025_SotM[[#This Row],[Initial 1]], VLOOKUP(Jun_2025_SotM[[#This Row],[Top Seed]], $Z$96:$AE$112, 6, FALSE), OFFSET(Jun_2025_SotM[[#This Row],[Winner]], Jun_2025_SotM[[#This Row],[Max Seed]], 0)))</f>
        <v>Renegade</v>
      </c>
      <c r="O106" s="200">
        <f>COUNTIF(Jun_2025_SotM[[#This Row],[J]:[H]],"x")</f>
        <v>2</v>
      </c>
      <c r="P106" s="201" t="str">
        <f ca="1">IF(Jun_2025_SotM[[#This Row],[Num]]&gt;=$A$95, "-", IF(Jun_2025_SotM[[#This Row],[Score 1]]&gt;=3, Jun_2025_SotM[[#This Row],[Song 1]], IF(Jun_2025_SotM[[#This Row],[Score 2]]&gt;=3, Jun_2025_SotM[[#This Row],[Song 2]], "TBD")))</f>
        <v>BedRock</v>
      </c>
      <c r="Q106" s="206">
        <f>COUNTIF(Jun_2025_SotM[[#This Row],[H ]:[J ]],"x")</f>
        <v>3</v>
      </c>
      <c r="R106" s="200" t="str">
        <f ca="1">IF(Jun_2025_SotM[[#This Row],[Num]]&gt;=$A$95, "-", IF(Jun_2025_SotM[[#This Row],[Initial 2]], VLOOKUP(Jun_2025_SotM[[#This Row],[Low Seed]], $Z$96:$AE$112, 6, FALSE), OFFSET(Jun_2025_SotM[[#This Row],[Winner]], 2*(Jun_2025_SotM[[#This Row],[Max Seed]]-Jun_2025_SotM[[#This Row],[Low Seed]])+1, 0)))</f>
        <v>BedRock</v>
      </c>
      <c r="S106" s="37" t="s">
        <v>4191</v>
      </c>
      <c r="T106" s="35"/>
      <c r="U106" s="33"/>
      <c r="V106" s="31" t="s">
        <v>4191</v>
      </c>
      <c r="W106" s="28" t="s">
        <v>4191</v>
      </c>
      <c r="X106" s="106" t="str">
        <f ca="1">IF(OR(Jun_2025_SotM[[#This Row],[Song 1]]="TBD", Jun_2025_SotM[[#This Row],[Song 2]]="TBD"), "TBD", _xlfn.CONCAT(IF(_xlfn.XOR(ISBLANK(Jun_2025_SotM[[#This Row],[J]]), ISBLANK(Jun_2025_SotM[[#This Row],[J ]])), "", "J "), IF(_xlfn.XOR(ISBLANK(Jun_2025_SotM[[#This Row],[D]]), ISBLANK(Jun_2025_SotM[[#This Row],[D ]])), "", "D "), IF(_xlfn.XOR(ISBLANK(Jun_2025_SotM[[#This Row],[L]]), ISBLANK(Jun_2025_SotM[[#This Row],[L ]])), "", "L "), IF(_xlfn.XOR(ISBLANK(Jun_2025_SotM[[#This Row],[S]]), ISBLANK(Jun_2025_SotM[[#This Row],[S ]])), "", "S "), IF(_xlfn.XOR(ISBLANK(Jun_2025_SotM[[#This Row],[H]]), ISBLANK(Jun_2025_SotM[[#This Row],[H ]])), "", "H ")))</f>
        <v/>
      </c>
      <c r="Z106" s="109">
        <f t="shared" si="28"/>
        <v>5</v>
      </c>
      <c r="AA106" s="59">
        <v>45826</v>
      </c>
      <c r="AB106" t="str">
        <v>currydestroyer27</v>
      </c>
      <c r="AC106" s="3">
        <v>1.8</v>
      </c>
      <c r="AD106">
        <v>1.1661903789690602</v>
      </c>
      <c r="AE106" t="str">
        <v>ブルーバード</v>
      </c>
      <c r="AF106" t="str">
        <v>Ikimonogakari</v>
      </c>
      <c r="AG106" s="100">
        <f t="shared" si="27"/>
        <v>5</v>
      </c>
      <c r="AI106" s="115">
        <f>Jun_2025_SotM[[#This Row],[Max Seed]]/2 + 1</f>
        <v>9</v>
      </c>
      <c r="AJ106" s="105" t="str">
        <f ca="1">IF(Jun_2025_SotM[[#This Row],[Num]]&gt;=$A$95, "-", IF(Jun_2025_SotM[[#This Row],[Score 1]]&gt;=3, Jun_2025_SotM[[#This Row],[Song 2]], IF(Jun_2025_SotM[[#This Row],[Score 2]]&gt;=3, Jun_2025_SotM[[#This Row],[Song 1]], "TBD")))</f>
        <v>Renegade</v>
      </c>
      <c r="AK106" s="3">
        <f ca="1">IFERROR(VLOOKUP(Jun_2025_Results[[#This Row],[Song Title]], $AE$96:$AG$112, 3, FALSE)-Jun_2025_Results[[#This Row],[Result]], "TBD")</f>
        <v>-4</v>
      </c>
      <c r="AL106" s="3" t="str">
        <f t="shared" ca="1" si="29"/>
        <v>↓</v>
      </c>
    </row>
    <row r="107" spans="1:38">
      <c r="A107" s="199" t="str">
        <f>_xlfn.CONCAT("Seed ", Jun_2025_SotM[[#This Row],[Top Seed]], " vs ",Jun_2025_SotM[[#This Row],[Low Seed]])</f>
        <v>Seed 5 vs 12</v>
      </c>
      <c r="B107" s="201">
        <v>11</v>
      </c>
      <c r="C107" s="200">
        <f>FLOOR(LOG(Jun_2025_SotM[[#This Row],[Num]], 2), 1)</f>
        <v>3</v>
      </c>
      <c r="D107" s="200">
        <f>2^(Jun_2025_SotM[[#This Row],[Round]]+1)</f>
        <v>16</v>
      </c>
      <c r="E107" s="200">
        <f>Jun_2025_SotM[[#This Row],[Max Seed]]-Jun_2025_SotM[[#This Row],[Num]]</f>
        <v>5</v>
      </c>
      <c r="F107" s="200">
        <f>Jun_2025_SotM[[#This Row],[Max Seed]]-Jun_2025_SotM[[#This Row],[Top Seed]]+1</f>
        <v>12</v>
      </c>
      <c r="G107" s="200" t="b">
        <f>IF(Jun_2025_SotM[[#This Row],[Round]]=$C$95, TRUE(), IF(Jun_2025_SotM[[#This Row],[Round]]=$B$95, Jun_2025_SotM[[#This Row],[Top Seed]]&lt;=2*Jun_2025_SotM[[#This Row],[Max Seed]]-$A$95, FALSE()))</f>
        <v>1</v>
      </c>
      <c r="H107" s="200" t="b">
        <f>IF(Jun_2025_SotM[[#This Row],[Round]]=$C$95, TRUE(), IF(Jun_2025_SotM[[#This Row],[Round]]=$B$95, Jun_2025_SotM[[#This Row],[Low Seed]]&lt;=2*Jun_2025_SotM[[#This Row],[Max Seed]]-$A$95, FALSE()))</f>
        <v>1</v>
      </c>
      <c r="I107" s="28" t="s">
        <v>4191</v>
      </c>
      <c r="J107" s="31" t="s">
        <v>4191</v>
      </c>
      <c r="K107" s="33"/>
      <c r="L107" s="35"/>
      <c r="M107" s="37" t="s">
        <v>4191</v>
      </c>
      <c r="N107" s="203" t="str">
        <f ca="1">IF(Jun_2025_SotM[[#This Row],[Num]]&gt;=$A$95, "-", IF(Jun_2025_SotM[[#This Row],[Initial 1]], VLOOKUP(Jun_2025_SotM[[#This Row],[Top Seed]], $Z$96:$AE$112, 6, FALSE), OFFSET(Jun_2025_SotM[[#This Row],[Winner]], Jun_2025_SotM[[#This Row],[Max Seed]], 0)))</f>
        <v>ブルーバード</v>
      </c>
      <c r="O107" s="200">
        <f>COUNTIF(Jun_2025_SotM[[#This Row],[J]:[H]],"x")</f>
        <v>3</v>
      </c>
      <c r="P107" s="201" t="str">
        <f ca="1">IF(Jun_2025_SotM[[#This Row],[Num]]&gt;=$A$95, "-", IF(Jun_2025_SotM[[#This Row],[Score 1]]&gt;=3, Jun_2025_SotM[[#This Row],[Song 1]], IF(Jun_2025_SotM[[#This Row],[Score 2]]&gt;=3, Jun_2025_SotM[[#This Row],[Song 2]], "TBD")))</f>
        <v>ブルーバード</v>
      </c>
      <c r="Q107" s="206">
        <f>COUNTIF(Jun_2025_SotM[[#This Row],[H ]:[J ]],"x")</f>
        <v>2</v>
      </c>
      <c r="R107" s="200" t="str">
        <f ca="1">IF(Jun_2025_SotM[[#This Row],[Num]]&gt;=$A$95, "-", IF(Jun_2025_SotM[[#This Row],[Initial 2]], VLOOKUP(Jun_2025_SotM[[#This Row],[Low Seed]], $Z$96:$AE$112, 6, FALSE), OFFSET(Jun_2025_SotM[[#This Row],[Winner]], 2*(Jun_2025_SotM[[#This Row],[Max Seed]]-Jun_2025_SotM[[#This Row],[Low Seed]])+1, 0)))</f>
        <v>LOOK OUT FOR ME</v>
      </c>
      <c r="S107" s="37"/>
      <c r="T107" s="35" t="s">
        <v>4191</v>
      </c>
      <c r="U107" s="33" t="s">
        <v>4191</v>
      </c>
      <c r="V107" s="31"/>
      <c r="W107" s="28"/>
      <c r="X107" s="106" t="str">
        <f ca="1">IF(OR(Jun_2025_SotM[[#This Row],[Song 1]]="TBD", Jun_2025_SotM[[#This Row],[Song 2]]="TBD"), "TBD", _xlfn.CONCAT(IF(_xlfn.XOR(ISBLANK(Jun_2025_SotM[[#This Row],[J]]), ISBLANK(Jun_2025_SotM[[#This Row],[J ]])), "", "J "), IF(_xlfn.XOR(ISBLANK(Jun_2025_SotM[[#This Row],[D]]), ISBLANK(Jun_2025_SotM[[#This Row],[D ]])), "", "D "), IF(_xlfn.XOR(ISBLANK(Jun_2025_SotM[[#This Row],[L]]), ISBLANK(Jun_2025_SotM[[#This Row],[L ]])), "", "L "), IF(_xlfn.XOR(ISBLANK(Jun_2025_SotM[[#This Row],[S]]), ISBLANK(Jun_2025_SotM[[#This Row],[S ]])), "", "S "), IF(_xlfn.XOR(ISBLANK(Jun_2025_SotM[[#This Row],[H]]), ISBLANK(Jun_2025_SotM[[#This Row],[H ]])), "", "H ")))</f>
        <v/>
      </c>
      <c r="Z107" s="109">
        <f t="shared" si="28"/>
        <v>4</v>
      </c>
      <c r="AA107" s="59">
        <v>45827</v>
      </c>
      <c r="AB107" t="str">
        <v>currydestroyer27</v>
      </c>
      <c r="AC107" s="3">
        <v>1.8</v>
      </c>
      <c r="AD107">
        <v>0.74833147735478833</v>
      </c>
      <c r="AE107" t="str">
        <v>Down Bad</v>
      </c>
      <c r="AF107" t="str">
        <v>Dreamville, JID, Bas, J. Cole, EARTHGANG, Young Nudy</v>
      </c>
      <c r="AG107" s="100">
        <f t="shared" si="27"/>
        <v>3</v>
      </c>
      <c r="AI107" s="115">
        <f>Jun_2025_SotM[[#This Row],[Max Seed]]/2 + 1</f>
        <v>9</v>
      </c>
      <c r="AJ107" s="105" t="str">
        <f ca="1">IF(Jun_2025_SotM[[#This Row],[Num]]&gt;=$A$95, "-", IF(Jun_2025_SotM[[#This Row],[Score 1]]&gt;=3, Jun_2025_SotM[[#This Row],[Song 2]], IF(Jun_2025_SotM[[#This Row],[Score 2]]&gt;=3, Jun_2025_SotM[[#This Row],[Song 1]], "TBD")))</f>
        <v>LOOK OUT FOR ME</v>
      </c>
      <c r="AK107" s="3">
        <f ca="1">IFERROR(VLOOKUP(Jun_2025_Results[[#This Row],[Song Title]], $AE$96:$AG$112, 3, FALSE)-Jun_2025_Results[[#This Row],[Result]], "TBD")</f>
        <v>0</v>
      </c>
      <c r="AL107" s="3" t="str">
        <f t="shared" ca="1" si="29"/>
        <v>-</v>
      </c>
    </row>
    <row r="108" spans="1:38">
      <c r="A108" s="199" t="str">
        <f>_xlfn.CONCAT("Seed ", Jun_2025_SotM[[#This Row],[Top Seed]], " vs ",Jun_2025_SotM[[#This Row],[Low Seed]])</f>
        <v>Seed 4 vs 13</v>
      </c>
      <c r="B108" s="201">
        <v>12</v>
      </c>
      <c r="C108" s="200">
        <f>FLOOR(LOG(Jun_2025_SotM[[#This Row],[Num]], 2), 1)</f>
        <v>3</v>
      </c>
      <c r="D108" s="200">
        <f>2^(Jun_2025_SotM[[#This Row],[Round]]+1)</f>
        <v>16</v>
      </c>
      <c r="E108" s="200">
        <f>Jun_2025_SotM[[#This Row],[Max Seed]]-Jun_2025_SotM[[#This Row],[Num]]</f>
        <v>4</v>
      </c>
      <c r="F108" s="200">
        <f>Jun_2025_SotM[[#This Row],[Max Seed]]-Jun_2025_SotM[[#This Row],[Top Seed]]+1</f>
        <v>13</v>
      </c>
      <c r="G108" s="200" t="b">
        <f>IF(Jun_2025_SotM[[#This Row],[Round]]=$C$95, TRUE(), IF(Jun_2025_SotM[[#This Row],[Round]]=$B$95, Jun_2025_SotM[[#This Row],[Top Seed]]&lt;=2*Jun_2025_SotM[[#This Row],[Max Seed]]-$A$95, FALSE()))</f>
        <v>1</v>
      </c>
      <c r="H108" s="200" t="b">
        <f>IF(Jun_2025_SotM[[#This Row],[Round]]=$C$95, TRUE(), IF(Jun_2025_SotM[[#This Row],[Round]]=$B$95, Jun_2025_SotM[[#This Row],[Low Seed]]&lt;=2*Jun_2025_SotM[[#This Row],[Max Seed]]-$A$95, FALSE()))</f>
        <v>1</v>
      </c>
      <c r="I108" s="28" t="s">
        <v>4191</v>
      </c>
      <c r="J108" s="31"/>
      <c r="K108" s="33"/>
      <c r="L108" s="35"/>
      <c r="M108" s="37" t="s">
        <v>4191</v>
      </c>
      <c r="N108" s="203" t="str">
        <f ca="1">IF(Jun_2025_SotM[[#This Row],[Num]]&gt;=$A$95, "-", IF(Jun_2025_SotM[[#This Row],[Initial 1]], VLOOKUP(Jun_2025_SotM[[#This Row],[Top Seed]], $Z$96:$AE$112, 6, FALSE), OFFSET(Jun_2025_SotM[[#This Row],[Winner]], Jun_2025_SotM[[#This Row],[Max Seed]], 0)))</f>
        <v>Down Bad</v>
      </c>
      <c r="O108" s="200">
        <f>COUNTIF(Jun_2025_SotM[[#This Row],[J]:[H]],"x")</f>
        <v>2</v>
      </c>
      <c r="P108" s="201" t="str">
        <f ca="1">IF(Jun_2025_SotM[[#This Row],[Num]]&gt;=$A$95, "-", IF(Jun_2025_SotM[[#This Row],[Score 1]]&gt;=3, Jun_2025_SotM[[#This Row],[Song 1]], IF(Jun_2025_SotM[[#This Row],[Score 2]]&gt;=3, Jun_2025_SotM[[#This Row],[Song 2]], "TBD")))</f>
        <v>Laugh Now Cry Later (feat. Lil Durk)</v>
      </c>
      <c r="Q108" s="206">
        <f>COUNTIF(Jun_2025_SotM[[#This Row],[H ]:[J ]],"x")</f>
        <v>3</v>
      </c>
      <c r="R108" s="200" t="str">
        <f ca="1">IF(Jun_2025_SotM[[#This Row],[Num]]&gt;=$A$95, "-", IF(Jun_2025_SotM[[#This Row],[Initial 2]], VLOOKUP(Jun_2025_SotM[[#This Row],[Low Seed]], $Z$96:$AE$112, 6, FALSE), OFFSET(Jun_2025_SotM[[#This Row],[Winner]], 2*(Jun_2025_SotM[[#This Row],[Max Seed]]-Jun_2025_SotM[[#This Row],[Low Seed]])+1, 0)))</f>
        <v>Laugh Now Cry Later (feat. Lil Durk)</v>
      </c>
      <c r="S108" s="37"/>
      <c r="T108" s="35" t="s">
        <v>4191</v>
      </c>
      <c r="U108" s="33" t="s">
        <v>4191</v>
      </c>
      <c r="V108" s="31" t="s">
        <v>4191</v>
      </c>
      <c r="W108" s="28"/>
      <c r="X108" s="106" t="str">
        <f ca="1">IF(OR(Jun_2025_SotM[[#This Row],[Song 1]]="TBD", Jun_2025_SotM[[#This Row],[Song 2]]="TBD"), "TBD", _xlfn.CONCAT(IF(_xlfn.XOR(ISBLANK(Jun_2025_SotM[[#This Row],[J]]), ISBLANK(Jun_2025_SotM[[#This Row],[J ]])), "", "J "), IF(_xlfn.XOR(ISBLANK(Jun_2025_SotM[[#This Row],[D]]), ISBLANK(Jun_2025_SotM[[#This Row],[D ]])), "", "D "), IF(_xlfn.XOR(ISBLANK(Jun_2025_SotM[[#This Row],[L]]), ISBLANK(Jun_2025_SotM[[#This Row],[L ]])), "", "L "), IF(_xlfn.XOR(ISBLANK(Jun_2025_SotM[[#This Row],[S]]), ISBLANK(Jun_2025_SotM[[#This Row],[S ]])), "", "S "), IF(_xlfn.XOR(ISBLANK(Jun_2025_SotM[[#This Row],[H]]), ISBLANK(Jun_2025_SotM[[#This Row],[H ]])), "", "H ")))</f>
        <v/>
      </c>
      <c r="Z108" s="109">
        <f t="shared" si="28"/>
        <v>11</v>
      </c>
      <c r="AA108" s="59">
        <v>45831</v>
      </c>
      <c r="AB108" t="str">
        <v>danram</v>
      </c>
      <c r="AC108" s="3">
        <v>2.2000000000000002</v>
      </c>
      <c r="AD108">
        <v>1.1661903789690602</v>
      </c>
      <c r="AE108" t="str">
        <v>BedRock</v>
      </c>
      <c r="AF108" t="str">
        <v>Young Money, Lloyd</v>
      </c>
      <c r="AG108" s="100">
        <f t="shared" si="27"/>
        <v>9</v>
      </c>
      <c r="AI108" s="115">
        <f>Jun_2025_SotM[[#This Row],[Max Seed]]/2 + 1</f>
        <v>9</v>
      </c>
      <c r="AJ108" s="105" t="str">
        <f ca="1">IF(Jun_2025_SotM[[#This Row],[Num]]&gt;=$A$95, "-", IF(Jun_2025_SotM[[#This Row],[Score 1]]&gt;=3, Jun_2025_SotM[[#This Row],[Song 2]], IF(Jun_2025_SotM[[#This Row],[Score 2]]&gt;=3, Jun_2025_SotM[[#This Row],[Song 1]], "TBD")))</f>
        <v>Down Bad</v>
      </c>
      <c r="AK108" s="3">
        <f ca="1">IFERROR(VLOOKUP(Jun_2025_Results[[#This Row],[Song Title]], $AE$96:$AG$112, 3, FALSE)-Jun_2025_Results[[#This Row],[Result]], "TBD")</f>
        <v>-6</v>
      </c>
      <c r="AL108" s="3" t="str">
        <f t="shared" ca="1" si="29"/>
        <v>↓</v>
      </c>
    </row>
    <row r="109" spans="1:38">
      <c r="A109" s="199" t="str">
        <f>_xlfn.CONCAT("Seed ", Jun_2025_SotM[[#This Row],[Top Seed]], " vs ",Jun_2025_SotM[[#This Row],[Low Seed]])</f>
        <v>Seed 3 vs 14</v>
      </c>
      <c r="B109" s="201">
        <v>13</v>
      </c>
      <c r="C109" s="200">
        <f>FLOOR(LOG(Jun_2025_SotM[[#This Row],[Num]], 2), 1)</f>
        <v>3</v>
      </c>
      <c r="D109" s="200">
        <f>2^(Jun_2025_SotM[[#This Row],[Round]]+1)</f>
        <v>16</v>
      </c>
      <c r="E109" s="200">
        <f>Jun_2025_SotM[[#This Row],[Max Seed]]-Jun_2025_SotM[[#This Row],[Num]]</f>
        <v>3</v>
      </c>
      <c r="F109" s="200">
        <f>Jun_2025_SotM[[#This Row],[Max Seed]]-Jun_2025_SotM[[#This Row],[Top Seed]]+1</f>
        <v>14</v>
      </c>
      <c r="G109" s="200" t="b">
        <f>IF(Jun_2025_SotM[[#This Row],[Round]]=$C$95, TRUE(), IF(Jun_2025_SotM[[#This Row],[Round]]=$B$95, Jun_2025_SotM[[#This Row],[Top Seed]]&lt;=2*Jun_2025_SotM[[#This Row],[Max Seed]]-$A$95, FALSE()))</f>
        <v>1</v>
      </c>
      <c r="H109" s="200" t="b">
        <f>IF(Jun_2025_SotM[[#This Row],[Round]]=$C$95, TRUE(), IF(Jun_2025_SotM[[#This Row],[Round]]=$B$95, Jun_2025_SotM[[#This Row],[Low Seed]]&lt;=2*Jun_2025_SotM[[#This Row],[Max Seed]]-$A$95, FALSE()))</f>
        <v>1</v>
      </c>
      <c r="I109" s="28" t="s">
        <v>4191</v>
      </c>
      <c r="J109" s="31"/>
      <c r="K109" s="33"/>
      <c r="L109" s="35"/>
      <c r="M109" s="37"/>
      <c r="N109" s="203" t="str">
        <f ca="1">IF(Jun_2025_SotM[[#This Row],[Num]]&gt;=$A$95, "-", IF(Jun_2025_SotM[[#This Row],[Initial 1]], VLOOKUP(Jun_2025_SotM[[#This Row],[Top Seed]], $Z$96:$AE$112, 6, FALSE), OFFSET(Jun_2025_SotM[[#This Row],[Winner]], Jun_2025_SotM[[#This Row],[Max Seed]], 0)))</f>
        <v>Lucky (Song 7)</v>
      </c>
      <c r="O109" s="200">
        <f>COUNTIF(Jun_2025_SotM[[#This Row],[J]:[H]],"x")</f>
        <v>1</v>
      </c>
      <c r="P109" s="201" t="str">
        <f ca="1">IF(Jun_2025_SotM[[#This Row],[Num]]&gt;=$A$95, "-", IF(Jun_2025_SotM[[#This Row],[Score 1]]&gt;=3, Jun_2025_SotM[[#This Row],[Song 1]], IF(Jun_2025_SotM[[#This Row],[Score 2]]&gt;=3, Jun_2025_SotM[[#This Row],[Song 2]], "TBD")))</f>
        <v>Rather Be</v>
      </c>
      <c r="Q109" s="206">
        <f>COUNTIF(Jun_2025_SotM[[#This Row],[H ]:[J ]],"x")</f>
        <v>4</v>
      </c>
      <c r="R109" s="200" t="str">
        <f ca="1">IF(Jun_2025_SotM[[#This Row],[Num]]&gt;=$A$95, "-", IF(Jun_2025_SotM[[#This Row],[Initial 2]], VLOOKUP(Jun_2025_SotM[[#This Row],[Low Seed]], $Z$96:$AE$112, 6, FALSE), OFFSET(Jun_2025_SotM[[#This Row],[Winner]], 2*(Jun_2025_SotM[[#This Row],[Max Seed]]-Jun_2025_SotM[[#This Row],[Low Seed]])+1, 0)))</f>
        <v>Rather Be</v>
      </c>
      <c r="S109" s="37" t="s">
        <v>4191</v>
      </c>
      <c r="T109" s="35" t="s">
        <v>4191</v>
      </c>
      <c r="U109" s="33" t="s">
        <v>4191</v>
      </c>
      <c r="V109" s="31" t="s">
        <v>4191</v>
      </c>
      <c r="W109" s="28"/>
      <c r="X109" s="106" t="str">
        <f ca="1">IF(OR(Jun_2025_SotM[[#This Row],[Song 1]]="TBD", Jun_2025_SotM[[#This Row],[Song 2]]="TBD"), "TBD", _xlfn.CONCAT(IF(_xlfn.XOR(ISBLANK(Jun_2025_SotM[[#This Row],[J]]), ISBLANK(Jun_2025_SotM[[#This Row],[J ]])), "", "J "), IF(_xlfn.XOR(ISBLANK(Jun_2025_SotM[[#This Row],[D]]), ISBLANK(Jun_2025_SotM[[#This Row],[D ]])), "", "D "), IF(_xlfn.XOR(ISBLANK(Jun_2025_SotM[[#This Row],[L]]), ISBLANK(Jun_2025_SotM[[#This Row],[L ]])), "", "L "), IF(_xlfn.XOR(ISBLANK(Jun_2025_SotM[[#This Row],[S]]), ISBLANK(Jun_2025_SotM[[#This Row],[S ]])), "", "S "), IF(_xlfn.XOR(ISBLANK(Jun_2025_SotM[[#This Row],[H]]), ISBLANK(Jun_2025_SotM[[#This Row],[H ]])), "", "H ")))</f>
        <v/>
      </c>
      <c r="Z109" s="109">
        <f t="shared" si="28"/>
        <v>1</v>
      </c>
      <c r="AA109" s="59">
        <v>45832</v>
      </c>
      <c r="AB109" t="str">
        <v>currydestroyer27</v>
      </c>
      <c r="AC109" s="3">
        <v>1.2</v>
      </c>
      <c r="AD109">
        <v>0.4</v>
      </c>
      <c r="AE109" t="str">
        <v>I Will Survive</v>
      </c>
      <c r="AF109" t="str">
        <v>Gloria Gaynor</v>
      </c>
      <c r="AG109" s="100">
        <f t="shared" si="27"/>
        <v>1</v>
      </c>
      <c r="AI109" s="115">
        <f>Jun_2025_SotM[[#This Row],[Max Seed]]/2 + 1</f>
        <v>9</v>
      </c>
      <c r="AJ109" s="105" t="str">
        <f ca="1">IF(Jun_2025_SotM[[#This Row],[Num]]&gt;=$A$95, "-", IF(Jun_2025_SotM[[#This Row],[Score 1]]&gt;=3, Jun_2025_SotM[[#This Row],[Song 2]], IF(Jun_2025_SotM[[#This Row],[Score 2]]&gt;=3, Jun_2025_SotM[[#This Row],[Song 1]], "TBD")))</f>
        <v>Lucky (Song 7)</v>
      </c>
      <c r="AK109" s="3">
        <f ca="1">IFERROR(VLOOKUP(Jun_2025_Results[[#This Row],[Song Title]], $AE$96:$AG$112, 3, FALSE)-Jun_2025_Results[[#This Row],[Result]], "TBD")</f>
        <v>-6</v>
      </c>
      <c r="AL109" s="3" t="str">
        <f t="shared" ca="1" si="29"/>
        <v>↓</v>
      </c>
    </row>
    <row r="110" spans="1:38">
      <c r="A110" s="199" t="str">
        <f>_xlfn.CONCAT("Seed ", Jun_2025_SotM[[#This Row],[Top Seed]], " vs ",Jun_2025_SotM[[#This Row],[Low Seed]])</f>
        <v>Seed 2 vs 15</v>
      </c>
      <c r="B110" s="201">
        <v>14</v>
      </c>
      <c r="C110" s="200">
        <f>FLOOR(LOG(Jun_2025_SotM[[#This Row],[Num]], 2), 1)</f>
        <v>3</v>
      </c>
      <c r="D110" s="200">
        <f>2^(Jun_2025_SotM[[#This Row],[Round]]+1)</f>
        <v>16</v>
      </c>
      <c r="E110" s="200">
        <f>Jun_2025_SotM[[#This Row],[Max Seed]]-Jun_2025_SotM[[#This Row],[Num]]</f>
        <v>2</v>
      </c>
      <c r="F110" s="200">
        <f>Jun_2025_SotM[[#This Row],[Max Seed]]-Jun_2025_SotM[[#This Row],[Top Seed]]+1</f>
        <v>15</v>
      </c>
      <c r="G110" s="200" t="b">
        <f>IF(Jun_2025_SotM[[#This Row],[Round]]=$C$95, TRUE(), IF(Jun_2025_SotM[[#This Row],[Round]]=$B$95, Jun_2025_SotM[[#This Row],[Top Seed]]&lt;=2*Jun_2025_SotM[[#This Row],[Max Seed]]-$A$95, FALSE()))</f>
        <v>1</v>
      </c>
      <c r="H110" s="200" t="b">
        <f>IF(Jun_2025_SotM[[#This Row],[Round]]=$C$95, TRUE(), IF(Jun_2025_SotM[[#This Row],[Round]]=$B$95, Jun_2025_SotM[[#This Row],[Low Seed]]&lt;=2*Jun_2025_SotM[[#This Row],[Max Seed]]-$A$95, FALSE()))</f>
        <v>1</v>
      </c>
      <c r="I110" s="28" t="s">
        <v>4191</v>
      </c>
      <c r="J110" s="31" t="s">
        <v>4191</v>
      </c>
      <c r="K110" s="33" t="s">
        <v>4191</v>
      </c>
      <c r="L110" s="35" t="s">
        <v>4191</v>
      </c>
      <c r="M110" s="37" t="s">
        <v>4191</v>
      </c>
      <c r="N110" s="203" t="str">
        <f ca="1">IF(Jun_2025_SotM[[#This Row],[Num]]&gt;=$A$95, "-", IF(Jun_2025_SotM[[#This Row],[Initial 1]], VLOOKUP(Jun_2025_SotM[[#This Row],[Top Seed]], $Z$96:$AE$112, 6, FALSE), OFFSET(Jun_2025_SotM[[#This Row],[Winner]], Jun_2025_SotM[[#This Row],[Max Seed]], 0)))</f>
        <v>Umbrella</v>
      </c>
      <c r="O110" s="200">
        <f>COUNTIF(Jun_2025_SotM[[#This Row],[J]:[H]],"x")</f>
        <v>5</v>
      </c>
      <c r="P110" s="201" t="str">
        <f ca="1">IF(Jun_2025_SotM[[#This Row],[Num]]&gt;=$A$95, "-", IF(Jun_2025_SotM[[#This Row],[Score 1]]&gt;=3, Jun_2025_SotM[[#This Row],[Song 1]], IF(Jun_2025_SotM[[#This Row],[Score 2]]&gt;=3, Jun_2025_SotM[[#This Row],[Song 2]], "TBD")))</f>
        <v>Umbrella</v>
      </c>
      <c r="Q110" s="206">
        <f>COUNTIF(Jun_2025_SotM[[#This Row],[H ]:[J ]],"x")</f>
        <v>0</v>
      </c>
      <c r="R110" s="200" t="str">
        <f ca="1">IF(Jun_2025_SotM[[#This Row],[Num]]&gt;=$A$95, "-", IF(Jun_2025_SotM[[#This Row],[Initial 2]], VLOOKUP(Jun_2025_SotM[[#This Row],[Low Seed]], $Z$96:$AE$112, 6, FALSE), OFFSET(Jun_2025_SotM[[#This Row],[Winner]], 2*(Jun_2025_SotM[[#This Row],[Max Seed]]-Jun_2025_SotM[[#This Row],[Low Seed]])+1, 0)))</f>
        <v>Cash In Cash Out</v>
      </c>
      <c r="S110" s="37"/>
      <c r="T110" s="35"/>
      <c r="U110" s="33"/>
      <c r="V110" s="31"/>
      <c r="W110" s="28"/>
      <c r="X110" s="106" t="str">
        <f ca="1">IF(OR(Jun_2025_SotM[[#This Row],[Song 1]]="TBD", Jun_2025_SotM[[#This Row],[Song 2]]="TBD"), "TBD", _xlfn.CONCAT(IF(_xlfn.XOR(ISBLANK(Jun_2025_SotM[[#This Row],[J]]), ISBLANK(Jun_2025_SotM[[#This Row],[J ]])), "", "J "), IF(_xlfn.XOR(ISBLANK(Jun_2025_SotM[[#This Row],[D]]), ISBLANK(Jun_2025_SotM[[#This Row],[D ]])), "", "D "), IF(_xlfn.XOR(ISBLANK(Jun_2025_SotM[[#This Row],[L]]), ISBLANK(Jun_2025_SotM[[#This Row],[L ]])), "", "L "), IF(_xlfn.XOR(ISBLANK(Jun_2025_SotM[[#This Row],[S]]), ISBLANK(Jun_2025_SotM[[#This Row],[S ]])), "", "S "), IF(_xlfn.XOR(ISBLANK(Jun_2025_SotM[[#This Row],[H]]), ISBLANK(Jun_2025_SotM[[#This Row],[H ]])), "", "H ")))</f>
        <v/>
      </c>
      <c r="Z110" s="109">
        <f t="shared" si="28"/>
        <v>12</v>
      </c>
      <c r="AA110" s="59">
        <v>45833</v>
      </c>
      <c r="AB110" t="str">
        <v>samuelbattista</v>
      </c>
      <c r="AC110" s="3">
        <v>2.2000000000000002</v>
      </c>
      <c r="AD110">
        <v>1.1661903789690602</v>
      </c>
      <c r="AE110" t="str">
        <v>LOOK OUT FOR ME</v>
      </c>
      <c r="AF110" t="str">
        <v>Turnstile</v>
      </c>
      <c r="AG110" s="100">
        <f t="shared" si="27"/>
        <v>9</v>
      </c>
      <c r="AI110" s="115">
        <f>Jun_2025_SotM[[#This Row],[Max Seed]]/2 + 1</f>
        <v>9</v>
      </c>
      <c r="AJ110" s="105" t="str">
        <f ca="1">IF(Jun_2025_SotM[[#This Row],[Num]]&gt;=$A$95, "-", IF(Jun_2025_SotM[[#This Row],[Score 1]]&gt;=3, Jun_2025_SotM[[#This Row],[Song 2]], IF(Jun_2025_SotM[[#This Row],[Score 2]]&gt;=3, Jun_2025_SotM[[#This Row],[Song 1]], "TBD")))</f>
        <v>Cash In Cash Out</v>
      </c>
      <c r="AK110" s="3">
        <f ca="1">IFERROR(VLOOKUP(Jun_2025_Results[[#This Row],[Song Title]], $AE$96:$AG$112, 3, FALSE)-Jun_2025_Results[[#This Row],[Result]], "TBD")</f>
        <v>0</v>
      </c>
      <c r="AL110" s="3" t="str">
        <f t="shared" ca="1" si="29"/>
        <v>-</v>
      </c>
    </row>
    <row r="111" spans="1:38">
      <c r="A111" s="199" t="str">
        <f>_xlfn.CONCAT("Seed ", Jun_2025_SotM[[#This Row],[Top Seed]], " vs ",Jun_2025_SotM[[#This Row],[Low Seed]])</f>
        <v>Seed 1 vs 16</v>
      </c>
      <c r="B111" s="201">
        <v>15</v>
      </c>
      <c r="C111" s="200">
        <f>FLOOR(LOG(Jun_2025_SotM[[#This Row],[Num]], 2), 1)</f>
        <v>3</v>
      </c>
      <c r="D111" s="200">
        <f>2^(Jun_2025_SotM[[#This Row],[Round]]+1)</f>
        <v>16</v>
      </c>
      <c r="E111" s="200">
        <f>Jun_2025_SotM[[#This Row],[Max Seed]]-Jun_2025_SotM[[#This Row],[Num]]</f>
        <v>1</v>
      </c>
      <c r="F111" s="200">
        <f>Jun_2025_SotM[[#This Row],[Max Seed]]-Jun_2025_SotM[[#This Row],[Top Seed]]+1</f>
        <v>16</v>
      </c>
      <c r="G111" s="200" t="b">
        <f>IF(Jun_2025_SotM[[#This Row],[Round]]=$C$95, TRUE(), IF(Jun_2025_SotM[[#This Row],[Round]]=$B$95, Jun_2025_SotM[[#This Row],[Top Seed]]&lt;=2*Jun_2025_SotM[[#This Row],[Max Seed]]-$A$95, FALSE()))</f>
        <v>1</v>
      </c>
      <c r="H111" s="200" t="b">
        <f>IF(Jun_2025_SotM[[#This Row],[Round]]=$C$95, TRUE(), IF(Jun_2025_SotM[[#This Row],[Round]]=$B$95, Jun_2025_SotM[[#This Row],[Low Seed]]&lt;=2*Jun_2025_SotM[[#This Row],[Max Seed]]-$A$95, FALSE()))</f>
        <v>0</v>
      </c>
      <c r="I111" s="28"/>
      <c r="J111" s="31" t="s">
        <v>4191</v>
      </c>
      <c r="K111" s="33" t="s">
        <v>4191</v>
      </c>
      <c r="L111" s="35"/>
      <c r="M111" s="37" t="s">
        <v>4191</v>
      </c>
      <c r="N111" s="203" t="str">
        <f ca="1">IF(Jun_2025_SotM[[#This Row],[Num]]&gt;=$A$95, "-", IF(Jun_2025_SotM[[#This Row],[Initial 1]], VLOOKUP(Jun_2025_SotM[[#This Row],[Top Seed]], $Z$96:$AE$112, 6, FALSE), OFFSET(Jun_2025_SotM[[#This Row],[Winner]], Jun_2025_SotM[[#This Row],[Max Seed]], 0)))</f>
        <v>I Will Survive</v>
      </c>
      <c r="O111" s="200">
        <f>COUNTIF(Jun_2025_SotM[[#This Row],[J]:[H]],"x")</f>
        <v>3</v>
      </c>
      <c r="P111" s="201" t="str">
        <f ca="1">IF(Jun_2025_SotM[[#This Row],[Num]]&gt;=$A$95, "-", IF(Jun_2025_SotM[[#This Row],[Score 1]]&gt;=3, Jun_2025_SotM[[#This Row],[Song 1]], IF(Jun_2025_SotM[[#This Row],[Score 2]]&gt;=3, Jun_2025_SotM[[#This Row],[Song 2]], "TBD")))</f>
        <v>I Will Survive</v>
      </c>
      <c r="Q111" s="206">
        <f>COUNTIF(Jun_2025_SotM[[#This Row],[H ]:[J ]],"x")</f>
        <v>2</v>
      </c>
      <c r="R111" s="200" t="str">
        <f ca="1">IF(Jun_2025_SotM[[#This Row],[Num]]&gt;=$A$95, "-", IF(Jun_2025_SotM[[#This Row],[Initial 2]], VLOOKUP(Jun_2025_SotM[[#This Row],[Low Seed]], $Z$96:$AE$112, 6, FALSE), OFFSET(Jun_2025_SotM[[#This Row],[Winner]], 2*(Jun_2025_SotM[[#This Row],[Max Seed]]-Jun_2025_SotM[[#This Row],[Low Seed]])+1, 0)))</f>
        <v>Look At Me</v>
      </c>
      <c r="S111" s="37"/>
      <c r="T111" s="35" t="s">
        <v>4191</v>
      </c>
      <c r="U111" s="33"/>
      <c r="V111" s="31"/>
      <c r="W111" s="28" t="s">
        <v>4191</v>
      </c>
      <c r="X111" s="106" t="str">
        <f ca="1">IF(OR(Jun_2025_SotM[[#This Row],[Song 1]]="TBD", Jun_2025_SotM[[#This Row],[Song 2]]="TBD"), "TBD", _xlfn.CONCAT(IF(_xlfn.XOR(ISBLANK(Jun_2025_SotM[[#This Row],[J]]), ISBLANK(Jun_2025_SotM[[#This Row],[J ]])), "", "J "), IF(_xlfn.XOR(ISBLANK(Jun_2025_SotM[[#This Row],[D]]), ISBLANK(Jun_2025_SotM[[#This Row],[D ]])), "", "D "), IF(_xlfn.XOR(ISBLANK(Jun_2025_SotM[[#This Row],[L]]), ISBLANK(Jun_2025_SotM[[#This Row],[L ]])), "", "L "), IF(_xlfn.XOR(ISBLANK(Jun_2025_SotM[[#This Row],[S]]), ISBLANK(Jun_2025_SotM[[#This Row],[S ]])), "", "S "), IF(_xlfn.XOR(ISBLANK(Jun_2025_SotM[[#This Row],[H]]), ISBLANK(Jun_2025_SotM[[#This Row],[H ]])), "", "H ")))</f>
        <v/>
      </c>
      <c r="Z111" s="109">
        <f t="shared" si="28"/>
        <v>8</v>
      </c>
      <c r="AA111" s="59">
        <v>45834</v>
      </c>
      <c r="AB111" t="str">
        <v>alappatjoe</v>
      </c>
      <c r="AC111" s="3">
        <v>2</v>
      </c>
      <c r="AD111">
        <v>1.2649110640673518</v>
      </c>
      <c r="AE111" t="str">
        <v>Numb Little Bug</v>
      </c>
      <c r="AF111" t="str">
        <v>Em Beihold</v>
      </c>
      <c r="AG111" s="100">
        <f t="shared" si="27"/>
        <v>5</v>
      </c>
      <c r="AI111" s="115">
        <f>Jun_2025_SotM[[#This Row],[Max Seed]]/2 + 1</f>
        <v>9</v>
      </c>
      <c r="AJ111" s="105" t="str">
        <f ca="1">IF(Jun_2025_SotM[[#This Row],[Num]]&gt;=$A$95, "-", IF(Jun_2025_SotM[[#This Row],[Score 1]]&gt;=3, Jun_2025_SotM[[#This Row],[Song 2]], IF(Jun_2025_SotM[[#This Row],[Score 2]]&gt;=3, Jun_2025_SotM[[#This Row],[Song 1]], "TBD")))</f>
        <v>Look At Me</v>
      </c>
      <c r="AK111" s="3">
        <f ca="1">IFERROR(VLOOKUP(Jun_2025_Results[[#This Row],[Song Title]], $AE$96:$AG$112, 3, FALSE)-Jun_2025_Results[[#This Row],[Result]], "TBD")</f>
        <v>0</v>
      </c>
      <c r="AL111" s="3" t="str">
        <f t="shared" ca="1" si="29"/>
        <v>-</v>
      </c>
    </row>
    <row r="112" spans="1:38">
      <c r="A112" s="199" t="str">
        <f>_xlfn.CONCAT("Seed ", Jun_2025_SotM[[#This Row],[Top Seed]], " vs ",Jun_2025_SotM[[#This Row],[Low Seed]])</f>
        <v>Seed 16 vs 17</v>
      </c>
      <c r="B112" s="201">
        <v>16</v>
      </c>
      <c r="C112" s="200">
        <f>FLOOR(LOG(Jun_2025_SotM[[#This Row],[Num]], 2), 1)</f>
        <v>4</v>
      </c>
      <c r="D112" s="200">
        <f>2^(Jun_2025_SotM[[#This Row],[Round]]+1)</f>
        <v>32</v>
      </c>
      <c r="E112" s="200">
        <f>Jun_2025_SotM[[#This Row],[Max Seed]]-Jun_2025_SotM[[#This Row],[Num]]</f>
        <v>16</v>
      </c>
      <c r="F112" s="200">
        <f>Jun_2025_SotM[[#This Row],[Max Seed]]-Jun_2025_SotM[[#This Row],[Top Seed]]+1</f>
        <v>17</v>
      </c>
      <c r="G112" s="200" t="b">
        <f>IF(Jun_2025_SotM[[#This Row],[Round]]=$C$95, TRUE(), IF(Jun_2025_SotM[[#This Row],[Round]]=$B$95, Jun_2025_SotM[[#This Row],[Top Seed]]&lt;=2*Jun_2025_SotM[[#This Row],[Max Seed]]-$A$95, FALSE()))</f>
        <v>1</v>
      </c>
      <c r="H112" s="200" t="b">
        <f>IF(Jun_2025_SotM[[#This Row],[Round]]=$C$95, TRUE(), IF(Jun_2025_SotM[[#This Row],[Round]]=$B$95, Jun_2025_SotM[[#This Row],[Low Seed]]&lt;=2*Jun_2025_SotM[[#This Row],[Max Seed]]-$A$95, FALSE()))</f>
        <v>1</v>
      </c>
      <c r="I112" s="28" t="s">
        <v>4191</v>
      </c>
      <c r="J112" s="31" t="s">
        <v>4191</v>
      </c>
      <c r="K112" s="33" t="s">
        <v>4191</v>
      </c>
      <c r="L112" s="35"/>
      <c r="M112" s="37"/>
      <c r="N112" s="203" t="str">
        <f ca="1">IF(Jun_2025_SotM[[#This Row],[Num]]&gt;=$A$95, "-", IF(Jun_2025_SotM[[#This Row],[Initial 1]], VLOOKUP(Jun_2025_SotM[[#This Row],[Top Seed]], $Z$96:$AE$112, 6, FALSE), OFFSET(Jun_2025_SotM[[#This Row],[Winner]], Jun_2025_SotM[[#This Row],[Max Seed]], 0)))</f>
        <v>Look At Me</v>
      </c>
      <c r="O112" s="200">
        <f>COUNTIF(Jun_2025_SotM[[#This Row],[J]:[H]],"x")</f>
        <v>3</v>
      </c>
      <c r="P112" s="201" t="str">
        <f ca="1">IF(Jun_2025_SotM[[#This Row],[Num]]&gt;=$A$95, "-", IF(Jun_2025_SotM[[#This Row],[Score 1]]&gt;=3, Jun_2025_SotM[[#This Row],[Song 1]], IF(Jun_2025_SotM[[#This Row],[Score 2]]&gt;=3, Jun_2025_SotM[[#This Row],[Song 2]], "TBD")))</f>
        <v>Look At Me</v>
      </c>
      <c r="Q112" s="206">
        <f>COUNTIF(Jun_2025_SotM[[#This Row],[H ]:[J ]],"x")</f>
        <v>2</v>
      </c>
      <c r="R112" s="200" t="str">
        <f ca="1">IF(Jun_2025_SotM[[#This Row],[Num]]&gt;=$A$95, "-", IF(Jun_2025_SotM[[#This Row],[Initial 2]], VLOOKUP(Jun_2025_SotM[[#This Row],[Low Seed]], $Z$96:$AE$112, 6, FALSE), OFFSET(Jun_2025_SotM[[#This Row],[Winner]], 2*(Jun_2025_SotM[[#This Row],[Max Seed]]-Jun_2025_SotM[[#This Row],[Low Seed]])+1, 0)))</f>
        <v>The Void</v>
      </c>
      <c r="S112" s="37" t="s">
        <v>4191</v>
      </c>
      <c r="T112" s="35" t="s">
        <v>4191</v>
      </c>
      <c r="U112" s="33"/>
      <c r="V112" s="31"/>
      <c r="W112" s="28"/>
      <c r="X112" s="106" t="str">
        <f ca="1">IF(OR(Jun_2025_SotM[[#This Row],[Song 1]]="TBD", Jun_2025_SotM[[#This Row],[Song 2]]="TBD"), "TBD", _xlfn.CONCAT(IF(_xlfn.XOR(ISBLANK(Jun_2025_SotM[[#This Row],[J]]), ISBLANK(Jun_2025_SotM[[#This Row],[J ]])), "", "J "), IF(_xlfn.XOR(ISBLANK(Jun_2025_SotM[[#This Row],[D]]), ISBLANK(Jun_2025_SotM[[#This Row],[D ]])), "", "D "), IF(_xlfn.XOR(ISBLANK(Jun_2025_SotM[[#This Row],[L]]), ISBLANK(Jun_2025_SotM[[#This Row],[L ]])), "", "L "), IF(_xlfn.XOR(ISBLANK(Jun_2025_SotM[[#This Row],[S]]), ISBLANK(Jun_2025_SotM[[#This Row],[S ]])), "", "S "), IF(_xlfn.XOR(ISBLANK(Jun_2025_SotM[[#This Row],[H]]), ISBLANK(Jun_2025_SotM[[#This Row],[H ]])), "", "H ")))</f>
        <v/>
      </c>
      <c r="Z112" s="110">
        <f t="shared" si="28"/>
        <v>13</v>
      </c>
      <c r="AA112" s="211">
        <v>45838</v>
      </c>
      <c r="AB112" s="157" t="str">
        <v>danram</v>
      </c>
      <c r="AC112" s="101">
        <v>2.2000000000000002</v>
      </c>
      <c r="AD112" s="157">
        <v>1.1661903789690602</v>
      </c>
      <c r="AE112" s="157" t="str">
        <v>Laugh Now Cry Later (feat. Lil Durk)</v>
      </c>
      <c r="AF112" s="157" t="str">
        <v>Drake, Lil Durk</v>
      </c>
      <c r="AG112" s="102">
        <f t="shared" si="27"/>
        <v>9</v>
      </c>
      <c r="AI112" s="201">
        <f>Jun_2025_SotM[[#This Row],[Max Seed]]/2 + 1</f>
        <v>17</v>
      </c>
      <c r="AJ112" s="105" t="str">
        <f ca="1">IF(Jun_2025_SotM[[#This Row],[Num]]&gt;=$A$95, "-", IF(Jun_2025_SotM[[#This Row],[Score 1]]&gt;=3, Jun_2025_SotM[[#This Row],[Song 2]], IF(Jun_2025_SotM[[#This Row],[Score 2]]&gt;=3, Jun_2025_SotM[[#This Row],[Song 1]], "TBD")))</f>
        <v>The Void</v>
      </c>
      <c r="AK112" s="3">
        <f ca="1">IFERROR(VLOOKUP(Jun_2025_Results[[#This Row],[Song Title]], $AE$96:$AG$112, 3, FALSE)-Jun_2025_Results[[#This Row],[Result]], "TBD")</f>
        <v>0</v>
      </c>
      <c r="AL112" s="3" t="str">
        <f t="shared" ca="1" si="29"/>
        <v>-</v>
      </c>
    </row>
    <row r="114" spans="1:38">
      <c r="A114" s="302">
        <f>MAX(Z115:Z133)</f>
        <v>19</v>
      </c>
      <c r="B114" s="302">
        <f>FLOOR(LOG(A114, 2), 1)-1</f>
        <v>3</v>
      </c>
      <c r="C114" s="302">
        <f t="shared" ref="C114" si="30">_xlfn.CEILING.MATH(LOG(A114, 2), 1)-1</f>
        <v>4</v>
      </c>
      <c r="D114" s="302"/>
      <c r="E114" s="302"/>
      <c r="F114" s="302"/>
      <c r="G114" s="302"/>
      <c r="H114" s="302"/>
      <c r="I114" s="348" t="s">
        <v>4196</v>
      </c>
      <c r="J114" s="348"/>
      <c r="K114" s="348"/>
      <c r="L114" s="348"/>
      <c r="M114" s="348"/>
      <c r="N114" s="348"/>
      <c r="O114" s="348"/>
      <c r="P114" s="348"/>
      <c r="Q114" s="348"/>
      <c r="R114" s="348"/>
      <c r="S114" s="348"/>
      <c r="T114" s="348"/>
      <c r="U114" s="348"/>
      <c r="V114" s="348"/>
      <c r="W114" s="348"/>
      <c r="X114" s="302"/>
      <c r="Z114" s="221" t="s">
        <v>4163</v>
      </c>
      <c r="AA114" s="222" t="s">
        <v>29</v>
      </c>
      <c r="AB114" s="220" t="s">
        <v>32</v>
      </c>
      <c r="AC114" s="221" t="s">
        <v>33</v>
      </c>
      <c r="AD114" s="220" t="s">
        <v>34</v>
      </c>
      <c r="AE114" s="220" t="s">
        <v>4161</v>
      </c>
      <c r="AF114" s="220" t="s">
        <v>36</v>
      </c>
      <c r="AG114" s="221" t="s">
        <v>4164</v>
      </c>
      <c r="AI114" s="247" t="s">
        <v>4165</v>
      </c>
      <c r="AJ114" s="248" t="s">
        <v>35</v>
      </c>
      <c r="AK114" s="249" t="s">
        <v>4166</v>
      </c>
      <c r="AL114" s="249" t="s">
        <v>4167</v>
      </c>
    </row>
    <row r="115" spans="1:38">
      <c r="A115" s="218" t="s">
        <v>4168</v>
      </c>
      <c r="B115" s="213" t="s">
        <v>4169</v>
      </c>
      <c r="C115" s="219" t="s">
        <v>4170</v>
      </c>
      <c r="D115" s="219" t="s">
        <v>4171</v>
      </c>
      <c r="E115" s="219" t="s">
        <v>4172</v>
      </c>
      <c r="F115" s="219" t="s">
        <v>4173</v>
      </c>
      <c r="G115" s="219" t="s">
        <v>4174</v>
      </c>
      <c r="H115" s="219" t="s">
        <v>4175</v>
      </c>
      <c r="I115" s="219" t="s">
        <v>4176</v>
      </c>
      <c r="J115" s="219" t="s">
        <v>4177</v>
      </c>
      <c r="K115" s="219" t="s">
        <v>4178</v>
      </c>
      <c r="L115" s="219" t="s">
        <v>4179</v>
      </c>
      <c r="M115" s="219" t="s">
        <v>4180</v>
      </c>
      <c r="N115" s="226" t="s">
        <v>4181</v>
      </c>
      <c r="O115" s="219" t="s">
        <v>4182</v>
      </c>
      <c r="P115" s="213" t="s">
        <v>47</v>
      </c>
      <c r="Q115" s="231" t="s">
        <v>4183</v>
      </c>
      <c r="R115" s="219" t="s">
        <v>4184</v>
      </c>
      <c r="S115" s="219" t="s">
        <v>4185</v>
      </c>
      <c r="T115" s="219" t="s">
        <v>4186</v>
      </c>
      <c r="U115" s="219" t="s">
        <v>4187</v>
      </c>
      <c r="V115" s="219" t="s">
        <v>4188</v>
      </c>
      <c r="W115" s="219" t="s">
        <v>4189</v>
      </c>
      <c r="X115" s="110" t="s">
        <v>4190</v>
      </c>
      <c r="Z115" s="109">
        <f>IF(AC115&gt;0, COUNTIF(AC$115:AC$133, "&lt;"&amp;AC115) + COUNTIFS(AC$115:AC$133, AC115, AD$115:AD$133, "&lt;"&amp;AD115) + COUNTIFS(AC$115:AC$133, AC115, AD$115:AD$133, AD115, AA$115:AA$133, "&lt;"&amp;AA115) + 1, "TBD")</f>
        <v>13</v>
      </c>
      <c r="AA115" s="59" cm="1">
        <f t="array" ref="AA115:AF133">_xlfn._xlws.FILTER(Data[Date]:Data[Artist], (Data[Date]&gt;=DATE(2025,7,1))*(Data[Date]&lt;=DATE(2025,7,31))*(Data[Winner]=TRUE()), "TBD")</f>
        <v>45839</v>
      </c>
      <c r="AB115" t="str">
        <v>currydestroyer27</v>
      </c>
      <c r="AC115" s="3">
        <v>2.4</v>
      </c>
      <c r="AD115">
        <v>0.8</v>
      </c>
      <c r="AE115" t="str">
        <v>Bodies</v>
      </c>
      <c r="AF115" t="str">
        <v>Offset, JID</v>
      </c>
      <c r="AG115" s="100">
        <f t="shared" ref="AG115:AG133" si="31">IF(Z115&gt;1, 2^FLOOR(LOG(Z115-1, 2), 1)+1, 1)</f>
        <v>9</v>
      </c>
      <c r="AI115" s="115">
        <v>1</v>
      </c>
      <c r="AJ115" s="105" t="str">
        <f ca="1">P116</f>
        <v>Buy U a Drank</v>
      </c>
      <c r="AK115" s="246">
        <f ca="1">IFERROR(VLOOKUP(Jul_2025_Results[[#This Row],[Song Title]], $AE$115:$AG$133, 3, FALSE)-Jul_2025_Results[[#This Row],[Result]], "TBD")</f>
        <v>0</v>
      </c>
      <c r="AL115" s="246" t="str">
        <f ca="1">IF(AK115&lt;0,"↓",IF(AK115=0,"-","↑"))</f>
        <v>-</v>
      </c>
    </row>
    <row r="116" spans="1:38">
      <c r="A116" s="199" t="str">
        <f>_xlfn.CONCAT("Seed ", Jul_2025_SotM[[#This Row],[Top Seed]], " vs ",Jul_2025_SotM[[#This Row],[Low Seed]])</f>
        <v>Seed 1 vs 2</v>
      </c>
      <c r="B116" s="201">
        <v>1</v>
      </c>
      <c r="C116" s="200">
        <f>FLOOR(LOG(Jul_2025_SotM[[#This Row],[Num]], 2), 1)</f>
        <v>0</v>
      </c>
      <c r="D116" s="200">
        <f>2^(Jul_2025_SotM[[#This Row],[Round]]+1)</f>
        <v>2</v>
      </c>
      <c r="E116" s="200">
        <f>Jul_2025_SotM[[#This Row],[Max Seed]]-Jul_2025_SotM[[#This Row],[Num]]</f>
        <v>1</v>
      </c>
      <c r="F116" s="200">
        <f>Jul_2025_SotM[[#This Row],[Max Seed]]-Jul_2025_SotM[[#This Row],[Top Seed]]+1</f>
        <v>2</v>
      </c>
      <c r="G116" s="200" t="b">
        <f>IF(Jul_2025_SotM[[#This Row],[Round]]=$C$114, TRUE(), IF(Jul_2025_SotM[[#This Row],[Round]]=$B$114, Jul_2025_SotM[[#This Row],[Top Seed]]&lt;=2*Jul_2025_SotM[[#This Row],[Max Seed]]-$A$114, FALSE()))</f>
        <v>0</v>
      </c>
      <c r="H116" s="200" t="b">
        <f>IF(Jul_2025_SotM[[#This Row],[Round]]=$C$114, TRUE(), IF(Jul_2025_SotM[[#This Row],[Round]]=$B$114, Jul_2025_SotM[[#This Row],[Low Seed]]&lt;=2*Jul_2025_SotM[[#This Row],[Max Seed]]-$A$114, FALSE()))</f>
        <v>0</v>
      </c>
      <c r="I116" s="28" t="s">
        <v>4191</v>
      </c>
      <c r="J116" s="31" t="s">
        <v>4191</v>
      </c>
      <c r="K116" s="33" t="s">
        <v>4191</v>
      </c>
      <c r="L116" s="35" t="s">
        <v>4191</v>
      </c>
      <c r="M116" s="37"/>
      <c r="N116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Buy U a Drank</v>
      </c>
      <c r="O116" s="200">
        <f>COUNTIF(Jul_2025_SotM[[#This Row],[J]:[H]],"x")</f>
        <v>4</v>
      </c>
      <c r="P116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Buy U a Drank</v>
      </c>
      <c r="Q116" s="206">
        <f>COUNTIF(Jul_2025_SotM[[#This Row],[H ]:[J ]],"x")</f>
        <v>1</v>
      </c>
      <c r="R116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Bottoms Up</v>
      </c>
      <c r="S116" s="37" t="s">
        <v>4191</v>
      </c>
      <c r="T116" s="35"/>
      <c r="U116" s="33"/>
      <c r="V116" s="31"/>
      <c r="W116" s="28"/>
      <c r="X116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16" s="109">
        <f t="shared" ref="Z116:Z133" si="32">IF(AC116&gt;0, COUNTIF(AC$115:AC$133, "&lt;"&amp;AC116) + COUNTIFS(AC$115:AC$133, AC116, AD$115:AD$133, "&lt;"&amp;AD116) + COUNTIFS(AC$115:AC$133, AC116, AD$115:AD$133, AD116, AA$115:AA$133, "&lt;"&amp;AA116) + 1, "TBD")</f>
        <v>3</v>
      </c>
      <c r="AA116" s="59">
        <v>45840</v>
      </c>
      <c r="AB116" t="str">
        <v>currydestroyer27</v>
      </c>
      <c r="AC116" s="3">
        <v>1.8</v>
      </c>
      <c r="AD116">
        <v>0.74833147735478833</v>
      </c>
      <c r="AE116" t="str">
        <v>Bottoms Up</v>
      </c>
      <c r="AF116" t="str">
        <v>Trey Songz, Nicki Minaj</v>
      </c>
      <c r="AG116" s="100">
        <f t="shared" si="31"/>
        <v>3</v>
      </c>
      <c r="AI116" s="115">
        <f>Jul_2025_SotM[[#This Row],[Max Seed]]/2 + 1</f>
        <v>2</v>
      </c>
      <c r="AJ116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Bottoms Up</v>
      </c>
      <c r="AK116" s="246">
        <f ca="1">IFERROR(VLOOKUP(Jul_2025_Results[[#This Row],[Song Title]], $AE$115:$AG$133, 3, FALSE)-Jul_2025_Results[[#This Row],[Result]], "TBD")</f>
        <v>1</v>
      </c>
      <c r="AL116" s="246" t="str">
        <f ca="1">IF(AK116&lt;0,"↓",IF(AK116=0,"-","↑"))</f>
        <v>↑</v>
      </c>
    </row>
    <row r="117" spans="1:38">
      <c r="A117" s="199" t="str">
        <f>_xlfn.CONCAT("Seed ", Jul_2025_SotM[[#This Row],[Top Seed]], " vs ",Jul_2025_SotM[[#This Row],[Low Seed]])</f>
        <v>Seed 2 vs 3</v>
      </c>
      <c r="B117" s="201">
        <v>2</v>
      </c>
      <c r="C117" s="200">
        <f>FLOOR(LOG(Jul_2025_SotM[[#This Row],[Num]], 2), 1)</f>
        <v>1</v>
      </c>
      <c r="D117" s="200">
        <f>2^(Jul_2025_SotM[[#This Row],[Round]]+1)</f>
        <v>4</v>
      </c>
      <c r="E117" s="200">
        <f>Jul_2025_SotM[[#This Row],[Max Seed]]-Jul_2025_SotM[[#This Row],[Num]]</f>
        <v>2</v>
      </c>
      <c r="F117" s="200">
        <f>Jul_2025_SotM[[#This Row],[Max Seed]]-Jul_2025_SotM[[#This Row],[Top Seed]]+1</f>
        <v>3</v>
      </c>
      <c r="G117" s="200" t="b">
        <f>IF(Jul_2025_SotM[[#This Row],[Round]]=$C$114, TRUE(), IF(Jul_2025_SotM[[#This Row],[Round]]=$B$114, Jul_2025_SotM[[#This Row],[Top Seed]]&lt;=2*Jul_2025_SotM[[#This Row],[Max Seed]]-$A$114, FALSE()))</f>
        <v>0</v>
      </c>
      <c r="H117" s="200" t="b">
        <f>IF(Jul_2025_SotM[[#This Row],[Round]]=$C$114, TRUE(), IF(Jul_2025_SotM[[#This Row],[Round]]=$B$114, Jul_2025_SotM[[#This Row],[Low Seed]]&lt;=2*Jul_2025_SotM[[#This Row],[Max Seed]]-$A$114, FALSE()))</f>
        <v>0</v>
      </c>
      <c r="I117" s="28"/>
      <c r="J117" s="31"/>
      <c r="K117" s="33" t="s">
        <v>4191</v>
      </c>
      <c r="L117" s="35" t="s">
        <v>4191</v>
      </c>
      <c r="M117" s="37"/>
      <c r="N117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Crazy Train</v>
      </c>
      <c r="O117" s="200">
        <f>COUNTIF(Jul_2025_SotM[[#This Row],[J]:[H]],"x")</f>
        <v>2</v>
      </c>
      <c r="P117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Bottoms Up</v>
      </c>
      <c r="Q117" s="206">
        <f>COUNTIF(Jul_2025_SotM[[#This Row],[H ]:[J ]],"x")</f>
        <v>3</v>
      </c>
      <c r="R117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Bottoms Up</v>
      </c>
      <c r="S117" s="37" t="s">
        <v>4191</v>
      </c>
      <c r="T117" s="35"/>
      <c r="U117" s="33"/>
      <c r="V117" s="31" t="s">
        <v>4191</v>
      </c>
      <c r="W117" s="28" t="s">
        <v>4191</v>
      </c>
      <c r="X117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17" s="109">
        <f t="shared" si="32"/>
        <v>6</v>
      </c>
      <c r="AA117" s="59">
        <v>45841</v>
      </c>
      <c r="AB117" t="str">
        <v>loganworsdell</v>
      </c>
      <c r="AC117" s="3">
        <v>2</v>
      </c>
      <c r="AD117">
        <v>0.63245553203367588</v>
      </c>
      <c r="AE117" t="str">
        <v>Morioucho Radio</v>
      </c>
      <c r="AF117" t="str">
        <v>Yugo Kanno</v>
      </c>
      <c r="AG117" s="100">
        <f t="shared" si="31"/>
        <v>5</v>
      </c>
      <c r="AI117" s="115">
        <f>Jul_2025_SotM[[#This Row],[Max Seed]]/2 + 1</f>
        <v>3</v>
      </c>
      <c r="AJ117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Crazy Train</v>
      </c>
      <c r="AK117" s="246">
        <f ca="1">IFERROR(VLOOKUP(Jul_2025_Results[[#This Row],[Song Title]], $AE$115:$AG$133, 3, FALSE)-Jul_2025_Results[[#This Row],[Result]], "TBD")</f>
        <v>-1</v>
      </c>
      <c r="AL117" s="246" t="str">
        <f t="shared" ref="AL117:AL133" ca="1" si="33">IF(AK117&lt;0,"↓",IF(AK117=0,"-","↑"))</f>
        <v>↓</v>
      </c>
    </row>
    <row r="118" spans="1:38">
      <c r="A118" s="199" t="str">
        <f>_xlfn.CONCAT("Seed ", Jul_2025_SotM[[#This Row],[Top Seed]], " vs ",Jul_2025_SotM[[#This Row],[Low Seed]])</f>
        <v>Seed 1 vs 4</v>
      </c>
      <c r="B118" s="201">
        <v>3</v>
      </c>
      <c r="C118" s="200">
        <f>FLOOR(LOG(Jul_2025_SotM[[#This Row],[Num]], 2), 1)</f>
        <v>1</v>
      </c>
      <c r="D118" s="200">
        <f>2^(Jul_2025_SotM[[#This Row],[Round]]+1)</f>
        <v>4</v>
      </c>
      <c r="E118" s="200">
        <f>Jul_2025_SotM[[#This Row],[Max Seed]]-Jul_2025_SotM[[#This Row],[Num]]</f>
        <v>1</v>
      </c>
      <c r="F118" s="200">
        <f>Jul_2025_SotM[[#This Row],[Max Seed]]-Jul_2025_SotM[[#This Row],[Top Seed]]+1</f>
        <v>4</v>
      </c>
      <c r="G118" s="200" t="b">
        <f>IF(Jul_2025_SotM[[#This Row],[Round]]=$C$114, TRUE(), IF(Jul_2025_SotM[[#This Row],[Round]]=$B$114, Jul_2025_SotM[[#This Row],[Top Seed]]&lt;=2*Jul_2025_SotM[[#This Row],[Max Seed]]-$A$114, FALSE()))</f>
        <v>0</v>
      </c>
      <c r="H118" s="200" t="b">
        <f>IF(Jul_2025_SotM[[#This Row],[Round]]=$C$114, TRUE(), IF(Jul_2025_SotM[[#This Row],[Round]]=$B$114, Jul_2025_SotM[[#This Row],[Low Seed]]&lt;=2*Jul_2025_SotM[[#This Row],[Max Seed]]-$A$114, FALSE()))</f>
        <v>0</v>
      </c>
      <c r="I118" s="28" t="s">
        <v>4191</v>
      </c>
      <c r="J118" s="31" t="s">
        <v>4191</v>
      </c>
      <c r="K118" s="33" t="s">
        <v>4191</v>
      </c>
      <c r="L118" s="35"/>
      <c r="M118" s="37" t="s">
        <v>4191</v>
      </c>
      <c r="N118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Buy U a Drank</v>
      </c>
      <c r="O118" s="200">
        <f>COUNTIF(Jul_2025_SotM[[#This Row],[J]:[H]],"x")</f>
        <v>4</v>
      </c>
      <c r="P118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Buy U a Drank</v>
      </c>
      <c r="Q118" s="206">
        <f>COUNTIF(Jul_2025_SotM[[#This Row],[H ]:[J ]],"x")</f>
        <v>1</v>
      </c>
      <c r="R118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Abandon Me</v>
      </c>
      <c r="S118" s="37"/>
      <c r="T118" s="35" t="s">
        <v>4191</v>
      </c>
      <c r="U118" s="33"/>
      <c r="V118" s="31"/>
      <c r="W118" s="28"/>
      <c r="X118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18" s="109">
        <f t="shared" si="32"/>
        <v>10</v>
      </c>
      <c r="AA118" s="59">
        <v>45845</v>
      </c>
      <c r="AB118" t="str">
        <v>samuelbattista</v>
      </c>
      <c r="AC118" s="3">
        <v>2.2000000000000002</v>
      </c>
      <c r="AD118">
        <v>0.9797958971132712</v>
      </c>
      <c r="AE118" t="str">
        <v>Let Me Leave</v>
      </c>
      <c r="AF118" t="str">
        <v>Currents</v>
      </c>
      <c r="AG118" s="100">
        <f t="shared" si="31"/>
        <v>9</v>
      </c>
      <c r="AI118" s="115">
        <f>Jul_2025_SotM[[#This Row],[Max Seed]]/2 + 1</f>
        <v>3</v>
      </c>
      <c r="AJ118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Abandon Me</v>
      </c>
      <c r="AK118" s="3">
        <f ca="1">IFERROR(VLOOKUP(Jul_2025_Results[[#This Row],[Song Title]], $AE$115:$AG$133, 3, FALSE)-Jul_2025_Results[[#This Row],[Result]], "TBD")</f>
        <v>0</v>
      </c>
      <c r="AL118" s="3" t="str">
        <f t="shared" ca="1" si="33"/>
        <v>-</v>
      </c>
    </row>
    <row r="119" spans="1:38">
      <c r="A119" s="199" t="str">
        <f>_xlfn.CONCAT("Seed ", Jul_2025_SotM[[#This Row],[Top Seed]], " vs ",Jul_2025_SotM[[#This Row],[Low Seed]])</f>
        <v>Seed 4 vs 5</v>
      </c>
      <c r="B119" s="201">
        <v>4</v>
      </c>
      <c r="C119" s="200">
        <f>FLOOR(LOG(Jul_2025_SotM[[#This Row],[Num]], 2), 1)</f>
        <v>2</v>
      </c>
      <c r="D119" s="200">
        <f>2^(Jul_2025_SotM[[#This Row],[Round]]+1)</f>
        <v>8</v>
      </c>
      <c r="E119" s="200">
        <f>Jul_2025_SotM[[#This Row],[Max Seed]]-Jul_2025_SotM[[#This Row],[Num]]</f>
        <v>4</v>
      </c>
      <c r="F119" s="200">
        <f>Jul_2025_SotM[[#This Row],[Max Seed]]-Jul_2025_SotM[[#This Row],[Top Seed]]+1</f>
        <v>5</v>
      </c>
      <c r="G119" s="200" t="b">
        <f>IF(Jul_2025_SotM[[#This Row],[Round]]=$C$114, TRUE(), IF(Jul_2025_SotM[[#This Row],[Round]]=$B$114, Jul_2025_SotM[[#This Row],[Top Seed]]&lt;=2*Jul_2025_SotM[[#This Row],[Max Seed]]-$A$114, FALSE()))</f>
        <v>0</v>
      </c>
      <c r="H119" s="200" t="b">
        <f>IF(Jul_2025_SotM[[#This Row],[Round]]=$C$114, TRUE(), IF(Jul_2025_SotM[[#This Row],[Round]]=$B$114, Jul_2025_SotM[[#This Row],[Low Seed]]&lt;=2*Jul_2025_SotM[[#This Row],[Max Seed]]-$A$114, FALSE()))</f>
        <v>0</v>
      </c>
      <c r="I119" s="28"/>
      <c r="J119" s="31" t="s">
        <v>4191</v>
      </c>
      <c r="K119" s="33" t="s">
        <v>4191</v>
      </c>
      <c r="L119" s="35" t="s">
        <v>4191</v>
      </c>
      <c r="M119" s="37"/>
      <c r="N119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Abandon Me</v>
      </c>
      <c r="O119" s="200">
        <f>COUNTIF(Jul_2025_SotM[[#This Row],[J]:[H]],"x")</f>
        <v>3</v>
      </c>
      <c r="P119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Abandon Me</v>
      </c>
      <c r="Q119" s="206">
        <f>COUNTIF(Jul_2025_SotM[[#This Row],[H ]:[J ]],"x")</f>
        <v>2</v>
      </c>
      <c r="R119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Still into You</v>
      </c>
      <c r="S119" s="37" t="s">
        <v>4191</v>
      </c>
      <c r="T119" s="35"/>
      <c r="U119" s="33"/>
      <c r="V119" s="31"/>
      <c r="W119" s="28" t="s">
        <v>4191</v>
      </c>
      <c r="X119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19" s="109">
        <f t="shared" si="32"/>
        <v>1</v>
      </c>
      <c r="AA119" s="59">
        <v>45846</v>
      </c>
      <c r="AB119" t="str">
        <v>alappatjoe</v>
      </c>
      <c r="AC119" s="3">
        <v>1.6</v>
      </c>
      <c r="AD119">
        <v>0.4898979485566356</v>
      </c>
      <c r="AE119" t="str">
        <v>Buy U a Drank</v>
      </c>
      <c r="AF119" t="str">
        <v>T-Pain, Yung Joc</v>
      </c>
      <c r="AG119" s="100">
        <f t="shared" si="31"/>
        <v>1</v>
      </c>
      <c r="AI119" s="115">
        <f>Jul_2025_SotM[[#This Row],[Max Seed]]/2 + 1</f>
        <v>5</v>
      </c>
      <c r="AJ119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Still into You</v>
      </c>
      <c r="AK119" s="3">
        <f ca="1">IFERROR(VLOOKUP(Jul_2025_Results[[#This Row],[Song Title]], $AE$115:$AG$133, 3, FALSE)-Jul_2025_Results[[#This Row],[Result]], "TBD")</f>
        <v>0</v>
      </c>
      <c r="AL119" s="3" t="str">
        <f t="shared" ca="1" si="33"/>
        <v>-</v>
      </c>
    </row>
    <row r="120" spans="1:38">
      <c r="A120" s="199" t="str">
        <f>_xlfn.CONCAT("Seed ", Jul_2025_SotM[[#This Row],[Top Seed]], " vs ",Jul_2025_SotM[[#This Row],[Low Seed]])</f>
        <v>Seed 3 vs 6</v>
      </c>
      <c r="B120" s="201">
        <v>5</v>
      </c>
      <c r="C120" s="200">
        <f>FLOOR(LOG(Jul_2025_SotM[[#This Row],[Num]], 2), 1)</f>
        <v>2</v>
      </c>
      <c r="D120" s="200">
        <f>2^(Jul_2025_SotM[[#This Row],[Round]]+1)</f>
        <v>8</v>
      </c>
      <c r="E120" s="200">
        <f>Jul_2025_SotM[[#This Row],[Max Seed]]-Jul_2025_SotM[[#This Row],[Num]]</f>
        <v>3</v>
      </c>
      <c r="F120" s="200">
        <f>Jul_2025_SotM[[#This Row],[Max Seed]]-Jul_2025_SotM[[#This Row],[Top Seed]]+1</f>
        <v>6</v>
      </c>
      <c r="G120" s="200" t="b">
        <f>IF(Jul_2025_SotM[[#This Row],[Round]]=$C$114, TRUE(), IF(Jul_2025_SotM[[#This Row],[Round]]=$B$114, Jul_2025_SotM[[#This Row],[Top Seed]]&lt;=2*Jul_2025_SotM[[#This Row],[Max Seed]]-$A$114, FALSE()))</f>
        <v>0</v>
      </c>
      <c r="H120" s="200" t="b">
        <f>IF(Jul_2025_SotM[[#This Row],[Round]]=$C$114, TRUE(), IF(Jul_2025_SotM[[#This Row],[Round]]=$B$114, Jul_2025_SotM[[#This Row],[Low Seed]]&lt;=2*Jul_2025_SotM[[#This Row],[Max Seed]]-$A$114, FALSE()))</f>
        <v>0</v>
      </c>
      <c r="I120" s="28" t="s">
        <v>4191</v>
      </c>
      <c r="J120" s="31" t="s">
        <v>4191</v>
      </c>
      <c r="K120" s="33" t="s">
        <v>4191</v>
      </c>
      <c r="L120" s="35" t="s">
        <v>4191</v>
      </c>
      <c r="M120" s="37" t="s">
        <v>4191</v>
      </c>
      <c r="N120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Bottoms Up</v>
      </c>
      <c r="O120" s="200">
        <f>COUNTIF(Jul_2025_SotM[[#This Row],[J]:[H]],"x")</f>
        <v>5</v>
      </c>
      <c r="P120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Bottoms Up</v>
      </c>
      <c r="Q120" s="206">
        <f>COUNTIF(Jul_2025_SotM[[#This Row],[H ]:[J ]],"x")</f>
        <v>0</v>
      </c>
      <c r="R120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Morioucho Radio</v>
      </c>
      <c r="S120" s="37"/>
      <c r="T120" s="35"/>
      <c r="U120" s="33"/>
      <c r="V120" s="31"/>
      <c r="W120" s="28"/>
      <c r="X120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20" s="109">
        <f t="shared" si="32"/>
        <v>19</v>
      </c>
      <c r="AA120" s="59">
        <v>45847</v>
      </c>
      <c r="AB120" t="str">
        <v>danram</v>
      </c>
      <c r="AC120" s="3">
        <v>2.8</v>
      </c>
      <c r="AD120">
        <v>1.1661903789690602</v>
      </c>
      <c r="AE120" t="str">
        <v>I Get Around</v>
      </c>
      <c r="AF120" t="str">
        <v>The Beach Boys</v>
      </c>
      <c r="AG120" s="100">
        <f t="shared" si="31"/>
        <v>17</v>
      </c>
      <c r="AI120" s="115">
        <f>Jul_2025_SotM[[#This Row],[Max Seed]]/2 + 1</f>
        <v>5</v>
      </c>
      <c r="AJ120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Morioucho Radio</v>
      </c>
      <c r="AK120" s="3">
        <f ca="1">IFERROR(VLOOKUP(Jul_2025_Results[[#This Row],[Song Title]], $AE$115:$AG$133, 3, FALSE)-Jul_2025_Results[[#This Row],[Result]], "TBD")</f>
        <v>0</v>
      </c>
      <c r="AL120" s="3" t="str">
        <f t="shared" ca="1" si="33"/>
        <v>-</v>
      </c>
    </row>
    <row r="121" spans="1:38">
      <c r="A121" s="199" t="str">
        <f>_xlfn.CONCAT("Seed ", Jul_2025_SotM[[#This Row],[Top Seed]], " vs ",Jul_2025_SotM[[#This Row],[Low Seed]])</f>
        <v>Seed 2 vs 7</v>
      </c>
      <c r="B121" s="201">
        <v>6</v>
      </c>
      <c r="C121" s="200">
        <f>FLOOR(LOG(Jul_2025_SotM[[#This Row],[Num]], 2), 1)</f>
        <v>2</v>
      </c>
      <c r="D121" s="200">
        <f>2^(Jul_2025_SotM[[#This Row],[Round]]+1)</f>
        <v>8</v>
      </c>
      <c r="E121" s="200">
        <f>Jul_2025_SotM[[#This Row],[Max Seed]]-Jul_2025_SotM[[#This Row],[Num]]</f>
        <v>2</v>
      </c>
      <c r="F121" s="200">
        <f>Jul_2025_SotM[[#This Row],[Max Seed]]-Jul_2025_SotM[[#This Row],[Top Seed]]+1</f>
        <v>7</v>
      </c>
      <c r="G121" s="200" t="b">
        <f>IF(Jul_2025_SotM[[#This Row],[Round]]=$C$114, TRUE(), IF(Jul_2025_SotM[[#This Row],[Round]]=$B$114, Jul_2025_SotM[[#This Row],[Top Seed]]&lt;=2*Jul_2025_SotM[[#This Row],[Max Seed]]-$A$114, FALSE()))</f>
        <v>0</v>
      </c>
      <c r="H121" s="200" t="b">
        <f>IF(Jul_2025_SotM[[#This Row],[Round]]=$C$114, TRUE(), IF(Jul_2025_SotM[[#This Row],[Round]]=$B$114, Jul_2025_SotM[[#This Row],[Low Seed]]&lt;=2*Jul_2025_SotM[[#This Row],[Max Seed]]-$A$114, FALSE()))</f>
        <v>0</v>
      </c>
      <c r="I121" s="28" t="s">
        <v>4191</v>
      </c>
      <c r="J121" s="31" t="s">
        <v>4191</v>
      </c>
      <c r="K121" s="33" t="s">
        <v>4191</v>
      </c>
      <c r="L121" s="35"/>
      <c r="M121" s="37" t="s">
        <v>4191</v>
      </c>
      <c r="N121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Crazy Train</v>
      </c>
      <c r="O121" s="200">
        <f>COUNTIF(Jul_2025_SotM[[#This Row],[J]:[H]],"x")</f>
        <v>4</v>
      </c>
      <c r="P121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Crazy Train</v>
      </c>
      <c r="Q121" s="206">
        <f>COUNTIF(Jul_2025_SotM[[#This Row],[H ]:[J ]],"x")</f>
        <v>1</v>
      </c>
      <c r="R121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Let Me Leave</v>
      </c>
      <c r="S121" s="37"/>
      <c r="T121" s="35" t="s">
        <v>4191</v>
      </c>
      <c r="U121" s="33"/>
      <c r="V121" s="31"/>
      <c r="W121" s="28"/>
      <c r="X121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21" s="109">
        <f t="shared" si="32"/>
        <v>12</v>
      </c>
      <c r="AA121" s="59">
        <v>45848</v>
      </c>
      <c r="AB121" t="str">
        <v>danram</v>
      </c>
      <c r="AC121" s="3">
        <v>2.2000000000000002</v>
      </c>
      <c r="AD121">
        <v>1.1661903789690602</v>
      </c>
      <c r="AE121" t="str">
        <v>TOXIC</v>
      </c>
      <c r="AF121" t="str">
        <v>Dreezy T-Pain</v>
      </c>
      <c r="AG121" s="100">
        <f t="shared" si="31"/>
        <v>9</v>
      </c>
      <c r="AI121" s="115">
        <f>Jul_2025_SotM[[#This Row],[Max Seed]]/2 + 1</f>
        <v>5</v>
      </c>
      <c r="AJ121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Let Me Leave</v>
      </c>
      <c r="AK121" s="3">
        <f ca="1">IFERROR(VLOOKUP(Jul_2025_Results[[#This Row],[Song Title]], $AE$115:$AG$133, 3, FALSE)-Jul_2025_Results[[#This Row],[Result]], "TBD")</f>
        <v>4</v>
      </c>
      <c r="AL121" s="3" t="str">
        <f t="shared" ca="1" si="33"/>
        <v>↑</v>
      </c>
    </row>
    <row r="122" spans="1:38">
      <c r="A122" s="199" t="str">
        <f>_xlfn.CONCAT("Seed ", Jul_2025_SotM[[#This Row],[Top Seed]], " vs ",Jul_2025_SotM[[#This Row],[Low Seed]])</f>
        <v>Seed 1 vs 8</v>
      </c>
      <c r="B122" s="201">
        <v>7</v>
      </c>
      <c r="C122" s="200">
        <f>FLOOR(LOG(Jul_2025_SotM[[#This Row],[Num]], 2), 1)</f>
        <v>2</v>
      </c>
      <c r="D122" s="200">
        <f>2^(Jul_2025_SotM[[#This Row],[Round]]+1)</f>
        <v>8</v>
      </c>
      <c r="E122" s="200">
        <f>Jul_2025_SotM[[#This Row],[Max Seed]]-Jul_2025_SotM[[#This Row],[Num]]</f>
        <v>1</v>
      </c>
      <c r="F122" s="200">
        <f>Jul_2025_SotM[[#This Row],[Max Seed]]-Jul_2025_SotM[[#This Row],[Top Seed]]+1</f>
        <v>8</v>
      </c>
      <c r="G122" s="200" t="b">
        <f>IF(Jul_2025_SotM[[#This Row],[Round]]=$C$114, TRUE(), IF(Jul_2025_SotM[[#This Row],[Round]]=$B$114, Jul_2025_SotM[[#This Row],[Top Seed]]&lt;=2*Jul_2025_SotM[[#This Row],[Max Seed]]-$A$114, FALSE()))</f>
        <v>0</v>
      </c>
      <c r="H122" s="200" t="b">
        <f>IF(Jul_2025_SotM[[#This Row],[Round]]=$C$114, TRUE(), IF(Jul_2025_SotM[[#This Row],[Round]]=$B$114, Jul_2025_SotM[[#This Row],[Low Seed]]&lt;=2*Jul_2025_SotM[[#This Row],[Max Seed]]-$A$114, FALSE()))</f>
        <v>0</v>
      </c>
      <c r="I122" s="28" t="s">
        <v>4191</v>
      </c>
      <c r="J122" s="31" t="s">
        <v>4191</v>
      </c>
      <c r="K122" s="33" t="s">
        <v>4191</v>
      </c>
      <c r="L122" s="35" t="s">
        <v>4191</v>
      </c>
      <c r="M122" s="37" t="s">
        <v>4191</v>
      </c>
      <c r="N122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Buy U a Drank</v>
      </c>
      <c r="O122" s="200">
        <f>COUNTIF(Jul_2025_SotM[[#This Row],[J]:[H]],"x")</f>
        <v>5</v>
      </c>
      <c r="P122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Buy U a Drank</v>
      </c>
      <c r="Q122" s="206">
        <f>COUNTIF(Jul_2025_SotM[[#This Row],[H ]:[J ]],"x")</f>
        <v>0</v>
      </c>
      <c r="R122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Helicopter</v>
      </c>
      <c r="S122" s="37"/>
      <c r="T122" s="35"/>
      <c r="U122" s="33"/>
      <c r="V122" s="31"/>
      <c r="W122" s="28"/>
      <c r="X122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22" s="109">
        <f t="shared" si="32"/>
        <v>14</v>
      </c>
      <c r="AA122" s="59">
        <v>45852</v>
      </c>
      <c r="AB122" t="str">
        <v>loganworsdell</v>
      </c>
      <c r="AC122" s="3">
        <v>2.4</v>
      </c>
      <c r="AD122">
        <v>1.019803902718557</v>
      </c>
      <c r="AE122" t="str">
        <v>Missed Calls</v>
      </c>
      <c r="AF122" t="str">
        <v>Mac Miller</v>
      </c>
      <c r="AG122" s="100">
        <f t="shared" si="31"/>
        <v>9</v>
      </c>
      <c r="AI122" s="115">
        <f>Jul_2025_SotM[[#This Row],[Max Seed]]/2 + 1</f>
        <v>5</v>
      </c>
      <c r="AJ122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Helicopter</v>
      </c>
      <c r="AK122" s="3">
        <f ca="1">IFERROR(VLOOKUP(Jul_2025_Results[[#This Row],[Song Title]], $AE$115:$AG$133, 3, FALSE)-Jul_2025_Results[[#This Row],[Result]], "TBD")</f>
        <v>0</v>
      </c>
      <c r="AL122" s="3" t="str">
        <f t="shared" ca="1" si="33"/>
        <v>-</v>
      </c>
    </row>
    <row r="123" spans="1:38">
      <c r="A123" s="199" t="str">
        <f>_xlfn.CONCAT("Seed ", Jul_2025_SotM[[#This Row],[Top Seed]], " vs ",Jul_2025_SotM[[#This Row],[Low Seed]])</f>
        <v>Seed 8 vs 9</v>
      </c>
      <c r="B123" s="201">
        <v>8</v>
      </c>
      <c r="C123" s="200">
        <f>FLOOR(LOG(Jul_2025_SotM[[#This Row],[Num]], 2), 1)</f>
        <v>3</v>
      </c>
      <c r="D123" s="200">
        <f>2^(Jul_2025_SotM[[#This Row],[Round]]+1)</f>
        <v>16</v>
      </c>
      <c r="E123" s="200">
        <f>Jul_2025_SotM[[#This Row],[Max Seed]]-Jul_2025_SotM[[#This Row],[Num]]</f>
        <v>8</v>
      </c>
      <c r="F123" s="200">
        <f>Jul_2025_SotM[[#This Row],[Max Seed]]-Jul_2025_SotM[[#This Row],[Top Seed]]+1</f>
        <v>9</v>
      </c>
      <c r="G123" s="200" t="b">
        <f>IF(Jul_2025_SotM[[#This Row],[Round]]=$C$114, TRUE(), IF(Jul_2025_SotM[[#This Row],[Round]]=$B$114, Jul_2025_SotM[[#This Row],[Top Seed]]&lt;=2*Jul_2025_SotM[[#This Row],[Max Seed]]-$A$114, FALSE()))</f>
        <v>1</v>
      </c>
      <c r="H123" s="200" t="b">
        <f>IF(Jul_2025_SotM[[#This Row],[Round]]=$C$114, TRUE(), IF(Jul_2025_SotM[[#This Row],[Round]]=$B$114, Jul_2025_SotM[[#This Row],[Low Seed]]&lt;=2*Jul_2025_SotM[[#This Row],[Max Seed]]-$A$114, FALSE()))</f>
        <v>1</v>
      </c>
      <c r="I123" s="28"/>
      <c r="J123" s="31" t="s">
        <v>4191</v>
      </c>
      <c r="K123" s="33" t="s">
        <v>4191</v>
      </c>
      <c r="L123" s="35" t="s">
        <v>4191</v>
      </c>
      <c r="M123" s="37" t="s">
        <v>4191</v>
      </c>
      <c r="N123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Helicopter</v>
      </c>
      <c r="O123" s="200">
        <f>COUNTIF(Jul_2025_SotM[[#This Row],[J]:[H]],"x")</f>
        <v>4</v>
      </c>
      <c r="P123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Helicopter</v>
      </c>
      <c r="Q123" s="206">
        <f>COUNTIF(Jul_2025_SotM[[#This Row],[H ]:[J ]],"x")</f>
        <v>1</v>
      </c>
      <c r="R123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Ensalada</v>
      </c>
      <c r="S123" s="37"/>
      <c r="T123" s="35"/>
      <c r="U123" s="33"/>
      <c r="V123" s="31"/>
      <c r="W123" s="28" t="s">
        <v>4191</v>
      </c>
      <c r="X123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23" s="109">
        <f t="shared" si="32"/>
        <v>17</v>
      </c>
      <c r="AA123" s="59">
        <v>45853</v>
      </c>
      <c r="AB123" t="str">
        <v>loganworsdell</v>
      </c>
      <c r="AC123" s="3">
        <v>2.6</v>
      </c>
      <c r="AD123">
        <v>1.3564659966250536</v>
      </c>
      <c r="AE123" t="str">
        <v>Long Beach</v>
      </c>
      <c r="AF123" t="str">
        <v>Kota the Friend, Hello O'shay, Alex Banin</v>
      </c>
      <c r="AG123" s="100">
        <f t="shared" si="31"/>
        <v>17</v>
      </c>
      <c r="AI123" s="115">
        <f>Jul_2025_SotM[[#This Row],[Max Seed]]/2 + 1</f>
        <v>9</v>
      </c>
      <c r="AJ123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Ensalada</v>
      </c>
      <c r="AK123" s="3">
        <f ca="1">IFERROR(VLOOKUP(Jul_2025_Results[[#This Row],[Song Title]], $AE$115:$AG$133, 3, FALSE)-Jul_2025_Results[[#This Row],[Result]], "TBD")</f>
        <v>0</v>
      </c>
      <c r="AL123" s="3" t="str">
        <f t="shared" ca="1" si="33"/>
        <v>-</v>
      </c>
    </row>
    <row r="124" spans="1:38">
      <c r="A124" s="199" t="str">
        <f>_xlfn.CONCAT("Seed ", Jul_2025_SotM[[#This Row],[Top Seed]], " vs ",Jul_2025_SotM[[#This Row],[Low Seed]])</f>
        <v>Seed 7 vs 10</v>
      </c>
      <c r="B124" s="201">
        <v>9</v>
      </c>
      <c r="C124" s="200">
        <f>FLOOR(LOG(Jul_2025_SotM[[#This Row],[Num]], 2), 1)</f>
        <v>3</v>
      </c>
      <c r="D124" s="200">
        <f>2^(Jul_2025_SotM[[#This Row],[Round]]+1)</f>
        <v>16</v>
      </c>
      <c r="E124" s="200">
        <f>Jul_2025_SotM[[#This Row],[Max Seed]]-Jul_2025_SotM[[#This Row],[Num]]</f>
        <v>7</v>
      </c>
      <c r="F124" s="200">
        <f>Jul_2025_SotM[[#This Row],[Max Seed]]-Jul_2025_SotM[[#This Row],[Top Seed]]+1</f>
        <v>10</v>
      </c>
      <c r="G124" s="200" t="b">
        <f>IF(Jul_2025_SotM[[#This Row],[Round]]=$C$114, TRUE(), IF(Jul_2025_SotM[[#This Row],[Round]]=$B$114, Jul_2025_SotM[[#This Row],[Top Seed]]&lt;=2*Jul_2025_SotM[[#This Row],[Max Seed]]-$A$114, FALSE()))</f>
        <v>1</v>
      </c>
      <c r="H124" s="200" t="b">
        <f>IF(Jul_2025_SotM[[#This Row],[Round]]=$C$114, TRUE(), IF(Jul_2025_SotM[[#This Row],[Round]]=$B$114, Jul_2025_SotM[[#This Row],[Low Seed]]&lt;=2*Jul_2025_SotM[[#This Row],[Max Seed]]-$A$114, FALSE()))</f>
        <v>1</v>
      </c>
      <c r="I124" s="28" t="s">
        <v>4191</v>
      </c>
      <c r="J124" s="31"/>
      <c r="K124" s="33"/>
      <c r="L124" s="35"/>
      <c r="M124" s="37"/>
      <c r="N124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Hollow Tips</v>
      </c>
      <c r="O124" s="200">
        <f>COUNTIF(Jul_2025_SotM[[#This Row],[J]:[H]],"x")</f>
        <v>1</v>
      </c>
      <c r="P124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Let Me Leave</v>
      </c>
      <c r="Q124" s="206">
        <f>COUNTIF(Jul_2025_SotM[[#This Row],[H ]:[J ]],"x")</f>
        <v>4</v>
      </c>
      <c r="R124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Let Me Leave</v>
      </c>
      <c r="S124" s="37" t="s">
        <v>4191</v>
      </c>
      <c r="T124" s="35" t="s">
        <v>4191</v>
      </c>
      <c r="U124" s="33" t="s">
        <v>4191</v>
      </c>
      <c r="V124" s="31" t="s">
        <v>4191</v>
      </c>
      <c r="W124" s="28"/>
      <c r="X124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24" s="109">
        <f t="shared" si="32"/>
        <v>5</v>
      </c>
      <c r="AA124" s="59">
        <v>45854</v>
      </c>
      <c r="AB124" t="str">
        <v>currydestroyer27</v>
      </c>
      <c r="AC124" s="3">
        <v>1.8</v>
      </c>
      <c r="AD124">
        <v>1.1661903789690602</v>
      </c>
      <c r="AE124" t="str">
        <v>Still into You</v>
      </c>
      <c r="AF124" t="str">
        <v>Paramore</v>
      </c>
      <c r="AG124" s="100">
        <f t="shared" si="31"/>
        <v>5</v>
      </c>
      <c r="AI124" s="115">
        <f>Jul_2025_SotM[[#This Row],[Max Seed]]/2 + 1</f>
        <v>9</v>
      </c>
      <c r="AJ124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Hollow Tips</v>
      </c>
      <c r="AK124" s="3">
        <f ca="1">IFERROR(VLOOKUP(Jul_2025_Results[[#This Row],[Song Title]], $AE$115:$AG$133, 3, FALSE)-Jul_2025_Results[[#This Row],[Result]], "TBD")</f>
        <v>-4</v>
      </c>
      <c r="AL124" s="3" t="str">
        <f t="shared" ca="1" si="33"/>
        <v>↓</v>
      </c>
    </row>
    <row r="125" spans="1:38">
      <c r="A125" s="199" t="str">
        <f>_xlfn.CONCAT("Seed ", Jul_2025_SotM[[#This Row],[Top Seed]], " vs ",Jul_2025_SotM[[#This Row],[Low Seed]])</f>
        <v>Seed 6 vs 11</v>
      </c>
      <c r="B125" s="201">
        <v>10</v>
      </c>
      <c r="C125" s="200">
        <f>FLOOR(LOG(Jul_2025_SotM[[#This Row],[Num]], 2), 1)</f>
        <v>3</v>
      </c>
      <c r="D125" s="200">
        <f>2^(Jul_2025_SotM[[#This Row],[Round]]+1)</f>
        <v>16</v>
      </c>
      <c r="E125" s="200">
        <f>Jul_2025_SotM[[#This Row],[Max Seed]]-Jul_2025_SotM[[#This Row],[Num]]</f>
        <v>6</v>
      </c>
      <c r="F125" s="200">
        <f>Jul_2025_SotM[[#This Row],[Max Seed]]-Jul_2025_SotM[[#This Row],[Top Seed]]+1</f>
        <v>11</v>
      </c>
      <c r="G125" s="200" t="b">
        <f>IF(Jul_2025_SotM[[#This Row],[Round]]=$C$114, TRUE(), IF(Jul_2025_SotM[[#This Row],[Round]]=$B$114, Jul_2025_SotM[[#This Row],[Top Seed]]&lt;=2*Jul_2025_SotM[[#This Row],[Max Seed]]-$A$114, FALSE()))</f>
        <v>1</v>
      </c>
      <c r="H125" s="200" t="b">
        <f>IF(Jul_2025_SotM[[#This Row],[Round]]=$C$114, TRUE(), IF(Jul_2025_SotM[[#This Row],[Round]]=$B$114, Jul_2025_SotM[[#This Row],[Low Seed]]&lt;=2*Jul_2025_SotM[[#This Row],[Max Seed]]-$A$114, FALSE()))</f>
        <v>1</v>
      </c>
      <c r="I125" s="28" t="s">
        <v>4191</v>
      </c>
      <c r="J125" s="31"/>
      <c r="K125" s="33" t="s">
        <v>4191</v>
      </c>
      <c r="L125" s="35"/>
      <c r="M125" s="37" t="s">
        <v>4191</v>
      </c>
      <c r="N125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Morioucho Radio</v>
      </c>
      <c r="O125" s="200">
        <f>COUNTIF(Jul_2025_SotM[[#This Row],[J]:[H]],"x")</f>
        <v>3</v>
      </c>
      <c r="P125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Morioucho Radio</v>
      </c>
      <c r="Q125" s="206">
        <f>COUNTIF(Jul_2025_SotM[[#This Row],[H ]:[J ]],"x")</f>
        <v>2</v>
      </c>
      <c r="R125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Yo No Soy Celoso</v>
      </c>
      <c r="S125" s="37"/>
      <c r="T125" s="35" t="s">
        <v>4191</v>
      </c>
      <c r="U125" s="33"/>
      <c r="V125" s="31" t="s">
        <v>4191</v>
      </c>
      <c r="W125" s="28"/>
      <c r="X125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25" s="109">
        <f t="shared" si="32"/>
        <v>15</v>
      </c>
      <c r="AA125" s="59">
        <v>45855</v>
      </c>
      <c r="AB125" t="str">
        <v>samuelbattista</v>
      </c>
      <c r="AC125" s="3">
        <v>2.4</v>
      </c>
      <c r="AD125">
        <v>1.019803902718557</v>
      </c>
      <c r="AE125" t="str">
        <v>Ralphie</v>
      </c>
      <c r="AF125" t="str">
        <v>Post Animal</v>
      </c>
      <c r="AG125" s="100">
        <f t="shared" si="31"/>
        <v>9</v>
      </c>
      <c r="AI125" s="115">
        <f>Jul_2025_SotM[[#This Row],[Max Seed]]/2 + 1</f>
        <v>9</v>
      </c>
      <c r="AJ125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Yo No Soy Celoso</v>
      </c>
      <c r="AK125" s="3">
        <f ca="1">IFERROR(VLOOKUP(Jul_2025_Results[[#This Row],[Song Title]], $AE$115:$AG$133, 3, FALSE)-Jul_2025_Results[[#This Row],[Result]], "TBD")</f>
        <v>0</v>
      </c>
      <c r="AL125" s="3" t="str">
        <f t="shared" ca="1" si="33"/>
        <v>-</v>
      </c>
    </row>
    <row r="126" spans="1:38">
      <c r="A126" s="199" t="str">
        <f>_xlfn.CONCAT("Seed ", Jul_2025_SotM[[#This Row],[Top Seed]], " vs ",Jul_2025_SotM[[#This Row],[Low Seed]])</f>
        <v>Seed 5 vs 12</v>
      </c>
      <c r="B126" s="201">
        <v>11</v>
      </c>
      <c r="C126" s="200">
        <f>FLOOR(LOG(Jul_2025_SotM[[#This Row],[Num]], 2), 1)</f>
        <v>3</v>
      </c>
      <c r="D126" s="200">
        <f>2^(Jul_2025_SotM[[#This Row],[Round]]+1)</f>
        <v>16</v>
      </c>
      <c r="E126" s="200">
        <f>Jul_2025_SotM[[#This Row],[Max Seed]]-Jul_2025_SotM[[#This Row],[Num]]</f>
        <v>5</v>
      </c>
      <c r="F126" s="200">
        <f>Jul_2025_SotM[[#This Row],[Max Seed]]-Jul_2025_SotM[[#This Row],[Top Seed]]+1</f>
        <v>12</v>
      </c>
      <c r="G126" s="200" t="b">
        <f>IF(Jul_2025_SotM[[#This Row],[Round]]=$C$114, TRUE(), IF(Jul_2025_SotM[[#This Row],[Round]]=$B$114, Jul_2025_SotM[[#This Row],[Top Seed]]&lt;=2*Jul_2025_SotM[[#This Row],[Max Seed]]-$A$114, FALSE()))</f>
        <v>1</v>
      </c>
      <c r="H126" s="200" t="b">
        <f>IF(Jul_2025_SotM[[#This Row],[Round]]=$C$114, TRUE(), IF(Jul_2025_SotM[[#This Row],[Round]]=$B$114, Jul_2025_SotM[[#This Row],[Low Seed]]&lt;=2*Jul_2025_SotM[[#This Row],[Max Seed]]-$A$114, FALSE()))</f>
        <v>1</v>
      </c>
      <c r="I126" s="28"/>
      <c r="J126" s="31" t="s">
        <v>4191</v>
      </c>
      <c r="K126" s="33" t="s">
        <v>4191</v>
      </c>
      <c r="L126" s="35" t="s">
        <v>4191</v>
      </c>
      <c r="M126" s="37" t="s">
        <v>4191</v>
      </c>
      <c r="N126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Still into You</v>
      </c>
      <c r="O126" s="200">
        <f>COUNTIF(Jul_2025_SotM[[#This Row],[J]:[H]],"x")</f>
        <v>4</v>
      </c>
      <c r="P126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Still into You</v>
      </c>
      <c r="Q126" s="206">
        <f>COUNTIF(Jul_2025_SotM[[#This Row],[H ]:[J ]],"x")</f>
        <v>1</v>
      </c>
      <c r="R126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TOXIC</v>
      </c>
      <c r="S126" s="37"/>
      <c r="T126" s="35"/>
      <c r="U126" s="33"/>
      <c r="V126" s="31"/>
      <c r="W126" s="28" t="s">
        <v>4191</v>
      </c>
      <c r="X126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26" s="109">
        <f t="shared" si="32"/>
        <v>8</v>
      </c>
      <c r="AA126" s="59">
        <v>45859</v>
      </c>
      <c r="AB126" t="str">
        <v>danram</v>
      </c>
      <c r="AC126" s="3">
        <v>2.2000000000000002</v>
      </c>
      <c r="AD126">
        <v>0.74833147735478833</v>
      </c>
      <c r="AE126" t="str">
        <v>Helicopter</v>
      </c>
      <c r="AF126" t="str">
        <v>Bloc Party</v>
      </c>
      <c r="AG126" s="100">
        <f t="shared" si="31"/>
        <v>5</v>
      </c>
      <c r="AI126" s="115">
        <f>Jul_2025_SotM[[#This Row],[Max Seed]]/2 + 1</f>
        <v>9</v>
      </c>
      <c r="AJ126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TOXIC</v>
      </c>
      <c r="AK126" s="3">
        <f ca="1">IFERROR(VLOOKUP(Jul_2025_Results[[#This Row],[Song Title]], $AE$115:$AG$133, 3, FALSE)-Jul_2025_Results[[#This Row],[Result]], "TBD")</f>
        <v>0</v>
      </c>
      <c r="AL126" s="3" t="str">
        <f t="shared" ca="1" si="33"/>
        <v>-</v>
      </c>
    </row>
    <row r="127" spans="1:38">
      <c r="A127" s="199" t="str">
        <f>_xlfn.CONCAT("Seed ", Jul_2025_SotM[[#This Row],[Top Seed]], " vs ",Jul_2025_SotM[[#This Row],[Low Seed]])</f>
        <v>Seed 4 vs 13</v>
      </c>
      <c r="B127" s="201">
        <v>12</v>
      </c>
      <c r="C127" s="200">
        <f>FLOOR(LOG(Jul_2025_SotM[[#This Row],[Num]], 2), 1)</f>
        <v>3</v>
      </c>
      <c r="D127" s="200">
        <f>2^(Jul_2025_SotM[[#This Row],[Round]]+1)</f>
        <v>16</v>
      </c>
      <c r="E127" s="200">
        <f>Jul_2025_SotM[[#This Row],[Max Seed]]-Jul_2025_SotM[[#This Row],[Num]]</f>
        <v>4</v>
      </c>
      <c r="F127" s="200">
        <f>Jul_2025_SotM[[#This Row],[Max Seed]]-Jul_2025_SotM[[#This Row],[Top Seed]]+1</f>
        <v>13</v>
      </c>
      <c r="G127" s="200" t="b">
        <f>IF(Jul_2025_SotM[[#This Row],[Round]]=$C$114, TRUE(), IF(Jul_2025_SotM[[#This Row],[Round]]=$B$114, Jul_2025_SotM[[#This Row],[Top Seed]]&lt;=2*Jul_2025_SotM[[#This Row],[Max Seed]]-$A$114, FALSE()))</f>
        <v>1</v>
      </c>
      <c r="H127" s="200" t="b">
        <f>IF(Jul_2025_SotM[[#This Row],[Round]]=$C$114, TRUE(), IF(Jul_2025_SotM[[#This Row],[Round]]=$B$114, Jul_2025_SotM[[#This Row],[Low Seed]]&lt;=2*Jul_2025_SotM[[#This Row],[Max Seed]]-$A$114, FALSE()))</f>
        <v>1</v>
      </c>
      <c r="I127" s="28" t="s">
        <v>4191</v>
      </c>
      <c r="J127" s="31" t="s">
        <v>4191</v>
      </c>
      <c r="K127" s="33" t="s">
        <v>4191</v>
      </c>
      <c r="L127" s="35" t="s">
        <v>4191</v>
      </c>
      <c r="M127" s="37"/>
      <c r="N127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Abandon Me</v>
      </c>
      <c r="O127" s="200">
        <f>COUNTIF(Jul_2025_SotM[[#This Row],[J]:[H]],"x")</f>
        <v>4</v>
      </c>
      <c r="P127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Abandon Me</v>
      </c>
      <c r="Q127" s="206">
        <f>COUNTIF(Jul_2025_SotM[[#This Row],[H ]:[J ]],"x")</f>
        <v>1</v>
      </c>
      <c r="R127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Bodies</v>
      </c>
      <c r="S127" s="37" t="s">
        <v>4191</v>
      </c>
      <c r="T127" s="35"/>
      <c r="U127" s="33"/>
      <c r="V127" s="31"/>
      <c r="W127" s="28"/>
      <c r="X127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27" s="109">
        <f t="shared" si="32"/>
        <v>4</v>
      </c>
      <c r="AA127" s="59">
        <v>45860</v>
      </c>
      <c r="AB127" t="str">
        <v>samuelbattista</v>
      </c>
      <c r="AC127" s="3">
        <v>1.8</v>
      </c>
      <c r="AD127">
        <v>0.74833147735478833</v>
      </c>
      <c r="AE127" t="str">
        <v>Abandon Me</v>
      </c>
      <c r="AF127" t="str">
        <v>Kevin Abstract, Quadeca</v>
      </c>
      <c r="AG127" s="100">
        <f t="shared" si="31"/>
        <v>3</v>
      </c>
      <c r="AI127" s="115">
        <f>Jul_2025_SotM[[#This Row],[Max Seed]]/2 + 1</f>
        <v>9</v>
      </c>
      <c r="AJ127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Bodies</v>
      </c>
      <c r="AK127" s="3">
        <f ca="1">IFERROR(VLOOKUP(Jul_2025_Results[[#This Row],[Song Title]], $AE$115:$AG$133, 3, FALSE)-Jul_2025_Results[[#This Row],[Result]], "TBD")</f>
        <v>0</v>
      </c>
      <c r="AL127" s="3" t="str">
        <f t="shared" ca="1" si="33"/>
        <v>-</v>
      </c>
    </row>
    <row r="128" spans="1:38">
      <c r="A128" s="199" t="str">
        <f>_xlfn.CONCAT("Seed ", Jul_2025_SotM[[#This Row],[Top Seed]], " vs ",Jul_2025_SotM[[#This Row],[Low Seed]])</f>
        <v>Seed 3 vs 14</v>
      </c>
      <c r="B128" s="201">
        <v>13</v>
      </c>
      <c r="C128" s="200">
        <f>FLOOR(LOG(Jul_2025_SotM[[#This Row],[Num]], 2), 1)</f>
        <v>3</v>
      </c>
      <c r="D128" s="200">
        <f>2^(Jul_2025_SotM[[#This Row],[Round]]+1)</f>
        <v>16</v>
      </c>
      <c r="E128" s="200">
        <f>Jul_2025_SotM[[#This Row],[Max Seed]]-Jul_2025_SotM[[#This Row],[Num]]</f>
        <v>3</v>
      </c>
      <c r="F128" s="200">
        <f>Jul_2025_SotM[[#This Row],[Max Seed]]-Jul_2025_SotM[[#This Row],[Top Seed]]+1</f>
        <v>14</v>
      </c>
      <c r="G128" s="200" t="b">
        <f>IF(Jul_2025_SotM[[#This Row],[Round]]=$C$114, TRUE(), IF(Jul_2025_SotM[[#This Row],[Round]]=$B$114, Jul_2025_SotM[[#This Row],[Top Seed]]&lt;=2*Jul_2025_SotM[[#This Row],[Max Seed]]-$A$114, FALSE()))</f>
        <v>1</v>
      </c>
      <c r="H128" s="200" t="b">
        <f>IF(Jul_2025_SotM[[#This Row],[Round]]=$C$114, TRUE(), IF(Jul_2025_SotM[[#This Row],[Round]]=$B$114, Jul_2025_SotM[[#This Row],[Low Seed]]&lt;=2*Jul_2025_SotM[[#This Row],[Max Seed]]-$A$114, FALSE()))</f>
        <v>0</v>
      </c>
      <c r="I128" s="28" t="s">
        <v>4191</v>
      </c>
      <c r="J128" s="31" t="s">
        <v>4191</v>
      </c>
      <c r="K128" s="33" t="s">
        <v>4191</v>
      </c>
      <c r="L128" s="35"/>
      <c r="M128" s="37" t="s">
        <v>4191</v>
      </c>
      <c r="N128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Bottoms Up</v>
      </c>
      <c r="O128" s="200">
        <f>COUNTIF(Jul_2025_SotM[[#This Row],[J]:[H]],"x")</f>
        <v>4</v>
      </c>
      <c r="P128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Bottoms Up</v>
      </c>
      <c r="Q128" s="206">
        <f>COUNTIF(Jul_2025_SotM[[#This Row],[H ]:[J ]],"x")</f>
        <v>1</v>
      </c>
      <c r="R128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I Get Around</v>
      </c>
      <c r="S128" s="37"/>
      <c r="T128" s="35" t="s">
        <v>4191</v>
      </c>
      <c r="U128" s="33"/>
      <c r="V128" s="31"/>
      <c r="W128" s="28"/>
      <c r="X128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28" s="109">
        <f t="shared" si="32"/>
        <v>11</v>
      </c>
      <c r="AA128" s="59">
        <v>45861</v>
      </c>
      <c r="AB128" t="str">
        <v>danram</v>
      </c>
      <c r="AC128" s="3">
        <v>2.2000000000000002</v>
      </c>
      <c r="AD128">
        <v>0.9797958971132712</v>
      </c>
      <c r="AE128" t="str">
        <v>Yo No Soy Celoso</v>
      </c>
      <c r="AF128" t="str">
        <v>Bad Bunny</v>
      </c>
      <c r="AG128" s="100">
        <f t="shared" si="31"/>
        <v>9</v>
      </c>
      <c r="AI128" s="115">
        <f>Jul_2025_SotM[[#This Row],[Max Seed]]/2 + 1</f>
        <v>9</v>
      </c>
      <c r="AJ128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I Get Around</v>
      </c>
      <c r="AK128" s="3">
        <f ca="1">IFERROR(VLOOKUP(Jul_2025_Results[[#This Row],[Song Title]], $AE$115:$AG$133, 3, FALSE)-Jul_2025_Results[[#This Row],[Result]], "TBD")</f>
        <v>8</v>
      </c>
      <c r="AL128" s="3" t="str">
        <f t="shared" ca="1" si="33"/>
        <v>↑</v>
      </c>
    </row>
    <row r="129" spans="1:38">
      <c r="A129" s="199" t="str">
        <f>_xlfn.CONCAT("Seed ", Jul_2025_SotM[[#This Row],[Top Seed]], " vs ",Jul_2025_SotM[[#This Row],[Low Seed]])</f>
        <v>Seed 2 vs 15</v>
      </c>
      <c r="B129" s="201">
        <v>14</v>
      </c>
      <c r="C129" s="200">
        <f>FLOOR(LOG(Jul_2025_SotM[[#This Row],[Num]], 2), 1)</f>
        <v>3</v>
      </c>
      <c r="D129" s="200">
        <f>2^(Jul_2025_SotM[[#This Row],[Round]]+1)</f>
        <v>16</v>
      </c>
      <c r="E129" s="200">
        <f>Jul_2025_SotM[[#This Row],[Max Seed]]-Jul_2025_SotM[[#This Row],[Num]]</f>
        <v>2</v>
      </c>
      <c r="F129" s="200">
        <f>Jul_2025_SotM[[#This Row],[Max Seed]]-Jul_2025_SotM[[#This Row],[Top Seed]]+1</f>
        <v>15</v>
      </c>
      <c r="G129" s="200" t="b">
        <f>IF(Jul_2025_SotM[[#This Row],[Round]]=$C$114, TRUE(), IF(Jul_2025_SotM[[#This Row],[Round]]=$B$114, Jul_2025_SotM[[#This Row],[Top Seed]]&lt;=2*Jul_2025_SotM[[#This Row],[Max Seed]]-$A$114, FALSE()))</f>
        <v>1</v>
      </c>
      <c r="H129" s="200" t="b">
        <f>IF(Jul_2025_SotM[[#This Row],[Round]]=$C$114, TRUE(), IF(Jul_2025_SotM[[#This Row],[Round]]=$B$114, Jul_2025_SotM[[#This Row],[Low Seed]]&lt;=2*Jul_2025_SotM[[#This Row],[Max Seed]]-$A$114, FALSE()))</f>
        <v>0</v>
      </c>
      <c r="I129" s="28"/>
      <c r="J129" s="31" t="s">
        <v>4191</v>
      </c>
      <c r="K129" s="33" t="s">
        <v>4191</v>
      </c>
      <c r="L129" s="35"/>
      <c r="M129" s="37" t="s">
        <v>4191</v>
      </c>
      <c r="N129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Crazy Train</v>
      </c>
      <c r="O129" s="200">
        <f>COUNTIF(Jul_2025_SotM[[#This Row],[J]:[H]],"x")</f>
        <v>3</v>
      </c>
      <c r="P129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Crazy Train</v>
      </c>
      <c r="Q129" s="206">
        <f>COUNTIF(Jul_2025_SotM[[#This Row],[H ]:[J ]],"x")</f>
        <v>2</v>
      </c>
      <c r="R129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Ralphie</v>
      </c>
      <c r="S129" s="37"/>
      <c r="T129" s="35" t="s">
        <v>4191</v>
      </c>
      <c r="U129" s="33"/>
      <c r="V129" s="31"/>
      <c r="W129" s="28" t="s">
        <v>4191</v>
      </c>
      <c r="X129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29" s="109">
        <f t="shared" si="32"/>
        <v>16</v>
      </c>
      <c r="AA129" s="59">
        <v>45862</v>
      </c>
      <c r="AB129" t="str">
        <v>loganworsdell</v>
      </c>
      <c r="AC129" s="3">
        <v>2.6</v>
      </c>
      <c r="AD129">
        <v>1.019803902718557</v>
      </c>
      <c r="AE129" t="str">
        <v>Headstrong</v>
      </c>
      <c r="AF129" t="str">
        <v>Trapt</v>
      </c>
      <c r="AG129" s="100">
        <f t="shared" si="31"/>
        <v>9</v>
      </c>
      <c r="AI129" s="115">
        <f>Jul_2025_SotM[[#This Row],[Max Seed]]/2 + 1</f>
        <v>9</v>
      </c>
      <c r="AJ129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Ralphie</v>
      </c>
      <c r="AK129" s="3">
        <f ca="1">IFERROR(VLOOKUP(Jul_2025_Results[[#This Row],[Song Title]], $AE$115:$AG$133, 3, FALSE)-Jul_2025_Results[[#This Row],[Result]], "TBD")</f>
        <v>0</v>
      </c>
      <c r="AL129" s="3" t="str">
        <f t="shared" ca="1" si="33"/>
        <v>-</v>
      </c>
    </row>
    <row r="130" spans="1:38">
      <c r="A130" s="199" t="str">
        <f>_xlfn.CONCAT("Seed ", Jul_2025_SotM[[#This Row],[Top Seed]], " vs ",Jul_2025_SotM[[#This Row],[Low Seed]])</f>
        <v>Seed 1 vs 16</v>
      </c>
      <c r="B130" s="201">
        <v>15</v>
      </c>
      <c r="C130" s="200">
        <f>FLOOR(LOG(Jul_2025_SotM[[#This Row],[Num]], 2), 1)</f>
        <v>3</v>
      </c>
      <c r="D130" s="200">
        <f>2^(Jul_2025_SotM[[#This Row],[Round]]+1)</f>
        <v>16</v>
      </c>
      <c r="E130" s="200">
        <f>Jul_2025_SotM[[#This Row],[Max Seed]]-Jul_2025_SotM[[#This Row],[Num]]</f>
        <v>1</v>
      </c>
      <c r="F130" s="200">
        <f>Jul_2025_SotM[[#This Row],[Max Seed]]-Jul_2025_SotM[[#This Row],[Top Seed]]+1</f>
        <v>16</v>
      </c>
      <c r="G130" s="200" t="b">
        <f>IF(Jul_2025_SotM[[#This Row],[Round]]=$C$114, TRUE(), IF(Jul_2025_SotM[[#This Row],[Round]]=$B$114, Jul_2025_SotM[[#This Row],[Top Seed]]&lt;=2*Jul_2025_SotM[[#This Row],[Max Seed]]-$A$114, FALSE()))</f>
        <v>1</v>
      </c>
      <c r="H130" s="200" t="b">
        <f>IF(Jul_2025_SotM[[#This Row],[Round]]=$C$114, TRUE(), IF(Jul_2025_SotM[[#This Row],[Round]]=$B$114, Jul_2025_SotM[[#This Row],[Low Seed]]&lt;=2*Jul_2025_SotM[[#This Row],[Max Seed]]-$A$114, FALSE()))</f>
        <v>0</v>
      </c>
      <c r="I130" s="28" t="s">
        <v>4191</v>
      </c>
      <c r="J130" s="31" t="s">
        <v>4191</v>
      </c>
      <c r="K130" s="33" t="s">
        <v>4191</v>
      </c>
      <c r="L130" s="35" t="s">
        <v>4191</v>
      </c>
      <c r="M130" s="37" t="s">
        <v>4191</v>
      </c>
      <c r="N130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Buy U a Drank</v>
      </c>
      <c r="O130" s="200">
        <f>COUNTIF(Jul_2025_SotM[[#This Row],[J]:[H]],"x")</f>
        <v>5</v>
      </c>
      <c r="P130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Buy U a Drank</v>
      </c>
      <c r="Q130" s="206">
        <f>COUNTIF(Jul_2025_SotM[[#This Row],[H ]:[J ]],"x")</f>
        <v>0</v>
      </c>
      <c r="R130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Long Beach</v>
      </c>
      <c r="S130" s="37"/>
      <c r="T130" s="35"/>
      <c r="U130" s="33"/>
      <c r="V130" s="31"/>
      <c r="W130" s="28"/>
      <c r="X130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30" s="109">
        <f t="shared" si="32"/>
        <v>2</v>
      </c>
      <c r="AA130" s="59">
        <v>45866</v>
      </c>
      <c r="AB130" t="str">
        <v>currydestroyer27</v>
      </c>
      <c r="AC130" s="3">
        <v>1.6</v>
      </c>
      <c r="AD130">
        <v>0.8</v>
      </c>
      <c r="AE130" t="str">
        <v>Crazy Train</v>
      </c>
      <c r="AF130" t="str">
        <v>Ozzy Osbourne</v>
      </c>
      <c r="AG130" s="100">
        <f t="shared" si="31"/>
        <v>2</v>
      </c>
      <c r="AI130" s="115">
        <f>Jul_2025_SotM[[#This Row],[Max Seed]]/2 + 1</f>
        <v>9</v>
      </c>
      <c r="AJ130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Long Beach</v>
      </c>
      <c r="AK130" s="3">
        <f ca="1">IFERROR(VLOOKUP(Jul_2025_Results[[#This Row],[Song Title]], $AE$115:$AG$133, 3, FALSE)-Jul_2025_Results[[#This Row],[Result]], "TBD")</f>
        <v>8</v>
      </c>
      <c r="AL130" s="3" t="str">
        <f t="shared" ca="1" si="33"/>
        <v>↑</v>
      </c>
    </row>
    <row r="131" spans="1:38">
      <c r="A131" s="199" t="str">
        <f>_xlfn.CONCAT("Seed ", Jul_2025_SotM[[#This Row],[Top Seed]], " vs ",Jul_2025_SotM[[#This Row],[Low Seed]])</f>
        <v>Seed 16 vs 17</v>
      </c>
      <c r="B131" s="201">
        <v>16</v>
      </c>
      <c r="C131" s="200">
        <f>FLOOR(LOG(Jul_2025_SotM[[#This Row],[Num]], 2), 1)</f>
        <v>4</v>
      </c>
      <c r="D131" s="200">
        <f>2^(Jul_2025_SotM[[#This Row],[Round]]+1)</f>
        <v>32</v>
      </c>
      <c r="E131" s="200">
        <f>Jul_2025_SotM[[#This Row],[Max Seed]]-Jul_2025_SotM[[#This Row],[Num]]</f>
        <v>16</v>
      </c>
      <c r="F131" s="200">
        <f>Jul_2025_SotM[[#This Row],[Max Seed]]-Jul_2025_SotM[[#This Row],[Top Seed]]+1</f>
        <v>17</v>
      </c>
      <c r="G131" s="200" t="b">
        <f>IF(Jul_2025_SotM[[#This Row],[Round]]=$C$114, TRUE(), IF(Jul_2025_SotM[[#This Row],[Round]]=$B$114, Jul_2025_SotM[[#This Row],[Top Seed]]&lt;=2*Jul_2025_SotM[[#This Row],[Max Seed]]-$A$114, FALSE()))</f>
        <v>1</v>
      </c>
      <c r="H131" s="200" t="b">
        <f>IF(Jul_2025_SotM[[#This Row],[Round]]=$C$114, TRUE(), IF(Jul_2025_SotM[[#This Row],[Round]]=$B$114, Jul_2025_SotM[[#This Row],[Low Seed]]&lt;=2*Jul_2025_SotM[[#This Row],[Max Seed]]-$A$114, FALSE()))</f>
        <v>1</v>
      </c>
      <c r="I131" s="28"/>
      <c r="J131" s="31"/>
      <c r="K131" s="33" t="s">
        <v>4191</v>
      </c>
      <c r="L131" s="35" t="s">
        <v>4191</v>
      </c>
      <c r="M131" s="37"/>
      <c r="N131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Headstrong</v>
      </c>
      <c r="O131" s="200">
        <f>COUNTIF(Jul_2025_SotM[[#This Row],[J]:[H]],"x")</f>
        <v>2</v>
      </c>
      <c r="P131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Long Beach</v>
      </c>
      <c r="Q131" s="206">
        <f>COUNTIF(Jul_2025_SotM[[#This Row],[H ]:[J ]],"x")</f>
        <v>3</v>
      </c>
      <c r="R131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Long Beach</v>
      </c>
      <c r="S131" s="37" t="s">
        <v>4191</v>
      </c>
      <c r="T131" s="35"/>
      <c r="U131" s="33"/>
      <c r="V131" s="31" t="s">
        <v>4191</v>
      </c>
      <c r="W131" s="28" t="s">
        <v>4191</v>
      </c>
      <c r="X131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31" s="109">
        <f t="shared" si="32"/>
        <v>7</v>
      </c>
      <c r="AA131" s="59">
        <v>45867</v>
      </c>
      <c r="AB131" t="str">
        <v>alappatjoe</v>
      </c>
      <c r="AC131" s="3">
        <v>2</v>
      </c>
      <c r="AD131">
        <v>0.89442719099991586</v>
      </c>
      <c r="AE131" t="str">
        <v>Hollow Tips</v>
      </c>
      <c r="AF131" t="str">
        <v>Ramirez</v>
      </c>
      <c r="AG131" s="100">
        <f t="shared" si="31"/>
        <v>5</v>
      </c>
      <c r="AI131" s="115">
        <f>Jul_2025_SotM[[#This Row],[Max Seed]]/2 + 1</f>
        <v>17</v>
      </c>
      <c r="AJ131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Headstrong</v>
      </c>
      <c r="AK131" s="3">
        <f ca="1">IFERROR(VLOOKUP(Jul_2025_Results[[#This Row],[Song Title]], $AE$115:$AG$133, 3, FALSE)-Jul_2025_Results[[#This Row],[Result]], "TBD")</f>
        <v>-8</v>
      </c>
      <c r="AL131" s="3" t="str">
        <f t="shared" ca="1" si="33"/>
        <v>↓</v>
      </c>
    </row>
    <row r="132" spans="1:38">
      <c r="A132" s="199" t="str">
        <f>_xlfn.CONCAT("Seed ", Jul_2025_SotM[[#This Row],[Top Seed]], " vs ",Jul_2025_SotM[[#This Row],[Low Seed]])</f>
        <v>Seed 15 vs 18</v>
      </c>
      <c r="B132" s="201">
        <v>17</v>
      </c>
      <c r="C132" s="200">
        <f>FLOOR(LOG(Jul_2025_SotM[[#This Row],[Num]], 2), 1)</f>
        <v>4</v>
      </c>
      <c r="D132" s="200">
        <f>2^(Jul_2025_SotM[[#This Row],[Round]]+1)</f>
        <v>32</v>
      </c>
      <c r="E132" s="200">
        <f>Jul_2025_SotM[[#This Row],[Max Seed]]-Jul_2025_SotM[[#This Row],[Num]]</f>
        <v>15</v>
      </c>
      <c r="F132" s="200">
        <f>Jul_2025_SotM[[#This Row],[Max Seed]]-Jul_2025_SotM[[#This Row],[Top Seed]]+1</f>
        <v>18</v>
      </c>
      <c r="G132" s="200" t="b">
        <f>IF(Jul_2025_SotM[[#This Row],[Round]]=$C$114, TRUE(), IF(Jul_2025_SotM[[#This Row],[Round]]=$B$114, Jul_2025_SotM[[#This Row],[Top Seed]]&lt;=2*Jul_2025_SotM[[#This Row],[Max Seed]]-$A$114, FALSE()))</f>
        <v>1</v>
      </c>
      <c r="H132" s="200" t="b">
        <f>IF(Jul_2025_SotM[[#This Row],[Round]]=$C$114, TRUE(), IF(Jul_2025_SotM[[#This Row],[Round]]=$B$114, Jul_2025_SotM[[#This Row],[Low Seed]]&lt;=2*Jul_2025_SotM[[#This Row],[Max Seed]]-$A$114, FALSE()))</f>
        <v>1</v>
      </c>
      <c r="I132" s="28" t="s">
        <v>4191</v>
      </c>
      <c r="J132" s="31"/>
      <c r="K132" s="33" t="s">
        <v>4191</v>
      </c>
      <c r="L132" s="35" t="s">
        <v>4191</v>
      </c>
      <c r="M132" s="37"/>
      <c r="N132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Ralphie</v>
      </c>
      <c r="O132" s="200">
        <f>COUNTIF(Jul_2025_SotM[[#This Row],[J]:[H]],"x")</f>
        <v>3</v>
      </c>
      <c r="P132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Ralphie</v>
      </c>
      <c r="Q132" s="206">
        <f>COUNTIF(Jul_2025_SotM[[#This Row],[H ]:[J ]],"x")</f>
        <v>2</v>
      </c>
      <c r="R132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Note to Self</v>
      </c>
      <c r="S132" s="37" t="s">
        <v>4191</v>
      </c>
      <c r="T132" s="35"/>
      <c r="U132" s="33"/>
      <c r="V132" s="31" t="s">
        <v>4191</v>
      </c>
      <c r="W132" s="28"/>
      <c r="X132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32" s="109">
        <f>IF(AC132&gt;0, COUNTIF(AC$115:AC$133, "&lt;"&amp;AC132) + COUNTIFS(AC$115:AC$133, AC132, AD$115:AD$133, "&lt;"&amp;AD132) + COUNTIFS(AC$115:AC$133, AC132, AD$115:AD$133, AD132, AA$115:AA$133, "&lt;"&amp;AA132) + 1, "TBD")</f>
        <v>9</v>
      </c>
      <c r="AA132" s="59">
        <v>45868</v>
      </c>
      <c r="AB132" t="str">
        <v>alappatjoe</v>
      </c>
      <c r="AC132" s="3">
        <v>2.2000000000000002</v>
      </c>
      <c r="AD132">
        <v>0.74833147735478833</v>
      </c>
      <c r="AE132" t="str">
        <v>Ensalada</v>
      </c>
      <c r="AF132" t="str">
        <v>Freddie Gibbs, The Alchemist, Anderson .Paak</v>
      </c>
      <c r="AG132" s="100">
        <f t="shared" si="31"/>
        <v>9</v>
      </c>
      <c r="AI132" s="115">
        <f>Jul_2025_SotM[[#This Row],[Max Seed]]/2 + 1</f>
        <v>17</v>
      </c>
      <c r="AJ132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Note to Self</v>
      </c>
      <c r="AK132" s="3">
        <f ca="1">IFERROR(VLOOKUP(Jul_2025_Results[[#This Row],[Song Title]], $AE$115:$AG$133, 3, FALSE)-Jul_2025_Results[[#This Row],[Result]], "TBD")</f>
        <v>0</v>
      </c>
      <c r="AL132" s="3" t="str">
        <f t="shared" ca="1" si="33"/>
        <v>-</v>
      </c>
    </row>
    <row r="133" spans="1:38">
      <c r="A133" s="199" t="str">
        <f>_xlfn.CONCAT("Seed ", Jul_2025_SotM[[#This Row],[Top Seed]], " vs ",Jul_2025_SotM[[#This Row],[Low Seed]])</f>
        <v>Seed 14 vs 19</v>
      </c>
      <c r="B133" s="201">
        <v>18</v>
      </c>
      <c r="C133" s="200">
        <f>FLOOR(LOG(Jul_2025_SotM[[#This Row],[Num]], 2), 1)</f>
        <v>4</v>
      </c>
      <c r="D133" s="200">
        <f>2^(Jul_2025_SotM[[#This Row],[Round]]+1)</f>
        <v>32</v>
      </c>
      <c r="E133" s="200">
        <f>Jul_2025_SotM[[#This Row],[Max Seed]]-Jul_2025_SotM[[#This Row],[Num]]</f>
        <v>14</v>
      </c>
      <c r="F133" s="200">
        <f>Jul_2025_SotM[[#This Row],[Max Seed]]-Jul_2025_SotM[[#This Row],[Top Seed]]+1</f>
        <v>19</v>
      </c>
      <c r="G133" s="200" t="b">
        <f>IF(Jul_2025_SotM[[#This Row],[Round]]=$C$114, TRUE(), IF(Jul_2025_SotM[[#This Row],[Round]]=$B$114, Jul_2025_SotM[[#This Row],[Top Seed]]&lt;=2*Jul_2025_SotM[[#This Row],[Max Seed]]-$A$114, FALSE()))</f>
        <v>1</v>
      </c>
      <c r="H133" s="200" t="b">
        <f>IF(Jul_2025_SotM[[#This Row],[Round]]=$C$114, TRUE(), IF(Jul_2025_SotM[[#This Row],[Round]]=$B$114, Jul_2025_SotM[[#This Row],[Low Seed]]&lt;=2*Jul_2025_SotM[[#This Row],[Max Seed]]-$A$114, FALSE()))</f>
        <v>1</v>
      </c>
      <c r="I133" s="28"/>
      <c r="J133" s="31"/>
      <c r="K133" s="33" t="s">
        <v>4191</v>
      </c>
      <c r="L133" s="35"/>
      <c r="M133" s="37" t="s">
        <v>4191</v>
      </c>
      <c r="N133" s="203" t="str">
        <f ca="1">IF(Jul_2025_SotM[[#This Row],[Num]]&gt;=$A$114, "-", IF(Jul_2025_SotM[[#This Row],[Initial 1]], VLOOKUP(Jul_2025_SotM[[#This Row],[Top Seed]], $Z$115:$AE$133, 6, FALSE), OFFSET(Jul_2025_SotM[[#This Row],[Winner]], Jul_2025_SotM[[#This Row],[Max Seed]], 0)))</f>
        <v>Missed Calls</v>
      </c>
      <c r="O133" s="200">
        <f>COUNTIF(Jul_2025_SotM[[#This Row],[J]:[H]],"x")</f>
        <v>2</v>
      </c>
      <c r="P133" s="201" t="str">
        <f ca="1">IF(Jul_2025_SotM[[#This Row],[Num]]&gt;=$A$114, "-", IF(Jul_2025_SotM[[#This Row],[Score 1]]&gt;=3, Jul_2025_SotM[[#This Row],[Song 1]], IF(Jul_2025_SotM[[#This Row],[Score 2]]&gt;=3, Jul_2025_SotM[[#This Row],[Song 2]], "TBD")))</f>
        <v>I Get Around</v>
      </c>
      <c r="Q133" s="206">
        <f>COUNTIF(Jul_2025_SotM[[#This Row],[H ]:[J ]],"x")</f>
        <v>3</v>
      </c>
      <c r="R133" s="200" t="str">
        <f ca="1">IF(Jul_2025_SotM[[#This Row],[Num]]&gt;=$A$114, "-", IF(Jul_2025_SotM[[#This Row],[Initial 2]], VLOOKUP(Jul_2025_SotM[[#This Row],[Low Seed]], $Z$115:$AE$133, 6, FALSE), OFFSET(Jul_2025_SotM[[#This Row],[Winner]], 2*(Jul_2025_SotM[[#This Row],[Max Seed]]-Jul_2025_SotM[[#This Row],[Low Seed]])+1, 0)))</f>
        <v>I Get Around</v>
      </c>
      <c r="S133" s="37"/>
      <c r="T133" s="35" t="s">
        <v>4191</v>
      </c>
      <c r="U133" s="33"/>
      <c r="V133" s="31" t="s">
        <v>4191</v>
      </c>
      <c r="W133" s="28" t="s">
        <v>4191</v>
      </c>
      <c r="X133" s="106" t="str">
        <f ca="1">IF(OR(Jul_2025_SotM[[#This Row],[Song 1]]="TBD", Jul_2025_SotM[[#This Row],[Song 2]]="TBD"), "TBD", _xlfn.CONCAT(IF(_xlfn.XOR(ISBLANK(Jul_2025_SotM[[#This Row],[J]]), ISBLANK(Jul_2025_SotM[[#This Row],[J ]])), "", "J "), IF(_xlfn.XOR(ISBLANK(Jul_2025_SotM[[#This Row],[D]]), ISBLANK(Jul_2025_SotM[[#This Row],[D ]])), "", "D "), IF(_xlfn.XOR(ISBLANK(Jul_2025_SotM[[#This Row],[L]]), ISBLANK(Jul_2025_SotM[[#This Row],[L ]])), "", "L "), IF(_xlfn.XOR(ISBLANK(Jul_2025_SotM[[#This Row],[S]]), ISBLANK(Jul_2025_SotM[[#This Row],[S ]])), "", "S "), IF(_xlfn.XOR(ISBLANK(Jul_2025_SotM[[#This Row],[H]]), ISBLANK(Jul_2025_SotM[[#This Row],[H ]])), "", "H ")))</f>
        <v/>
      </c>
      <c r="Z133" s="110">
        <f t="shared" si="32"/>
        <v>18</v>
      </c>
      <c r="AA133" s="211">
        <v>45869</v>
      </c>
      <c r="AB133" s="157" t="str">
        <v>samuelbattista</v>
      </c>
      <c r="AC133" s="101">
        <v>2.6</v>
      </c>
      <c r="AD133" s="157">
        <v>1.6248076809271921</v>
      </c>
      <c r="AE133" s="157" t="str">
        <v>Note to Self</v>
      </c>
      <c r="AF133" s="157" t="str">
        <v>From First To Last</v>
      </c>
      <c r="AG133" s="102">
        <f t="shared" si="31"/>
        <v>17</v>
      </c>
      <c r="AI133" s="115">
        <f>Jul_2025_SotM[[#This Row],[Max Seed]]/2 + 1</f>
        <v>17</v>
      </c>
      <c r="AJ133" s="105" t="str">
        <f ca="1">IF(Jul_2025_SotM[[#This Row],[Num]]&gt;=$A$114, "-", IF(Jul_2025_SotM[[#This Row],[Score 1]]&gt;=3, Jul_2025_SotM[[#This Row],[Song 2]], IF(Jul_2025_SotM[[#This Row],[Score 2]]&gt;=3, Jul_2025_SotM[[#This Row],[Song 1]], "TBD")))</f>
        <v>Missed Calls</v>
      </c>
      <c r="AK133" s="3">
        <f ca="1">IFERROR(VLOOKUP(Jul_2025_Results[[#This Row],[Song Title]], $AE$115:$AG$133, 3, FALSE)-Jul_2025_Results[[#This Row],[Result]], "TBD")</f>
        <v>-8</v>
      </c>
      <c r="AL133" s="3" t="str">
        <f t="shared" ca="1" si="33"/>
        <v>↓</v>
      </c>
    </row>
    <row r="135" spans="1:38">
      <c r="A135" s="302">
        <f>MAX(Z136:Z151)</f>
        <v>16</v>
      </c>
      <c r="B135" s="302">
        <f>FLOOR(LOG(A135, 2), 1)-1</f>
        <v>3</v>
      </c>
      <c r="C135" s="302">
        <f t="shared" ref="C135" si="34">_xlfn.CEILING.MATH(LOG(A135, 2), 1)-1</f>
        <v>3</v>
      </c>
      <c r="D135" s="302"/>
      <c r="E135" s="302"/>
      <c r="F135" s="302"/>
      <c r="G135" s="302"/>
      <c r="H135" s="302"/>
      <c r="I135" s="348" t="s">
        <v>2922</v>
      </c>
      <c r="J135" s="348"/>
      <c r="K135" s="348"/>
      <c r="L135" s="348"/>
      <c r="M135" s="348"/>
      <c r="N135" s="348"/>
      <c r="O135" s="348"/>
      <c r="P135" s="348"/>
      <c r="Q135" s="348"/>
      <c r="R135" s="348"/>
      <c r="S135" s="348"/>
      <c r="T135" s="348"/>
      <c r="U135" s="348"/>
      <c r="V135" s="348"/>
      <c r="W135" s="348"/>
      <c r="X135" s="302"/>
      <c r="Z135" s="221" t="s">
        <v>4163</v>
      </c>
      <c r="AA135" s="222" t="s">
        <v>29</v>
      </c>
      <c r="AB135" s="220" t="s">
        <v>32</v>
      </c>
      <c r="AC135" s="221" t="s">
        <v>33</v>
      </c>
      <c r="AD135" s="220" t="s">
        <v>34</v>
      </c>
      <c r="AE135" s="220" t="s">
        <v>4161</v>
      </c>
      <c r="AF135" s="220" t="s">
        <v>36</v>
      </c>
      <c r="AG135" s="221" t="s">
        <v>4164</v>
      </c>
      <c r="AI135" s="247" t="s">
        <v>4165</v>
      </c>
      <c r="AJ135" s="248" t="s">
        <v>35</v>
      </c>
      <c r="AK135" s="249" t="s">
        <v>4166</v>
      </c>
      <c r="AL135" s="249" t="s">
        <v>4167</v>
      </c>
    </row>
    <row r="136" spans="1:38">
      <c r="A136" s="218" t="s">
        <v>4168</v>
      </c>
      <c r="B136" s="213" t="s">
        <v>4169</v>
      </c>
      <c r="C136" s="219" t="s">
        <v>4170</v>
      </c>
      <c r="D136" s="219" t="s">
        <v>4171</v>
      </c>
      <c r="E136" s="219" t="s">
        <v>4172</v>
      </c>
      <c r="F136" s="219" t="s">
        <v>4173</v>
      </c>
      <c r="G136" s="219" t="s">
        <v>4174</v>
      </c>
      <c r="H136" s="219" t="s">
        <v>4175</v>
      </c>
      <c r="I136" s="219" t="s">
        <v>4176</v>
      </c>
      <c r="J136" s="219" t="s">
        <v>4177</v>
      </c>
      <c r="K136" s="219" t="s">
        <v>4178</v>
      </c>
      <c r="L136" s="219" t="s">
        <v>4179</v>
      </c>
      <c r="M136" s="219" t="s">
        <v>4180</v>
      </c>
      <c r="N136" s="226" t="s">
        <v>4181</v>
      </c>
      <c r="O136" s="219" t="s">
        <v>4182</v>
      </c>
      <c r="P136" s="213" t="s">
        <v>47</v>
      </c>
      <c r="Q136" s="231" t="s">
        <v>4183</v>
      </c>
      <c r="R136" s="219" t="s">
        <v>4184</v>
      </c>
      <c r="S136" s="219" t="s">
        <v>4185</v>
      </c>
      <c r="T136" s="219" t="s">
        <v>4186</v>
      </c>
      <c r="U136" s="219" t="s">
        <v>4187</v>
      </c>
      <c r="V136" s="219" t="s">
        <v>4188</v>
      </c>
      <c r="W136" s="219" t="s">
        <v>4189</v>
      </c>
      <c r="X136" s="110" t="s">
        <v>4190</v>
      </c>
      <c r="Z136" s="109">
        <f>IF(AC136&gt;0, COUNTIF(AC$136:AC$151, "&lt;"&amp;AC136) + COUNTIFS(AC$136:AC$151, AC136, AD$136:AD$151, "&lt;"&amp;AD136) + COUNTIFS(AC$136:AC$151, AC136, AD$136:AD$151, AD136, AA$136:AA$151, "&lt;"&amp;AA136) + 1, "TBD")</f>
        <v>1</v>
      </c>
      <c r="AA136" s="59" cm="1">
        <f t="array" ref="AA136:AF151">_xlfn._xlws.FILTER(Data[Date]:Data[Artist], (Data[Date]&gt;=DATE(2025,8,1))*(Data[Date]&lt;=DATE(2025,8,31))*(Data[Winner]=TRUE()), "TBD")</f>
        <v>45873</v>
      </c>
      <c r="AB136" t="str">
        <v>alappatjoe</v>
      </c>
      <c r="AC136" s="3">
        <v>1</v>
      </c>
      <c r="AD136">
        <v>0</v>
      </c>
      <c r="AE136" t="str">
        <v>Billie Jean</v>
      </c>
      <c r="AF136" t="str">
        <v>Michael Jackson</v>
      </c>
      <c r="AG136" s="100">
        <f t="shared" ref="AG136:AG151" si="35">IF(Z136&gt;1, 2^FLOOR(LOG(Z136-1, 2), 1)+1, 1)</f>
        <v>1</v>
      </c>
      <c r="AI136" s="115">
        <v>1</v>
      </c>
      <c r="AJ136" s="105" t="str">
        <f ca="1">P137</f>
        <v>Simple And Clean</v>
      </c>
      <c r="AK136" s="246">
        <f ca="1">IFERROR(VLOOKUP(Aug_2025_Results[[#This Row],[Song Title]], $AE$136:$AG$151, 3, FALSE)-Aug_2025_Results[[#This Row],[Result]], "TBD")</f>
        <v>8</v>
      </c>
      <c r="AL136" s="246" t="str">
        <f ca="1">IF(AK136&lt;0,"↓",IF(AK136=0,"-","↑"))</f>
        <v>↑</v>
      </c>
    </row>
    <row r="137" spans="1:38">
      <c r="A137" s="199" t="str">
        <f>_xlfn.CONCAT("Seed ", Aug_2025_SotM[[#This Row],[Top Seed]], " vs ",Aug_2025_SotM[[#This Row],[Low Seed]])</f>
        <v>Seed 1 vs 2</v>
      </c>
      <c r="B137" s="201">
        <v>1</v>
      </c>
      <c r="C137" s="200">
        <f>FLOOR(LOG(Aug_2025_SotM[[#This Row],[Num]], 2), 1)</f>
        <v>0</v>
      </c>
      <c r="D137" s="200">
        <f>2^(Aug_2025_SotM[[#This Row],[Round]]+1)</f>
        <v>2</v>
      </c>
      <c r="E137" s="200">
        <f>Aug_2025_SotM[[#This Row],[Max Seed]]-Aug_2025_SotM[[#This Row],[Num]]</f>
        <v>1</v>
      </c>
      <c r="F137" s="200">
        <f>Aug_2025_SotM[[#This Row],[Max Seed]]-Aug_2025_SotM[[#This Row],[Top Seed]]+1</f>
        <v>2</v>
      </c>
      <c r="G137" s="200" t="b">
        <f>IF(Aug_2025_SotM[[#This Row],[Round]]=$C$135, TRUE(), IF(Aug_2025_SotM[[#This Row],[Round]]=$B$135, Aug_2025_SotM[[#This Row],[Top Seed]]&lt;=2*Aug_2025_SotM[[#This Row],[Max Seed]]-$A$135, FALSE()))</f>
        <v>0</v>
      </c>
      <c r="H137" s="200" t="b">
        <f>IF(Aug_2025_SotM[[#This Row],[Round]]=$C$135, TRUE(), IF(Aug_2025_SotM[[#This Row],[Round]]=$B$135, Aug_2025_SotM[[#This Row],[Low Seed]]&lt;=2*Aug_2025_SotM[[#This Row],[Max Seed]]-$A$135, FALSE()))</f>
        <v>0</v>
      </c>
      <c r="I137" s="28" t="s">
        <v>4191</v>
      </c>
      <c r="J137" s="31"/>
      <c r="K137" s="33"/>
      <c r="L137" s="35"/>
      <c r="M137" s="37"/>
      <c r="N137" s="203" t="str">
        <f ca="1">IF(Aug_2025_SotM[[#This Row],[Num]]&gt;=$A$135, "-", IF(Aug_2025_SotM[[#This Row],[Initial 1]], VLOOKUP(Aug_2025_SotM[[#This Row],[Top Seed]], $Z$136:$AE$151, 6, FALSE), OFFSET(Aug_2025_SotM[[#This Row],[Winner]], Aug_2025_SotM[[#This Row],[Max Seed]], 0)))</f>
        <v>Billie Jean</v>
      </c>
      <c r="O137" s="200">
        <f>COUNTIF(Aug_2025_SotM[[#This Row],[J]:[H]],"x")</f>
        <v>1</v>
      </c>
      <c r="P137" s="201" t="str">
        <f ca="1">IF(Aug_2025_SotM[[#This Row],[Num]]&gt;=$A$135, "-", IF(Aug_2025_SotM[[#This Row],[Score 1]]&gt;=3, Aug_2025_SotM[[#This Row],[Song 1]], IF(Aug_2025_SotM[[#This Row],[Score 2]]&gt;=3, Aug_2025_SotM[[#This Row],[Song 2]], "TBD")))</f>
        <v>Simple And Clean</v>
      </c>
      <c r="Q137" s="206">
        <f>COUNTIF(Aug_2025_SotM[[#This Row],[H ]:[J ]],"x")</f>
        <v>4</v>
      </c>
      <c r="R137" s="200" t="str">
        <f ca="1">IF(Aug_2025_SotM[[#This Row],[Num]]&gt;=$A$135, "-", IF(Aug_2025_SotM[[#This Row],[Initial 2]], VLOOKUP(Aug_2025_SotM[[#This Row],[Low Seed]], $Z$136:$AE$151, 6, FALSE), OFFSET(Aug_2025_SotM[[#This Row],[Winner]], 2*(Aug_2025_SotM[[#This Row],[Max Seed]]-Aug_2025_SotM[[#This Row],[Low Seed]])+1, 0)))</f>
        <v>Simple And Clean</v>
      </c>
      <c r="S137" s="37" t="s">
        <v>4191</v>
      </c>
      <c r="T137" s="35" t="s">
        <v>4191</v>
      </c>
      <c r="U137" s="33" t="s">
        <v>4191</v>
      </c>
      <c r="V137" s="31" t="s">
        <v>4191</v>
      </c>
      <c r="W137" s="28"/>
      <c r="X137" s="106" t="str">
        <f ca="1">IF(OR(Aug_2025_SotM[[#This Row],[Song 1]]="TBD", Aug_2025_SotM[[#This Row],[Song 2]]="TBD"), "TBD", _xlfn.CONCAT(IF(_xlfn.XOR(ISBLANK(Aug_2025_SotM[[#This Row],[J]]), ISBLANK(Aug_2025_SotM[[#This Row],[J ]])), "", "J "), IF(_xlfn.XOR(ISBLANK(Aug_2025_SotM[[#This Row],[D]]), ISBLANK(Aug_2025_SotM[[#This Row],[D ]])), "", "D "), IF(_xlfn.XOR(ISBLANK(Aug_2025_SotM[[#This Row],[L]]), ISBLANK(Aug_2025_SotM[[#This Row],[L ]])), "", "L "), IF(_xlfn.XOR(ISBLANK(Aug_2025_SotM[[#This Row],[S]]), ISBLANK(Aug_2025_SotM[[#This Row],[S ]])), "", "S "), IF(_xlfn.XOR(ISBLANK(Aug_2025_SotM[[#This Row],[H]]), ISBLANK(Aug_2025_SotM[[#This Row],[H ]])), "", "H ")))</f>
        <v/>
      </c>
      <c r="Z137" s="109">
        <f t="shared" ref="Z137:Z151" si="36">IF(AC137&gt;0, COUNTIF(AC$136:AC$151, "&lt;"&amp;AC137) + COUNTIFS(AC$136:AC$151, AC137, AD$136:AD$151, "&lt;"&amp;AD137) + COUNTIFS(AC$136:AC$151, AC137, AD$136:AD$151, AD137, AA$136:AA$151, "&lt;"&amp;AA137) + 1, "TBD")</f>
        <v>6</v>
      </c>
      <c r="AA137" s="59">
        <v>45874</v>
      </c>
      <c r="AB137" t="str">
        <v>samuelbattista</v>
      </c>
      <c r="AC137" s="3">
        <v>2</v>
      </c>
      <c r="AD137">
        <v>1.0954451150103321</v>
      </c>
      <c r="AE137" t="str">
        <v>Flagpole Sitta</v>
      </c>
      <c r="AF137" t="str">
        <v>Harvey Danger</v>
      </c>
      <c r="AG137" s="100">
        <f t="shared" si="35"/>
        <v>5</v>
      </c>
      <c r="AI137" s="115">
        <f>Aug_2025_SotM[[#This Row],[Max Seed]]/2 + 1</f>
        <v>2</v>
      </c>
      <c r="AJ137" s="105" t="str">
        <f ca="1">IF(Aug_2025_SotM[[#This Row],[Num]]&gt;=$A$135, "-", IF(Aug_2025_SotM[[#This Row],[Score 1]]&gt;=3, Aug_2025_SotM[[#This Row],[Song 2]], IF(Aug_2025_SotM[[#This Row],[Score 2]]&gt;=3, Aug_2025_SotM[[#This Row],[Song 1]], "TBD")))</f>
        <v>Billie Jean</v>
      </c>
      <c r="AK137" s="246">
        <f ca="1">IFERROR(VLOOKUP(Aug_2025_Results[[#This Row],[Song Title]], $AE$136:$AG$151, 3, FALSE)-Aug_2025_Results[[#This Row],[Result]], "TBD")</f>
        <v>-1</v>
      </c>
      <c r="AL137" s="246" t="str">
        <f ca="1">IF(AK137&lt;0,"↓",IF(AK137=0,"-","↑"))</f>
        <v>↓</v>
      </c>
    </row>
    <row r="138" spans="1:38">
      <c r="A138" s="199" t="str">
        <f>_xlfn.CONCAT("Seed ", Aug_2025_SotM[[#This Row],[Top Seed]], " vs ",Aug_2025_SotM[[#This Row],[Low Seed]])</f>
        <v>Seed 2 vs 3</v>
      </c>
      <c r="B138" s="201">
        <v>2</v>
      </c>
      <c r="C138" s="200">
        <f>FLOOR(LOG(Aug_2025_SotM[[#This Row],[Num]], 2), 1)</f>
        <v>1</v>
      </c>
      <c r="D138" s="200">
        <f>2^(Aug_2025_SotM[[#This Row],[Round]]+1)</f>
        <v>4</v>
      </c>
      <c r="E138" s="200">
        <f>Aug_2025_SotM[[#This Row],[Max Seed]]-Aug_2025_SotM[[#This Row],[Num]]</f>
        <v>2</v>
      </c>
      <c r="F138" s="200">
        <f>Aug_2025_SotM[[#This Row],[Max Seed]]-Aug_2025_SotM[[#This Row],[Top Seed]]+1</f>
        <v>3</v>
      </c>
      <c r="G138" s="200" t="b">
        <f>IF(Aug_2025_SotM[[#This Row],[Round]]=$C$135, TRUE(), IF(Aug_2025_SotM[[#This Row],[Round]]=$B$135, Aug_2025_SotM[[#This Row],[Top Seed]]&lt;=2*Aug_2025_SotM[[#This Row],[Max Seed]]-$A$135, FALSE()))</f>
        <v>0</v>
      </c>
      <c r="H138" s="200" t="b">
        <f>IF(Aug_2025_SotM[[#This Row],[Round]]=$C$135, TRUE(), IF(Aug_2025_SotM[[#This Row],[Round]]=$B$135, Aug_2025_SotM[[#This Row],[Low Seed]]&lt;=2*Aug_2025_SotM[[#This Row],[Max Seed]]-$A$135, FALSE()))</f>
        <v>0</v>
      </c>
      <c r="I138" s="28"/>
      <c r="J138" s="31"/>
      <c r="K138" s="33" t="s">
        <v>4191</v>
      </c>
      <c r="L138" s="35" t="s">
        <v>4191</v>
      </c>
      <c r="M138" s="37"/>
      <c r="N138" s="203" t="str">
        <f ca="1">IF(Aug_2025_SotM[[#This Row],[Num]]&gt;=$A$135, "-", IF(Aug_2025_SotM[[#This Row],[Initial 1]], VLOOKUP(Aug_2025_SotM[[#This Row],[Top Seed]], $Z$136:$AE$151, 6, FALSE), OFFSET(Aug_2025_SotM[[#This Row],[Winner]], Aug_2025_SotM[[#This Row],[Max Seed]], 0)))</f>
        <v>SEE U DANCE</v>
      </c>
      <c r="O138" s="200">
        <f>COUNTIF(Aug_2025_SotM[[#This Row],[J]:[H]],"x")</f>
        <v>2</v>
      </c>
      <c r="P138" s="201" t="str">
        <f ca="1">IF(Aug_2025_SotM[[#This Row],[Num]]&gt;=$A$135, "-", IF(Aug_2025_SotM[[#This Row],[Score 1]]&gt;=3, Aug_2025_SotM[[#This Row],[Song 1]], IF(Aug_2025_SotM[[#This Row],[Score 2]]&gt;=3, Aug_2025_SotM[[#This Row],[Song 2]], "TBD")))</f>
        <v>Simple And Clean</v>
      </c>
      <c r="Q138" s="206">
        <f>COUNTIF(Aug_2025_SotM[[#This Row],[H ]:[J ]],"x")</f>
        <v>3</v>
      </c>
      <c r="R138" s="200" t="str">
        <f ca="1">IF(Aug_2025_SotM[[#This Row],[Num]]&gt;=$A$135, "-", IF(Aug_2025_SotM[[#This Row],[Initial 2]], VLOOKUP(Aug_2025_SotM[[#This Row],[Low Seed]], $Z$136:$AE$151, 6, FALSE), OFFSET(Aug_2025_SotM[[#This Row],[Winner]], 2*(Aug_2025_SotM[[#This Row],[Max Seed]]-Aug_2025_SotM[[#This Row],[Low Seed]])+1, 0)))</f>
        <v>Simple And Clean</v>
      </c>
      <c r="S138" s="37" t="s">
        <v>4191</v>
      </c>
      <c r="T138" s="35"/>
      <c r="U138" s="33"/>
      <c r="V138" s="31" t="s">
        <v>4191</v>
      </c>
      <c r="W138" s="28" t="s">
        <v>4191</v>
      </c>
      <c r="X138" s="106" t="str">
        <f ca="1">IF(OR(Aug_2025_SotM[[#This Row],[Song 1]]="TBD", Aug_2025_SotM[[#This Row],[Song 2]]="TBD"), "TBD", _xlfn.CONCAT(IF(_xlfn.XOR(ISBLANK(Aug_2025_SotM[[#This Row],[J]]), ISBLANK(Aug_2025_SotM[[#This Row],[J ]])), "", "J "), IF(_xlfn.XOR(ISBLANK(Aug_2025_SotM[[#This Row],[D]]), ISBLANK(Aug_2025_SotM[[#This Row],[D ]])), "", "D "), IF(_xlfn.XOR(ISBLANK(Aug_2025_SotM[[#This Row],[L]]), ISBLANK(Aug_2025_SotM[[#This Row],[L ]])), "", "L "), IF(_xlfn.XOR(ISBLANK(Aug_2025_SotM[[#This Row],[S]]), ISBLANK(Aug_2025_SotM[[#This Row],[S ]])), "", "S "), IF(_xlfn.XOR(ISBLANK(Aug_2025_SotM[[#This Row],[H]]), ISBLANK(Aug_2025_SotM[[#This Row],[H ]])), "", "H ")))</f>
        <v/>
      </c>
      <c r="Z138" s="109">
        <f t="shared" si="36"/>
        <v>9</v>
      </c>
      <c r="AA138" s="59">
        <v>45875</v>
      </c>
      <c r="AB138" t="str">
        <v>alappatjoe</v>
      </c>
      <c r="AC138" s="3">
        <v>2.2000000000000002</v>
      </c>
      <c r="AD138">
        <v>0.9797958971132712</v>
      </c>
      <c r="AE138" t="str">
        <v>ALAMBRE PúA</v>
      </c>
      <c r="AF138" t="str">
        <v>Bad Bunny</v>
      </c>
      <c r="AG138" s="100">
        <f t="shared" si="35"/>
        <v>9</v>
      </c>
      <c r="AI138" s="115">
        <f>Aug_2025_SotM[[#This Row],[Max Seed]]/2 + 1</f>
        <v>3</v>
      </c>
      <c r="AJ138" s="105" t="str">
        <f ca="1">IF(Aug_2025_SotM[[#This Row],[Num]]&gt;=$A$135, "-", IF(Aug_2025_SotM[[#This Row],[Score 1]]&gt;=3, Aug_2025_SotM[[#This Row],[Song 2]], IF(Aug_2025_SotM[[#This Row],[Score 2]]&gt;=3, Aug_2025_SotM[[#This Row],[Song 1]], "TBD")))</f>
        <v>SEE U DANCE</v>
      </c>
      <c r="AK138" s="246">
        <f ca="1">IFERROR(VLOOKUP(Aug_2025_Results[[#This Row],[Song Title]], $AE$136:$AG$151, 3, FALSE)-Aug_2025_Results[[#This Row],[Result]], "TBD")</f>
        <v>6</v>
      </c>
      <c r="AL138" s="246" t="str">
        <f t="shared" ref="AL138:AL151" ca="1" si="37">IF(AK138&lt;0,"↓",IF(AK138=0,"-","↑"))</f>
        <v>↑</v>
      </c>
    </row>
    <row r="139" spans="1:38">
      <c r="A139" s="199" t="str">
        <f>_xlfn.CONCAT("Seed ", Aug_2025_SotM[[#This Row],[Top Seed]], " vs ",Aug_2025_SotM[[#This Row],[Low Seed]])</f>
        <v>Seed 1 vs 4</v>
      </c>
      <c r="B139" s="201">
        <v>3</v>
      </c>
      <c r="C139" s="200">
        <f>FLOOR(LOG(Aug_2025_SotM[[#This Row],[Num]], 2), 1)</f>
        <v>1</v>
      </c>
      <c r="D139" s="200">
        <f>2^(Aug_2025_SotM[[#This Row],[Round]]+1)</f>
        <v>4</v>
      </c>
      <c r="E139" s="200">
        <f>Aug_2025_SotM[[#This Row],[Max Seed]]-Aug_2025_SotM[[#This Row],[Num]]</f>
        <v>1</v>
      </c>
      <c r="F139" s="200">
        <f>Aug_2025_SotM[[#This Row],[Max Seed]]-Aug_2025_SotM[[#This Row],[Top Seed]]+1</f>
        <v>4</v>
      </c>
      <c r="G139" s="200" t="b">
        <f>IF(Aug_2025_SotM[[#This Row],[Round]]=$C$135, TRUE(), IF(Aug_2025_SotM[[#This Row],[Round]]=$B$135, Aug_2025_SotM[[#This Row],[Top Seed]]&lt;=2*Aug_2025_SotM[[#This Row],[Max Seed]]-$A$135, FALSE()))</f>
        <v>0</v>
      </c>
      <c r="H139" s="200" t="b">
        <f>IF(Aug_2025_SotM[[#This Row],[Round]]=$C$135, TRUE(), IF(Aug_2025_SotM[[#This Row],[Round]]=$B$135, Aug_2025_SotM[[#This Row],[Low Seed]]&lt;=2*Aug_2025_SotM[[#This Row],[Max Seed]]-$A$135, FALSE()))</f>
        <v>0</v>
      </c>
      <c r="I139" s="28" t="s">
        <v>4191</v>
      </c>
      <c r="J139" s="31" t="s">
        <v>4191</v>
      </c>
      <c r="K139" s="33" t="s">
        <v>4191</v>
      </c>
      <c r="L139" s="35"/>
      <c r="M139" s="37" t="s">
        <v>4191</v>
      </c>
      <c r="N139" s="203" t="str">
        <f ca="1">IF(Aug_2025_SotM[[#This Row],[Num]]&gt;=$A$135, "-", IF(Aug_2025_SotM[[#This Row],[Initial 1]], VLOOKUP(Aug_2025_SotM[[#This Row],[Top Seed]], $Z$136:$AE$151, 6, FALSE), OFFSET(Aug_2025_SotM[[#This Row],[Winner]], Aug_2025_SotM[[#This Row],[Max Seed]], 0)))</f>
        <v>Billie Jean</v>
      </c>
      <c r="O139" s="200">
        <f>COUNTIF(Aug_2025_SotM[[#This Row],[J]:[H]],"x")</f>
        <v>4</v>
      </c>
      <c r="P139" s="201" t="str">
        <f ca="1">IF(Aug_2025_SotM[[#This Row],[Num]]&gt;=$A$135, "-", IF(Aug_2025_SotM[[#This Row],[Score 1]]&gt;=3, Aug_2025_SotM[[#This Row],[Song 1]], IF(Aug_2025_SotM[[#This Row],[Score 2]]&gt;=3, Aug_2025_SotM[[#This Row],[Song 2]], "TBD")))</f>
        <v>Billie Jean</v>
      </c>
      <c r="Q139" s="206">
        <f>COUNTIF(Aug_2025_SotM[[#This Row],[H ]:[J ]],"x")</f>
        <v>1</v>
      </c>
      <c r="R139" s="200" t="str">
        <f ca="1">IF(Aug_2025_SotM[[#This Row],[Num]]&gt;=$A$135, "-", IF(Aug_2025_SotM[[#This Row],[Initial 2]], VLOOKUP(Aug_2025_SotM[[#This Row],[Low Seed]], $Z$136:$AE$151, 6, FALSE), OFFSET(Aug_2025_SotM[[#This Row],[Winner]], 2*(Aug_2025_SotM[[#This Row],[Max Seed]]-Aug_2025_SotM[[#This Row],[Low Seed]])+1, 0)))</f>
        <v>Suzanne</v>
      </c>
      <c r="S139" s="37"/>
      <c r="T139" s="35" t="s">
        <v>4191</v>
      </c>
      <c r="U139" s="33"/>
      <c r="V139" s="31"/>
      <c r="W139" s="28"/>
      <c r="X139" s="106" t="str">
        <f ca="1">IF(OR(Aug_2025_SotM[[#This Row],[Song 1]]="TBD", Aug_2025_SotM[[#This Row],[Song 2]]="TBD"), "TBD", _xlfn.CONCAT(IF(_xlfn.XOR(ISBLANK(Aug_2025_SotM[[#This Row],[J]]), ISBLANK(Aug_2025_SotM[[#This Row],[J ]])), "", "J "), IF(_xlfn.XOR(ISBLANK(Aug_2025_SotM[[#This Row],[D]]), ISBLANK(Aug_2025_SotM[[#This Row],[D ]])), "", "D "), IF(_xlfn.XOR(ISBLANK(Aug_2025_SotM[[#This Row],[L]]), ISBLANK(Aug_2025_SotM[[#This Row],[L ]])), "", "L "), IF(_xlfn.XOR(ISBLANK(Aug_2025_SotM[[#This Row],[S]]), ISBLANK(Aug_2025_SotM[[#This Row],[S ]])), "", "S "), IF(_xlfn.XOR(ISBLANK(Aug_2025_SotM[[#This Row],[H]]), ISBLANK(Aug_2025_SotM[[#This Row],[H ]])), "", "H ")))</f>
        <v/>
      </c>
      <c r="Z139" s="109">
        <f t="shared" si="36"/>
        <v>2</v>
      </c>
      <c r="AA139" s="59">
        <v>45876</v>
      </c>
      <c r="AB139" t="str">
        <v>loganworsdell</v>
      </c>
      <c r="AC139" s="3">
        <v>1.8</v>
      </c>
      <c r="AD139">
        <v>0.4</v>
      </c>
      <c r="AE139" t="str">
        <v>Overkill</v>
      </c>
      <c r="AF139" t="str">
        <v>Riot</v>
      </c>
      <c r="AG139" s="100">
        <f t="shared" si="35"/>
        <v>2</v>
      </c>
      <c r="AI139" s="115">
        <f>Aug_2025_SotM[[#This Row],[Max Seed]]/2 + 1</f>
        <v>3</v>
      </c>
      <c r="AJ139" s="105" t="str">
        <f ca="1">IF(Aug_2025_SotM[[#This Row],[Num]]&gt;=$A$135, "-", IF(Aug_2025_SotM[[#This Row],[Score 1]]&gt;=3, Aug_2025_SotM[[#This Row],[Song 2]], IF(Aug_2025_SotM[[#This Row],[Score 2]]&gt;=3, Aug_2025_SotM[[#This Row],[Song 1]], "TBD")))</f>
        <v>Suzanne</v>
      </c>
      <c r="AK139" s="246">
        <f ca="1">IFERROR(VLOOKUP(Aug_2025_Results[[#This Row],[Song Title]], $AE$136:$AG$151, 3, FALSE)-Aug_2025_Results[[#This Row],[Result]], "TBD")</f>
        <v>6</v>
      </c>
      <c r="AL139" s="246" t="str">
        <f t="shared" ca="1" si="37"/>
        <v>↑</v>
      </c>
    </row>
    <row r="140" spans="1:38">
      <c r="A140" s="199" t="str">
        <f>_xlfn.CONCAT("Seed ", Aug_2025_SotM[[#This Row],[Top Seed]], " vs ",Aug_2025_SotM[[#This Row],[Low Seed]])</f>
        <v>Seed 4 vs 5</v>
      </c>
      <c r="B140" s="201">
        <v>4</v>
      </c>
      <c r="C140" s="200">
        <f>FLOOR(LOG(Aug_2025_SotM[[#This Row],[Num]], 2), 1)</f>
        <v>2</v>
      </c>
      <c r="D140" s="200">
        <f>2^(Aug_2025_SotM[[#This Row],[Round]]+1)</f>
        <v>8</v>
      </c>
      <c r="E140" s="200">
        <f>Aug_2025_SotM[[#This Row],[Max Seed]]-Aug_2025_SotM[[#This Row],[Num]]</f>
        <v>4</v>
      </c>
      <c r="F140" s="200">
        <f>Aug_2025_SotM[[#This Row],[Max Seed]]-Aug_2025_SotM[[#This Row],[Top Seed]]+1</f>
        <v>5</v>
      </c>
      <c r="G140" s="200" t="b">
        <f>IF(Aug_2025_SotM[[#This Row],[Round]]=$C$135, TRUE(), IF(Aug_2025_SotM[[#This Row],[Round]]=$B$135, Aug_2025_SotM[[#This Row],[Top Seed]]&lt;=2*Aug_2025_SotM[[#This Row],[Max Seed]]-$A$135, FALSE()))</f>
        <v>0</v>
      </c>
      <c r="H140" s="200" t="b">
        <f>IF(Aug_2025_SotM[[#This Row],[Round]]=$C$135, TRUE(), IF(Aug_2025_SotM[[#This Row],[Round]]=$B$135, Aug_2025_SotM[[#This Row],[Low Seed]]&lt;=2*Aug_2025_SotM[[#This Row],[Max Seed]]-$A$135, FALSE()))</f>
        <v>0</v>
      </c>
      <c r="I140" s="28" t="s">
        <v>4191</v>
      </c>
      <c r="J140" s="31" t="s">
        <v>4191</v>
      </c>
      <c r="K140" s="33"/>
      <c r="L140" s="35" t="s">
        <v>4191</v>
      </c>
      <c r="M140" s="37" t="s">
        <v>4191</v>
      </c>
      <c r="N140" s="203" t="str">
        <f ca="1">IF(Aug_2025_SotM[[#This Row],[Num]]&gt;=$A$135, "-", IF(Aug_2025_SotM[[#This Row],[Initial 1]], VLOOKUP(Aug_2025_SotM[[#This Row],[Top Seed]], $Z$136:$AE$151, 6, FALSE), OFFSET(Aug_2025_SotM[[#This Row],[Winner]], Aug_2025_SotM[[#This Row],[Max Seed]], 0)))</f>
        <v>Suzanne</v>
      </c>
      <c r="O140" s="200">
        <f>COUNTIF(Aug_2025_SotM[[#This Row],[J]:[H]],"x")</f>
        <v>4</v>
      </c>
      <c r="P140" s="201" t="str">
        <f ca="1">IF(Aug_2025_SotM[[#This Row],[Num]]&gt;=$A$135, "-", IF(Aug_2025_SotM[[#This Row],[Score 1]]&gt;=3, Aug_2025_SotM[[#This Row],[Song 1]], IF(Aug_2025_SotM[[#This Row],[Score 2]]&gt;=3, Aug_2025_SotM[[#This Row],[Song 2]], "TBD")))</f>
        <v>Suzanne</v>
      </c>
      <c r="Q140" s="206">
        <f>COUNTIF(Aug_2025_SotM[[#This Row],[H ]:[J ]],"x")</f>
        <v>1</v>
      </c>
      <c r="R140" s="200" t="str">
        <f ca="1">IF(Aug_2025_SotM[[#This Row],[Num]]&gt;=$A$135, "-", IF(Aug_2025_SotM[[#This Row],[Initial 2]], VLOOKUP(Aug_2025_SotM[[#This Row],[Low Seed]], $Z$136:$AE$151, 6, FALSE), OFFSET(Aug_2025_SotM[[#This Row],[Winner]], 2*(Aug_2025_SotM[[#This Row],[Max Seed]]-Aug_2025_SotM[[#This Row],[Low Seed]])+1, 0)))</f>
        <v>Like I Do</v>
      </c>
      <c r="S140" s="37"/>
      <c r="T140" s="35"/>
      <c r="U140" s="33" t="s">
        <v>4191</v>
      </c>
      <c r="V140" s="31"/>
      <c r="W140" s="28"/>
      <c r="X140" s="106" t="str">
        <f ca="1">IF(OR(Aug_2025_SotM[[#This Row],[Song 1]]="TBD", Aug_2025_SotM[[#This Row],[Song 2]]="TBD"), "TBD", _xlfn.CONCAT(IF(_xlfn.XOR(ISBLANK(Aug_2025_SotM[[#This Row],[J]]), ISBLANK(Aug_2025_SotM[[#This Row],[J ]])), "", "J "), IF(_xlfn.XOR(ISBLANK(Aug_2025_SotM[[#This Row],[D]]), ISBLANK(Aug_2025_SotM[[#This Row],[D ]])), "", "D "), IF(_xlfn.XOR(ISBLANK(Aug_2025_SotM[[#This Row],[L]]), ISBLANK(Aug_2025_SotM[[#This Row],[L ]])), "", "L "), IF(_xlfn.XOR(ISBLANK(Aug_2025_SotM[[#This Row],[S]]), ISBLANK(Aug_2025_SotM[[#This Row],[S ]])), "", "S "), IF(_xlfn.XOR(ISBLANK(Aug_2025_SotM[[#This Row],[H]]), ISBLANK(Aug_2025_SotM[[#This Row],[H ]])), "", "H ")))</f>
        <v/>
      </c>
      <c r="Z140" s="109">
        <f t="shared" si="36"/>
        <v>4</v>
      </c>
      <c r="AA140" s="59">
        <v>45880</v>
      </c>
      <c r="AB140" t="str">
        <v>loganworsdell</v>
      </c>
      <c r="AC140" s="3">
        <v>2</v>
      </c>
      <c r="AD140">
        <v>0.89442719099991586</v>
      </c>
      <c r="AE140" t="str">
        <v>endlessly</v>
      </c>
      <c r="AF140" t="str">
        <v>Chanpan</v>
      </c>
      <c r="AG140" s="100">
        <f t="shared" si="35"/>
        <v>3</v>
      </c>
      <c r="AI140" s="115">
        <f>Aug_2025_SotM[[#This Row],[Max Seed]]/2 + 1</f>
        <v>5</v>
      </c>
      <c r="AJ140" s="105" t="str">
        <f ca="1">IF(Aug_2025_SotM[[#This Row],[Num]]&gt;=$A$135, "-", IF(Aug_2025_SotM[[#This Row],[Score 1]]&gt;=3, Aug_2025_SotM[[#This Row],[Song 2]], IF(Aug_2025_SotM[[#This Row],[Score 2]]&gt;=3, Aug_2025_SotM[[#This Row],[Song 1]], "TBD")))</f>
        <v>Like I Do</v>
      </c>
      <c r="AK140" s="246">
        <f ca="1">IFERROR(VLOOKUP(Aug_2025_Results[[#This Row],[Song Title]], $AE$136:$AG$151, 3, FALSE)-Aug_2025_Results[[#This Row],[Result]], "TBD")</f>
        <v>0</v>
      </c>
      <c r="AL140" s="246" t="str">
        <f t="shared" ca="1" si="37"/>
        <v>-</v>
      </c>
    </row>
    <row r="141" spans="1:38">
      <c r="A141" s="199" t="str">
        <f>_xlfn.CONCAT("Seed ", Aug_2025_SotM[[#This Row],[Top Seed]], " vs ",Aug_2025_SotM[[#This Row],[Low Seed]])</f>
        <v>Seed 3 vs 6</v>
      </c>
      <c r="B141" s="201">
        <v>5</v>
      </c>
      <c r="C141" s="200">
        <f>FLOOR(LOG(Aug_2025_SotM[[#This Row],[Num]], 2), 1)</f>
        <v>2</v>
      </c>
      <c r="D141" s="200">
        <f>2^(Aug_2025_SotM[[#This Row],[Round]]+1)</f>
        <v>8</v>
      </c>
      <c r="E141" s="200">
        <f>Aug_2025_SotM[[#This Row],[Max Seed]]-Aug_2025_SotM[[#This Row],[Num]]</f>
        <v>3</v>
      </c>
      <c r="F141" s="200">
        <f>Aug_2025_SotM[[#This Row],[Max Seed]]-Aug_2025_SotM[[#This Row],[Top Seed]]+1</f>
        <v>6</v>
      </c>
      <c r="G141" s="200" t="b">
        <f>IF(Aug_2025_SotM[[#This Row],[Round]]=$C$135, TRUE(), IF(Aug_2025_SotM[[#This Row],[Round]]=$B$135, Aug_2025_SotM[[#This Row],[Top Seed]]&lt;=2*Aug_2025_SotM[[#This Row],[Max Seed]]-$A$135, FALSE()))</f>
        <v>0</v>
      </c>
      <c r="H141" s="200" t="b">
        <f>IF(Aug_2025_SotM[[#This Row],[Round]]=$C$135, TRUE(), IF(Aug_2025_SotM[[#This Row],[Round]]=$B$135, Aug_2025_SotM[[#This Row],[Low Seed]]&lt;=2*Aug_2025_SotM[[#This Row],[Max Seed]]-$A$135, FALSE()))</f>
        <v>0</v>
      </c>
      <c r="I141" s="28" t="s">
        <v>4191</v>
      </c>
      <c r="J141" s="31"/>
      <c r="K141" s="33"/>
      <c r="L141" s="35" t="s">
        <v>4191</v>
      </c>
      <c r="M141" s="37"/>
      <c r="N141" s="203" t="str">
        <f ca="1">IF(Aug_2025_SotM[[#This Row],[Num]]&gt;=$A$135, "-", IF(Aug_2025_SotM[[#This Row],[Initial 1]], VLOOKUP(Aug_2025_SotM[[#This Row],[Top Seed]], $Z$136:$AE$151, 6, FALSE), OFFSET(Aug_2025_SotM[[#This Row],[Winner]], Aug_2025_SotM[[#This Row],[Max Seed]], 0)))</f>
        <v>Chammak Challo</v>
      </c>
      <c r="O141" s="200">
        <f>COUNTIF(Aug_2025_SotM[[#This Row],[J]:[H]],"x")</f>
        <v>2</v>
      </c>
      <c r="P141" s="201" t="str">
        <f ca="1">IF(Aug_2025_SotM[[#This Row],[Num]]&gt;=$A$135, "-", IF(Aug_2025_SotM[[#This Row],[Score 1]]&gt;=3, Aug_2025_SotM[[#This Row],[Song 1]], IF(Aug_2025_SotM[[#This Row],[Score 2]]&gt;=3, Aug_2025_SotM[[#This Row],[Song 2]], "TBD")))</f>
        <v>Simple And Clean</v>
      </c>
      <c r="Q141" s="206">
        <f>COUNTIF(Aug_2025_SotM[[#This Row],[H ]:[J ]],"x")</f>
        <v>3</v>
      </c>
      <c r="R141" s="200" t="str">
        <f ca="1">IF(Aug_2025_SotM[[#This Row],[Num]]&gt;=$A$135, "-", IF(Aug_2025_SotM[[#This Row],[Initial 2]], VLOOKUP(Aug_2025_SotM[[#This Row],[Low Seed]], $Z$136:$AE$151, 6, FALSE), OFFSET(Aug_2025_SotM[[#This Row],[Winner]], 2*(Aug_2025_SotM[[#This Row],[Max Seed]]-Aug_2025_SotM[[#This Row],[Low Seed]])+1, 0)))</f>
        <v>Simple And Clean</v>
      </c>
      <c r="S141" s="37" t="s">
        <v>4191</v>
      </c>
      <c r="T141" s="35"/>
      <c r="U141" s="33" t="s">
        <v>4191</v>
      </c>
      <c r="V141" s="31" t="s">
        <v>4191</v>
      </c>
      <c r="W141" s="28"/>
      <c r="X141" s="106" t="str">
        <f ca="1">IF(OR(Aug_2025_SotM[[#This Row],[Song 1]]="TBD", Aug_2025_SotM[[#This Row],[Song 2]]="TBD"), "TBD", _xlfn.CONCAT(IF(_xlfn.XOR(ISBLANK(Aug_2025_SotM[[#This Row],[J]]), ISBLANK(Aug_2025_SotM[[#This Row],[J ]])), "", "J "), IF(_xlfn.XOR(ISBLANK(Aug_2025_SotM[[#This Row],[D]]), ISBLANK(Aug_2025_SotM[[#This Row],[D ]])), "", "D "), IF(_xlfn.XOR(ISBLANK(Aug_2025_SotM[[#This Row],[L]]), ISBLANK(Aug_2025_SotM[[#This Row],[L ]])), "", "L "), IF(_xlfn.XOR(ISBLANK(Aug_2025_SotM[[#This Row],[S]]), ISBLANK(Aug_2025_SotM[[#This Row],[S ]])), "", "S "), IF(_xlfn.XOR(ISBLANK(Aug_2025_SotM[[#This Row],[H]]), ISBLANK(Aug_2025_SotM[[#This Row],[H ]])), "", "H ")))</f>
        <v/>
      </c>
      <c r="Z141" s="109">
        <f t="shared" si="36"/>
        <v>13</v>
      </c>
      <c r="AA141" s="59">
        <v>45881</v>
      </c>
      <c r="AB141" t="str">
        <v>alappatjoe</v>
      </c>
      <c r="AC141" s="3">
        <v>2.4</v>
      </c>
      <c r="AD141">
        <v>1.019803902718557</v>
      </c>
      <c r="AE141" t="str">
        <v>Suzanne</v>
      </c>
      <c r="AF141" t="str">
        <v>Mark Ronson, RAYE</v>
      </c>
      <c r="AG141" s="100">
        <f t="shared" si="35"/>
        <v>9</v>
      </c>
      <c r="AI141" s="115">
        <f>Aug_2025_SotM[[#This Row],[Max Seed]]/2 + 1</f>
        <v>5</v>
      </c>
      <c r="AJ141" s="105" t="str">
        <f ca="1">IF(Aug_2025_SotM[[#This Row],[Num]]&gt;=$A$135, "-", IF(Aug_2025_SotM[[#This Row],[Score 1]]&gt;=3, Aug_2025_SotM[[#This Row],[Song 2]], IF(Aug_2025_SotM[[#This Row],[Score 2]]&gt;=3, Aug_2025_SotM[[#This Row],[Song 1]], "TBD")))</f>
        <v>Chammak Challo</v>
      </c>
      <c r="AK141" s="246">
        <f ca="1">IFERROR(VLOOKUP(Aug_2025_Results[[#This Row],[Song Title]], $AE$136:$AG$151, 3, FALSE)-Aug_2025_Results[[#This Row],[Result]], "TBD")</f>
        <v>-2</v>
      </c>
      <c r="AL141" s="246" t="str">
        <f t="shared" ca="1" si="37"/>
        <v>↓</v>
      </c>
    </row>
    <row r="142" spans="1:38">
      <c r="A142" s="199" t="str">
        <f>_xlfn.CONCAT("Seed ", Aug_2025_SotM[[#This Row],[Top Seed]], " vs ",Aug_2025_SotM[[#This Row],[Low Seed]])</f>
        <v>Seed 2 vs 7</v>
      </c>
      <c r="B142" s="201">
        <v>6</v>
      </c>
      <c r="C142" s="200">
        <f>FLOOR(LOG(Aug_2025_SotM[[#This Row],[Num]], 2), 1)</f>
        <v>2</v>
      </c>
      <c r="D142" s="200">
        <f>2^(Aug_2025_SotM[[#This Row],[Round]]+1)</f>
        <v>8</v>
      </c>
      <c r="E142" s="200">
        <f>Aug_2025_SotM[[#This Row],[Max Seed]]-Aug_2025_SotM[[#This Row],[Num]]</f>
        <v>2</v>
      </c>
      <c r="F142" s="200">
        <f>Aug_2025_SotM[[#This Row],[Max Seed]]-Aug_2025_SotM[[#This Row],[Top Seed]]+1</f>
        <v>7</v>
      </c>
      <c r="G142" s="200" t="b">
        <f>IF(Aug_2025_SotM[[#This Row],[Round]]=$C$135, TRUE(), IF(Aug_2025_SotM[[#This Row],[Round]]=$B$135, Aug_2025_SotM[[#This Row],[Top Seed]]&lt;=2*Aug_2025_SotM[[#This Row],[Max Seed]]-$A$135, FALSE()))</f>
        <v>0</v>
      </c>
      <c r="H142" s="200" t="b">
        <f>IF(Aug_2025_SotM[[#This Row],[Round]]=$C$135, TRUE(), IF(Aug_2025_SotM[[#This Row],[Round]]=$B$135, Aug_2025_SotM[[#This Row],[Low Seed]]&lt;=2*Aug_2025_SotM[[#This Row],[Max Seed]]-$A$135, FALSE()))</f>
        <v>0</v>
      </c>
      <c r="I142" s="28"/>
      <c r="J142" s="31"/>
      <c r="K142" s="33" t="s">
        <v>4191</v>
      </c>
      <c r="L142" s="35" t="s">
        <v>4191</v>
      </c>
      <c r="M142" s="37" t="s">
        <v>4191</v>
      </c>
      <c r="N142" s="203" t="str">
        <f ca="1">IF(Aug_2025_SotM[[#This Row],[Num]]&gt;=$A$135, "-", IF(Aug_2025_SotM[[#This Row],[Initial 1]], VLOOKUP(Aug_2025_SotM[[#This Row],[Top Seed]], $Z$136:$AE$151, 6, FALSE), OFFSET(Aug_2025_SotM[[#This Row],[Winner]], Aug_2025_SotM[[#This Row],[Max Seed]], 0)))</f>
        <v>SEE U DANCE</v>
      </c>
      <c r="O142" s="200">
        <f>COUNTIF(Aug_2025_SotM[[#This Row],[J]:[H]],"x")</f>
        <v>3</v>
      </c>
      <c r="P142" s="201" t="str">
        <f ca="1">IF(Aug_2025_SotM[[#This Row],[Num]]&gt;=$A$135, "-", IF(Aug_2025_SotM[[#This Row],[Score 1]]&gt;=3, Aug_2025_SotM[[#This Row],[Song 1]], IF(Aug_2025_SotM[[#This Row],[Score 2]]&gt;=3, Aug_2025_SotM[[#This Row],[Song 2]], "TBD")))</f>
        <v>SEE U DANCE</v>
      </c>
      <c r="Q142" s="206">
        <f>COUNTIF(Aug_2025_SotM[[#This Row],[H ]:[J ]],"x")</f>
        <v>2</v>
      </c>
      <c r="R142" s="200" t="str">
        <f ca="1">IF(Aug_2025_SotM[[#This Row],[Num]]&gt;=$A$135, "-", IF(Aug_2025_SotM[[#This Row],[Initial 2]], VLOOKUP(Aug_2025_SotM[[#This Row],[Low Seed]], $Z$136:$AE$151, 6, FALSE), OFFSET(Aug_2025_SotM[[#This Row],[Winner]], 2*(Aug_2025_SotM[[#This Row],[Max Seed]]-Aug_2025_SotM[[#This Row],[Low Seed]])+1, 0)))</f>
        <v>Face to Face</v>
      </c>
      <c r="S142" s="37"/>
      <c r="T142" s="35"/>
      <c r="U142" s="33"/>
      <c r="V142" s="31" t="s">
        <v>4191</v>
      </c>
      <c r="W142" s="28" t="s">
        <v>4191</v>
      </c>
      <c r="X142" s="106" t="str">
        <f ca="1">IF(OR(Aug_2025_SotM[[#This Row],[Song 1]]="TBD", Aug_2025_SotM[[#This Row],[Song 2]]="TBD"), "TBD", _xlfn.CONCAT(IF(_xlfn.XOR(ISBLANK(Aug_2025_SotM[[#This Row],[J]]), ISBLANK(Aug_2025_SotM[[#This Row],[J ]])), "", "J "), IF(_xlfn.XOR(ISBLANK(Aug_2025_SotM[[#This Row],[D]]), ISBLANK(Aug_2025_SotM[[#This Row],[D ]])), "", "D "), IF(_xlfn.XOR(ISBLANK(Aug_2025_SotM[[#This Row],[L]]), ISBLANK(Aug_2025_SotM[[#This Row],[L ]])), "", "L "), IF(_xlfn.XOR(ISBLANK(Aug_2025_SotM[[#This Row],[S]]), ISBLANK(Aug_2025_SotM[[#This Row],[S ]])), "", "S "), IF(_xlfn.XOR(ISBLANK(Aug_2025_SotM[[#This Row],[H]]), ISBLANK(Aug_2025_SotM[[#This Row],[H ]])), "", "H ")))</f>
        <v/>
      </c>
      <c r="Z142" s="109">
        <f t="shared" si="36"/>
        <v>14</v>
      </c>
      <c r="AA142" s="59">
        <v>45882</v>
      </c>
      <c r="AB142" t="str">
        <v>currydestroyer27</v>
      </c>
      <c r="AC142" s="3">
        <v>2.4</v>
      </c>
      <c r="AD142">
        <v>1.019803902718557</v>
      </c>
      <c r="AE142" t="str">
        <v>I CAN'T STOP THE LONELINESS</v>
      </c>
      <c r="AF142" t="str">
        <v>Anri</v>
      </c>
      <c r="AG142" s="100">
        <f t="shared" si="35"/>
        <v>9</v>
      </c>
      <c r="AI142" s="115">
        <f>Aug_2025_SotM[[#This Row],[Max Seed]]/2 + 1</f>
        <v>5</v>
      </c>
      <c r="AJ142" s="105" t="str">
        <f ca="1">IF(Aug_2025_SotM[[#This Row],[Num]]&gt;=$A$135, "-", IF(Aug_2025_SotM[[#This Row],[Score 1]]&gt;=3, Aug_2025_SotM[[#This Row],[Song 2]], IF(Aug_2025_SotM[[#This Row],[Score 2]]&gt;=3, Aug_2025_SotM[[#This Row],[Song 1]], "TBD")))</f>
        <v>Face to Face</v>
      </c>
      <c r="AK142" s="246">
        <f ca="1">IFERROR(VLOOKUP(Aug_2025_Results[[#This Row],[Song Title]], $AE$136:$AG$151, 3, FALSE)-Aug_2025_Results[[#This Row],[Result]], "TBD")</f>
        <v>0</v>
      </c>
      <c r="AL142" s="246" t="str">
        <f t="shared" ca="1" si="37"/>
        <v>-</v>
      </c>
    </row>
    <row r="143" spans="1:38">
      <c r="A143" s="199" t="str">
        <f>_xlfn.CONCAT("Seed ", Aug_2025_SotM[[#This Row],[Top Seed]], " vs ",Aug_2025_SotM[[#This Row],[Low Seed]])</f>
        <v>Seed 1 vs 8</v>
      </c>
      <c r="B143" s="201">
        <v>7</v>
      </c>
      <c r="C143" s="200">
        <f>FLOOR(LOG(Aug_2025_SotM[[#This Row],[Num]], 2), 1)</f>
        <v>2</v>
      </c>
      <c r="D143" s="200">
        <f>2^(Aug_2025_SotM[[#This Row],[Round]]+1)</f>
        <v>8</v>
      </c>
      <c r="E143" s="200">
        <f>Aug_2025_SotM[[#This Row],[Max Seed]]-Aug_2025_SotM[[#This Row],[Num]]</f>
        <v>1</v>
      </c>
      <c r="F143" s="200">
        <f>Aug_2025_SotM[[#This Row],[Max Seed]]-Aug_2025_SotM[[#This Row],[Top Seed]]+1</f>
        <v>8</v>
      </c>
      <c r="G143" s="200" t="b">
        <f>IF(Aug_2025_SotM[[#This Row],[Round]]=$C$135, TRUE(), IF(Aug_2025_SotM[[#This Row],[Round]]=$B$135, Aug_2025_SotM[[#This Row],[Top Seed]]&lt;=2*Aug_2025_SotM[[#This Row],[Max Seed]]-$A$135, FALSE()))</f>
        <v>0</v>
      </c>
      <c r="H143" s="200" t="b">
        <f>IF(Aug_2025_SotM[[#This Row],[Round]]=$C$135, TRUE(), IF(Aug_2025_SotM[[#This Row],[Round]]=$B$135, Aug_2025_SotM[[#This Row],[Low Seed]]&lt;=2*Aug_2025_SotM[[#This Row],[Max Seed]]-$A$135, FALSE()))</f>
        <v>0</v>
      </c>
      <c r="I143" s="28" t="s">
        <v>4191</v>
      </c>
      <c r="J143" s="31" t="s">
        <v>4191</v>
      </c>
      <c r="K143" s="33" t="s">
        <v>4191</v>
      </c>
      <c r="L143" s="35" t="s">
        <v>4191</v>
      </c>
      <c r="M143" s="37" t="s">
        <v>4191</v>
      </c>
      <c r="N143" s="203" t="str">
        <f ca="1">IF(Aug_2025_SotM[[#This Row],[Num]]&gt;=$A$135, "-", IF(Aug_2025_SotM[[#This Row],[Initial 1]], VLOOKUP(Aug_2025_SotM[[#This Row],[Top Seed]], $Z$136:$AE$151, 6, FALSE), OFFSET(Aug_2025_SotM[[#This Row],[Winner]], Aug_2025_SotM[[#This Row],[Max Seed]], 0)))</f>
        <v>Billie Jean</v>
      </c>
      <c r="O143" s="200">
        <f>COUNTIF(Aug_2025_SotM[[#This Row],[J]:[H]],"x")</f>
        <v>5</v>
      </c>
      <c r="P143" s="201" t="str">
        <f ca="1">IF(Aug_2025_SotM[[#This Row],[Num]]&gt;=$A$135, "-", IF(Aug_2025_SotM[[#This Row],[Score 1]]&gt;=3, Aug_2025_SotM[[#This Row],[Song 1]], IF(Aug_2025_SotM[[#This Row],[Score 2]]&gt;=3, Aug_2025_SotM[[#This Row],[Song 2]], "TBD")))</f>
        <v>Billie Jean</v>
      </c>
      <c r="Q143" s="206">
        <f>COUNTIF(Aug_2025_SotM[[#This Row],[H ]:[J ]],"x")</f>
        <v>0</v>
      </c>
      <c r="R143" s="200" t="str">
        <f ca="1">IF(Aug_2025_SotM[[#This Row],[Num]]&gt;=$A$135, "-", IF(Aug_2025_SotM[[#This Row],[Initial 2]], VLOOKUP(Aug_2025_SotM[[#This Row],[Low Seed]], $Z$136:$AE$151, 6, FALSE), OFFSET(Aug_2025_SotM[[#This Row],[Winner]], 2*(Aug_2025_SotM[[#This Row],[Max Seed]]-Aug_2025_SotM[[#This Row],[Low Seed]])+1, 0)))</f>
        <v>ALAMBRE PúA</v>
      </c>
      <c r="S143" s="37"/>
      <c r="T143" s="35"/>
      <c r="U143" s="33"/>
      <c r="V143" s="31"/>
      <c r="W143" s="28"/>
      <c r="X143" s="106" t="str">
        <f ca="1">IF(OR(Aug_2025_SotM[[#This Row],[Song 1]]="TBD", Aug_2025_SotM[[#This Row],[Song 2]]="TBD"), "TBD", _xlfn.CONCAT(IF(_xlfn.XOR(ISBLANK(Aug_2025_SotM[[#This Row],[J]]), ISBLANK(Aug_2025_SotM[[#This Row],[J ]])), "", "J "), IF(_xlfn.XOR(ISBLANK(Aug_2025_SotM[[#This Row],[D]]), ISBLANK(Aug_2025_SotM[[#This Row],[D ]])), "", "D "), IF(_xlfn.XOR(ISBLANK(Aug_2025_SotM[[#This Row],[L]]), ISBLANK(Aug_2025_SotM[[#This Row],[L ]])), "", "L "), IF(_xlfn.XOR(ISBLANK(Aug_2025_SotM[[#This Row],[S]]), ISBLANK(Aug_2025_SotM[[#This Row],[S ]])), "", "S "), IF(_xlfn.XOR(ISBLANK(Aug_2025_SotM[[#This Row],[H]]), ISBLANK(Aug_2025_SotM[[#This Row],[H ]])), "", "H ")))</f>
        <v/>
      </c>
      <c r="Z143" s="109">
        <f t="shared" si="36"/>
        <v>3</v>
      </c>
      <c r="AA143" s="59">
        <v>45883</v>
      </c>
      <c r="AB143" t="str">
        <v>currydestroyer27</v>
      </c>
      <c r="AC143" s="3">
        <v>2</v>
      </c>
      <c r="AD143">
        <v>0.63245553203367588</v>
      </c>
      <c r="AE143" t="str">
        <v>Chammak Challo</v>
      </c>
      <c r="AF143" t="str">
        <v>Vishal-Shekhar, Akon, Hamsika Iyer, Niranjan Iyengar, Vishal Dadlani</v>
      </c>
      <c r="AG143" s="100">
        <f t="shared" si="35"/>
        <v>3</v>
      </c>
      <c r="AI143" s="115">
        <f>Aug_2025_SotM[[#This Row],[Max Seed]]/2 + 1</f>
        <v>5</v>
      </c>
      <c r="AJ143" s="105" t="str">
        <f ca="1">IF(Aug_2025_SotM[[#This Row],[Num]]&gt;=$A$135, "-", IF(Aug_2025_SotM[[#This Row],[Score 1]]&gt;=3, Aug_2025_SotM[[#This Row],[Song 2]], IF(Aug_2025_SotM[[#This Row],[Score 2]]&gt;=3, Aug_2025_SotM[[#This Row],[Song 1]], "TBD")))</f>
        <v>ALAMBRE PúA</v>
      </c>
      <c r="AK143" s="246">
        <f ca="1">IFERROR(VLOOKUP(Aug_2025_Results[[#This Row],[Song Title]], $AE$136:$AG$151, 3, FALSE)-Aug_2025_Results[[#This Row],[Result]], "TBD")</f>
        <v>4</v>
      </c>
      <c r="AL143" s="246" t="str">
        <f t="shared" ca="1" si="37"/>
        <v>↑</v>
      </c>
    </row>
    <row r="144" spans="1:38">
      <c r="A144" s="199" t="str">
        <f>_xlfn.CONCAT("Seed ", Aug_2025_SotM[[#This Row],[Top Seed]], " vs ",Aug_2025_SotM[[#This Row],[Low Seed]])</f>
        <v>Seed 8 vs 9</v>
      </c>
      <c r="B144" s="201">
        <v>8</v>
      </c>
      <c r="C144" s="200">
        <f>FLOOR(LOG(Aug_2025_SotM[[#This Row],[Num]], 2), 1)</f>
        <v>3</v>
      </c>
      <c r="D144" s="200">
        <f>2^(Aug_2025_SotM[[#This Row],[Round]]+1)</f>
        <v>16</v>
      </c>
      <c r="E144" s="200">
        <f>Aug_2025_SotM[[#This Row],[Max Seed]]-Aug_2025_SotM[[#This Row],[Num]]</f>
        <v>8</v>
      </c>
      <c r="F144" s="200">
        <f>Aug_2025_SotM[[#This Row],[Max Seed]]-Aug_2025_SotM[[#This Row],[Top Seed]]+1</f>
        <v>9</v>
      </c>
      <c r="G144" s="200" t="b">
        <f>IF(Aug_2025_SotM[[#This Row],[Round]]=$C$135, TRUE(), IF(Aug_2025_SotM[[#This Row],[Round]]=$B$135, Aug_2025_SotM[[#This Row],[Top Seed]]&lt;=2*Aug_2025_SotM[[#This Row],[Max Seed]]-$A$135, FALSE()))</f>
        <v>1</v>
      </c>
      <c r="H144" s="200" t="b">
        <f>IF(Aug_2025_SotM[[#This Row],[Round]]=$C$135, TRUE(), IF(Aug_2025_SotM[[#This Row],[Round]]=$B$135, Aug_2025_SotM[[#This Row],[Low Seed]]&lt;=2*Aug_2025_SotM[[#This Row],[Max Seed]]-$A$135, FALSE()))</f>
        <v>1</v>
      </c>
      <c r="I144" s="28"/>
      <c r="J144" s="31"/>
      <c r="K144" s="33"/>
      <c r="L144" s="35" t="s">
        <v>4191</v>
      </c>
      <c r="M144" s="37" t="s">
        <v>4191</v>
      </c>
      <c r="N144" s="203" t="str">
        <f ca="1">IF(Aug_2025_SotM[[#This Row],[Num]]&gt;=$A$135, "-", IF(Aug_2025_SotM[[#This Row],[Initial 1]], VLOOKUP(Aug_2025_SotM[[#This Row],[Top Seed]], $Z$136:$AE$151, 6, FALSE), OFFSET(Aug_2025_SotM[[#This Row],[Winner]], Aug_2025_SotM[[#This Row],[Max Seed]], 0)))</f>
        <v>Calling After Me</v>
      </c>
      <c r="O144" s="200">
        <f>COUNTIF(Aug_2025_SotM[[#This Row],[J]:[H]],"x")</f>
        <v>2</v>
      </c>
      <c r="P144" s="201" t="str">
        <f ca="1">IF(Aug_2025_SotM[[#This Row],[Num]]&gt;=$A$135, "-", IF(Aug_2025_SotM[[#This Row],[Score 1]]&gt;=3, Aug_2025_SotM[[#This Row],[Song 1]], IF(Aug_2025_SotM[[#This Row],[Score 2]]&gt;=3, Aug_2025_SotM[[#This Row],[Song 2]], "TBD")))</f>
        <v>ALAMBRE PúA</v>
      </c>
      <c r="Q144" s="206">
        <f>COUNTIF(Aug_2025_SotM[[#This Row],[H ]:[J ]],"x")</f>
        <v>3</v>
      </c>
      <c r="R144" s="200" t="str">
        <f ca="1">IF(Aug_2025_SotM[[#This Row],[Num]]&gt;=$A$135, "-", IF(Aug_2025_SotM[[#This Row],[Initial 2]], VLOOKUP(Aug_2025_SotM[[#This Row],[Low Seed]], $Z$136:$AE$151, 6, FALSE), OFFSET(Aug_2025_SotM[[#This Row],[Winner]], 2*(Aug_2025_SotM[[#This Row],[Max Seed]]-Aug_2025_SotM[[#This Row],[Low Seed]])+1, 0)))</f>
        <v>ALAMBRE PúA</v>
      </c>
      <c r="S144" s="37"/>
      <c r="T144" s="35"/>
      <c r="U144" s="33" t="s">
        <v>4191</v>
      </c>
      <c r="V144" s="31" t="s">
        <v>4191</v>
      </c>
      <c r="W144" s="28" t="s">
        <v>4191</v>
      </c>
      <c r="X144" s="106" t="str">
        <f ca="1">IF(OR(Aug_2025_SotM[[#This Row],[Song 1]]="TBD", Aug_2025_SotM[[#This Row],[Song 2]]="TBD"), "TBD", _xlfn.CONCAT(IF(_xlfn.XOR(ISBLANK(Aug_2025_SotM[[#This Row],[J]]), ISBLANK(Aug_2025_SotM[[#This Row],[J ]])), "", "J "), IF(_xlfn.XOR(ISBLANK(Aug_2025_SotM[[#This Row],[D]]), ISBLANK(Aug_2025_SotM[[#This Row],[D ]])), "", "D "), IF(_xlfn.XOR(ISBLANK(Aug_2025_SotM[[#This Row],[L]]), ISBLANK(Aug_2025_SotM[[#This Row],[L ]])), "", "L "), IF(_xlfn.XOR(ISBLANK(Aug_2025_SotM[[#This Row],[S]]), ISBLANK(Aug_2025_SotM[[#This Row],[S ]])), "", "S "), IF(_xlfn.XOR(ISBLANK(Aug_2025_SotM[[#This Row],[H]]), ISBLANK(Aug_2025_SotM[[#This Row],[H ]])), "", "H ")))</f>
        <v/>
      </c>
      <c r="Z144" s="109">
        <f t="shared" si="36"/>
        <v>8</v>
      </c>
      <c r="AA144" s="59">
        <v>45887</v>
      </c>
      <c r="AB144" t="str">
        <v>samuelbattista</v>
      </c>
      <c r="AC144" s="3">
        <v>2.2000000000000002</v>
      </c>
      <c r="AD144">
        <v>0.74833147735478833</v>
      </c>
      <c r="AE144" t="str">
        <v>Calling After Me</v>
      </c>
      <c r="AF144" t="str">
        <v>Wallows</v>
      </c>
      <c r="AG144" s="100">
        <f t="shared" si="35"/>
        <v>5</v>
      </c>
      <c r="AI144" s="115">
        <f>Aug_2025_SotM[[#This Row],[Max Seed]]/2 + 1</f>
        <v>9</v>
      </c>
      <c r="AJ144" s="105" t="str">
        <f ca="1">IF(Aug_2025_SotM[[#This Row],[Num]]&gt;=$A$135, "-", IF(Aug_2025_SotM[[#This Row],[Score 1]]&gt;=3, Aug_2025_SotM[[#This Row],[Song 2]], IF(Aug_2025_SotM[[#This Row],[Score 2]]&gt;=3, Aug_2025_SotM[[#This Row],[Song 1]], "TBD")))</f>
        <v>Calling After Me</v>
      </c>
      <c r="AK144" s="246">
        <f ca="1">IFERROR(VLOOKUP(Aug_2025_Results[[#This Row],[Song Title]], $AE$136:$AG$151, 3, FALSE)-Aug_2025_Results[[#This Row],[Result]], "TBD")</f>
        <v>-4</v>
      </c>
      <c r="AL144" s="246" t="str">
        <f t="shared" ca="1" si="37"/>
        <v>↓</v>
      </c>
    </row>
    <row r="145" spans="1:38">
      <c r="A145" s="199" t="str">
        <f>_xlfn.CONCAT("Seed ", Aug_2025_SotM[[#This Row],[Top Seed]], " vs ",Aug_2025_SotM[[#This Row],[Low Seed]])</f>
        <v>Seed 7 vs 10</v>
      </c>
      <c r="B145" s="201">
        <v>9</v>
      </c>
      <c r="C145" s="200">
        <f>FLOOR(LOG(Aug_2025_SotM[[#This Row],[Num]], 2), 1)</f>
        <v>3</v>
      </c>
      <c r="D145" s="200">
        <f>2^(Aug_2025_SotM[[#This Row],[Round]]+1)</f>
        <v>16</v>
      </c>
      <c r="E145" s="200">
        <f>Aug_2025_SotM[[#This Row],[Max Seed]]-Aug_2025_SotM[[#This Row],[Num]]</f>
        <v>7</v>
      </c>
      <c r="F145" s="200">
        <f>Aug_2025_SotM[[#This Row],[Max Seed]]-Aug_2025_SotM[[#This Row],[Top Seed]]+1</f>
        <v>10</v>
      </c>
      <c r="G145" s="200" t="b">
        <f>IF(Aug_2025_SotM[[#This Row],[Round]]=$C$135, TRUE(), IF(Aug_2025_SotM[[#This Row],[Round]]=$B$135, Aug_2025_SotM[[#This Row],[Top Seed]]&lt;=2*Aug_2025_SotM[[#This Row],[Max Seed]]-$A$135, FALSE()))</f>
        <v>1</v>
      </c>
      <c r="H145" s="200" t="b">
        <f>IF(Aug_2025_SotM[[#This Row],[Round]]=$C$135, TRUE(), IF(Aug_2025_SotM[[#This Row],[Round]]=$B$135, Aug_2025_SotM[[#This Row],[Low Seed]]&lt;=2*Aug_2025_SotM[[#This Row],[Max Seed]]-$A$135, FALSE()))</f>
        <v>1</v>
      </c>
      <c r="I145" s="28" t="s">
        <v>4191</v>
      </c>
      <c r="J145" s="31"/>
      <c r="K145" s="33" t="s">
        <v>4191</v>
      </c>
      <c r="L145" s="35"/>
      <c r="M145" s="37" t="s">
        <v>4191</v>
      </c>
      <c r="N145" s="203" t="str">
        <f ca="1">IF(Aug_2025_SotM[[#This Row],[Num]]&gt;=$A$135, "-", IF(Aug_2025_SotM[[#This Row],[Initial 1]], VLOOKUP(Aug_2025_SotM[[#This Row],[Top Seed]], $Z$136:$AE$151, 6, FALSE), OFFSET(Aug_2025_SotM[[#This Row],[Winner]], Aug_2025_SotM[[#This Row],[Max Seed]], 0)))</f>
        <v>Face to Face</v>
      </c>
      <c r="O145" s="200">
        <f>COUNTIF(Aug_2025_SotM[[#This Row],[J]:[H]],"x")</f>
        <v>3</v>
      </c>
      <c r="P145" s="201" t="str">
        <f ca="1">IF(Aug_2025_SotM[[#This Row],[Num]]&gt;=$A$135, "-", IF(Aug_2025_SotM[[#This Row],[Score 1]]&gt;=3, Aug_2025_SotM[[#This Row],[Song 1]], IF(Aug_2025_SotM[[#This Row],[Score 2]]&gt;=3, Aug_2025_SotM[[#This Row],[Song 2]], "TBD")))</f>
        <v>Face to Face</v>
      </c>
      <c r="Q145" s="206">
        <f>COUNTIF(Aug_2025_SotM[[#This Row],[H ]:[J ]],"x")</f>
        <v>2</v>
      </c>
      <c r="R145" s="200" t="str">
        <f ca="1">IF(Aug_2025_SotM[[#This Row],[Num]]&gt;=$A$135, "-", IF(Aug_2025_SotM[[#This Row],[Initial 2]], VLOOKUP(Aug_2025_SotM[[#This Row],[Low Seed]], $Z$136:$AE$151, 6, FALSE), OFFSET(Aug_2025_SotM[[#This Row],[Winner]], 2*(Aug_2025_SotM[[#This Row],[Max Seed]]-Aug_2025_SotM[[#This Row],[Low Seed]])+1, 0)))</f>
        <v>KLOuFRENS</v>
      </c>
      <c r="S145" s="37"/>
      <c r="T145" s="35" t="s">
        <v>4191</v>
      </c>
      <c r="U145" s="33"/>
      <c r="V145" s="31" t="s">
        <v>4191</v>
      </c>
      <c r="W145" s="28"/>
      <c r="X145" s="106" t="str">
        <f ca="1">IF(OR(Aug_2025_SotM[[#This Row],[Song 1]]="TBD", Aug_2025_SotM[[#This Row],[Song 2]]="TBD"), "TBD", _xlfn.CONCAT(IF(_xlfn.XOR(ISBLANK(Aug_2025_SotM[[#This Row],[J]]), ISBLANK(Aug_2025_SotM[[#This Row],[J ]])), "", "J "), IF(_xlfn.XOR(ISBLANK(Aug_2025_SotM[[#This Row],[D]]), ISBLANK(Aug_2025_SotM[[#This Row],[D ]])), "", "D "), IF(_xlfn.XOR(ISBLANK(Aug_2025_SotM[[#This Row],[L]]), ISBLANK(Aug_2025_SotM[[#This Row],[L ]])), "", "L "), IF(_xlfn.XOR(ISBLANK(Aug_2025_SotM[[#This Row],[S]]), ISBLANK(Aug_2025_SotM[[#This Row],[S ]])), "", "S "), IF(_xlfn.XOR(ISBLANK(Aug_2025_SotM[[#This Row],[H]]), ISBLANK(Aug_2025_SotM[[#This Row],[H ]])), "", "H ")))</f>
        <v/>
      </c>
      <c r="Z145" s="109">
        <f t="shared" si="36"/>
        <v>16</v>
      </c>
      <c r="AA145" s="59">
        <v>45888</v>
      </c>
      <c r="AB145" t="str">
        <v>samuelbattista</v>
      </c>
      <c r="AC145" s="3">
        <v>2.8</v>
      </c>
      <c r="AD145">
        <v>0.9797958971132712</v>
      </c>
      <c r="AE145" t="str">
        <v>Setting Sun</v>
      </c>
      <c r="AF145" t="str">
        <v>Post Animal</v>
      </c>
      <c r="AG145" s="100">
        <f t="shared" si="35"/>
        <v>9</v>
      </c>
      <c r="AI145" s="115">
        <f>Aug_2025_SotM[[#This Row],[Max Seed]]/2 + 1</f>
        <v>9</v>
      </c>
      <c r="AJ145" s="105" t="str">
        <f ca="1">IF(Aug_2025_SotM[[#This Row],[Num]]&gt;=$A$135, "-", IF(Aug_2025_SotM[[#This Row],[Score 1]]&gt;=3, Aug_2025_SotM[[#This Row],[Song 2]], IF(Aug_2025_SotM[[#This Row],[Score 2]]&gt;=3, Aug_2025_SotM[[#This Row],[Song 1]], "TBD")))</f>
        <v>KLOuFRENS</v>
      </c>
      <c r="AK145" s="246">
        <f ca="1">IFERROR(VLOOKUP(Aug_2025_Results[[#This Row],[Song Title]], $AE$136:$AG$151, 3, FALSE)-Aug_2025_Results[[#This Row],[Result]], "TBD")</f>
        <v>0</v>
      </c>
      <c r="AL145" s="246" t="str">
        <f t="shared" ca="1" si="37"/>
        <v>-</v>
      </c>
    </row>
    <row r="146" spans="1:38">
      <c r="A146" s="199" t="str">
        <f>_xlfn.CONCAT("Seed ", Aug_2025_SotM[[#This Row],[Top Seed]], " vs ",Aug_2025_SotM[[#This Row],[Low Seed]])</f>
        <v>Seed 6 vs 11</v>
      </c>
      <c r="B146" s="201">
        <v>10</v>
      </c>
      <c r="C146" s="200">
        <f>FLOOR(LOG(Aug_2025_SotM[[#This Row],[Num]], 2), 1)</f>
        <v>3</v>
      </c>
      <c r="D146" s="200">
        <f>2^(Aug_2025_SotM[[#This Row],[Round]]+1)</f>
        <v>16</v>
      </c>
      <c r="E146" s="200">
        <f>Aug_2025_SotM[[#This Row],[Max Seed]]-Aug_2025_SotM[[#This Row],[Num]]</f>
        <v>6</v>
      </c>
      <c r="F146" s="200">
        <f>Aug_2025_SotM[[#This Row],[Max Seed]]-Aug_2025_SotM[[#This Row],[Top Seed]]+1</f>
        <v>11</v>
      </c>
      <c r="G146" s="200" t="b">
        <f>IF(Aug_2025_SotM[[#This Row],[Round]]=$C$135, TRUE(), IF(Aug_2025_SotM[[#This Row],[Round]]=$B$135, Aug_2025_SotM[[#This Row],[Top Seed]]&lt;=2*Aug_2025_SotM[[#This Row],[Max Seed]]-$A$135, FALSE()))</f>
        <v>1</v>
      </c>
      <c r="H146" s="200" t="b">
        <f>IF(Aug_2025_SotM[[#This Row],[Round]]=$C$135, TRUE(), IF(Aug_2025_SotM[[#This Row],[Round]]=$B$135, Aug_2025_SotM[[#This Row],[Low Seed]]&lt;=2*Aug_2025_SotM[[#This Row],[Max Seed]]-$A$135, FALSE()))</f>
        <v>1</v>
      </c>
      <c r="I146" s="28"/>
      <c r="J146" s="31"/>
      <c r="K146" s="33"/>
      <c r="L146" s="35" t="s">
        <v>4191</v>
      </c>
      <c r="M146" s="37"/>
      <c r="N146" s="203" t="str">
        <f ca="1">IF(Aug_2025_SotM[[#This Row],[Num]]&gt;=$A$135, "-", IF(Aug_2025_SotM[[#This Row],[Initial 1]], VLOOKUP(Aug_2025_SotM[[#This Row],[Top Seed]], $Z$136:$AE$151, 6, FALSE), OFFSET(Aug_2025_SotM[[#This Row],[Winner]], Aug_2025_SotM[[#This Row],[Max Seed]], 0)))</f>
        <v>Flagpole Sitta</v>
      </c>
      <c r="O146" s="200">
        <f>COUNTIF(Aug_2025_SotM[[#This Row],[J]:[H]],"x")</f>
        <v>1</v>
      </c>
      <c r="P146" s="201" t="str">
        <f ca="1">IF(Aug_2025_SotM[[#This Row],[Num]]&gt;=$A$135, "-", IF(Aug_2025_SotM[[#This Row],[Score 1]]&gt;=3, Aug_2025_SotM[[#This Row],[Song 1]], IF(Aug_2025_SotM[[#This Row],[Score 2]]&gt;=3, Aug_2025_SotM[[#This Row],[Song 2]], "TBD")))</f>
        <v>Simple And Clean</v>
      </c>
      <c r="Q146" s="206">
        <f>COUNTIF(Aug_2025_SotM[[#This Row],[H ]:[J ]],"x")</f>
        <v>4</v>
      </c>
      <c r="R146" s="200" t="str">
        <f ca="1">IF(Aug_2025_SotM[[#This Row],[Num]]&gt;=$A$135, "-", IF(Aug_2025_SotM[[#This Row],[Initial 2]], VLOOKUP(Aug_2025_SotM[[#This Row],[Low Seed]], $Z$136:$AE$151, 6, FALSE), OFFSET(Aug_2025_SotM[[#This Row],[Winner]], 2*(Aug_2025_SotM[[#This Row],[Max Seed]]-Aug_2025_SotM[[#This Row],[Low Seed]])+1, 0)))</f>
        <v>Simple And Clean</v>
      </c>
      <c r="S146" s="37" t="s">
        <v>4191</v>
      </c>
      <c r="T146" s="35"/>
      <c r="U146" s="33" t="s">
        <v>4191</v>
      </c>
      <c r="V146" s="31" t="s">
        <v>4191</v>
      </c>
      <c r="W146" s="28" t="s">
        <v>4191</v>
      </c>
      <c r="X146" s="106" t="str">
        <f ca="1">IF(OR(Aug_2025_SotM[[#This Row],[Song 1]]="TBD", Aug_2025_SotM[[#This Row],[Song 2]]="TBD"), "TBD", _xlfn.CONCAT(IF(_xlfn.XOR(ISBLANK(Aug_2025_SotM[[#This Row],[J]]), ISBLANK(Aug_2025_SotM[[#This Row],[J ]])), "", "J "), IF(_xlfn.XOR(ISBLANK(Aug_2025_SotM[[#This Row],[D]]), ISBLANK(Aug_2025_SotM[[#This Row],[D ]])), "", "D "), IF(_xlfn.XOR(ISBLANK(Aug_2025_SotM[[#This Row],[L]]), ISBLANK(Aug_2025_SotM[[#This Row],[L ]])), "", "L "), IF(_xlfn.XOR(ISBLANK(Aug_2025_SotM[[#This Row],[S]]), ISBLANK(Aug_2025_SotM[[#This Row],[S ]])), "", "S "), IF(_xlfn.XOR(ISBLANK(Aug_2025_SotM[[#This Row],[H]]), ISBLANK(Aug_2025_SotM[[#This Row],[H ]])), "", "H ")))</f>
        <v/>
      </c>
      <c r="Z146" s="109">
        <f t="shared" si="36"/>
        <v>5</v>
      </c>
      <c r="AA146" s="59">
        <v>45889</v>
      </c>
      <c r="AB146" t="str">
        <v>alappatjoe</v>
      </c>
      <c r="AC146" s="3">
        <v>2</v>
      </c>
      <c r="AD146">
        <v>0.89442719099991586</v>
      </c>
      <c r="AE146" t="str">
        <v>Like I Do</v>
      </c>
      <c r="AF146" t="str">
        <v>J.Tajor</v>
      </c>
      <c r="AG146" s="100">
        <f t="shared" si="35"/>
        <v>5</v>
      </c>
      <c r="AI146" s="115">
        <f>Aug_2025_SotM[[#This Row],[Max Seed]]/2 + 1</f>
        <v>9</v>
      </c>
      <c r="AJ146" s="105" t="str">
        <f ca="1">IF(Aug_2025_SotM[[#This Row],[Num]]&gt;=$A$135, "-", IF(Aug_2025_SotM[[#This Row],[Score 1]]&gt;=3, Aug_2025_SotM[[#This Row],[Song 2]], IF(Aug_2025_SotM[[#This Row],[Score 2]]&gt;=3, Aug_2025_SotM[[#This Row],[Song 1]], "TBD")))</f>
        <v>Flagpole Sitta</v>
      </c>
      <c r="AK146" s="246">
        <f ca="1">IFERROR(VLOOKUP(Aug_2025_Results[[#This Row],[Song Title]], $AE$136:$AG$151, 3, FALSE)-Aug_2025_Results[[#This Row],[Result]], "TBD")</f>
        <v>-4</v>
      </c>
      <c r="AL146" s="246" t="str">
        <f t="shared" ca="1" si="37"/>
        <v>↓</v>
      </c>
    </row>
    <row r="147" spans="1:38">
      <c r="A147" s="199" t="str">
        <f>_xlfn.CONCAT("Seed ", Aug_2025_SotM[[#This Row],[Top Seed]], " vs ",Aug_2025_SotM[[#This Row],[Low Seed]])</f>
        <v>Seed 5 vs 12</v>
      </c>
      <c r="B147" s="201">
        <v>11</v>
      </c>
      <c r="C147" s="200">
        <f>FLOOR(LOG(Aug_2025_SotM[[#This Row],[Num]], 2), 1)</f>
        <v>3</v>
      </c>
      <c r="D147" s="200">
        <f>2^(Aug_2025_SotM[[#This Row],[Round]]+1)</f>
        <v>16</v>
      </c>
      <c r="E147" s="200">
        <f>Aug_2025_SotM[[#This Row],[Max Seed]]-Aug_2025_SotM[[#This Row],[Num]]</f>
        <v>5</v>
      </c>
      <c r="F147" s="200">
        <f>Aug_2025_SotM[[#This Row],[Max Seed]]-Aug_2025_SotM[[#This Row],[Top Seed]]+1</f>
        <v>12</v>
      </c>
      <c r="G147" s="200" t="b">
        <f>IF(Aug_2025_SotM[[#This Row],[Round]]=$C$135, TRUE(), IF(Aug_2025_SotM[[#This Row],[Round]]=$B$135, Aug_2025_SotM[[#This Row],[Top Seed]]&lt;=2*Aug_2025_SotM[[#This Row],[Max Seed]]-$A$135, FALSE()))</f>
        <v>1</v>
      </c>
      <c r="H147" s="200" t="b">
        <f>IF(Aug_2025_SotM[[#This Row],[Round]]=$C$135, TRUE(), IF(Aug_2025_SotM[[#This Row],[Round]]=$B$135, Aug_2025_SotM[[#This Row],[Low Seed]]&lt;=2*Aug_2025_SotM[[#This Row],[Max Seed]]-$A$135, FALSE()))</f>
        <v>1</v>
      </c>
      <c r="I147" s="28" t="s">
        <v>4191</v>
      </c>
      <c r="J147" s="31" t="s">
        <v>4191</v>
      </c>
      <c r="K147" s="33" t="s">
        <v>4191</v>
      </c>
      <c r="L147" s="35" t="s">
        <v>4191</v>
      </c>
      <c r="M147" s="37"/>
      <c r="N147" s="203" t="str">
        <f ca="1">IF(Aug_2025_SotM[[#This Row],[Num]]&gt;=$A$135, "-", IF(Aug_2025_SotM[[#This Row],[Initial 1]], VLOOKUP(Aug_2025_SotM[[#This Row],[Top Seed]], $Z$136:$AE$151, 6, FALSE), OFFSET(Aug_2025_SotM[[#This Row],[Winner]], Aug_2025_SotM[[#This Row],[Max Seed]], 0)))</f>
        <v>Like I Do</v>
      </c>
      <c r="O147" s="200">
        <f>COUNTIF(Aug_2025_SotM[[#This Row],[J]:[H]],"x")</f>
        <v>4</v>
      </c>
      <c r="P147" s="201" t="str">
        <f ca="1">IF(Aug_2025_SotM[[#This Row],[Num]]&gt;=$A$135, "-", IF(Aug_2025_SotM[[#This Row],[Score 1]]&gt;=3, Aug_2025_SotM[[#This Row],[Song 1]], IF(Aug_2025_SotM[[#This Row],[Score 2]]&gt;=3, Aug_2025_SotM[[#This Row],[Song 2]], "TBD")))</f>
        <v>Like I Do</v>
      </c>
      <c r="Q147" s="206">
        <f>COUNTIF(Aug_2025_SotM[[#This Row],[H ]:[J ]],"x")</f>
        <v>1</v>
      </c>
      <c r="R147" s="200" t="str">
        <f ca="1">IF(Aug_2025_SotM[[#This Row],[Num]]&gt;=$A$135, "-", IF(Aug_2025_SotM[[#This Row],[Initial 2]], VLOOKUP(Aug_2025_SotM[[#This Row],[Low Seed]], $Z$136:$AE$151, 6, FALSE), OFFSET(Aug_2025_SotM[[#This Row],[Winner]], 2*(Aug_2025_SotM[[#This Row],[Max Seed]]-Aug_2025_SotM[[#This Row],[Low Seed]])+1, 0)))</f>
        <v>Don't Wait Up</v>
      </c>
      <c r="S147" s="37" t="s">
        <v>4191</v>
      </c>
      <c r="T147" s="35"/>
      <c r="U147" s="33"/>
      <c r="V147" s="31"/>
      <c r="W147" s="28"/>
      <c r="X147" s="106" t="str">
        <f ca="1">IF(OR(Aug_2025_SotM[[#This Row],[Song 1]]="TBD", Aug_2025_SotM[[#This Row],[Song 2]]="TBD"), "TBD", _xlfn.CONCAT(IF(_xlfn.XOR(ISBLANK(Aug_2025_SotM[[#This Row],[J]]), ISBLANK(Aug_2025_SotM[[#This Row],[J ]])), "", "J "), IF(_xlfn.XOR(ISBLANK(Aug_2025_SotM[[#This Row],[D]]), ISBLANK(Aug_2025_SotM[[#This Row],[D ]])), "", "D "), IF(_xlfn.XOR(ISBLANK(Aug_2025_SotM[[#This Row],[L]]), ISBLANK(Aug_2025_SotM[[#This Row],[L ]])), "", "L "), IF(_xlfn.XOR(ISBLANK(Aug_2025_SotM[[#This Row],[S]]), ISBLANK(Aug_2025_SotM[[#This Row],[S ]])), "", "S "), IF(_xlfn.XOR(ISBLANK(Aug_2025_SotM[[#This Row],[H]]), ISBLANK(Aug_2025_SotM[[#This Row],[H ]])), "", "H ")))</f>
        <v/>
      </c>
      <c r="Z147" s="109">
        <f t="shared" si="36"/>
        <v>7</v>
      </c>
      <c r="AA147" s="59">
        <v>45890</v>
      </c>
      <c r="AB147" t="str">
        <v>loganworsdell</v>
      </c>
      <c r="AC147" s="3">
        <v>2</v>
      </c>
      <c r="AD147">
        <v>1.0954451150103321</v>
      </c>
      <c r="AE147" t="str">
        <v>Face to Face</v>
      </c>
      <c r="AF147" t="str">
        <v>Daft Punk</v>
      </c>
      <c r="AG147" s="100">
        <f t="shared" si="35"/>
        <v>5</v>
      </c>
      <c r="AI147" s="115">
        <f>Aug_2025_SotM[[#This Row],[Max Seed]]/2 + 1</f>
        <v>9</v>
      </c>
      <c r="AJ147" s="105" t="str">
        <f ca="1">IF(Aug_2025_SotM[[#This Row],[Num]]&gt;=$A$135, "-", IF(Aug_2025_SotM[[#This Row],[Score 1]]&gt;=3, Aug_2025_SotM[[#This Row],[Song 2]], IF(Aug_2025_SotM[[#This Row],[Score 2]]&gt;=3, Aug_2025_SotM[[#This Row],[Song 1]], "TBD")))</f>
        <v>Don't Wait Up</v>
      </c>
      <c r="AK147" s="246">
        <f ca="1">IFERROR(VLOOKUP(Aug_2025_Results[[#This Row],[Song Title]], $AE$136:$AG$151, 3, FALSE)-Aug_2025_Results[[#This Row],[Result]], "TBD")</f>
        <v>0</v>
      </c>
      <c r="AL147" s="246" t="str">
        <f t="shared" ca="1" si="37"/>
        <v>-</v>
      </c>
    </row>
    <row r="148" spans="1:38">
      <c r="A148" s="199" t="str">
        <f>_xlfn.CONCAT("Seed ", Aug_2025_SotM[[#This Row],[Top Seed]], " vs ",Aug_2025_SotM[[#This Row],[Low Seed]])</f>
        <v>Seed 4 vs 13</v>
      </c>
      <c r="B148" s="201">
        <v>12</v>
      </c>
      <c r="C148" s="200">
        <f>FLOOR(LOG(Aug_2025_SotM[[#This Row],[Num]], 2), 1)</f>
        <v>3</v>
      </c>
      <c r="D148" s="200">
        <f>2^(Aug_2025_SotM[[#This Row],[Round]]+1)</f>
        <v>16</v>
      </c>
      <c r="E148" s="200">
        <f>Aug_2025_SotM[[#This Row],[Max Seed]]-Aug_2025_SotM[[#This Row],[Num]]</f>
        <v>4</v>
      </c>
      <c r="F148" s="200">
        <f>Aug_2025_SotM[[#This Row],[Max Seed]]-Aug_2025_SotM[[#This Row],[Top Seed]]+1</f>
        <v>13</v>
      </c>
      <c r="G148" s="200" t="b">
        <f>IF(Aug_2025_SotM[[#This Row],[Round]]=$C$135, TRUE(), IF(Aug_2025_SotM[[#This Row],[Round]]=$B$135, Aug_2025_SotM[[#This Row],[Top Seed]]&lt;=2*Aug_2025_SotM[[#This Row],[Max Seed]]-$A$135, FALSE()))</f>
        <v>1</v>
      </c>
      <c r="H148" s="200" t="b">
        <f>IF(Aug_2025_SotM[[#This Row],[Round]]=$C$135, TRUE(), IF(Aug_2025_SotM[[#This Row],[Round]]=$B$135, Aug_2025_SotM[[#This Row],[Low Seed]]&lt;=2*Aug_2025_SotM[[#This Row],[Max Seed]]-$A$135, FALSE()))</f>
        <v>1</v>
      </c>
      <c r="I148" s="28"/>
      <c r="J148" s="31"/>
      <c r="K148" s="33" t="s">
        <v>4191</v>
      </c>
      <c r="L148" s="35"/>
      <c r="M148" s="37" t="s">
        <v>4191</v>
      </c>
      <c r="N148" s="203" t="str">
        <f ca="1">IF(Aug_2025_SotM[[#This Row],[Num]]&gt;=$A$135, "-", IF(Aug_2025_SotM[[#This Row],[Initial 1]], VLOOKUP(Aug_2025_SotM[[#This Row],[Top Seed]], $Z$136:$AE$151, 6, FALSE), OFFSET(Aug_2025_SotM[[#This Row],[Winner]], Aug_2025_SotM[[#This Row],[Max Seed]], 0)))</f>
        <v>endlessly</v>
      </c>
      <c r="O148" s="200">
        <f>COUNTIF(Aug_2025_SotM[[#This Row],[J]:[H]],"x")</f>
        <v>2</v>
      </c>
      <c r="P148" s="201" t="str">
        <f ca="1">IF(Aug_2025_SotM[[#This Row],[Num]]&gt;=$A$135, "-", IF(Aug_2025_SotM[[#This Row],[Score 1]]&gt;=3, Aug_2025_SotM[[#This Row],[Song 1]], IF(Aug_2025_SotM[[#This Row],[Score 2]]&gt;=3, Aug_2025_SotM[[#This Row],[Song 2]], "TBD")))</f>
        <v>Suzanne</v>
      </c>
      <c r="Q148" s="206">
        <f>COUNTIF(Aug_2025_SotM[[#This Row],[H ]:[J ]],"x")</f>
        <v>3</v>
      </c>
      <c r="R148" s="200" t="str">
        <f ca="1">IF(Aug_2025_SotM[[#This Row],[Num]]&gt;=$A$135, "-", IF(Aug_2025_SotM[[#This Row],[Initial 2]], VLOOKUP(Aug_2025_SotM[[#This Row],[Low Seed]], $Z$136:$AE$151, 6, FALSE), OFFSET(Aug_2025_SotM[[#This Row],[Winner]], 2*(Aug_2025_SotM[[#This Row],[Max Seed]]-Aug_2025_SotM[[#This Row],[Low Seed]])+1, 0)))</f>
        <v>Suzanne</v>
      </c>
      <c r="S148" s="37"/>
      <c r="T148" s="35" t="s">
        <v>4191</v>
      </c>
      <c r="U148" s="33"/>
      <c r="V148" s="31" t="s">
        <v>4191</v>
      </c>
      <c r="W148" s="28" t="s">
        <v>4191</v>
      </c>
      <c r="X148" s="106" t="str">
        <f ca="1">IF(OR(Aug_2025_SotM[[#This Row],[Song 1]]="TBD", Aug_2025_SotM[[#This Row],[Song 2]]="TBD"), "TBD", _xlfn.CONCAT(IF(_xlfn.XOR(ISBLANK(Aug_2025_SotM[[#This Row],[J]]), ISBLANK(Aug_2025_SotM[[#This Row],[J ]])), "", "J "), IF(_xlfn.XOR(ISBLANK(Aug_2025_SotM[[#This Row],[D]]), ISBLANK(Aug_2025_SotM[[#This Row],[D ]])), "", "D "), IF(_xlfn.XOR(ISBLANK(Aug_2025_SotM[[#This Row],[L]]), ISBLANK(Aug_2025_SotM[[#This Row],[L ]])), "", "L "), IF(_xlfn.XOR(ISBLANK(Aug_2025_SotM[[#This Row],[S]]), ISBLANK(Aug_2025_SotM[[#This Row],[S ]])), "", "S "), IF(_xlfn.XOR(ISBLANK(Aug_2025_SotM[[#This Row],[H]]), ISBLANK(Aug_2025_SotM[[#This Row],[H ]])), "", "H ")))</f>
        <v/>
      </c>
      <c r="Z148" s="109">
        <f t="shared" si="36"/>
        <v>12</v>
      </c>
      <c r="AA148" s="59">
        <v>45894</v>
      </c>
      <c r="AB148" t="str">
        <v>loganworsdell</v>
      </c>
      <c r="AC148" s="3">
        <v>2.4</v>
      </c>
      <c r="AD148">
        <v>0.4898979485566356</v>
      </c>
      <c r="AE148" t="str">
        <v>Don't Wait Up</v>
      </c>
      <c r="AF148" t="str">
        <v>Midnight Generation</v>
      </c>
      <c r="AG148" s="100">
        <f t="shared" si="35"/>
        <v>9</v>
      </c>
      <c r="AI148" s="115">
        <f>Aug_2025_SotM[[#This Row],[Max Seed]]/2 + 1</f>
        <v>9</v>
      </c>
      <c r="AJ148" s="105" t="str">
        <f ca="1">IF(Aug_2025_SotM[[#This Row],[Num]]&gt;=$A$135, "-", IF(Aug_2025_SotM[[#This Row],[Score 1]]&gt;=3, Aug_2025_SotM[[#This Row],[Song 2]], IF(Aug_2025_SotM[[#This Row],[Score 2]]&gt;=3, Aug_2025_SotM[[#This Row],[Song 1]], "TBD")))</f>
        <v>endlessly</v>
      </c>
      <c r="AK148" s="246">
        <f ca="1">IFERROR(VLOOKUP(Aug_2025_Results[[#This Row],[Song Title]], $AE$136:$AG$151, 3, FALSE)-Aug_2025_Results[[#This Row],[Result]], "TBD")</f>
        <v>-6</v>
      </c>
      <c r="AL148" s="246" t="str">
        <f t="shared" ca="1" si="37"/>
        <v>↓</v>
      </c>
    </row>
    <row r="149" spans="1:38">
      <c r="A149" s="199" t="str">
        <f>_xlfn.CONCAT("Seed ", Aug_2025_SotM[[#This Row],[Top Seed]], " vs ",Aug_2025_SotM[[#This Row],[Low Seed]])</f>
        <v>Seed 3 vs 14</v>
      </c>
      <c r="B149" s="201">
        <v>13</v>
      </c>
      <c r="C149" s="200">
        <f>FLOOR(LOG(Aug_2025_SotM[[#This Row],[Num]], 2), 1)</f>
        <v>3</v>
      </c>
      <c r="D149" s="200">
        <f>2^(Aug_2025_SotM[[#This Row],[Round]]+1)</f>
        <v>16</v>
      </c>
      <c r="E149" s="200">
        <f>Aug_2025_SotM[[#This Row],[Max Seed]]-Aug_2025_SotM[[#This Row],[Num]]</f>
        <v>3</v>
      </c>
      <c r="F149" s="200">
        <f>Aug_2025_SotM[[#This Row],[Max Seed]]-Aug_2025_SotM[[#This Row],[Top Seed]]+1</f>
        <v>14</v>
      </c>
      <c r="G149" s="200" t="b">
        <f>IF(Aug_2025_SotM[[#This Row],[Round]]=$C$135, TRUE(), IF(Aug_2025_SotM[[#This Row],[Round]]=$B$135, Aug_2025_SotM[[#This Row],[Top Seed]]&lt;=2*Aug_2025_SotM[[#This Row],[Max Seed]]-$A$135, FALSE()))</f>
        <v>1</v>
      </c>
      <c r="H149" s="200" t="b">
        <f>IF(Aug_2025_SotM[[#This Row],[Round]]=$C$135, TRUE(), IF(Aug_2025_SotM[[#This Row],[Round]]=$B$135, Aug_2025_SotM[[#This Row],[Low Seed]]&lt;=2*Aug_2025_SotM[[#This Row],[Max Seed]]-$A$135, FALSE()))</f>
        <v>1</v>
      </c>
      <c r="I149" s="28" t="s">
        <v>4191</v>
      </c>
      <c r="J149" s="31" t="s">
        <v>4191</v>
      </c>
      <c r="K149" s="33"/>
      <c r="L149" s="35"/>
      <c r="M149" s="37" t="s">
        <v>4191</v>
      </c>
      <c r="N149" s="203" t="str">
        <f ca="1">IF(Aug_2025_SotM[[#This Row],[Num]]&gt;=$A$135, "-", IF(Aug_2025_SotM[[#This Row],[Initial 1]], VLOOKUP(Aug_2025_SotM[[#This Row],[Top Seed]], $Z$136:$AE$151, 6, FALSE), OFFSET(Aug_2025_SotM[[#This Row],[Winner]], Aug_2025_SotM[[#This Row],[Max Seed]], 0)))</f>
        <v>Chammak Challo</v>
      </c>
      <c r="O149" s="200">
        <f>COUNTIF(Aug_2025_SotM[[#This Row],[J]:[H]],"x")</f>
        <v>3</v>
      </c>
      <c r="P149" s="201" t="str">
        <f ca="1">IF(Aug_2025_SotM[[#This Row],[Num]]&gt;=$A$135, "-", IF(Aug_2025_SotM[[#This Row],[Score 1]]&gt;=3, Aug_2025_SotM[[#This Row],[Song 1]], IF(Aug_2025_SotM[[#This Row],[Score 2]]&gt;=3, Aug_2025_SotM[[#This Row],[Song 2]], "TBD")))</f>
        <v>Chammak Challo</v>
      </c>
      <c r="Q149" s="206">
        <f>COUNTIF(Aug_2025_SotM[[#This Row],[H ]:[J ]],"x")</f>
        <v>2</v>
      </c>
      <c r="R149" s="200" t="str">
        <f ca="1">IF(Aug_2025_SotM[[#This Row],[Num]]&gt;=$A$135, "-", IF(Aug_2025_SotM[[#This Row],[Initial 2]], VLOOKUP(Aug_2025_SotM[[#This Row],[Low Seed]], $Z$136:$AE$151, 6, FALSE), OFFSET(Aug_2025_SotM[[#This Row],[Winner]], 2*(Aug_2025_SotM[[#This Row],[Max Seed]]-Aug_2025_SotM[[#This Row],[Low Seed]])+1, 0)))</f>
        <v>I CAN'T STOP THE LONELINESS</v>
      </c>
      <c r="S149" s="37"/>
      <c r="T149" s="35" t="s">
        <v>4191</v>
      </c>
      <c r="U149" s="33" t="s">
        <v>4191</v>
      </c>
      <c r="V149" s="31"/>
      <c r="W149" s="28"/>
      <c r="X149" s="106" t="str">
        <f ca="1">IF(OR(Aug_2025_SotM[[#This Row],[Song 1]]="TBD", Aug_2025_SotM[[#This Row],[Song 2]]="TBD"), "TBD", _xlfn.CONCAT(IF(_xlfn.XOR(ISBLANK(Aug_2025_SotM[[#This Row],[J]]), ISBLANK(Aug_2025_SotM[[#This Row],[J ]])), "", "J "), IF(_xlfn.XOR(ISBLANK(Aug_2025_SotM[[#This Row],[D]]), ISBLANK(Aug_2025_SotM[[#This Row],[D ]])), "", "D "), IF(_xlfn.XOR(ISBLANK(Aug_2025_SotM[[#This Row],[L]]), ISBLANK(Aug_2025_SotM[[#This Row],[L ]])), "", "L "), IF(_xlfn.XOR(ISBLANK(Aug_2025_SotM[[#This Row],[S]]), ISBLANK(Aug_2025_SotM[[#This Row],[S ]])), "", "S "), IF(_xlfn.XOR(ISBLANK(Aug_2025_SotM[[#This Row],[H]]), ISBLANK(Aug_2025_SotM[[#This Row],[H ]])), "", "H ")))</f>
        <v/>
      </c>
      <c r="Z149" s="109">
        <f t="shared" si="36"/>
        <v>15</v>
      </c>
      <c r="AA149" s="59">
        <v>45895</v>
      </c>
      <c r="AB149" t="str">
        <v>samuelbattista</v>
      </c>
      <c r="AC149" s="3">
        <v>2.4</v>
      </c>
      <c r="AD149">
        <v>1.4966629547095767</v>
      </c>
      <c r="AE149" t="str">
        <v>SEE U DANCE</v>
      </c>
      <c r="AF149" t="str">
        <v>Joey Valence &amp; Brae, Rebecca Black</v>
      </c>
      <c r="AG149" s="100">
        <f t="shared" si="35"/>
        <v>9</v>
      </c>
      <c r="AI149" s="115">
        <f>Aug_2025_SotM[[#This Row],[Max Seed]]/2 + 1</f>
        <v>9</v>
      </c>
      <c r="AJ149" s="105" t="str">
        <f ca="1">IF(Aug_2025_SotM[[#This Row],[Num]]&gt;=$A$135, "-", IF(Aug_2025_SotM[[#This Row],[Score 1]]&gt;=3, Aug_2025_SotM[[#This Row],[Song 2]], IF(Aug_2025_SotM[[#This Row],[Score 2]]&gt;=3, Aug_2025_SotM[[#This Row],[Song 1]], "TBD")))</f>
        <v>I CAN'T STOP THE LONELINESS</v>
      </c>
      <c r="AK149" s="246">
        <f ca="1">IFERROR(VLOOKUP(Aug_2025_Results[[#This Row],[Song Title]], $AE$136:$AG$151, 3, FALSE)-Aug_2025_Results[[#This Row],[Result]], "TBD")</f>
        <v>0</v>
      </c>
      <c r="AL149" s="246" t="str">
        <f t="shared" ca="1" si="37"/>
        <v>-</v>
      </c>
    </row>
    <row r="150" spans="1:38">
      <c r="A150" s="199" t="str">
        <f>_xlfn.CONCAT("Seed ", Aug_2025_SotM[[#This Row],[Top Seed]], " vs ",Aug_2025_SotM[[#This Row],[Low Seed]])</f>
        <v>Seed 2 vs 15</v>
      </c>
      <c r="B150" s="201">
        <v>14</v>
      </c>
      <c r="C150" s="200">
        <f>FLOOR(LOG(Aug_2025_SotM[[#This Row],[Num]], 2), 1)</f>
        <v>3</v>
      </c>
      <c r="D150" s="200">
        <f>2^(Aug_2025_SotM[[#This Row],[Round]]+1)</f>
        <v>16</v>
      </c>
      <c r="E150" s="200">
        <f>Aug_2025_SotM[[#This Row],[Max Seed]]-Aug_2025_SotM[[#This Row],[Num]]</f>
        <v>2</v>
      </c>
      <c r="F150" s="200">
        <f>Aug_2025_SotM[[#This Row],[Max Seed]]-Aug_2025_SotM[[#This Row],[Top Seed]]+1</f>
        <v>15</v>
      </c>
      <c r="G150" s="200" t="b">
        <f>IF(Aug_2025_SotM[[#This Row],[Round]]=$C$135, TRUE(), IF(Aug_2025_SotM[[#This Row],[Round]]=$B$135, Aug_2025_SotM[[#This Row],[Top Seed]]&lt;=2*Aug_2025_SotM[[#This Row],[Max Seed]]-$A$135, FALSE()))</f>
        <v>1</v>
      </c>
      <c r="H150" s="200" t="b">
        <f>IF(Aug_2025_SotM[[#This Row],[Round]]=$C$135, TRUE(), IF(Aug_2025_SotM[[#This Row],[Round]]=$B$135, Aug_2025_SotM[[#This Row],[Low Seed]]&lt;=2*Aug_2025_SotM[[#This Row],[Max Seed]]-$A$135, FALSE()))</f>
        <v>1</v>
      </c>
      <c r="I150" s="28"/>
      <c r="J150" s="31"/>
      <c r="K150" s="33"/>
      <c r="L150" s="35"/>
      <c r="M150" s="37"/>
      <c r="N150" s="203" t="str">
        <f ca="1">IF(Aug_2025_SotM[[#This Row],[Num]]&gt;=$A$135, "-", IF(Aug_2025_SotM[[#This Row],[Initial 1]], VLOOKUP(Aug_2025_SotM[[#This Row],[Top Seed]], $Z$136:$AE$151, 6, FALSE), OFFSET(Aug_2025_SotM[[#This Row],[Winner]], Aug_2025_SotM[[#This Row],[Max Seed]], 0)))</f>
        <v>Overkill</v>
      </c>
      <c r="O150" s="200">
        <f>COUNTIF(Aug_2025_SotM[[#This Row],[J]:[H]],"x")</f>
        <v>0</v>
      </c>
      <c r="P150" s="201" t="str">
        <f ca="1">IF(Aug_2025_SotM[[#This Row],[Num]]&gt;=$A$135, "-", IF(Aug_2025_SotM[[#This Row],[Score 1]]&gt;=3, Aug_2025_SotM[[#This Row],[Song 1]], IF(Aug_2025_SotM[[#This Row],[Score 2]]&gt;=3, Aug_2025_SotM[[#This Row],[Song 2]], "TBD")))</f>
        <v>SEE U DANCE</v>
      </c>
      <c r="Q150" s="206">
        <f>COUNTIF(Aug_2025_SotM[[#This Row],[H ]:[J ]],"x")</f>
        <v>5</v>
      </c>
      <c r="R150" s="200" t="str">
        <f ca="1">IF(Aug_2025_SotM[[#This Row],[Num]]&gt;=$A$135, "-", IF(Aug_2025_SotM[[#This Row],[Initial 2]], VLOOKUP(Aug_2025_SotM[[#This Row],[Low Seed]], $Z$136:$AE$151, 6, FALSE), OFFSET(Aug_2025_SotM[[#This Row],[Winner]], 2*(Aug_2025_SotM[[#This Row],[Max Seed]]-Aug_2025_SotM[[#This Row],[Low Seed]])+1, 0)))</f>
        <v>SEE U DANCE</v>
      </c>
      <c r="S150" s="37" t="s">
        <v>4191</v>
      </c>
      <c r="T150" s="35" t="s">
        <v>4191</v>
      </c>
      <c r="U150" s="33" t="s">
        <v>4191</v>
      </c>
      <c r="V150" s="31" t="s">
        <v>4191</v>
      </c>
      <c r="W150" s="28" t="s">
        <v>4191</v>
      </c>
      <c r="X150" s="106" t="str">
        <f ca="1">IF(OR(Aug_2025_SotM[[#This Row],[Song 1]]="TBD", Aug_2025_SotM[[#This Row],[Song 2]]="TBD"), "TBD", _xlfn.CONCAT(IF(_xlfn.XOR(ISBLANK(Aug_2025_SotM[[#This Row],[J]]), ISBLANK(Aug_2025_SotM[[#This Row],[J ]])), "", "J "), IF(_xlfn.XOR(ISBLANK(Aug_2025_SotM[[#This Row],[D]]), ISBLANK(Aug_2025_SotM[[#This Row],[D ]])), "", "D "), IF(_xlfn.XOR(ISBLANK(Aug_2025_SotM[[#This Row],[L]]), ISBLANK(Aug_2025_SotM[[#This Row],[L ]])), "", "L "), IF(_xlfn.XOR(ISBLANK(Aug_2025_SotM[[#This Row],[S]]), ISBLANK(Aug_2025_SotM[[#This Row],[S ]])), "", "S "), IF(_xlfn.XOR(ISBLANK(Aug_2025_SotM[[#This Row],[H]]), ISBLANK(Aug_2025_SotM[[#This Row],[H ]])), "", "H ")))</f>
        <v/>
      </c>
      <c r="Z150" s="109">
        <f t="shared" si="36"/>
        <v>11</v>
      </c>
      <c r="AA150" s="59">
        <v>45896</v>
      </c>
      <c r="AB150" t="str">
        <v>currydestroyer27</v>
      </c>
      <c r="AC150" s="3">
        <v>2.2000000000000002</v>
      </c>
      <c r="AD150">
        <v>1.6</v>
      </c>
      <c r="AE150" t="str">
        <v>Simple And Clean</v>
      </c>
      <c r="AF150" t="str">
        <v>Hikaru Utada</v>
      </c>
      <c r="AG150" s="100">
        <f t="shared" si="35"/>
        <v>9</v>
      </c>
      <c r="AI150" s="115">
        <f>Aug_2025_SotM[[#This Row],[Max Seed]]/2 + 1</f>
        <v>9</v>
      </c>
      <c r="AJ150" s="105" t="str">
        <f ca="1">IF(Aug_2025_SotM[[#This Row],[Num]]&gt;=$A$135, "-", IF(Aug_2025_SotM[[#This Row],[Score 1]]&gt;=3, Aug_2025_SotM[[#This Row],[Song 2]], IF(Aug_2025_SotM[[#This Row],[Score 2]]&gt;=3, Aug_2025_SotM[[#This Row],[Song 1]], "TBD")))</f>
        <v>Overkill</v>
      </c>
      <c r="AK150" s="246">
        <f ca="1">IFERROR(VLOOKUP(Aug_2025_Results[[#This Row],[Song Title]], $AE$136:$AG$151, 3, FALSE)-Aug_2025_Results[[#This Row],[Result]], "TBD")</f>
        <v>-7</v>
      </c>
      <c r="AL150" s="246" t="str">
        <f t="shared" ca="1" si="37"/>
        <v>↓</v>
      </c>
    </row>
    <row r="151" spans="1:38">
      <c r="A151" s="199" t="str">
        <f>_xlfn.CONCAT("Seed ", Aug_2025_SotM[[#This Row],[Top Seed]], " vs ",Aug_2025_SotM[[#This Row],[Low Seed]])</f>
        <v>Seed 1 vs 16</v>
      </c>
      <c r="B151" s="201">
        <v>15</v>
      </c>
      <c r="C151" s="200">
        <f>FLOOR(LOG(Aug_2025_SotM[[#This Row],[Num]], 2), 1)</f>
        <v>3</v>
      </c>
      <c r="D151" s="200">
        <f>2^(Aug_2025_SotM[[#This Row],[Round]]+1)</f>
        <v>16</v>
      </c>
      <c r="E151" s="200">
        <f>Aug_2025_SotM[[#This Row],[Max Seed]]-Aug_2025_SotM[[#This Row],[Num]]</f>
        <v>1</v>
      </c>
      <c r="F151" s="200">
        <f>Aug_2025_SotM[[#This Row],[Max Seed]]-Aug_2025_SotM[[#This Row],[Top Seed]]+1</f>
        <v>16</v>
      </c>
      <c r="G151" s="200" t="b">
        <f>IF(Aug_2025_SotM[[#This Row],[Round]]=$C$135, TRUE(), IF(Aug_2025_SotM[[#This Row],[Round]]=$B$135, Aug_2025_SotM[[#This Row],[Top Seed]]&lt;=2*Aug_2025_SotM[[#This Row],[Max Seed]]-$A$135, FALSE()))</f>
        <v>1</v>
      </c>
      <c r="H151" s="200" t="b">
        <f>IF(Aug_2025_SotM[[#This Row],[Round]]=$C$135, TRUE(), IF(Aug_2025_SotM[[#This Row],[Round]]=$B$135, Aug_2025_SotM[[#This Row],[Low Seed]]&lt;=2*Aug_2025_SotM[[#This Row],[Max Seed]]-$A$135, FALSE()))</f>
        <v>1</v>
      </c>
      <c r="I151" s="28" t="s">
        <v>4191</v>
      </c>
      <c r="J151" s="31" t="s">
        <v>4191</v>
      </c>
      <c r="K151" s="33" t="s">
        <v>4191</v>
      </c>
      <c r="L151" s="35"/>
      <c r="M151" s="37" t="s">
        <v>4191</v>
      </c>
      <c r="N151" s="203" t="str">
        <f ca="1">IF(Aug_2025_SotM[[#This Row],[Num]]&gt;=$A$135, "-", IF(Aug_2025_SotM[[#This Row],[Initial 1]], VLOOKUP(Aug_2025_SotM[[#This Row],[Top Seed]], $Z$136:$AE$151, 6, FALSE), OFFSET(Aug_2025_SotM[[#This Row],[Winner]], Aug_2025_SotM[[#This Row],[Max Seed]], 0)))</f>
        <v>Billie Jean</v>
      </c>
      <c r="O151" s="200">
        <f>COUNTIF(Aug_2025_SotM[[#This Row],[J]:[H]],"x")</f>
        <v>4</v>
      </c>
      <c r="P151" s="201" t="str">
        <f ca="1">IF(Aug_2025_SotM[[#This Row],[Num]]&gt;=$A$135, "-", IF(Aug_2025_SotM[[#This Row],[Score 1]]&gt;=3, Aug_2025_SotM[[#This Row],[Song 1]], IF(Aug_2025_SotM[[#This Row],[Score 2]]&gt;=3, Aug_2025_SotM[[#This Row],[Song 2]], "TBD")))</f>
        <v>Billie Jean</v>
      </c>
      <c r="Q151" s="206">
        <f>COUNTIF(Aug_2025_SotM[[#This Row],[H ]:[J ]],"x")</f>
        <v>1</v>
      </c>
      <c r="R151" s="200" t="str">
        <f ca="1">IF(Aug_2025_SotM[[#This Row],[Num]]&gt;=$A$135, "-", IF(Aug_2025_SotM[[#This Row],[Initial 2]], VLOOKUP(Aug_2025_SotM[[#This Row],[Low Seed]], $Z$136:$AE$151, 6, FALSE), OFFSET(Aug_2025_SotM[[#This Row],[Winner]], 2*(Aug_2025_SotM[[#This Row],[Max Seed]]-Aug_2025_SotM[[#This Row],[Low Seed]])+1, 0)))</f>
        <v>Setting Sun</v>
      </c>
      <c r="S151" s="37"/>
      <c r="T151" s="35" t="s">
        <v>4191</v>
      </c>
      <c r="U151" s="33"/>
      <c r="V151" s="31"/>
      <c r="W151" s="28"/>
      <c r="X151" s="106" t="str">
        <f ca="1">IF(OR(Aug_2025_SotM[[#This Row],[Song 1]]="TBD", Aug_2025_SotM[[#This Row],[Song 2]]="TBD"), "TBD", _xlfn.CONCAT(IF(_xlfn.XOR(ISBLANK(Aug_2025_SotM[[#This Row],[J]]), ISBLANK(Aug_2025_SotM[[#This Row],[J ]])), "", "J "), IF(_xlfn.XOR(ISBLANK(Aug_2025_SotM[[#This Row],[D]]), ISBLANK(Aug_2025_SotM[[#This Row],[D ]])), "", "D "), IF(_xlfn.XOR(ISBLANK(Aug_2025_SotM[[#This Row],[L]]), ISBLANK(Aug_2025_SotM[[#This Row],[L ]])), "", "L "), IF(_xlfn.XOR(ISBLANK(Aug_2025_SotM[[#This Row],[S]]), ISBLANK(Aug_2025_SotM[[#This Row],[S ]])), "", "S "), IF(_xlfn.XOR(ISBLANK(Aug_2025_SotM[[#This Row],[H]]), ISBLANK(Aug_2025_SotM[[#This Row],[H ]])), "", "H ")))</f>
        <v/>
      </c>
      <c r="Z151" s="110">
        <f t="shared" si="36"/>
        <v>10</v>
      </c>
      <c r="AA151" s="211">
        <v>45897</v>
      </c>
      <c r="AB151" s="157" t="str">
        <v>danram</v>
      </c>
      <c r="AC151" s="101">
        <v>2.2000000000000002</v>
      </c>
      <c r="AD151" s="157">
        <v>1.1661903789690602</v>
      </c>
      <c r="AE151" s="157" t="str">
        <v>KLOuFRENS</v>
      </c>
      <c r="AF151" s="157" t="str">
        <v>Bad Bunny</v>
      </c>
      <c r="AG151" s="102">
        <f t="shared" si="35"/>
        <v>9</v>
      </c>
      <c r="AI151" s="115">
        <f>Aug_2025_SotM[[#This Row],[Max Seed]]/2 + 1</f>
        <v>9</v>
      </c>
      <c r="AJ151" s="105" t="str">
        <f ca="1">IF(Aug_2025_SotM[[#This Row],[Num]]&gt;=$A$135, "-", IF(Aug_2025_SotM[[#This Row],[Score 1]]&gt;=3, Aug_2025_SotM[[#This Row],[Song 2]], IF(Aug_2025_SotM[[#This Row],[Score 2]]&gt;=3, Aug_2025_SotM[[#This Row],[Song 1]], "TBD")))</f>
        <v>Setting Sun</v>
      </c>
      <c r="AK151" s="246">
        <f ca="1">IFERROR(VLOOKUP(Aug_2025_Results[[#This Row],[Song Title]], $AE$136:$AG$151, 3, FALSE)-Aug_2025_Results[[#This Row],[Result]], "TBD")</f>
        <v>0</v>
      </c>
      <c r="AL151" s="246" t="str">
        <f t="shared" ca="1" si="37"/>
        <v>-</v>
      </c>
    </row>
    <row r="153" spans="1:38">
      <c r="A153" s="302">
        <f>MAX(Z154:Z170)</f>
        <v>17</v>
      </c>
      <c r="B153" s="302">
        <f>FLOOR(LOG(A153, 2), 1)-1</f>
        <v>3</v>
      </c>
      <c r="C153" s="302">
        <f t="shared" ref="C153" si="38">_xlfn.CEILING.MATH(LOG(A153, 2), 1)-1</f>
        <v>4</v>
      </c>
      <c r="D153" s="302"/>
      <c r="E153" s="302"/>
      <c r="F153" s="302"/>
      <c r="G153" s="302"/>
      <c r="H153" s="302"/>
      <c r="I153" s="348" t="s">
        <v>4197</v>
      </c>
      <c r="J153" s="348"/>
      <c r="K153" s="348"/>
      <c r="L153" s="348"/>
      <c r="M153" s="348"/>
      <c r="N153" s="348"/>
      <c r="O153" s="348"/>
      <c r="P153" s="348"/>
      <c r="Q153" s="348"/>
      <c r="R153" s="348"/>
      <c r="S153" s="348"/>
      <c r="T153" s="348"/>
      <c r="U153" s="348"/>
      <c r="V153" s="348"/>
      <c r="W153" s="348"/>
      <c r="X153" s="302"/>
      <c r="Z153" s="221" t="s">
        <v>4163</v>
      </c>
      <c r="AA153" s="222" t="s">
        <v>29</v>
      </c>
      <c r="AB153" s="220" t="s">
        <v>32</v>
      </c>
      <c r="AC153" s="221" t="s">
        <v>33</v>
      </c>
      <c r="AD153" s="220" t="s">
        <v>34</v>
      </c>
      <c r="AE153" s="220" t="s">
        <v>4161</v>
      </c>
      <c r="AF153" s="220" t="s">
        <v>36</v>
      </c>
      <c r="AG153" s="221" t="s">
        <v>4164</v>
      </c>
      <c r="AI153" s="3" t="s">
        <v>4165</v>
      </c>
      <c r="AJ153" t="s">
        <v>35</v>
      </c>
      <c r="AK153" s="3" t="s">
        <v>4166</v>
      </c>
      <c r="AL153" s="3" t="s">
        <v>4167</v>
      </c>
    </row>
    <row r="154" spans="1:38">
      <c r="A154" s="218" t="s">
        <v>4168</v>
      </c>
      <c r="B154" s="213" t="s">
        <v>4169</v>
      </c>
      <c r="C154" s="219" t="s">
        <v>4170</v>
      </c>
      <c r="D154" s="219" t="s">
        <v>4171</v>
      </c>
      <c r="E154" s="219" t="s">
        <v>4172</v>
      </c>
      <c r="F154" s="219" t="s">
        <v>4173</v>
      </c>
      <c r="G154" s="219" t="s">
        <v>4174</v>
      </c>
      <c r="H154" s="219" t="s">
        <v>4175</v>
      </c>
      <c r="I154" s="219" t="s">
        <v>4176</v>
      </c>
      <c r="J154" s="219" t="s">
        <v>4177</v>
      </c>
      <c r="K154" s="219" t="s">
        <v>4178</v>
      </c>
      <c r="L154" s="219" t="s">
        <v>4179</v>
      </c>
      <c r="M154" s="219" t="s">
        <v>4180</v>
      </c>
      <c r="N154" s="226" t="s">
        <v>4181</v>
      </c>
      <c r="O154" s="219" t="s">
        <v>4182</v>
      </c>
      <c r="P154" s="213" t="s">
        <v>47</v>
      </c>
      <c r="Q154" s="231" t="s">
        <v>4183</v>
      </c>
      <c r="R154" s="219" t="s">
        <v>4184</v>
      </c>
      <c r="S154" s="219" t="s">
        <v>4185</v>
      </c>
      <c r="T154" s="219" t="s">
        <v>4186</v>
      </c>
      <c r="U154" s="219" t="s">
        <v>4187</v>
      </c>
      <c r="V154" s="219" t="s">
        <v>4188</v>
      </c>
      <c r="W154" s="219" t="s">
        <v>4189</v>
      </c>
      <c r="X154" s="110" t="s">
        <v>4190</v>
      </c>
      <c r="Z154" s="109">
        <f t="shared" ref="Z154:Z170" si="39">IF(AC154&gt;0, COUNTIF(AC$154:AC$170, "&lt;"&amp;AC154) + COUNTIFS(AC$154:AC$170, AC154, AD$154:AD$170, "&lt;"&amp;AD154) + COUNTIFS(AC$154:AC$170, AC154, AD$154:AD$170, AD154, AA$154:AA$170, "&lt;"&amp;AA154) + 1, "TBD")</f>
        <v>10</v>
      </c>
      <c r="AA154" s="59" cm="1">
        <f t="array" ref="AA154:AF170">_xlfn._xlws.FILTER(Data[Date]:Data[Artist], (Data[Date]&gt;=DATE(2025,9,1))*(Data[Date]&lt;=DATE(2025,9,30))*(Data[Winner]=TRUE()), "TBD")</f>
        <v>45902</v>
      </c>
      <c r="AB154" t="str">
        <v>loganworsdell</v>
      </c>
      <c r="AC154" s="3">
        <v>2.2000000000000002</v>
      </c>
      <c r="AD154">
        <v>1.4696938456699069</v>
      </c>
      <c r="AE154" t="str">
        <v>São Paulo</v>
      </c>
      <c r="AF154" t="str">
        <v>The Weekend, Anitta</v>
      </c>
      <c r="AG154" s="100">
        <f t="shared" ref="AG154:AG170" si="40">IF(Z154&gt;1, 2^FLOOR(LOG(Z154-1, 2), 1)+1, 1)</f>
        <v>9</v>
      </c>
      <c r="AI154" s="3">
        <v>1</v>
      </c>
      <c r="AJ154" t="str">
        <f ca="1">P155</f>
        <v>How You Remind Me</v>
      </c>
      <c r="AK154" s="3">
        <f ca="1">IFERROR(VLOOKUP(Sep_2025_Results[[#This Row],[Song Title]], $AE$154:$AG$170, 3, FALSE)-Sep_2025_Results[[#This Row],[Result]], "TBD")</f>
        <v>2</v>
      </c>
      <c r="AL154" s="3" t="str">
        <f ca="1">IF(AK154&lt;0,"↓",IF(AK154=0,"-","↑"))</f>
        <v>↑</v>
      </c>
    </row>
    <row r="155" spans="1:38">
      <c r="A155" s="199" t="str">
        <f>_xlfn.CONCAT("Seed ", Sep_2025_SotM[[#This Row],[Top Seed]], " vs ",Sep_2025_SotM[[#This Row],[Low Seed]])</f>
        <v>Seed 1 vs 2</v>
      </c>
      <c r="B155" s="201">
        <v>1</v>
      </c>
      <c r="C155" s="200">
        <f>FLOOR(LOG(Sep_2025_SotM[[#This Row],[Num]], 2), 1)</f>
        <v>0</v>
      </c>
      <c r="D155" s="200">
        <f>2^(Sep_2025_SotM[[#This Row],[Round]]+1)</f>
        <v>2</v>
      </c>
      <c r="E155" s="200">
        <f>Sep_2025_SotM[[#This Row],[Max Seed]]-Sep_2025_SotM[[#This Row],[Num]]</f>
        <v>1</v>
      </c>
      <c r="F155" s="200">
        <f>Sep_2025_SotM[[#This Row],[Max Seed]]-Sep_2025_SotM[[#This Row],[Top Seed]]+1</f>
        <v>2</v>
      </c>
      <c r="G155" s="200" t="b">
        <f>IF(Sep_2025_SotM[[#This Row],[Round]]=$C$153, TRUE(), IF(Sep_2025_SotM[[#This Row],[Round]]=$B$153, Sep_2025_SotM[[#This Row],[Top Seed]]&lt;=2*Sep_2025_SotM[[#This Row],[Max Seed]]-$A$153, FALSE()))</f>
        <v>0</v>
      </c>
      <c r="H155" s="200" t="b">
        <f>IF(Sep_2025_SotM[[#This Row],[Round]]=$C$153, TRUE(), IF(Sep_2025_SotM[[#This Row],[Round]]=$B$153, Sep_2025_SotM[[#This Row],[Low Seed]]&lt;=2*Sep_2025_SotM[[#This Row],[Max Seed]]-$A$153, FALSE()))</f>
        <v>0</v>
      </c>
      <c r="I155" s="28"/>
      <c r="J155" s="31" t="s">
        <v>4191</v>
      </c>
      <c r="K155" s="33"/>
      <c r="L155" s="35" t="s">
        <v>4191</v>
      </c>
      <c r="M155" s="37" t="s">
        <v>4191</v>
      </c>
      <c r="N155" s="203" t="str">
        <f ca="1">IF(Sep_2025_SotM[[#This Row],[Num]]&gt;=$A$153, "-", IF(Sep_2025_SotM[[#This Row],[Initial 1]], VLOOKUP(Sep_2025_SotM[[#This Row],[Top Seed]], $Z$154:$AE$170, 6, FALSE), OFFSET(Sep_2025_SotM[[#This Row],[Winner]], Sep_2025_SotM[[#This Row],[Max Seed]], 0)))</f>
        <v>How You Remind Me</v>
      </c>
      <c r="O155" s="200">
        <f>COUNTIF(Sep_2025_SotM[[#This Row],[J]:[H]],"x")</f>
        <v>3</v>
      </c>
      <c r="P155" s="201" t="str">
        <f ca="1">IF(Sep_2025_SotM[[#This Row],[Num]]&gt;=$A$153, "-", IF(Sep_2025_SotM[[#This Row],[Score 1]]&gt;=3, Sep_2025_SotM[[#This Row],[Song 1]], IF(Sep_2025_SotM[[#This Row],[Score 2]]&gt;=3, Sep_2025_SotM[[#This Row],[Song 2]], "TBD")))</f>
        <v>How You Remind Me</v>
      </c>
      <c r="Q155" s="206">
        <f>COUNTIF(Sep_2025_SotM[[#This Row],[H ]:[J ]],"x")</f>
        <v>2</v>
      </c>
      <c r="R155" s="200" t="str">
        <f ca="1">IF(Sep_2025_SotM[[#This Row],[Num]]&gt;=$A$153, "-", IF(Sep_2025_SotM[[#This Row],[Initial 2]], VLOOKUP(Sep_2025_SotM[[#This Row],[Low Seed]], $Z$154:$AE$170, 6, FALSE), OFFSET(Sep_2025_SotM[[#This Row],[Winner]], 2*(Sep_2025_SotM[[#This Row],[Max Seed]]-Sep_2025_SotM[[#This Row],[Low Seed]])+1, 0)))</f>
        <v>i</v>
      </c>
      <c r="S155" s="37"/>
      <c r="T155" s="35"/>
      <c r="U155" s="33" t="s">
        <v>4191</v>
      </c>
      <c r="V155" s="31"/>
      <c r="W155" s="28" t="s">
        <v>4191</v>
      </c>
      <c r="X155" s="106" t="str">
        <f ca="1">IF(OR(Sep_2025_SotM[[#This Row],[Song 1]]="TBD", Sep_2025_SotM[[#This Row],[Song 2]]="TBD"), "TBD", _xlfn.CONCAT(IF(_xlfn.XOR(ISBLANK(Sep_2025_SotM[[#This Row],[J]]), ISBLANK(Sep_2025_SotM[[#This Row],[J ]])), "", "J "), IF(_xlfn.XOR(ISBLANK(Sep_2025_SotM[[#This Row],[D]]), ISBLANK(Sep_2025_SotM[[#This Row],[D ]])), "", "D "), IF(_xlfn.XOR(ISBLANK(Sep_2025_SotM[[#This Row],[L]]), ISBLANK(Sep_2025_SotM[[#This Row],[L ]])), "", "L "), IF(_xlfn.XOR(ISBLANK(Sep_2025_SotM[[#This Row],[S]]), ISBLANK(Sep_2025_SotM[[#This Row],[S ]])), "", "S "), IF(_xlfn.XOR(ISBLANK(Sep_2025_SotM[[#This Row],[H]]), ISBLANK(Sep_2025_SotM[[#This Row],[H ]])), "", "H ")))</f>
        <v/>
      </c>
      <c r="Z155" s="109">
        <f t="shared" si="39"/>
        <v>16</v>
      </c>
      <c r="AA155" s="59">
        <v>45903</v>
      </c>
      <c r="AB155" t="str">
        <v>currydestroyer27</v>
      </c>
      <c r="AC155" s="3">
        <v>2.6</v>
      </c>
      <c r="AD155">
        <v>1.3564659966250536</v>
      </c>
      <c r="AE155" t="str">
        <v>Last Memory</v>
      </c>
      <c r="AF155" t="str">
        <v>Takeoff</v>
      </c>
      <c r="AG155" s="100">
        <f t="shared" si="40"/>
        <v>9</v>
      </c>
      <c r="AI155" s="3">
        <f>Sep_2025_SotM[[#This Row],[Max Seed]]/2 + 1</f>
        <v>2</v>
      </c>
      <c r="AJ155" t="str">
        <f ca="1">IF(Sep_2025_SotM[[#This Row],[Num]]&gt;=$A$153, "-", IF(Sep_2025_SotM[[#This Row],[Score 1]]&gt;=3, Sep_2025_SotM[[#This Row],[Song 2]], IF(Sep_2025_SotM[[#This Row],[Score 2]]&gt;=3, Sep_2025_SotM[[#This Row],[Song 1]], "TBD")))</f>
        <v>i</v>
      </c>
      <c r="AK155" s="3">
        <f ca="1">IFERROR(VLOOKUP(Sep_2025_Results[[#This Row],[Song Title]], $AE$154:$AG$170, 3, FALSE)-Sep_2025_Results[[#This Row],[Result]], "TBD")</f>
        <v>3</v>
      </c>
      <c r="AL155" s="3" t="str">
        <f ca="1">IF(AK155&lt;0,"↓",IF(AK155=0,"-","↑"))</f>
        <v>↑</v>
      </c>
    </row>
    <row r="156" spans="1:38">
      <c r="A156" s="199" t="str">
        <f>_xlfn.CONCAT("Seed ", Sep_2025_SotM[[#This Row],[Top Seed]], " vs ",Sep_2025_SotM[[#This Row],[Low Seed]])</f>
        <v>Seed 2 vs 3</v>
      </c>
      <c r="B156" s="201">
        <v>2</v>
      </c>
      <c r="C156" s="200">
        <f>FLOOR(LOG(Sep_2025_SotM[[#This Row],[Num]], 2), 1)</f>
        <v>1</v>
      </c>
      <c r="D156" s="200">
        <f>2^(Sep_2025_SotM[[#This Row],[Round]]+1)</f>
        <v>4</v>
      </c>
      <c r="E156" s="200">
        <f>Sep_2025_SotM[[#This Row],[Max Seed]]-Sep_2025_SotM[[#This Row],[Num]]</f>
        <v>2</v>
      </c>
      <c r="F156" s="200">
        <f>Sep_2025_SotM[[#This Row],[Max Seed]]-Sep_2025_SotM[[#This Row],[Top Seed]]+1</f>
        <v>3</v>
      </c>
      <c r="G156" s="200" t="b">
        <f>IF(Sep_2025_SotM[[#This Row],[Round]]=$C$153, TRUE(), IF(Sep_2025_SotM[[#This Row],[Round]]=$B$153, Sep_2025_SotM[[#This Row],[Top Seed]]&lt;=2*Sep_2025_SotM[[#This Row],[Max Seed]]-$A$153, FALSE()))</f>
        <v>0</v>
      </c>
      <c r="H156" s="200" t="b">
        <f>IF(Sep_2025_SotM[[#This Row],[Round]]=$C$153, TRUE(), IF(Sep_2025_SotM[[#This Row],[Round]]=$B$153, Sep_2025_SotM[[#This Row],[Low Seed]]&lt;=2*Sep_2025_SotM[[#This Row],[Max Seed]]-$A$153, FALSE()))</f>
        <v>0</v>
      </c>
      <c r="I156" s="28"/>
      <c r="J156" s="31" t="s">
        <v>4191</v>
      </c>
      <c r="K156" s="33"/>
      <c r="L156" s="35"/>
      <c r="M156" s="37" t="s">
        <v>4191</v>
      </c>
      <c r="N156" s="203" t="str">
        <f ca="1">IF(Sep_2025_SotM[[#This Row],[Num]]&gt;=$A$153, "-", IF(Sep_2025_SotM[[#This Row],[Initial 1]], VLOOKUP(Sep_2025_SotM[[#This Row],[Top Seed]], $Z$154:$AE$170, 6, FALSE), OFFSET(Sep_2025_SotM[[#This Row],[Winner]], Sep_2025_SotM[[#This Row],[Max Seed]], 0)))</f>
        <v>Maps</v>
      </c>
      <c r="O156" s="200">
        <f>COUNTIF(Sep_2025_SotM[[#This Row],[J]:[H]],"x")</f>
        <v>2</v>
      </c>
      <c r="P156" s="201" t="str">
        <f ca="1">IF(Sep_2025_SotM[[#This Row],[Num]]&gt;=$A$153, "-", IF(Sep_2025_SotM[[#This Row],[Score 1]]&gt;=3, Sep_2025_SotM[[#This Row],[Song 1]], IF(Sep_2025_SotM[[#This Row],[Score 2]]&gt;=3, Sep_2025_SotM[[#This Row],[Song 2]], "TBD")))</f>
        <v>i</v>
      </c>
      <c r="Q156" s="206">
        <f>COUNTIF(Sep_2025_SotM[[#This Row],[H ]:[J ]],"x")</f>
        <v>3</v>
      </c>
      <c r="R156" s="200" t="str">
        <f ca="1">IF(Sep_2025_SotM[[#This Row],[Num]]&gt;=$A$153, "-", IF(Sep_2025_SotM[[#This Row],[Initial 2]], VLOOKUP(Sep_2025_SotM[[#This Row],[Low Seed]], $Z$154:$AE$170, 6, FALSE), OFFSET(Sep_2025_SotM[[#This Row],[Winner]], 2*(Sep_2025_SotM[[#This Row],[Max Seed]]-Sep_2025_SotM[[#This Row],[Low Seed]])+1, 0)))</f>
        <v>i</v>
      </c>
      <c r="S156" s="37"/>
      <c r="T156" s="35" t="s">
        <v>4191</v>
      </c>
      <c r="U156" s="33" t="s">
        <v>4191</v>
      </c>
      <c r="V156" s="31"/>
      <c r="W156" s="28" t="s">
        <v>4191</v>
      </c>
      <c r="X156" s="106" t="str">
        <f ca="1">IF(OR(Sep_2025_SotM[[#This Row],[Song 1]]="TBD", Sep_2025_SotM[[#This Row],[Song 2]]="TBD"), "TBD", _xlfn.CONCAT(IF(_xlfn.XOR(ISBLANK(Sep_2025_SotM[[#This Row],[J]]), ISBLANK(Sep_2025_SotM[[#This Row],[J ]])), "", "J "), IF(_xlfn.XOR(ISBLANK(Sep_2025_SotM[[#This Row],[D]]), ISBLANK(Sep_2025_SotM[[#This Row],[D ]])), "", "D "), IF(_xlfn.XOR(ISBLANK(Sep_2025_SotM[[#This Row],[L]]), ISBLANK(Sep_2025_SotM[[#This Row],[L ]])), "", "L "), IF(_xlfn.XOR(ISBLANK(Sep_2025_SotM[[#This Row],[S]]), ISBLANK(Sep_2025_SotM[[#This Row],[S ]])), "", "S "), IF(_xlfn.XOR(ISBLANK(Sep_2025_SotM[[#This Row],[H]]), ISBLANK(Sep_2025_SotM[[#This Row],[H ]])), "", "H ")))</f>
        <v/>
      </c>
      <c r="Z156" s="109">
        <f t="shared" si="39"/>
        <v>2</v>
      </c>
      <c r="AA156" s="59">
        <v>45904</v>
      </c>
      <c r="AB156" t="str">
        <v>currydestroyer27</v>
      </c>
      <c r="AC156" s="3">
        <v>1.8</v>
      </c>
      <c r="AD156">
        <v>0.4</v>
      </c>
      <c r="AE156" t="str">
        <v>Maps</v>
      </c>
      <c r="AF156" t="str">
        <v>Maroon 5</v>
      </c>
      <c r="AG156" s="100">
        <f t="shared" si="40"/>
        <v>2</v>
      </c>
      <c r="AI156" s="3">
        <f>Sep_2025_SotM[[#This Row],[Max Seed]]/2 + 1</f>
        <v>3</v>
      </c>
      <c r="AJ156" t="str">
        <f ca="1">IF(Sep_2025_SotM[[#This Row],[Num]]&gt;=$A$153, "-", IF(Sep_2025_SotM[[#This Row],[Score 1]]&gt;=3, Sep_2025_SotM[[#This Row],[Song 2]], IF(Sep_2025_SotM[[#This Row],[Score 2]]&gt;=3, Sep_2025_SotM[[#This Row],[Song 1]], "TBD")))</f>
        <v>Maps</v>
      </c>
      <c r="AK156" s="3">
        <f ca="1">IFERROR(VLOOKUP(Sep_2025_Results[[#This Row],[Song Title]], $AE$154:$AG$170, 3, FALSE)-Sep_2025_Results[[#This Row],[Result]], "TBD")</f>
        <v>-1</v>
      </c>
      <c r="AL156" s="3" t="str">
        <f t="shared" ref="AL156:AL170" ca="1" si="41">IF(AK156&lt;0,"↓",IF(AK156=0,"-","↑"))</f>
        <v>↓</v>
      </c>
    </row>
    <row r="157" spans="1:38">
      <c r="A157" s="199" t="str">
        <f>_xlfn.CONCAT("Seed ", Sep_2025_SotM[[#This Row],[Top Seed]], " vs ",Sep_2025_SotM[[#This Row],[Low Seed]])</f>
        <v>Seed 1 vs 4</v>
      </c>
      <c r="B157" s="201">
        <v>3</v>
      </c>
      <c r="C157" s="200">
        <f>FLOOR(LOG(Sep_2025_SotM[[#This Row],[Num]], 2), 1)</f>
        <v>1</v>
      </c>
      <c r="D157" s="200">
        <f>2^(Sep_2025_SotM[[#This Row],[Round]]+1)</f>
        <v>4</v>
      </c>
      <c r="E157" s="200">
        <f>Sep_2025_SotM[[#This Row],[Max Seed]]-Sep_2025_SotM[[#This Row],[Num]]</f>
        <v>1</v>
      </c>
      <c r="F157" s="200">
        <f>Sep_2025_SotM[[#This Row],[Max Seed]]-Sep_2025_SotM[[#This Row],[Top Seed]]+1</f>
        <v>4</v>
      </c>
      <c r="G157" s="200" t="b">
        <f>IF(Sep_2025_SotM[[#This Row],[Round]]=$C$153, TRUE(), IF(Sep_2025_SotM[[#This Row],[Round]]=$B$153, Sep_2025_SotM[[#This Row],[Top Seed]]&lt;=2*Sep_2025_SotM[[#This Row],[Max Seed]]-$A$153, FALSE()))</f>
        <v>0</v>
      </c>
      <c r="H157" s="200" t="b">
        <f>IF(Sep_2025_SotM[[#This Row],[Round]]=$C$153, TRUE(), IF(Sep_2025_SotM[[#This Row],[Round]]=$B$153, Sep_2025_SotM[[#This Row],[Low Seed]]&lt;=2*Sep_2025_SotM[[#This Row],[Max Seed]]-$A$153, FALSE()))</f>
        <v>0</v>
      </c>
      <c r="I157" s="28" t="s">
        <v>4191</v>
      </c>
      <c r="J157" s="31"/>
      <c r="K157" s="33"/>
      <c r="L157" s="35" t="s">
        <v>4191</v>
      </c>
      <c r="M157" s="37"/>
      <c r="N157" s="203" t="str">
        <f ca="1">IF(Sep_2025_SotM[[#This Row],[Num]]&gt;=$A$153, "-", IF(Sep_2025_SotM[[#This Row],[Initial 1]], VLOOKUP(Sep_2025_SotM[[#This Row],[Top Seed]], $Z$154:$AE$170, 6, FALSE), OFFSET(Sep_2025_SotM[[#This Row],[Winner]], Sep_2025_SotM[[#This Row],[Max Seed]], 0)))</f>
        <v>Roundabaout</v>
      </c>
      <c r="O157" s="200">
        <f>COUNTIF(Sep_2025_SotM[[#This Row],[J]:[H]],"x")</f>
        <v>2</v>
      </c>
      <c r="P157" s="201" t="str">
        <f ca="1">IF(Sep_2025_SotM[[#This Row],[Num]]&gt;=$A$153, "-", IF(Sep_2025_SotM[[#This Row],[Score 1]]&gt;=3, Sep_2025_SotM[[#This Row],[Song 1]], IF(Sep_2025_SotM[[#This Row],[Score 2]]&gt;=3, Sep_2025_SotM[[#This Row],[Song 2]], "TBD")))</f>
        <v>How You Remind Me</v>
      </c>
      <c r="Q157" s="206">
        <f>COUNTIF(Sep_2025_SotM[[#This Row],[H ]:[J ]],"x")</f>
        <v>3</v>
      </c>
      <c r="R157" s="200" t="str">
        <f ca="1">IF(Sep_2025_SotM[[#This Row],[Num]]&gt;=$A$153, "-", IF(Sep_2025_SotM[[#This Row],[Initial 2]], VLOOKUP(Sep_2025_SotM[[#This Row],[Low Seed]], $Z$154:$AE$170, 6, FALSE), OFFSET(Sep_2025_SotM[[#This Row],[Winner]], 2*(Sep_2025_SotM[[#This Row],[Max Seed]]-Sep_2025_SotM[[#This Row],[Low Seed]])+1, 0)))</f>
        <v>How You Remind Me</v>
      </c>
      <c r="S157" s="37" t="s">
        <v>4191</v>
      </c>
      <c r="T157" s="35"/>
      <c r="U157" s="33" t="s">
        <v>4191</v>
      </c>
      <c r="V157" s="31" t="s">
        <v>4191</v>
      </c>
      <c r="W157" s="28"/>
      <c r="X157" s="106" t="str">
        <f ca="1">IF(OR(Sep_2025_SotM[[#This Row],[Song 1]]="TBD", Sep_2025_SotM[[#This Row],[Song 2]]="TBD"), "TBD", _xlfn.CONCAT(IF(_xlfn.XOR(ISBLANK(Sep_2025_SotM[[#This Row],[J]]), ISBLANK(Sep_2025_SotM[[#This Row],[J ]])), "", "J "), IF(_xlfn.XOR(ISBLANK(Sep_2025_SotM[[#This Row],[D]]), ISBLANK(Sep_2025_SotM[[#This Row],[D ]])), "", "D "), IF(_xlfn.XOR(ISBLANK(Sep_2025_SotM[[#This Row],[L]]), ISBLANK(Sep_2025_SotM[[#This Row],[L ]])), "", "L "), IF(_xlfn.XOR(ISBLANK(Sep_2025_SotM[[#This Row],[S]]), ISBLANK(Sep_2025_SotM[[#This Row],[S ]])), "", "S "), IF(_xlfn.XOR(ISBLANK(Sep_2025_SotM[[#This Row],[H]]), ISBLANK(Sep_2025_SotM[[#This Row],[H ]])), "", "H ")))</f>
        <v/>
      </c>
      <c r="Z157" s="109">
        <f t="shared" si="39"/>
        <v>3</v>
      </c>
      <c r="AA157" s="59">
        <v>45908</v>
      </c>
      <c r="AB157" t="str">
        <v>samuelbattista</v>
      </c>
      <c r="AC157" s="3">
        <v>1.8</v>
      </c>
      <c r="AD157">
        <v>0.9797958971132712</v>
      </c>
      <c r="AE157" t="str">
        <v>Politix</v>
      </c>
      <c r="AF157" t="str">
        <v>Balu Brigada</v>
      </c>
      <c r="AG157" s="100">
        <f t="shared" si="40"/>
        <v>3</v>
      </c>
      <c r="AI157" s="3">
        <f>Sep_2025_SotM[[#This Row],[Max Seed]]/2 + 1</f>
        <v>3</v>
      </c>
      <c r="AJ157" t="str">
        <f ca="1">IF(Sep_2025_SotM[[#This Row],[Num]]&gt;=$A$153, "-", IF(Sep_2025_SotM[[#This Row],[Score 1]]&gt;=3, Sep_2025_SotM[[#This Row],[Song 2]], IF(Sep_2025_SotM[[#This Row],[Score 2]]&gt;=3, Sep_2025_SotM[[#This Row],[Song 1]], "TBD")))</f>
        <v>Roundabaout</v>
      </c>
      <c r="AK157" s="3">
        <f ca="1">IFERROR(VLOOKUP(Sep_2025_Results[[#This Row],[Song Title]], $AE$154:$AG$170, 3, FALSE)-Sep_2025_Results[[#This Row],[Result]], "TBD")</f>
        <v>-2</v>
      </c>
      <c r="AL157" s="3" t="str">
        <f t="shared" ca="1" si="41"/>
        <v>↓</v>
      </c>
    </row>
    <row r="158" spans="1:38">
      <c r="A158" s="199" t="str">
        <f>_xlfn.CONCAT("Seed ", Sep_2025_SotM[[#This Row],[Top Seed]], " vs ",Sep_2025_SotM[[#This Row],[Low Seed]])</f>
        <v>Seed 4 vs 5</v>
      </c>
      <c r="B158" s="201">
        <v>4</v>
      </c>
      <c r="C158" s="200">
        <f>FLOOR(LOG(Sep_2025_SotM[[#This Row],[Num]], 2), 1)</f>
        <v>2</v>
      </c>
      <c r="D158" s="200">
        <f>2^(Sep_2025_SotM[[#This Row],[Round]]+1)</f>
        <v>8</v>
      </c>
      <c r="E158" s="200">
        <f>Sep_2025_SotM[[#This Row],[Max Seed]]-Sep_2025_SotM[[#This Row],[Num]]</f>
        <v>4</v>
      </c>
      <c r="F158" s="200">
        <f>Sep_2025_SotM[[#This Row],[Max Seed]]-Sep_2025_SotM[[#This Row],[Top Seed]]+1</f>
        <v>5</v>
      </c>
      <c r="G158" s="200" t="b">
        <f>IF(Sep_2025_SotM[[#This Row],[Round]]=$C$153, TRUE(), IF(Sep_2025_SotM[[#This Row],[Round]]=$B$153, Sep_2025_SotM[[#This Row],[Top Seed]]&lt;=2*Sep_2025_SotM[[#This Row],[Max Seed]]-$A$153, FALSE()))</f>
        <v>0</v>
      </c>
      <c r="H158" s="200" t="b">
        <f>IF(Sep_2025_SotM[[#This Row],[Round]]=$C$153, TRUE(), IF(Sep_2025_SotM[[#This Row],[Round]]=$B$153, Sep_2025_SotM[[#This Row],[Low Seed]]&lt;=2*Sep_2025_SotM[[#This Row],[Max Seed]]-$A$153, FALSE()))</f>
        <v>0</v>
      </c>
      <c r="I158" s="28"/>
      <c r="J158" s="31" t="s">
        <v>4191</v>
      </c>
      <c r="K158" s="33" t="s">
        <v>4191</v>
      </c>
      <c r="L158" s="35" t="s">
        <v>4191</v>
      </c>
      <c r="M158" s="37" t="s">
        <v>4191</v>
      </c>
      <c r="N158" s="203" t="str">
        <f ca="1">IF(Sep_2025_SotM[[#This Row],[Num]]&gt;=$A$153, "-", IF(Sep_2025_SotM[[#This Row],[Initial 1]], VLOOKUP(Sep_2025_SotM[[#This Row],[Top Seed]], $Z$154:$AE$170, 6, FALSE), OFFSET(Sep_2025_SotM[[#This Row],[Winner]], Sep_2025_SotM[[#This Row],[Max Seed]], 0)))</f>
        <v>How You Remind Me</v>
      </c>
      <c r="O158" s="200">
        <f>COUNTIF(Sep_2025_SotM[[#This Row],[J]:[H]],"x")</f>
        <v>4</v>
      </c>
      <c r="P158" s="201" t="str">
        <f ca="1">IF(Sep_2025_SotM[[#This Row],[Num]]&gt;=$A$153, "-", IF(Sep_2025_SotM[[#This Row],[Score 1]]&gt;=3, Sep_2025_SotM[[#This Row],[Song 1]], IF(Sep_2025_SotM[[#This Row],[Score 2]]&gt;=3, Sep_2025_SotM[[#This Row],[Song 2]], "TBD")))</f>
        <v>How You Remind Me</v>
      </c>
      <c r="Q158" s="206">
        <f>COUNTIF(Sep_2025_SotM[[#This Row],[H ]:[J ]],"x")</f>
        <v>1</v>
      </c>
      <c r="R158" s="200" t="str">
        <f ca="1">IF(Sep_2025_SotM[[#This Row],[Num]]&gt;=$A$153, "-", IF(Sep_2025_SotM[[#This Row],[Initial 2]], VLOOKUP(Sep_2025_SotM[[#This Row],[Low Seed]], $Z$154:$AE$170, 6, FALSE), OFFSET(Sep_2025_SotM[[#This Row],[Winner]], 2*(Sep_2025_SotM[[#This Row],[Max Seed]]-Sep_2025_SotM[[#This Row],[Low Seed]])+1, 0)))</f>
        <v>That Girl</v>
      </c>
      <c r="S158" s="37"/>
      <c r="T158" s="35"/>
      <c r="U158" s="33"/>
      <c r="V158" s="31"/>
      <c r="W158" s="28" t="s">
        <v>4191</v>
      </c>
      <c r="X158" s="106" t="str">
        <f ca="1">IF(OR(Sep_2025_SotM[[#This Row],[Song 1]]="TBD", Sep_2025_SotM[[#This Row],[Song 2]]="TBD"), "TBD", _xlfn.CONCAT(IF(_xlfn.XOR(ISBLANK(Sep_2025_SotM[[#This Row],[J]]), ISBLANK(Sep_2025_SotM[[#This Row],[J ]])), "", "J "), IF(_xlfn.XOR(ISBLANK(Sep_2025_SotM[[#This Row],[D]]), ISBLANK(Sep_2025_SotM[[#This Row],[D ]])), "", "D "), IF(_xlfn.XOR(ISBLANK(Sep_2025_SotM[[#This Row],[L]]), ISBLANK(Sep_2025_SotM[[#This Row],[L ]])), "", "L "), IF(_xlfn.XOR(ISBLANK(Sep_2025_SotM[[#This Row],[S]]), ISBLANK(Sep_2025_SotM[[#This Row],[S ]])), "", "S "), IF(_xlfn.XOR(ISBLANK(Sep_2025_SotM[[#This Row],[H]]), ISBLANK(Sep_2025_SotM[[#This Row],[H ]])), "", "H ")))</f>
        <v/>
      </c>
      <c r="Z158" s="109">
        <f t="shared" si="39"/>
        <v>14</v>
      </c>
      <c r="AA158" s="59">
        <v>45909</v>
      </c>
      <c r="AB158" t="str">
        <v>danram</v>
      </c>
      <c r="AC158" s="3">
        <v>2.6</v>
      </c>
      <c r="AD158">
        <v>1.019803902718557</v>
      </c>
      <c r="AE158" t="str">
        <v>on one tonight</v>
      </c>
      <c r="AF158" t="str">
        <v>Gunna</v>
      </c>
      <c r="AG158" s="100">
        <f t="shared" si="40"/>
        <v>9</v>
      </c>
      <c r="AI158" s="3">
        <f>Sep_2025_SotM[[#This Row],[Max Seed]]/2 + 1</f>
        <v>5</v>
      </c>
      <c r="AJ158" t="str">
        <f ca="1">IF(Sep_2025_SotM[[#This Row],[Num]]&gt;=$A$153, "-", IF(Sep_2025_SotM[[#This Row],[Score 1]]&gt;=3, Sep_2025_SotM[[#This Row],[Song 2]], IF(Sep_2025_SotM[[#This Row],[Score 2]]&gt;=3, Sep_2025_SotM[[#This Row],[Song 1]], "TBD")))</f>
        <v>That Girl</v>
      </c>
      <c r="AK158" s="3">
        <f ca="1">IFERROR(VLOOKUP(Sep_2025_Results[[#This Row],[Song Title]], $AE$154:$AG$170, 3, FALSE)-Sep_2025_Results[[#This Row],[Result]], "TBD")</f>
        <v>0</v>
      </c>
      <c r="AL158" s="3" t="str">
        <f t="shared" ca="1" si="41"/>
        <v>-</v>
      </c>
    </row>
    <row r="159" spans="1:38">
      <c r="A159" s="199" t="str">
        <f>_xlfn.CONCAT("Seed ", Sep_2025_SotM[[#This Row],[Top Seed]], " vs ",Sep_2025_SotM[[#This Row],[Low Seed]])</f>
        <v>Seed 3 vs 6</v>
      </c>
      <c r="B159" s="201">
        <v>5</v>
      </c>
      <c r="C159" s="200">
        <f>FLOOR(LOG(Sep_2025_SotM[[#This Row],[Num]], 2), 1)</f>
        <v>2</v>
      </c>
      <c r="D159" s="200">
        <f>2^(Sep_2025_SotM[[#This Row],[Round]]+1)</f>
        <v>8</v>
      </c>
      <c r="E159" s="200">
        <f>Sep_2025_SotM[[#This Row],[Max Seed]]-Sep_2025_SotM[[#This Row],[Num]]</f>
        <v>3</v>
      </c>
      <c r="F159" s="200">
        <f>Sep_2025_SotM[[#This Row],[Max Seed]]-Sep_2025_SotM[[#This Row],[Top Seed]]+1</f>
        <v>6</v>
      </c>
      <c r="G159" s="200" t="b">
        <f>IF(Sep_2025_SotM[[#This Row],[Round]]=$C$153, TRUE(), IF(Sep_2025_SotM[[#This Row],[Round]]=$B$153, Sep_2025_SotM[[#This Row],[Top Seed]]&lt;=2*Sep_2025_SotM[[#This Row],[Max Seed]]-$A$153, FALSE()))</f>
        <v>0</v>
      </c>
      <c r="H159" s="200" t="b">
        <f>IF(Sep_2025_SotM[[#This Row],[Round]]=$C$153, TRUE(), IF(Sep_2025_SotM[[#This Row],[Round]]=$B$153, Sep_2025_SotM[[#This Row],[Low Seed]]&lt;=2*Sep_2025_SotM[[#This Row],[Max Seed]]-$A$153, FALSE()))</f>
        <v>0</v>
      </c>
      <c r="I159" s="28"/>
      <c r="J159" s="31"/>
      <c r="K159" s="33"/>
      <c r="L159" s="35" t="s">
        <v>4191</v>
      </c>
      <c r="M159" s="37"/>
      <c r="N159" s="203" t="str">
        <f ca="1">IF(Sep_2025_SotM[[#This Row],[Num]]&gt;=$A$153, "-", IF(Sep_2025_SotM[[#This Row],[Initial 1]], VLOOKUP(Sep_2025_SotM[[#This Row],[Top Seed]], $Z$154:$AE$170, 6, FALSE), OFFSET(Sep_2025_SotM[[#This Row],[Winner]], Sep_2025_SotM[[#This Row],[Max Seed]], 0)))</f>
        <v>Politix</v>
      </c>
      <c r="O159" s="200">
        <f>COUNTIF(Sep_2025_SotM[[#This Row],[J]:[H]],"x")</f>
        <v>1</v>
      </c>
      <c r="P159" s="201" t="str">
        <f ca="1">IF(Sep_2025_SotM[[#This Row],[Num]]&gt;=$A$153, "-", IF(Sep_2025_SotM[[#This Row],[Score 1]]&gt;=3, Sep_2025_SotM[[#This Row],[Song 1]], IF(Sep_2025_SotM[[#This Row],[Score 2]]&gt;=3, Sep_2025_SotM[[#This Row],[Song 2]], "TBD")))</f>
        <v>i</v>
      </c>
      <c r="Q159" s="206">
        <f>COUNTIF(Sep_2025_SotM[[#This Row],[H ]:[J ]],"x")</f>
        <v>4</v>
      </c>
      <c r="R159" s="200" t="str">
        <f ca="1">IF(Sep_2025_SotM[[#This Row],[Num]]&gt;=$A$153, "-", IF(Sep_2025_SotM[[#This Row],[Initial 2]], VLOOKUP(Sep_2025_SotM[[#This Row],[Low Seed]], $Z$154:$AE$170, 6, FALSE), OFFSET(Sep_2025_SotM[[#This Row],[Winner]], 2*(Sep_2025_SotM[[#This Row],[Max Seed]]-Sep_2025_SotM[[#This Row],[Low Seed]])+1, 0)))</f>
        <v>i</v>
      </c>
      <c r="S159" s="37" t="s">
        <v>4191</v>
      </c>
      <c r="T159" s="35"/>
      <c r="U159" s="33" t="s">
        <v>4191</v>
      </c>
      <c r="V159" s="31" t="s">
        <v>4191</v>
      </c>
      <c r="W159" s="28" t="s">
        <v>4191</v>
      </c>
      <c r="X159" s="106" t="str">
        <f ca="1">IF(OR(Sep_2025_SotM[[#This Row],[Song 1]]="TBD", Sep_2025_SotM[[#This Row],[Song 2]]="TBD"), "TBD", _xlfn.CONCAT(IF(_xlfn.XOR(ISBLANK(Sep_2025_SotM[[#This Row],[J]]), ISBLANK(Sep_2025_SotM[[#This Row],[J ]])), "", "J "), IF(_xlfn.XOR(ISBLANK(Sep_2025_SotM[[#This Row],[D]]), ISBLANK(Sep_2025_SotM[[#This Row],[D ]])), "", "D "), IF(_xlfn.XOR(ISBLANK(Sep_2025_SotM[[#This Row],[L]]), ISBLANK(Sep_2025_SotM[[#This Row],[L ]])), "", "L "), IF(_xlfn.XOR(ISBLANK(Sep_2025_SotM[[#This Row],[S]]), ISBLANK(Sep_2025_SotM[[#This Row],[S ]])), "", "S "), IF(_xlfn.XOR(ISBLANK(Sep_2025_SotM[[#This Row],[H]]), ISBLANK(Sep_2025_SotM[[#This Row],[H ]])), "", "H ")))</f>
        <v/>
      </c>
      <c r="Z159" s="109">
        <f t="shared" si="39"/>
        <v>8</v>
      </c>
      <c r="AA159" s="59">
        <v>45910</v>
      </c>
      <c r="AB159" t="str">
        <v>danram</v>
      </c>
      <c r="AC159" s="3">
        <v>2.2000000000000002</v>
      </c>
      <c r="AD159">
        <v>0.74833147735478833</v>
      </c>
      <c r="AE159" t="str">
        <v>Headlines</v>
      </c>
      <c r="AF159" t="str">
        <v>Drake</v>
      </c>
      <c r="AG159" s="100">
        <f t="shared" si="40"/>
        <v>5</v>
      </c>
      <c r="AI159" s="3">
        <f>Sep_2025_SotM[[#This Row],[Max Seed]]/2 + 1</f>
        <v>5</v>
      </c>
      <c r="AJ159" t="str">
        <f ca="1">IF(Sep_2025_SotM[[#This Row],[Num]]&gt;=$A$153, "-", IF(Sep_2025_SotM[[#This Row],[Score 1]]&gt;=3, Sep_2025_SotM[[#This Row],[Song 2]], IF(Sep_2025_SotM[[#This Row],[Score 2]]&gt;=3, Sep_2025_SotM[[#This Row],[Song 1]], "TBD")))</f>
        <v>Politix</v>
      </c>
      <c r="AK159" s="3">
        <f ca="1">IFERROR(VLOOKUP(Sep_2025_Results[[#This Row],[Song Title]], $AE$154:$AG$170, 3, FALSE)-Sep_2025_Results[[#This Row],[Result]], "TBD")</f>
        <v>-2</v>
      </c>
      <c r="AL159" s="3" t="str">
        <f t="shared" ca="1" si="41"/>
        <v>↓</v>
      </c>
    </row>
    <row r="160" spans="1:38">
      <c r="A160" s="199" t="str">
        <f>_xlfn.CONCAT("Seed ", Sep_2025_SotM[[#This Row],[Top Seed]], " vs ",Sep_2025_SotM[[#This Row],[Low Seed]])</f>
        <v>Seed 2 vs 7</v>
      </c>
      <c r="B160" s="201">
        <v>6</v>
      </c>
      <c r="C160" s="200">
        <f>FLOOR(LOG(Sep_2025_SotM[[#This Row],[Num]], 2), 1)</f>
        <v>2</v>
      </c>
      <c r="D160" s="200">
        <f>2^(Sep_2025_SotM[[#This Row],[Round]]+1)</f>
        <v>8</v>
      </c>
      <c r="E160" s="200">
        <f>Sep_2025_SotM[[#This Row],[Max Seed]]-Sep_2025_SotM[[#This Row],[Num]]</f>
        <v>2</v>
      </c>
      <c r="F160" s="200">
        <f>Sep_2025_SotM[[#This Row],[Max Seed]]-Sep_2025_SotM[[#This Row],[Top Seed]]+1</f>
        <v>7</v>
      </c>
      <c r="G160" s="200" t="b">
        <f>IF(Sep_2025_SotM[[#This Row],[Round]]=$C$153, TRUE(), IF(Sep_2025_SotM[[#This Row],[Round]]=$B$153, Sep_2025_SotM[[#This Row],[Top Seed]]&lt;=2*Sep_2025_SotM[[#This Row],[Max Seed]]-$A$153, FALSE()))</f>
        <v>0</v>
      </c>
      <c r="H160" s="200" t="b">
        <f>IF(Sep_2025_SotM[[#This Row],[Round]]=$C$153, TRUE(), IF(Sep_2025_SotM[[#This Row],[Round]]=$B$153, Sep_2025_SotM[[#This Row],[Low Seed]]&lt;=2*Sep_2025_SotM[[#This Row],[Max Seed]]-$A$153, FALSE()))</f>
        <v>0</v>
      </c>
      <c r="I160" s="28" t="s">
        <v>4191</v>
      </c>
      <c r="J160" s="31" t="s">
        <v>4191</v>
      </c>
      <c r="K160" s="33" t="s">
        <v>4191</v>
      </c>
      <c r="L160" s="35" t="s">
        <v>4191</v>
      </c>
      <c r="M160" s="37" t="s">
        <v>4191</v>
      </c>
      <c r="N160" s="203" t="str">
        <f ca="1">IF(Sep_2025_SotM[[#This Row],[Num]]&gt;=$A$153, "-", IF(Sep_2025_SotM[[#This Row],[Initial 1]], VLOOKUP(Sep_2025_SotM[[#This Row],[Top Seed]], $Z$154:$AE$170, 6, FALSE), OFFSET(Sep_2025_SotM[[#This Row],[Winner]], Sep_2025_SotM[[#This Row],[Max Seed]], 0)))</f>
        <v>Maps</v>
      </c>
      <c r="O160" s="200">
        <f>COUNTIF(Sep_2025_SotM[[#This Row],[J]:[H]],"x")</f>
        <v>5</v>
      </c>
      <c r="P160" s="201" t="str">
        <f ca="1">IF(Sep_2025_SotM[[#This Row],[Num]]&gt;=$A$153, "-", IF(Sep_2025_SotM[[#This Row],[Score 1]]&gt;=3, Sep_2025_SotM[[#This Row],[Song 1]], IF(Sep_2025_SotM[[#This Row],[Score 2]]&gt;=3, Sep_2025_SotM[[#This Row],[Song 2]], "TBD")))</f>
        <v>Maps</v>
      </c>
      <c r="Q160" s="206">
        <f>COUNTIF(Sep_2025_SotM[[#This Row],[H ]:[J ]],"x")</f>
        <v>0</v>
      </c>
      <c r="R160" s="200" t="str">
        <f ca="1">IF(Sep_2025_SotM[[#This Row],[Num]]&gt;=$A$153, "-", IF(Sep_2025_SotM[[#This Row],[Initial 2]], VLOOKUP(Sep_2025_SotM[[#This Row],[Low Seed]], $Z$154:$AE$170, 6, FALSE), OFFSET(Sep_2025_SotM[[#This Row],[Winner]], 2*(Sep_2025_SotM[[#This Row],[Max Seed]]-Sep_2025_SotM[[#This Row],[Low Seed]])+1, 0)))</f>
        <v>DIE TRYING</v>
      </c>
      <c r="S160" s="37"/>
      <c r="T160" s="35"/>
      <c r="U160" s="33"/>
      <c r="V160" s="31"/>
      <c r="W160" s="28"/>
      <c r="X160" s="106" t="str">
        <f ca="1">IF(OR(Sep_2025_SotM[[#This Row],[Song 1]]="TBD", Sep_2025_SotM[[#This Row],[Song 2]]="TBD"), "TBD", _xlfn.CONCAT(IF(_xlfn.XOR(ISBLANK(Sep_2025_SotM[[#This Row],[J]]), ISBLANK(Sep_2025_SotM[[#This Row],[J ]])), "", "J "), IF(_xlfn.XOR(ISBLANK(Sep_2025_SotM[[#This Row],[D]]), ISBLANK(Sep_2025_SotM[[#This Row],[D ]])), "", "D "), IF(_xlfn.XOR(ISBLANK(Sep_2025_SotM[[#This Row],[L]]), ISBLANK(Sep_2025_SotM[[#This Row],[L ]])), "", "L "), IF(_xlfn.XOR(ISBLANK(Sep_2025_SotM[[#This Row],[S]]), ISBLANK(Sep_2025_SotM[[#This Row],[S ]])), "", "S "), IF(_xlfn.XOR(ISBLANK(Sep_2025_SotM[[#This Row],[H]]), ISBLANK(Sep_2025_SotM[[#This Row],[H ]])), "", "H ")))</f>
        <v/>
      </c>
      <c r="Z160" s="109">
        <f t="shared" si="39"/>
        <v>4</v>
      </c>
      <c r="AA160" s="59">
        <v>45911</v>
      </c>
      <c r="AB160" t="str">
        <v>samuelbattista</v>
      </c>
      <c r="AC160" s="3">
        <v>1.8</v>
      </c>
      <c r="AD160">
        <v>1.6</v>
      </c>
      <c r="AE160" t="str">
        <v>How You Remind Me</v>
      </c>
      <c r="AF160" t="str">
        <v>Nickelback</v>
      </c>
      <c r="AG160" s="100">
        <f t="shared" si="40"/>
        <v>3</v>
      </c>
      <c r="AI160" s="3">
        <f>Sep_2025_SotM[[#This Row],[Max Seed]]/2 + 1</f>
        <v>5</v>
      </c>
      <c r="AJ160" t="str">
        <f ca="1">IF(Sep_2025_SotM[[#This Row],[Num]]&gt;=$A$153, "-", IF(Sep_2025_SotM[[#This Row],[Score 1]]&gt;=3, Sep_2025_SotM[[#This Row],[Song 2]], IF(Sep_2025_SotM[[#This Row],[Score 2]]&gt;=3, Sep_2025_SotM[[#This Row],[Song 1]], "TBD")))</f>
        <v>DIE TRYING</v>
      </c>
      <c r="AK160" s="3">
        <f ca="1">IFERROR(VLOOKUP(Sep_2025_Results[[#This Row],[Song Title]], $AE$154:$AG$170, 3, FALSE)-Sep_2025_Results[[#This Row],[Result]], "TBD")</f>
        <v>0</v>
      </c>
      <c r="AL160" s="3" t="str">
        <f t="shared" ca="1" si="41"/>
        <v>-</v>
      </c>
    </row>
    <row r="161" spans="1:38">
      <c r="A161" s="199" t="str">
        <f>_xlfn.CONCAT("Seed ", Sep_2025_SotM[[#This Row],[Top Seed]], " vs ",Sep_2025_SotM[[#This Row],[Low Seed]])</f>
        <v>Seed 1 vs 8</v>
      </c>
      <c r="B161" s="201">
        <v>7</v>
      </c>
      <c r="C161" s="200">
        <f>FLOOR(LOG(Sep_2025_SotM[[#This Row],[Num]], 2), 1)</f>
        <v>2</v>
      </c>
      <c r="D161" s="200">
        <f>2^(Sep_2025_SotM[[#This Row],[Round]]+1)</f>
        <v>8</v>
      </c>
      <c r="E161" s="200">
        <f>Sep_2025_SotM[[#This Row],[Max Seed]]-Sep_2025_SotM[[#This Row],[Num]]</f>
        <v>1</v>
      </c>
      <c r="F161" s="200">
        <f>Sep_2025_SotM[[#This Row],[Max Seed]]-Sep_2025_SotM[[#This Row],[Top Seed]]+1</f>
        <v>8</v>
      </c>
      <c r="G161" s="200" t="b">
        <f>IF(Sep_2025_SotM[[#This Row],[Round]]=$C$153, TRUE(), IF(Sep_2025_SotM[[#This Row],[Round]]=$B$153, Sep_2025_SotM[[#This Row],[Top Seed]]&lt;=2*Sep_2025_SotM[[#This Row],[Max Seed]]-$A$153, FALSE()))</f>
        <v>0</v>
      </c>
      <c r="H161" s="200" t="b">
        <f>IF(Sep_2025_SotM[[#This Row],[Round]]=$C$153, TRUE(), IF(Sep_2025_SotM[[#This Row],[Round]]=$B$153, Sep_2025_SotM[[#This Row],[Low Seed]]&lt;=2*Sep_2025_SotM[[#This Row],[Max Seed]]-$A$153, FALSE()))</f>
        <v>0</v>
      </c>
      <c r="I161" s="28" t="s">
        <v>4191</v>
      </c>
      <c r="J161" s="31"/>
      <c r="K161" s="33" t="s">
        <v>4191</v>
      </c>
      <c r="L161" s="35" t="s">
        <v>4191</v>
      </c>
      <c r="M161" s="37"/>
      <c r="N161" s="203" t="str">
        <f ca="1">IF(Sep_2025_SotM[[#This Row],[Num]]&gt;=$A$153, "-", IF(Sep_2025_SotM[[#This Row],[Initial 1]], VLOOKUP(Sep_2025_SotM[[#This Row],[Top Seed]], $Z$154:$AE$170, 6, FALSE), OFFSET(Sep_2025_SotM[[#This Row],[Winner]], Sep_2025_SotM[[#This Row],[Max Seed]], 0)))</f>
        <v>Roundabaout</v>
      </c>
      <c r="O161" s="200">
        <f>COUNTIF(Sep_2025_SotM[[#This Row],[J]:[H]],"x")</f>
        <v>3</v>
      </c>
      <c r="P161" s="201" t="str">
        <f ca="1">IF(Sep_2025_SotM[[#This Row],[Num]]&gt;=$A$153, "-", IF(Sep_2025_SotM[[#This Row],[Score 1]]&gt;=3, Sep_2025_SotM[[#This Row],[Song 1]], IF(Sep_2025_SotM[[#This Row],[Score 2]]&gt;=3, Sep_2025_SotM[[#This Row],[Song 2]], "TBD")))</f>
        <v>Roundabaout</v>
      </c>
      <c r="Q161" s="206">
        <f>COUNTIF(Sep_2025_SotM[[#This Row],[H ]:[J ]],"x")</f>
        <v>2</v>
      </c>
      <c r="R161" s="200" t="str">
        <f ca="1">IF(Sep_2025_SotM[[#This Row],[Num]]&gt;=$A$153, "-", IF(Sep_2025_SotM[[#This Row],[Initial 2]], VLOOKUP(Sep_2025_SotM[[#This Row],[Low Seed]], $Z$154:$AE$170, 6, FALSE), OFFSET(Sep_2025_SotM[[#This Row],[Winner]], 2*(Sep_2025_SotM[[#This Row],[Max Seed]]-Sep_2025_SotM[[#This Row],[Low Seed]])+1, 0)))</f>
        <v>Headlines</v>
      </c>
      <c r="S161" s="37" t="s">
        <v>4191</v>
      </c>
      <c r="T161" s="35"/>
      <c r="U161" s="33"/>
      <c r="V161" s="31" t="s">
        <v>4191</v>
      </c>
      <c r="W161" s="28"/>
      <c r="X161" s="106" t="str">
        <f ca="1">IF(OR(Sep_2025_SotM[[#This Row],[Song 1]]="TBD", Sep_2025_SotM[[#This Row],[Song 2]]="TBD"), "TBD", _xlfn.CONCAT(IF(_xlfn.XOR(ISBLANK(Sep_2025_SotM[[#This Row],[J]]), ISBLANK(Sep_2025_SotM[[#This Row],[J ]])), "", "J "), IF(_xlfn.XOR(ISBLANK(Sep_2025_SotM[[#This Row],[D]]), ISBLANK(Sep_2025_SotM[[#This Row],[D ]])), "", "D "), IF(_xlfn.XOR(ISBLANK(Sep_2025_SotM[[#This Row],[L]]), ISBLANK(Sep_2025_SotM[[#This Row],[L ]])), "", "L "), IF(_xlfn.XOR(ISBLANK(Sep_2025_SotM[[#This Row],[S]]), ISBLANK(Sep_2025_SotM[[#This Row],[S ]])), "", "S "), IF(_xlfn.XOR(ISBLANK(Sep_2025_SotM[[#This Row],[H]]), ISBLANK(Sep_2025_SotM[[#This Row],[H ]])), "", "H ")))</f>
        <v/>
      </c>
      <c r="Z161" s="109">
        <f t="shared" si="39"/>
        <v>15</v>
      </c>
      <c r="AA161" s="59">
        <v>45915</v>
      </c>
      <c r="AB161" t="str">
        <v>currydestroyer27</v>
      </c>
      <c r="AC161" s="3">
        <v>2.6</v>
      </c>
      <c r="AD161">
        <v>1.019803902718557</v>
      </c>
      <c r="AE161" t="str">
        <v>千本桜</v>
      </c>
      <c r="AF161" t="str">
        <v>Ado</v>
      </c>
      <c r="AG161" s="100">
        <f t="shared" si="40"/>
        <v>9</v>
      </c>
      <c r="AI161" s="3">
        <f>Sep_2025_SotM[[#This Row],[Max Seed]]/2 + 1</f>
        <v>5</v>
      </c>
      <c r="AJ161" t="str">
        <f ca="1">IF(Sep_2025_SotM[[#This Row],[Num]]&gt;=$A$153, "-", IF(Sep_2025_SotM[[#This Row],[Score 1]]&gt;=3, Sep_2025_SotM[[#This Row],[Song 2]], IF(Sep_2025_SotM[[#This Row],[Score 2]]&gt;=3, Sep_2025_SotM[[#This Row],[Song 1]], "TBD")))</f>
        <v>Headlines</v>
      </c>
      <c r="AK161" s="3">
        <f ca="1">IFERROR(VLOOKUP(Sep_2025_Results[[#This Row],[Song Title]], $AE$154:$AG$170, 3, FALSE)-Sep_2025_Results[[#This Row],[Result]], "TBD")</f>
        <v>0</v>
      </c>
      <c r="AL161" s="3" t="str">
        <f t="shared" ca="1" si="41"/>
        <v>-</v>
      </c>
    </row>
    <row r="162" spans="1:38">
      <c r="A162" s="199" t="str">
        <f>_xlfn.CONCAT("Seed ", Sep_2025_SotM[[#This Row],[Top Seed]], " vs ",Sep_2025_SotM[[#This Row],[Low Seed]])</f>
        <v>Seed 8 vs 9</v>
      </c>
      <c r="B162" s="201">
        <v>8</v>
      </c>
      <c r="C162" s="200">
        <f>FLOOR(LOG(Sep_2025_SotM[[#This Row],[Num]], 2), 1)</f>
        <v>3</v>
      </c>
      <c r="D162" s="200">
        <f>2^(Sep_2025_SotM[[#This Row],[Round]]+1)</f>
        <v>16</v>
      </c>
      <c r="E162" s="200">
        <f>Sep_2025_SotM[[#This Row],[Max Seed]]-Sep_2025_SotM[[#This Row],[Num]]</f>
        <v>8</v>
      </c>
      <c r="F162" s="200">
        <f>Sep_2025_SotM[[#This Row],[Max Seed]]-Sep_2025_SotM[[#This Row],[Top Seed]]+1</f>
        <v>9</v>
      </c>
      <c r="G162" s="200" t="b">
        <f>IF(Sep_2025_SotM[[#This Row],[Round]]=$C$153, TRUE(), IF(Sep_2025_SotM[[#This Row],[Round]]=$B$153, Sep_2025_SotM[[#This Row],[Top Seed]]&lt;=2*Sep_2025_SotM[[#This Row],[Max Seed]]-$A$153, FALSE()))</f>
        <v>1</v>
      </c>
      <c r="H162" s="200" t="b">
        <f>IF(Sep_2025_SotM[[#This Row],[Round]]=$C$153, TRUE(), IF(Sep_2025_SotM[[#This Row],[Round]]=$B$153, Sep_2025_SotM[[#This Row],[Low Seed]]&lt;=2*Sep_2025_SotM[[#This Row],[Max Seed]]-$A$153, FALSE()))</f>
        <v>1</v>
      </c>
      <c r="I162" s="28" t="s">
        <v>4191</v>
      </c>
      <c r="J162" s="31" t="s">
        <v>4191</v>
      </c>
      <c r="K162" s="33" t="s">
        <v>4191</v>
      </c>
      <c r="L162" s="35"/>
      <c r="M162" s="37"/>
      <c r="N162" s="203" t="str">
        <f ca="1">IF(Sep_2025_SotM[[#This Row],[Num]]&gt;=$A$153, "-", IF(Sep_2025_SotM[[#This Row],[Initial 1]], VLOOKUP(Sep_2025_SotM[[#This Row],[Top Seed]], $Z$154:$AE$170, 6, FALSE), OFFSET(Sep_2025_SotM[[#This Row],[Winner]], Sep_2025_SotM[[#This Row],[Max Seed]], 0)))</f>
        <v>Headlines</v>
      </c>
      <c r="O162" s="200">
        <f>COUNTIF(Sep_2025_SotM[[#This Row],[J]:[H]],"x")</f>
        <v>3</v>
      </c>
      <c r="P162" s="201" t="str">
        <f ca="1">IF(Sep_2025_SotM[[#This Row],[Num]]&gt;=$A$153, "-", IF(Sep_2025_SotM[[#This Row],[Score 1]]&gt;=3, Sep_2025_SotM[[#This Row],[Song 1]], IF(Sep_2025_SotM[[#This Row],[Score 2]]&gt;=3, Sep_2025_SotM[[#This Row],[Song 2]], "TBD")))</f>
        <v>Headlines</v>
      </c>
      <c r="Q162" s="206">
        <f>COUNTIF(Sep_2025_SotM[[#This Row],[H ]:[J ]],"x")</f>
        <v>2</v>
      </c>
      <c r="R162" s="200" t="str">
        <f ca="1">IF(Sep_2025_SotM[[#This Row],[Num]]&gt;=$A$153, "-", IF(Sep_2025_SotM[[#This Row],[Initial 2]], VLOOKUP(Sep_2025_SotM[[#This Row],[Low Seed]], $Z$154:$AE$170, 6, FALSE), OFFSET(Sep_2025_SotM[[#This Row],[Winner]], 2*(Sep_2025_SotM[[#This Row],[Max Seed]]-Sep_2025_SotM[[#This Row],[Low Seed]])+1, 0)))</f>
        <v>Clarity</v>
      </c>
      <c r="S162" s="37" t="s">
        <v>4191</v>
      </c>
      <c r="T162" s="35" t="s">
        <v>4191</v>
      </c>
      <c r="U162" s="33"/>
      <c r="V162" s="31"/>
      <c r="W162" s="28"/>
      <c r="X162" s="106" t="str">
        <f ca="1">IF(OR(Sep_2025_SotM[[#This Row],[Song 1]]="TBD", Sep_2025_SotM[[#This Row],[Song 2]]="TBD"), "TBD", _xlfn.CONCAT(IF(_xlfn.XOR(ISBLANK(Sep_2025_SotM[[#This Row],[J]]), ISBLANK(Sep_2025_SotM[[#This Row],[J ]])), "", "J "), IF(_xlfn.XOR(ISBLANK(Sep_2025_SotM[[#This Row],[D]]), ISBLANK(Sep_2025_SotM[[#This Row],[D ]])), "", "D "), IF(_xlfn.XOR(ISBLANK(Sep_2025_SotM[[#This Row],[L]]), ISBLANK(Sep_2025_SotM[[#This Row],[L ]])), "", "L "), IF(_xlfn.XOR(ISBLANK(Sep_2025_SotM[[#This Row],[S]]), ISBLANK(Sep_2025_SotM[[#This Row],[S ]])), "", "S "), IF(_xlfn.XOR(ISBLANK(Sep_2025_SotM[[#This Row],[H]]), ISBLANK(Sep_2025_SotM[[#This Row],[H ]])), "", "H ")))</f>
        <v/>
      </c>
      <c r="Z162" s="109">
        <f t="shared" si="39"/>
        <v>12</v>
      </c>
      <c r="AA162" s="59">
        <v>45916</v>
      </c>
      <c r="AB162" t="str">
        <v>currydestroyer27</v>
      </c>
      <c r="AC162" s="3">
        <v>2.4</v>
      </c>
      <c r="AD162">
        <v>1.019803902718557</v>
      </c>
      <c r="AE162" t="str">
        <v>Doo Wop</v>
      </c>
      <c r="AF162" t="str">
        <v>Ms. Lauryn Hill</v>
      </c>
      <c r="AG162" s="100">
        <f t="shared" si="40"/>
        <v>9</v>
      </c>
      <c r="AI162" s="3">
        <f>Sep_2025_SotM[[#This Row],[Max Seed]]/2 + 1</f>
        <v>9</v>
      </c>
      <c r="AJ162" t="str">
        <f ca="1">IF(Sep_2025_SotM[[#This Row],[Num]]&gt;=$A$153, "-", IF(Sep_2025_SotM[[#This Row],[Score 1]]&gt;=3, Sep_2025_SotM[[#This Row],[Song 2]], IF(Sep_2025_SotM[[#This Row],[Score 2]]&gt;=3, Sep_2025_SotM[[#This Row],[Song 1]], "TBD")))</f>
        <v>Clarity</v>
      </c>
      <c r="AK162" s="3">
        <f ca="1">IFERROR(VLOOKUP(Sep_2025_Results[[#This Row],[Song Title]], $AE$154:$AG$170, 3, FALSE)-Sep_2025_Results[[#This Row],[Result]], "TBD")</f>
        <v>0</v>
      </c>
      <c r="AL162" s="3" t="str">
        <f t="shared" ca="1" si="41"/>
        <v>-</v>
      </c>
    </row>
    <row r="163" spans="1:38">
      <c r="A163" s="199" t="str">
        <f>_xlfn.CONCAT("Seed ", Sep_2025_SotM[[#This Row],[Top Seed]], " vs ",Sep_2025_SotM[[#This Row],[Low Seed]])</f>
        <v>Seed 7 vs 10</v>
      </c>
      <c r="B163" s="201">
        <v>9</v>
      </c>
      <c r="C163" s="200">
        <f>FLOOR(LOG(Sep_2025_SotM[[#This Row],[Num]], 2), 1)</f>
        <v>3</v>
      </c>
      <c r="D163" s="200">
        <f>2^(Sep_2025_SotM[[#This Row],[Round]]+1)</f>
        <v>16</v>
      </c>
      <c r="E163" s="200">
        <f>Sep_2025_SotM[[#This Row],[Max Seed]]-Sep_2025_SotM[[#This Row],[Num]]</f>
        <v>7</v>
      </c>
      <c r="F163" s="200">
        <f>Sep_2025_SotM[[#This Row],[Max Seed]]-Sep_2025_SotM[[#This Row],[Top Seed]]+1</f>
        <v>10</v>
      </c>
      <c r="G163" s="200" t="b">
        <f>IF(Sep_2025_SotM[[#This Row],[Round]]=$C$153, TRUE(), IF(Sep_2025_SotM[[#This Row],[Round]]=$B$153, Sep_2025_SotM[[#This Row],[Top Seed]]&lt;=2*Sep_2025_SotM[[#This Row],[Max Seed]]-$A$153, FALSE()))</f>
        <v>1</v>
      </c>
      <c r="H163" s="200" t="b">
        <f>IF(Sep_2025_SotM[[#This Row],[Round]]=$C$153, TRUE(), IF(Sep_2025_SotM[[#This Row],[Round]]=$B$153, Sep_2025_SotM[[#This Row],[Low Seed]]&lt;=2*Sep_2025_SotM[[#This Row],[Max Seed]]-$A$153, FALSE()))</f>
        <v>1</v>
      </c>
      <c r="I163" s="28" t="s">
        <v>4191</v>
      </c>
      <c r="J163" s="31" t="s">
        <v>4191</v>
      </c>
      <c r="K163" s="33"/>
      <c r="L163" s="35" t="s">
        <v>4191</v>
      </c>
      <c r="M163" s="37" t="s">
        <v>4191</v>
      </c>
      <c r="N163" s="203" t="str">
        <f ca="1">IF(Sep_2025_SotM[[#This Row],[Num]]&gt;=$A$153, "-", IF(Sep_2025_SotM[[#This Row],[Initial 1]], VLOOKUP(Sep_2025_SotM[[#This Row],[Top Seed]], $Z$154:$AE$170, 6, FALSE), OFFSET(Sep_2025_SotM[[#This Row],[Winner]], Sep_2025_SotM[[#This Row],[Max Seed]], 0)))</f>
        <v>DIE TRYING</v>
      </c>
      <c r="O163" s="200">
        <f>COUNTIF(Sep_2025_SotM[[#This Row],[J]:[H]],"x")</f>
        <v>4</v>
      </c>
      <c r="P163" s="201" t="str">
        <f ca="1">IF(Sep_2025_SotM[[#This Row],[Num]]&gt;=$A$153, "-", IF(Sep_2025_SotM[[#This Row],[Score 1]]&gt;=3, Sep_2025_SotM[[#This Row],[Song 1]], IF(Sep_2025_SotM[[#This Row],[Score 2]]&gt;=3, Sep_2025_SotM[[#This Row],[Song 2]], "TBD")))</f>
        <v>DIE TRYING</v>
      </c>
      <c r="Q163" s="206">
        <f>COUNTIF(Sep_2025_SotM[[#This Row],[H ]:[J ]],"x")</f>
        <v>1</v>
      </c>
      <c r="R163" s="200" t="str">
        <f ca="1">IF(Sep_2025_SotM[[#This Row],[Num]]&gt;=$A$153, "-", IF(Sep_2025_SotM[[#This Row],[Initial 2]], VLOOKUP(Sep_2025_SotM[[#This Row],[Low Seed]], $Z$154:$AE$170, 6, FALSE), OFFSET(Sep_2025_SotM[[#This Row],[Winner]], 2*(Sep_2025_SotM[[#This Row],[Max Seed]]-Sep_2025_SotM[[#This Row],[Low Seed]])+1, 0)))</f>
        <v>São Paulo</v>
      </c>
      <c r="S163" s="37"/>
      <c r="T163" s="35"/>
      <c r="U163" s="33" t="s">
        <v>4191</v>
      </c>
      <c r="V163" s="31"/>
      <c r="W163" s="28"/>
      <c r="X163" s="106" t="str">
        <f ca="1">IF(OR(Sep_2025_SotM[[#This Row],[Song 1]]="TBD", Sep_2025_SotM[[#This Row],[Song 2]]="TBD"), "TBD", _xlfn.CONCAT(IF(_xlfn.XOR(ISBLANK(Sep_2025_SotM[[#This Row],[J]]), ISBLANK(Sep_2025_SotM[[#This Row],[J ]])), "", "J "), IF(_xlfn.XOR(ISBLANK(Sep_2025_SotM[[#This Row],[D]]), ISBLANK(Sep_2025_SotM[[#This Row],[D ]])), "", "D "), IF(_xlfn.XOR(ISBLANK(Sep_2025_SotM[[#This Row],[L]]), ISBLANK(Sep_2025_SotM[[#This Row],[L ]])), "", "L "), IF(_xlfn.XOR(ISBLANK(Sep_2025_SotM[[#This Row],[S]]), ISBLANK(Sep_2025_SotM[[#This Row],[S ]])), "", "S "), IF(_xlfn.XOR(ISBLANK(Sep_2025_SotM[[#This Row],[H]]), ISBLANK(Sep_2025_SotM[[#This Row],[H ]])), "", "H ")))</f>
        <v/>
      </c>
      <c r="Z163" s="109">
        <f t="shared" si="39"/>
        <v>7</v>
      </c>
      <c r="AA163" s="59">
        <v>45917</v>
      </c>
      <c r="AB163" t="str">
        <v>danram</v>
      </c>
      <c r="AC163" s="3">
        <v>2</v>
      </c>
      <c r="AD163">
        <v>1.5491933384829668</v>
      </c>
      <c r="AE163" t="str">
        <v>DIE TRYING</v>
      </c>
      <c r="AF163" t="str">
        <v>PARTYNEXTDOOR, Drake, Yebba</v>
      </c>
      <c r="AG163" s="100">
        <f t="shared" si="40"/>
        <v>5</v>
      </c>
      <c r="AI163" s="3">
        <f>Sep_2025_SotM[[#This Row],[Max Seed]]/2 + 1</f>
        <v>9</v>
      </c>
      <c r="AJ163" t="str">
        <f ca="1">IF(Sep_2025_SotM[[#This Row],[Num]]&gt;=$A$153, "-", IF(Sep_2025_SotM[[#This Row],[Score 1]]&gt;=3, Sep_2025_SotM[[#This Row],[Song 2]], IF(Sep_2025_SotM[[#This Row],[Score 2]]&gt;=3, Sep_2025_SotM[[#This Row],[Song 1]], "TBD")))</f>
        <v>São Paulo</v>
      </c>
      <c r="AK163" s="3">
        <f ca="1">IFERROR(VLOOKUP(Sep_2025_Results[[#This Row],[Song Title]], $AE$154:$AG$170, 3, FALSE)-Sep_2025_Results[[#This Row],[Result]], "TBD")</f>
        <v>0</v>
      </c>
      <c r="AL163" s="3" t="str">
        <f t="shared" ca="1" si="41"/>
        <v>-</v>
      </c>
    </row>
    <row r="164" spans="1:38">
      <c r="A164" s="199" t="str">
        <f>_xlfn.CONCAT("Seed ", Sep_2025_SotM[[#This Row],[Top Seed]], " vs ",Sep_2025_SotM[[#This Row],[Low Seed]])</f>
        <v>Seed 6 vs 11</v>
      </c>
      <c r="B164" s="201">
        <v>10</v>
      </c>
      <c r="C164" s="200">
        <f>FLOOR(LOG(Sep_2025_SotM[[#This Row],[Num]], 2), 1)</f>
        <v>3</v>
      </c>
      <c r="D164" s="200">
        <f>2^(Sep_2025_SotM[[#This Row],[Round]]+1)</f>
        <v>16</v>
      </c>
      <c r="E164" s="200">
        <f>Sep_2025_SotM[[#This Row],[Max Seed]]-Sep_2025_SotM[[#This Row],[Num]]</f>
        <v>6</v>
      </c>
      <c r="F164" s="200">
        <f>Sep_2025_SotM[[#This Row],[Max Seed]]-Sep_2025_SotM[[#This Row],[Top Seed]]+1</f>
        <v>11</v>
      </c>
      <c r="G164" s="200" t="b">
        <f>IF(Sep_2025_SotM[[#This Row],[Round]]=$C$153, TRUE(), IF(Sep_2025_SotM[[#This Row],[Round]]=$B$153, Sep_2025_SotM[[#This Row],[Top Seed]]&lt;=2*Sep_2025_SotM[[#This Row],[Max Seed]]-$A$153, FALSE()))</f>
        <v>1</v>
      </c>
      <c r="H164" s="200" t="b">
        <f>IF(Sep_2025_SotM[[#This Row],[Round]]=$C$153, TRUE(), IF(Sep_2025_SotM[[#This Row],[Round]]=$B$153, Sep_2025_SotM[[#This Row],[Low Seed]]&lt;=2*Sep_2025_SotM[[#This Row],[Max Seed]]-$A$153, FALSE()))</f>
        <v>1</v>
      </c>
      <c r="I164" s="28" t="s">
        <v>4191</v>
      </c>
      <c r="J164" s="31" t="s">
        <v>4191</v>
      </c>
      <c r="K164" s="33" t="s">
        <v>4191</v>
      </c>
      <c r="L164" s="35" t="s">
        <v>4191</v>
      </c>
      <c r="M164" s="37" t="s">
        <v>4191</v>
      </c>
      <c r="N164" s="203" t="str">
        <f ca="1">IF(Sep_2025_SotM[[#This Row],[Num]]&gt;=$A$153, "-", IF(Sep_2025_SotM[[#This Row],[Initial 1]], VLOOKUP(Sep_2025_SotM[[#This Row],[Top Seed]], $Z$154:$AE$170, 6, FALSE), OFFSET(Sep_2025_SotM[[#This Row],[Winner]], Sep_2025_SotM[[#This Row],[Max Seed]], 0)))</f>
        <v>i</v>
      </c>
      <c r="O164" s="200">
        <f>COUNTIF(Sep_2025_SotM[[#This Row],[J]:[H]],"x")</f>
        <v>5</v>
      </c>
      <c r="P164" s="201" t="str">
        <f ca="1">IF(Sep_2025_SotM[[#This Row],[Num]]&gt;=$A$153, "-", IF(Sep_2025_SotM[[#This Row],[Score 1]]&gt;=3, Sep_2025_SotM[[#This Row],[Song 1]], IF(Sep_2025_SotM[[#This Row],[Score 2]]&gt;=3, Sep_2025_SotM[[#This Row],[Song 2]], "TBD")))</f>
        <v>i</v>
      </c>
      <c r="Q164" s="206">
        <f>COUNTIF(Sep_2025_SotM[[#This Row],[H ]:[J ]],"x")</f>
        <v>0</v>
      </c>
      <c r="R164" s="200" t="str">
        <f ca="1">IF(Sep_2025_SotM[[#This Row],[Num]]&gt;=$A$153, "-", IF(Sep_2025_SotM[[#This Row],[Initial 2]], VLOOKUP(Sep_2025_SotM[[#This Row],[Low Seed]], $Z$154:$AE$170, 6, FALSE), OFFSET(Sep_2025_SotM[[#This Row],[Winner]], 2*(Sep_2025_SotM[[#This Row],[Max Seed]]-Sep_2025_SotM[[#This Row],[Low Seed]])+1, 0)))</f>
        <v>La forza della banda</v>
      </c>
      <c r="S164" s="37"/>
      <c r="T164" s="35"/>
      <c r="U164" s="33"/>
      <c r="V164" s="31"/>
      <c r="W164" s="28"/>
      <c r="X164" s="106" t="str">
        <f ca="1">IF(OR(Sep_2025_SotM[[#This Row],[Song 1]]="TBD", Sep_2025_SotM[[#This Row],[Song 2]]="TBD"), "TBD", _xlfn.CONCAT(IF(_xlfn.XOR(ISBLANK(Sep_2025_SotM[[#This Row],[J]]), ISBLANK(Sep_2025_SotM[[#This Row],[J ]])), "", "J "), IF(_xlfn.XOR(ISBLANK(Sep_2025_SotM[[#This Row],[D]]), ISBLANK(Sep_2025_SotM[[#This Row],[D ]])), "", "D "), IF(_xlfn.XOR(ISBLANK(Sep_2025_SotM[[#This Row],[L]]), ISBLANK(Sep_2025_SotM[[#This Row],[L ]])), "", "L "), IF(_xlfn.XOR(ISBLANK(Sep_2025_SotM[[#This Row],[S]]), ISBLANK(Sep_2025_SotM[[#This Row],[S ]])), "", "S "), IF(_xlfn.XOR(ISBLANK(Sep_2025_SotM[[#This Row],[H]]), ISBLANK(Sep_2025_SotM[[#This Row],[H ]])), "", "H ")))</f>
        <v/>
      </c>
      <c r="Z164" s="109">
        <f t="shared" si="39"/>
        <v>17</v>
      </c>
      <c r="AA164" s="59">
        <v>45918</v>
      </c>
      <c r="AB164" t="str">
        <v>danram</v>
      </c>
      <c r="AC164" s="3">
        <v>2.6</v>
      </c>
      <c r="AD164">
        <v>1.3564659966250536</v>
      </c>
      <c r="AE164">
        <v>1985</v>
      </c>
      <c r="AF164" t="str">
        <v>Bowling for Soup</v>
      </c>
      <c r="AG164" s="100">
        <f t="shared" si="40"/>
        <v>17</v>
      </c>
      <c r="AI164" s="3">
        <f>Sep_2025_SotM[[#This Row],[Max Seed]]/2 + 1</f>
        <v>9</v>
      </c>
      <c r="AJ164" t="str">
        <f ca="1">IF(Sep_2025_SotM[[#This Row],[Num]]&gt;=$A$153, "-", IF(Sep_2025_SotM[[#This Row],[Score 1]]&gt;=3, Sep_2025_SotM[[#This Row],[Song 2]], IF(Sep_2025_SotM[[#This Row],[Score 2]]&gt;=3, Sep_2025_SotM[[#This Row],[Song 1]], "TBD")))</f>
        <v>La forza della banda</v>
      </c>
      <c r="AK164" s="3">
        <f ca="1">IFERROR(VLOOKUP(Sep_2025_Results[[#This Row],[Song Title]], $AE$154:$AG$170, 3, FALSE)-Sep_2025_Results[[#This Row],[Result]], "TBD")</f>
        <v>0</v>
      </c>
      <c r="AL164" s="3" t="str">
        <f t="shared" ca="1" si="41"/>
        <v>-</v>
      </c>
    </row>
    <row r="165" spans="1:38">
      <c r="A165" s="199" t="str">
        <f>_xlfn.CONCAT("Seed ", Sep_2025_SotM[[#This Row],[Top Seed]], " vs ",Sep_2025_SotM[[#This Row],[Low Seed]])</f>
        <v>Seed 5 vs 12</v>
      </c>
      <c r="B165" s="201">
        <v>11</v>
      </c>
      <c r="C165" s="200">
        <f>FLOOR(LOG(Sep_2025_SotM[[#This Row],[Num]], 2), 1)</f>
        <v>3</v>
      </c>
      <c r="D165" s="200">
        <f>2^(Sep_2025_SotM[[#This Row],[Round]]+1)</f>
        <v>16</v>
      </c>
      <c r="E165" s="200">
        <f>Sep_2025_SotM[[#This Row],[Max Seed]]-Sep_2025_SotM[[#This Row],[Num]]</f>
        <v>5</v>
      </c>
      <c r="F165" s="200">
        <f>Sep_2025_SotM[[#This Row],[Max Seed]]-Sep_2025_SotM[[#This Row],[Top Seed]]+1</f>
        <v>12</v>
      </c>
      <c r="G165" s="200" t="b">
        <f>IF(Sep_2025_SotM[[#This Row],[Round]]=$C$153, TRUE(), IF(Sep_2025_SotM[[#This Row],[Round]]=$B$153, Sep_2025_SotM[[#This Row],[Top Seed]]&lt;=2*Sep_2025_SotM[[#This Row],[Max Seed]]-$A$153, FALSE()))</f>
        <v>1</v>
      </c>
      <c r="H165" s="200" t="b">
        <f>IF(Sep_2025_SotM[[#This Row],[Round]]=$C$153, TRUE(), IF(Sep_2025_SotM[[#This Row],[Round]]=$B$153, Sep_2025_SotM[[#This Row],[Low Seed]]&lt;=2*Sep_2025_SotM[[#This Row],[Max Seed]]-$A$153, FALSE()))</f>
        <v>1</v>
      </c>
      <c r="I165" s="28" t="s">
        <v>4191</v>
      </c>
      <c r="J165" s="31"/>
      <c r="K165" s="33" t="s">
        <v>4191</v>
      </c>
      <c r="L165" s="35"/>
      <c r="M165" s="37" t="s">
        <v>4191</v>
      </c>
      <c r="N165" s="203" t="str">
        <f ca="1">IF(Sep_2025_SotM[[#This Row],[Num]]&gt;=$A$153, "-", IF(Sep_2025_SotM[[#This Row],[Initial 1]], VLOOKUP(Sep_2025_SotM[[#This Row],[Top Seed]], $Z$154:$AE$170, 6, FALSE), OFFSET(Sep_2025_SotM[[#This Row],[Winner]], Sep_2025_SotM[[#This Row],[Max Seed]], 0)))</f>
        <v>That Girl</v>
      </c>
      <c r="O165" s="200">
        <f>COUNTIF(Sep_2025_SotM[[#This Row],[J]:[H]],"x")</f>
        <v>3</v>
      </c>
      <c r="P165" s="201" t="str">
        <f ca="1">IF(Sep_2025_SotM[[#This Row],[Num]]&gt;=$A$153, "-", IF(Sep_2025_SotM[[#This Row],[Score 1]]&gt;=3, Sep_2025_SotM[[#This Row],[Song 1]], IF(Sep_2025_SotM[[#This Row],[Score 2]]&gt;=3, Sep_2025_SotM[[#This Row],[Song 2]], "TBD")))</f>
        <v>That Girl</v>
      </c>
      <c r="Q165" s="206">
        <f>COUNTIF(Sep_2025_SotM[[#This Row],[H ]:[J ]],"x")</f>
        <v>2</v>
      </c>
      <c r="R165" s="200" t="str">
        <f ca="1">IF(Sep_2025_SotM[[#This Row],[Num]]&gt;=$A$153, "-", IF(Sep_2025_SotM[[#This Row],[Initial 2]], VLOOKUP(Sep_2025_SotM[[#This Row],[Low Seed]], $Z$154:$AE$170, 6, FALSE), OFFSET(Sep_2025_SotM[[#This Row],[Winner]], 2*(Sep_2025_SotM[[#This Row],[Max Seed]]-Sep_2025_SotM[[#This Row],[Low Seed]])+1, 0)))</f>
        <v>Doo Wop</v>
      </c>
      <c r="S165" s="37"/>
      <c r="T165" s="35" t="s">
        <v>4191</v>
      </c>
      <c r="U165" s="33"/>
      <c r="V165" s="31" t="s">
        <v>4191</v>
      </c>
      <c r="W165" s="28"/>
      <c r="X165" s="106" t="str">
        <f ca="1">IF(OR(Sep_2025_SotM[[#This Row],[Song 1]]="TBD", Sep_2025_SotM[[#This Row],[Song 2]]="TBD"), "TBD", _xlfn.CONCAT(IF(_xlfn.XOR(ISBLANK(Sep_2025_SotM[[#This Row],[J]]), ISBLANK(Sep_2025_SotM[[#This Row],[J ]])), "", "J "), IF(_xlfn.XOR(ISBLANK(Sep_2025_SotM[[#This Row],[D]]), ISBLANK(Sep_2025_SotM[[#This Row],[D ]])), "", "D "), IF(_xlfn.XOR(ISBLANK(Sep_2025_SotM[[#This Row],[L]]), ISBLANK(Sep_2025_SotM[[#This Row],[L ]])), "", "L "), IF(_xlfn.XOR(ISBLANK(Sep_2025_SotM[[#This Row],[S]]), ISBLANK(Sep_2025_SotM[[#This Row],[S ]])), "", "S "), IF(_xlfn.XOR(ISBLANK(Sep_2025_SotM[[#This Row],[H]]), ISBLANK(Sep_2025_SotM[[#This Row],[H ]])), "", "H ")))</f>
        <v/>
      </c>
      <c r="Z165" s="109">
        <f t="shared" si="39"/>
        <v>13</v>
      </c>
      <c r="AA165" s="59">
        <v>45922</v>
      </c>
      <c r="AB165" t="str">
        <v>alappatjoe</v>
      </c>
      <c r="AC165" s="3">
        <v>2.4</v>
      </c>
      <c r="AD165">
        <v>1.7435595774162693</v>
      </c>
      <c r="AE165" t="str">
        <v>OVR</v>
      </c>
      <c r="AF165" t="str">
        <v>3ee</v>
      </c>
      <c r="AG165" s="100">
        <f t="shared" si="40"/>
        <v>9</v>
      </c>
      <c r="AI165" s="3">
        <f>Sep_2025_SotM[[#This Row],[Max Seed]]/2 + 1</f>
        <v>9</v>
      </c>
      <c r="AJ165" t="str">
        <f ca="1">IF(Sep_2025_SotM[[#This Row],[Num]]&gt;=$A$153, "-", IF(Sep_2025_SotM[[#This Row],[Score 1]]&gt;=3, Sep_2025_SotM[[#This Row],[Song 2]], IF(Sep_2025_SotM[[#This Row],[Score 2]]&gt;=3, Sep_2025_SotM[[#This Row],[Song 1]], "TBD")))</f>
        <v>Doo Wop</v>
      </c>
      <c r="AK165" s="3">
        <f ca="1">IFERROR(VLOOKUP(Sep_2025_Results[[#This Row],[Song Title]], $AE$154:$AG$170, 3, FALSE)-Sep_2025_Results[[#This Row],[Result]], "TBD")</f>
        <v>0</v>
      </c>
      <c r="AL165" s="3" t="str">
        <f t="shared" ca="1" si="41"/>
        <v>-</v>
      </c>
    </row>
    <row r="166" spans="1:38">
      <c r="A166" s="199" t="str">
        <f>_xlfn.CONCAT("Seed ", Sep_2025_SotM[[#This Row],[Top Seed]], " vs ",Sep_2025_SotM[[#This Row],[Low Seed]])</f>
        <v>Seed 4 vs 13</v>
      </c>
      <c r="B166" s="201">
        <v>12</v>
      </c>
      <c r="C166" s="200">
        <f>FLOOR(LOG(Sep_2025_SotM[[#This Row],[Num]], 2), 1)</f>
        <v>3</v>
      </c>
      <c r="D166" s="200">
        <f>2^(Sep_2025_SotM[[#This Row],[Round]]+1)</f>
        <v>16</v>
      </c>
      <c r="E166" s="200">
        <f>Sep_2025_SotM[[#This Row],[Max Seed]]-Sep_2025_SotM[[#This Row],[Num]]</f>
        <v>4</v>
      </c>
      <c r="F166" s="200">
        <f>Sep_2025_SotM[[#This Row],[Max Seed]]-Sep_2025_SotM[[#This Row],[Top Seed]]+1</f>
        <v>13</v>
      </c>
      <c r="G166" s="200" t="b">
        <f>IF(Sep_2025_SotM[[#This Row],[Round]]=$C$153, TRUE(), IF(Sep_2025_SotM[[#This Row],[Round]]=$B$153, Sep_2025_SotM[[#This Row],[Top Seed]]&lt;=2*Sep_2025_SotM[[#This Row],[Max Seed]]-$A$153, FALSE()))</f>
        <v>1</v>
      </c>
      <c r="H166" s="200" t="b">
        <f>IF(Sep_2025_SotM[[#This Row],[Round]]=$C$153, TRUE(), IF(Sep_2025_SotM[[#This Row],[Round]]=$B$153, Sep_2025_SotM[[#This Row],[Low Seed]]&lt;=2*Sep_2025_SotM[[#This Row],[Max Seed]]-$A$153, FALSE()))</f>
        <v>1</v>
      </c>
      <c r="I166" s="28"/>
      <c r="J166" s="31" t="s">
        <v>4191</v>
      </c>
      <c r="K166" s="33"/>
      <c r="L166" s="35" t="s">
        <v>4191</v>
      </c>
      <c r="M166" s="37" t="s">
        <v>4191</v>
      </c>
      <c r="N166" s="203" t="str">
        <f ca="1">IF(Sep_2025_SotM[[#This Row],[Num]]&gt;=$A$153, "-", IF(Sep_2025_SotM[[#This Row],[Initial 1]], VLOOKUP(Sep_2025_SotM[[#This Row],[Top Seed]], $Z$154:$AE$170, 6, FALSE), OFFSET(Sep_2025_SotM[[#This Row],[Winner]], Sep_2025_SotM[[#This Row],[Max Seed]], 0)))</f>
        <v>How You Remind Me</v>
      </c>
      <c r="O166" s="200">
        <f>COUNTIF(Sep_2025_SotM[[#This Row],[J]:[H]],"x")</f>
        <v>3</v>
      </c>
      <c r="P166" s="201" t="str">
        <f ca="1">IF(Sep_2025_SotM[[#This Row],[Num]]&gt;=$A$153, "-", IF(Sep_2025_SotM[[#This Row],[Score 1]]&gt;=3, Sep_2025_SotM[[#This Row],[Song 1]], IF(Sep_2025_SotM[[#This Row],[Score 2]]&gt;=3, Sep_2025_SotM[[#This Row],[Song 2]], "TBD")))</f>
        <v>How You Remind Me</v>
      </c>
      <c r="Q166" s="206">
        <f>COUNTIF(Sep_2025_SotM[[#This Row],[H ]:[J ]],"x")</f>
        <v>2</v>
      </c>
      <c r="R166" s="200" t="str">
        <f ca="1">IF(Sep_2025_SotM[[#This Row],[Num]]&gt;=$A$153, "-", IF(Sep_2025_SotM[[#This Row],[Initial 2]], VLOOKUP(Sep_2025_SotM[[#This Row],[Low Seed]], $Z$154:$AE$170, 6, FALSE), OFFSET(Sep_2025_SotM[[#This Row],[Winner]], 2*(Sep_2025_SotM[[#This Row],[Max Seed]]-Sep_2025_SotM[[#This Row],[Low Seed]])+1, 0)))</f>
        <v>OVR</v>
      </c>
      <c r="S166" s="37"/>
      <c r="T166" s="35"/>
      <c r="U166" s="33" t="s">
        <v>4191</v>
      </c>
      <c r="V166" s="31"/>
      <c r="W166" s="28" t="s">
        <v>4191</v>
      </c>
      <c r="X166" s="106" t="str">
        <f ca="1">IF(OR(Sep_2025_SotM[[#This Row],[Song 1]]="TBD", Sep_2025_SotM[[#This Row],[Song 2]]="TBD"), "TBD", _xlfn.CONCAT(IF(_xlfn.XOR(ISBLANK(Sep_2025_SotM[[#This Row],[J]]), ISBLANK(Sep_2025_SotM[[#This Row],[J ]])), "", "J "), IF(_xlfn.XOR(ISBLANK(Sep_2025_SotM[[#This Row],[D]]), ISBLANK(Sep_2025_SotM[[#This Row],[D ]])), "", "D "), IF(_xlfn.XOR(ISBLANK(Sep_2025_SotM[[#This Row],[L]]), ISBLANK(Sep_2025_SotM[[#This Row],[L ]])), "", "L "), IF(_xlfn.XOR(ISBLANK(Sep_2025_SotM[[#This Row],[S]]), ISBLANK(Sep_2025_SotM[[#This Row],[S ]])), "", "S "), IF(_xlfn.XOR(ISBLANK(Sep_2025_SotM[[#This Row],[H]]), ISBLANK(Sep_2025_SotM[[#This Row],[H ]])), "", "H ")))</f>
        <v/>
      </c>
      <c r="Z166" s="109">
        <f t="shared" si="39"/>
        <v>5</v>
      </c>
      <c r="AA166" s="59">
        <v>45923</v>
      </c>
      <c r="AB166" t="str">
        <v>alappatjoe</v>
      </c>
      <c r="AC166" s="3">
        <v>2</v>
      </c>
      <c r="AD166">
        <v>0.63245553203367588</v>
      </c>
      <c r="AE166" t="str">
        <v>That Girl</v>
      </c>
      <c r="AF166" t="str">
        <v>Emotional Oranges</v>
      </c>
      <c r="AG166" s="100">
        <f t="shared" si="40"/>
        <v>5</v>
      </c>
      <c r="AI166" s="3">
        <f>Sep_2025_SotM[[#This Row],[Max Seed]]/2 + 1</f>
        <v>9</v>
      </c>
      <c r="AJ166" t="str">
        <f ca="1">IF(Sep_2025_SotM[[#This Row],[Num]]&gt;=$A$153, "-", IF(Sep_2025_SotM[[#This Row],[Score 1]]&gt;=3, Sep_2025_SotM[[#This Row],[Song 2]], IF(Sep_2025_SotM[[#This Row],[Score 2]]&gt;=3, Sep_2025_SotM[[#This Row],[Song 1]], "TBD")))</f>
        <v>OVR</v>
      </c>
      <c r="AK166" s="3">
        <f ca="1">IFERROR(VLOOKUP(Sep_2025_Results[[#This Row],[Song Title]], $AE$154:$AG$170, 3, FALSE)-Sep_2025_Results[[#This Row],[Result]], "TBD")</f>
        <v>0</v>
      </c>
      <c r="AL166" s="3" t="str">
        <f t="shared" ca="1" si="41"/>
        <v>-</v>
      </c>
    </row>
    <row r="167" spans="1:38">
      <c r="A167" s="199" t="str">
        <f>_xlfn.CONCAT("Seed ", Sep_2025_SotM[[#This Row],[Top Seed]], " vs ",Sep_2025_SotM[[#This Row],[Low Seed]])</f>
        <v>Seed 3 vs 14</v>
      </c>
      <c r="B167" s="201">
        <v>13</v>
      </c>
      <c r="C167" s="200">
        <f>FLOOR(LOG(Sep_2025_SotM[[#This Row],[Num]], 2), 1)</f>
        <v>3</v>
      </c>
      <c r="D167" s="200">
        <f>2^(Sep_2025_SotM[[#This Row],[Round]]+1)</f>
        <v>16</v>
      </c>
      <c r="E167" s="200">
        <f>Sep_2025_SotM[[#This Row],[Max Seed]]-Sep_2025_SotM[[#This Row],[Num]]</f>
        <v>3</v>
      </c>
      <c r="F167" s="200">
        <f>Sep_2025_SotM[[#This Row],[Max Seed]]-Sep_2025_SotM[[#This Row],[Top Seed]]+1</f>
        <v>14</v>
      </c>
      <c r="G167" s="200" t="b">
        <f>IF(Sep_2025_SotM[[#This Row],[Round]]=$C$153, TRUE(), IF(Sep_2025_SotM[[#This Row],[Round]]=$B$153, Sep_2025_SotM[[#This Row],[Top Seed]]&lt;=2*Sep_2025_SotM[[#This Row],[Max Seed]]-$A$153, FALSE()))</f>
        <v>1</v>
      </c>
      <c r="H167" s="200" t="b">
        <f>IF(Sep_2025_SotM[[#This Row],[Round]]=$C$153, TRUE(), IF(Sep_2025_SotM[[#This Row],[Round]]=$B$153, Sep_2025_SotM[[#This Row],[Low Seed]]&lt;=2*Sep_2025_SotM[[#This Row],[Max Seed]]-$A$153, FALSE()))</f>
        <v>1</v>
      </c>
      <c r="I167" s="28" t="s">
        <v>4191</v>
      </c>
      <c r="J167" s="31" t="s">
        <v>4191</v>
      </c>
      <c r="K167" s="33" t="s">
        <v>4191</v>
      </c>
      <c r="L167" s="35" t="s">
        <v>4191</v>
      </c>
      <c r="M167" s="37"/>
      <c r="N167" s="203" t="str">
        <f ca="1">IF(Sep_2025_SotM[[#This Row],[Num]]&gt;=$A$153, "-", IF(Sep_2025_SotM[[#This Row],[Initial 1]], VLOOKUP(Sep_2025_SotM[[#This Row],[Top Seed]], $Z$154:$AE$170, 6, FALSE), OFFSET(Sep_2025_SotM[[#This Row],[Winner]], Sep_2025_SotM[[#This Row],[Max Seed]], 0)))</f>
        <v>Politix</v>
      </c>
      <c r="O167" s="200">
        <f>COUNTIF(Sep_2025_SotM[[#This Row],[J]:[H]],"x")</f>
        <v>4</v>
      </c>
      <c r="P167" s="201" t="str">
        <f ca="1">IF(Sep_2025_SotM[[#This Row],[Num]]&gt;=$A$153, "-", IF(Sep_2025_SotM[[#This Row],[Score 1]]&gt;=3, Sep_2025_SotM[[#This Row],[Song 1]], IF(Sep_2025_SotM[[#This Row],[Score 2]]&gt;=3, Sep_2025_SotM[[#This Row],[Song 2]], "TBD")))</f>
        <v>Politix</v>
      </c>
      <c r="Q167" s="206">
        <f>COUNTIF(Sep_2025_SotM[[#This Row],[H ]:[J ]],"x")</f>
        <v>1</v>
      </c>
      <c r="R167" s="200" t="str">
        <f ca="1">IF(Sep_2025_SotM[[#This Row],[Num]]&gt;=$A$153, "-", IF(Sep_2025_SotM[[#This Row],[Initial 2]], VLOOKUP(Sep_2025_SotM[[#This Row],[Low Seed]], $Z$154:$AE$170, 6, FALSE), OFFSET(Sep_2025_SotM[[#This Row],[Winner]], 2*(Sep_2025_SotM[[#This Row],[Max Seed]]-Sep_2025_SotM[[#This Row],[Low Seed]])+1, 0)))</f>
        <v>on one tonight</v>
      </c>
      <c r="S167" s="37" t="s">
        <v>4191</v>
      </c>
      <c r="T167" s="35"/>
      <c r="U167" s="33"/>
      <c r="V167" s="31"/>
      <c r="W167" s="28"/>
      <c r="X167" s="106" t="str">
        <f ca="1">IF(OR(Sep_2025_SotM[[#This Row],[Song 1]]="TBD", Sep_2025_SotM[[#This Row],[Song 2]]="TBD"), "TBD", _xlfn.CONCAT(IF(_xlfn.XOR(ISBLANK(Sep_2025_SotM[[#This Row],[J]]), ISBLANK(Sep_2025_SotM[[#This Row],[J ]])), "", "J "), IF(_xlfn.XOR(ISBLANK(Sep_2025_SotM[[#This Row],[D]]), ISBLANK(Sep_2025_SotM[[#This Row],[D ]])), "", "D "), IF(_xlfn.XOR(ISBLANK(Sep_2025_SotM[[#This Row],[L]]), ISBLANK(Sep_2025_SotM[[#This Row],[L ]])), "", "L "), IF(_xlfn.XOR(ISBLANK(Sep_2025_SotM[[#This Row],[S]]), ISBLANK(Sep_2025_SotM[[#This Row],[S ]])), "", "S "), IF(_xlfn.XOR(ISBLANK(Sep_2025_SotM[[#This Row],[H]]), ISBLANK(Sep_2025_SotM[[#This Row],[H ]])), "", "H ")))</f>
        <v/>
      </c>
      <c r="Z167" s="109">
        <f t="shared" si="39"/>
        <v>9</v>
      </c>
      <c r="AA167" s="59">
        <v>45924</v>
      </c>
      <c r="AB167" t="str">
        <v>currydestroyer27</v>
      </c>
      <c r="AC167" s="3">
        <v>2.2000000000000002</v>
      </c>
      <c r="AD167">
        <v>0.9797958971132712</v>
      </c>
      <c r="AE167" t="str">
        <v>Clarity</v>
      </c>
      <c r="AF167" t="str">
        <v>Zedd, Foxes</v>
      </c>
      <c r="AG167" s="100">
        <f t="shared" si="40"/>
        <v>9</v>
      </c>
      <c r="AI167" s="3">
        <f>Sep_2025_SotM[[#This Row],[Max Seed]]/2 + 1</f>
        <v>9</v>
      </c>
      <c r="AJ167" t="str">
        <f ca="1">IF(Sep_2025_SotM[[#This Row],[Num]]&gt;=$A$153, "-", IF(Sep_2025_SotM[[#This Row],[Score 1]]&gt;=3, Sep_2025_SotM[[#This Row],[Song 2]], IF(Sep_2025_SotM[[#This Row],[Score 2]]&gt;=3, Sep_2025_SotM[[#This Row],[Song 1]], "TBD")))</f>
        <v>on one tonight</v>
      </c>
      <c r="AK167" s="3">
        <f ca="1">IFERROR(VLOOKUP(Sep_2025_Results[[#This Row],[Song Title]], $AE$154:$AG$170, 3, FALSE)-Sep_2025_Results[[#This Row],[Result]], "TBD")</f>
        <v>0</v>
      </c>
      <c r="AL167" s="3" t="str">
        <f t="shared" ca="1" si="41"/>
        <v>-</v>
      </c>
    </row>
    <row r="168" spans="1:38">
      <c r="A168" s="199" t="str">
        <f>_xlfn.CONCAT("Seed ", Sep_2025_SotM[[#This Row],[Top Seed]], " vs ",Sep_2025_SotM[[#This Row],[Low Seed]])</f>
        <v>Seed 2 vs 15</v>
      </c>
      <c r="B168" s="201">
        <v>14</v>
      </c>
      <c r="C168" s="200">
        <f>FLOOR(LOG(Sep_2025_SotM[[#This Row],[Num]], 2), 1)</f>
        <v>3</v>
      </c>
      <c r="D168" s="200">
        <f>2^(Sep_2025_SotM[[#This Row],[Round]]+1)</f>
        <v>16</v>
      </c>
      <c r="E168" s="200">
        <f>Sep_2025_SotM[[#This Row],[Max Seed]]-Sep_2025_SotM[[#This Row],[Num]]</f>
        <v>2</v>
      </c>
      <c r="F168" s="200">
        <f>Sep_2025_SotM[[#This Row],[Max Seed]]-Sep_2025_SotM[[#This Row],[Top Seed]]+1</f>
        <v>15</v>
      </c>
      <c r="G168" s="200" t="b">
        <f>IF(Sep_2025_SotM[[#This Row],[Round]]=$C$153, TRUE(), IF(Sep_2025_SotM[[#This Row],[Round]]=$B$153, Sep_2025_SotM[[#This Row],[Top Seed]]&lt;=2*Sep_2025_SotM[[#This Row],[Max Seed]]-$A$153, FALSE()))</f>
        <v>1</v>
      </c>
      <c r="H168" s="200" t="b">
        <f>IF(Sep_2025_SotM[[#This Row],[Round]]=$C$153, TRUE(), IF(Sep_2025_SotM[[#This Row],[Round]]=$B$153, Sep_2025_SotM[[#This Row],[Low Seed]]&lt;=2*Sep_2025_SotM[[#This Row],[Max Seed]]-$A$153, FALSE()))</f>
        <v>1</v>
      </c>
      <c r="I168" s="28" t="s">
        <v>4191</v>
      </c>
      <c r="J168" s="31" t="s">
        <v>4191</v>
      </c>
      <c r="K168" s="33" t="s">
        <v>4191</v>
      </c>
      <c r="L168" s="35" t="s">
        <v>4191</v>
      </c>
      <c r="M168" s="37"/>
      <c r="N168" s="203" t="str">
        <f ca="1">IF(Sep_2025_SotM[[#This Row],[Num]]&gt;=$A$153, "-", IF(Sep_2025_SotM[[#This Row],[Initial 1]], VLOOKUP(Sep_2025_SotM[[#This Row],[Top Seed]], $Z$154:$AE$170, 6, FALSE), OFFSET(Sep_2025_SotM[[#This Row],[Winner]], Sep_2025_SotM[[#This Row],[Max Seed]], 0)))</f>
        <v>Maps</v>
      </c>
      <c r="O168" s="200">
        <f>COUNTIF(Sep_2025_SotM[[#This Row],[J]:[H]],"x")</f>
        <v>4</v>
      </c>
      <c r="P168" s="201" t="str">
        <f ca="1">IF(Sep_2025_SotM[[#This Row],[Num]]&gt;=$A$153, "-", IF(Sep_2025_SotM[[#This Row],[Score 1]]&gt;=3, Sep_2025_SotM[[#This Row],[Song 1]], IF(Sep_2025_SotM[[#This Row],[Score 2]]&gt;=3, Sep_2025_SotM[[#This Row],[Song 2]], "TBD")))</f>
        <v>Maps</v>
      </c>
      <c r="Q168" s="206">
        <f>COUNTIF(Sep_2025_SotM[[#This Row],[H ]:[J ]],"x")</f>
        <v>1</v>
      </c>
      <c r="R168" s="200" t="str">
        <f ca="1">IF(Sep_2025_SotM[[#This Row],[Num]]&gt;=$A$153, "-", IF(Sep_2025_SotM[[#This Row],[Initial 2]], VLOOKUP(Sep_2025_SotM[[#This Row],[Low Seed]], $Z$154:$AE$170, 6, FALSE), OFFSET(Sep_2025_SotM[[#This Row],[Winner]], 2*(Sep_2025_SotM[[#This Row],[Max Seed]]-Sep_2025_SotM[[#This Row],[Low Seed]])+1, 0)))</f>
        <v>千本桜</v>
      </c>
      <c r="S168" s="37" t="s">
        <v>4191</v>
      </c>
      <c r="T168" s="35"/>
      <c r="U168" s="33"/>
      <c r="V168" s="31"/>
      <c r="W168" s="28"/>
      <c r="X168" s="106" t="str">
        <f ca="1">IF(OR(Sep_2025_SotM[[#This Row],[Song 1]]="TBD", Sep_2025_SotM[[#This Row],[Song 2]]="TBD"), "TBD", _xlfn.CONCAT(IF(_xlfn.XOR(ISBLANK(Sep_2025_SotM[[#This Row],[J]]), ISBLANK(Sep_2025_SotM[[#This Row],[J ]])), "", "J "), IF(_xlfn.XOR(ISBLANK(Sep_2025_SotM[[#This Row],[D]]), ISBLANK(Sep_2025_SotM[[#This Row],[D ]])), "", "D "), IF(_xlfn.XOR(ISBLANK(Sep_2025_SotM[[#This Row],[L]]), ISBLANK(Sep_2025_SotM[[#This Row],[L ]])), "", "L "), IF(_xlfn.XOR(ISBLANK(Sep_2025_SotM[[#This Row],[S]]), ISBLANK(Sep_2025_SotM[[#This Row],[S ]])), "", "S "), IF(_xlfn.XOR(ISBLANK(Sep_2025_SotM[[#This Row],[H]]), ISBLANK(Sep_2025_SotM[[#This Row],[H ]])), "", "H ")))</f>
        <v/>
      </c>
      <c r="Z168" s="109">
        <f t="shared" si="39"/>
        <v>6</v>
      </c>
      <c r="AA168" s="59">
        <v>45925</v>
      </c>
      <c r="AB168" t="str">
        <v>loganworsdell</v>
      </c>
      <c r="AC168" s="3">
        <v>2</v>
      </c>
      <c r="AD168">
        <v>0.89442719099991586</v>
      </c>
      <c r="AE168" t="str">
        <v>i</v>
      </c>
      <c r="AF168" t="str">
        <v>Kendrick Lamar</v>
      </c>
      <c r="AG168" s="100">
        <f t="shared" si="40"/>
        <v>5</v>
      </c>
      <c r="AI168" s="3">
        <f>Sep_2025_SotM[[#This Row],[Max Seed]]/2 + 1</f>
        <v>9</v>
      </c>
      <c r="AJ168" t="str">
        <f ca="1">IF(Sep_2025_SotM[[#This Row],[Num]]&gt;=$A$153, "-", IF(Sep_2025_SotM[[#This Row],[Score 1]]&gt;=3, Sep_2025_SotM[[#This Row],[Song 2]], IF(Sep_2025_SotM[[#This Row],[Score 2]]&gt;=3, Sep_2025_SotM[[#This Row],[Song 1]], "TBD")))</f>
        <v>千本桜</v>
      </c>
      <c r="AK168" s="3">
        <f ca="1">IFERROR(VLOOKUP(Sep_2025_Results[[#This Row],[Song Title]], $AE$154:$AG$170, 3, FALSE)-Sep_2025_Results[[#This Row],[Result]], "TBD")</f>
        <v>0</v>
      </c>
      <c r="AL168" s="3" t="str">
        <f t="shared" ca="1" si="41"/>
        <v>-</v>
      </c>
    </row>
    <row r="169" spans="1:38">
      <c r="A169" s="199" t="str">
        <f>_xlfn.CONCAT("Seed ", Sep_2025_SotM[[#This Row],[Top Seed]], " vs ",Sep_2025_SotM[[#This Row],[Low Seed]])</f>
        <v>Seed 1 vs 16</v>
      </c>
      <c r="B169" s="201">
        <v>15</v>
      </c>
      <c r="C169" s="200">
        <f>FLOOR(LOG(Sep_2025_SotM[[#This Row],[Num]], 2), 1)</f>
        <v>3</v>
      </c>
      <c r="D169" s="200">
        <f>2^(Sep_2025_SotM[[#This Row],[Round]]+1)</f>
        <v>16</v>
      </c>
      <c r="E169" s="200">
        <f>Sep_2025_SotM[[#This Row],[Max Seed]]-Sep_2025_SotM[[#This Row],[Num]]</f>
        <v>1</v>
      </c>
      <c r="F169" s="200">
        <f>Sep_2025_SotM[[#This Row],[Max Seed]]-Sep_2025_SotM[[#This Row],[Top Seed]]+1</f>
        <v>16</v>
      </c>
      <c r="G169" s="200" t="b">
        <f>IF(Sep_2025_SotM[[#This Row],[Round]]=$C$153, TRUE(), IF(Sep_2025_SotM[[#This Row],[Round]]=$B$153, Sep_2025_SotM[[#This Row],[Top Seed]]&lt;=2*Sep_2025_SotM[[#This Row],[Max Seed]]-$A$153, FALSE()))</f>
        <v>1</v>
      </c>
      <c r="H169" s="200" t="b">
        <f>IF(Sep_2025_SotM[[#This Row],[Round]]=$C$153, TRUE(), IF(Sep_2025_SotM[[#This Row],[Round]]=$B$153, Sep_2025_SotM[[#This Row],[Low Seed]]&lt;=2*Sep_2025_SotM[[#This Row],[Max Seed]]-$A$153, FALSE()))</f>
        <v>0</v>
      </c>
      <c r="I169" s="28" t="s">
        <v>4191</v>
      </c>
      <c r="J169" s="31"/>
      <c r="K169" s="33" t="s">
        <v>4191</v>
      </c>
      <c r="L169" s="35" t="s">
        <v>4191</v>
      </c>
      <c r="M169" s="37" t="s">
        <v>4191</v>
      </c>
      <c r="N169" s="203" t="str">
        <f ca="1">IF(Sep_2025_SotM[[#This Row],[Num]]&gt;=$A$153, "-", IF(Sep_2025_SotM[[#This Row],[Initial 1]], VLOOKUP(Sep_2025_SotM[[#This Row],[Top Seed]], $Z$154:$AE$170, 6, FALSE), OFFSET(Sep_2025_SotM[[#This Row],[Winner]], Sep_2025_SotM[[#This Row],[Max Seed]], 0)))</f>
        <v>Roundabaout</v>
      </c>
      <c r="O169" s="200">
        <f>COUNTIF(Sep_2025_SotM[[#This Row],[J]:[H]],"x")</f>
        <v>4</v>
      </c>
      <c r="P169" s="201" t="str">
        <f ca="1">IF(Sep_2025_SotM[[#This Row],[Num]]&gt;=$A$153, "-", IF(Sep_2025_SotM[[#This Row],[Score 1]]&gt;=3, Sep_2025_SotM[[#This Row],[Song 1]], IF(Sep_2025_SotM[[#This Row],[Score 2]]&gt;=3, Sep_2025_SotM[[#This Row],[Song 2]], "TBD")))</f>
        <v>Roundabaout</v>
      </c>
      <c r="Q169" s="206">
        <f>COUNTIF(Sep_2025_SotM[[#This Row],[H ]:[J ]],"x")</f>
        <v>1</v>
      </c>
      <c r="R169" s="200">
        <f ca="1">IF(Sep_2025_SotM[[#This Row],[Num]]&gt;=$A$153, "-", IF(Sep_2025_SotM[[#This Row],[Initial 2]], VLOOKUP(Sep_2025_SotM[[#This Row],[Low Seed]], $Z$154:$AE$170, 6, FALSE), OFFSET(Sep_2025_SotM[[#This Row],[Winner]], 2*(Sep_2025_SotM[[#This Row],[Max Seed]]-Sep_2025_SotM[[#This Row],[Low Seed]])+1, 0)))</f>
        <v>1985</v>
      </c>
      <c r="S169" s="37"/>
      <c r="T169" s="35"/>
      <c r="U169" s="33"/>
      <c r="V169" s="31" t="s">
        <v>4191</v>
      </c>
      <c r="W169" s="28"/>
      <c r="X169" s="106" t="str">
        <f ca="1">IF(OR(Sep_2025_SotM[[#This Row],[Song 1]]="TBD", Sep_2025_SotM[[#This Row],[Song 2]]="TBD"), "TBD", _xlfn.CONCAT(IF(_xlfn.XOR(ISBLANK(Sep_2025_SotM[[#This Row],[J]]), ISBLANK(Sep_2025_SotM[[#This Row],[J ]])), "", "J "), IF(_xlfn.XOR(ISBLANK(Sep_2025_SotM[[#This Row],[D]]), ISBLANK(Sep_2025_SotM[[#This Row],[D ]])), "", "D "), IF(_xlfn.XOR(ISBLANK(Sep_2025_SotM[[#This Row],[L]]), ISBLANK(Sep_2025_SotM[[#This Row],[L ]])), "", "L "), IF(_xlfn.XOR(ISBLANK(Sep_2025_SotM[[#This Row],[S]]), ISBLANK(Sep_2025_SotM[[#This Row],[S ]])), "", "S "), IF(_xlfn.XOR(ISBLANK(Sep_2025_SotM[[#This Row],[H]]), ISBLANK(Sep_2025_SotM[[#This Row],[H ]])), "", "H ")))</f>
        <v/>
      </c>
      <c r="Z169" s="109">
        <f t="shared" si="39"/>
        <v>1</v>
      </c>
      <c r="AA169" s="59">
        <v>45929</v>
      </c>
      <c r="AB169" t="str">
        <v>samuelbattista</v>
      </c>
      <c r="AC169" s="3">
        <v>1.4</v>
      </c>
      <c r="AD169">
        <v>0.4898979485566356</v>
      </c>
      <c r="AE169" t="str">
        <v>Roundabaout</v>
      </c>
      <c r="AF169" t="str">
        <v>Yes</v>
      </c>
      <c r="AG169" s="100">
        <f t="shared" si="40"/>
        <v>1</v>
      </c>
      <c r="AI169" s="3">
        <f>Sep_2025_SotM[[#This Row],[Max Seed]]/2 + 1</f>
        <v>9</v>
      </c>
      <c r="AJ169">
        <f ca="1">IF(Sep_2025_SotM[[#This Row],[Num]]&gt;=$A$153, "-", IF(Sep_2025_SotM[[#This Row],[Score 1]]&gt;=3, Sep_2025_SotM[[#This Row],[Song 2]], IF(Sep_2025_SotM[[#This Row],[Score 2]]&gt;=3, Sep_2025_SotM[[#This Row],[Song 1]], "TBD")))</f>
        <v>1985</v>
      </c>
      <c r="AK169" s="3">
        <f ca="1">IFERROR(VLOOKUP(Sep_2025_Results[[#This Row],[Song Title]], $AE$154:$AG$170, 3, FALSE)-Sep_2025_Results[[#This Row],[Result]], "TBD")</f>
        <v>8</v>
      </c>
      <c r="AL169" s="3" t="str">
        <f t="shared" ca="1" si="41"/>
        <v>↑</v>
      </c>
    </row>
    <row r="170" spans="1:38">
      <c r="A170" s="199" t="str">
        <f>_xlfn.CONCAT("Seed ", Sep_2025_SotM[[#This Row],[Top Seed]], " vs ",Sep_2025_SotM[[#This Row],[Low Seed]])</f>
        <v>Seed 16 vs 17</v>
      </c>
      <c r="B170" s="201">
        <v>16</v>
      </c>
      <c r="C170" s="200">
        <f>FLOOR(LOG(Sep_2025_SotM[[#This Row],[Num]], 2), 1)</f>
        <v>4</v>
      </c>
      <c r="D170" s="200">
        <f>2^(Sep_2025_SotM[[#This Row],[Round]]+1)</f>
        <v>32</v>
      </c>
      <c r="E170" s="200">
        <f>Sep_2025_SotM[[#This Row],[Max Seed]]-Sep_2025_SotM[[#This Row],[Num]]</f>
        <v>16</v>
      </c>
      <c r="F170" s="200">
        <f>Sep_2025_SotM[[#This Row],[Max Seed]]-Sep_2025_SotM[[#This Row],[Top Seed]]+1</f>
        <v>17</v>
      </c>
      <c r="G170" s="200" t="b">
        <f>IF(Sep_2025_SotM[[#This Row],[Round]]=$C$153, TRUE(), IF(Sep_2025_SotM[[#This Row],[Round]]=$B$153, Sep_2025_SotM[[#This Row],[Top Seed]]&lt;=2*Sep_2025_SotM[[#This Row],[Max Seed]]-$A$153, FALSE()))</f>
        <v>1</v>
      </c>
      <c r="H170" s="200" t="b">
        <f>IF(Sep_2025_SotM[[#This Row],[Round]]=$C$153, TRUE(), IF(Sep_2025_SotM[[#This Row],[Round]]=$B$153, Sep_2025_SotM[[#This Row],[Low Seed]]&lt;=2*Sep_2025_SotM[[#This Row],[Max Seed]]-$A$153, FALSE()))</f>
        <v>1</v>
      </c>
      <c r="I170" s="28" t="s">
        <v>4191</v>
      </c>
      <c r="J170" s="31"/>
      <c r="K170" s="33"/>
      <c r="L170" s="35"/>
      <c r="M170" s="37" t="s">
        <v>4191</v>
      </c>
      <c r="N170" s="203" t="str">
        <f ca="1">IF(Sep_2025_SotM[[#This Row],[Num]]&gt;=$A$153, "-", IF(Sep_2025_SotM[[#This Row],[Initial 1]], VLOOKUP(Sep_2025_SotM[[#This Row],[Top Seed]], $Z$154:$AE$170, 6, FALSE), OFFSET(Sep_2025_SotM[[#This Row],[Winner]], Sep_2025_SotM[[#This Row],[Max Seed]], 0)))</f>
        <v>Last Memory</v>
      </c>
      <c r="O170" s="200">
        <f>COUNTIF(Sep_2025_SotM[[#This Row],[J]:[H]],"x")</f>
        <v>2</v>
      </c>
      <c r="P170" s="201">
        <f ca="1">IF(Sep_2025_SotM[[#This Row],[Num]]&gt;=$A$153, "-", IF(Sep_2025_SotM[[#This Row],[Score 1]]&gt;=3, Sep_2025_SotM[[#This Row],[Song 1]], IF(Sep_2025_SotM[[#This Row],[Score 2]]&gt;=3, Sep_2025_SotM[[#This Row],[Song 2]], "TBD")))</f>
        <v>1985</v>
      </c>
      <c r="Q170" s="206">
        <f>COUNTIF(Sep_2025_SotM[[#This Row],[H ]:[J ]],"x")</f>
        <v>3</v>
      </c>
      <c r="R170" s="200">
        <f ca="1">IF(Sep_2025_SotM[[#This Row],[Num]]&gt;=$A$153, "-", IF(Sep_2025_SotM[[#This Row],[Initial 2]], VLOOKUP(Sep_2025_SotM[[#This Row],[Low Seed]], $Z$154:$AE$170, 6, FALSE), OFFSET(Sep_2025_SotM[[#This Row],[Winner]], 2*(Sep_2025_SotM[[#This Row],[Max Seed]]-Sep_2025_SotM[[#This Row],[Low Seed]])+1, 0)))</f>
        <v>1985</v>
      </c>
      <c r="S170" s="37"/>
      <c r="T170" s="35" t="s">
        <v>4191</v>
      </c>
      <c r="U170" s="33" t="s">
        <v>4191</v>
      </c>
      <c r="V170" s="31" t="s">
        <v>4191</v>
      </c>
      <c r="W170" s="28"/>
      <c r="X170" s="106" t="str">
        <f ca="1">IF(OR(Sep_2025_SotM[[#This Row],[Song 1]]="TBD", Sep_2025_SotM[[#This Row],[Song 2]]="TBD"), "TBD", _xlfn.CONCAT(IF(_xlfn.XOR(ISBLANK(Sep_2025_SotM[[#This Row],[J]]), ISBLANK(Sep_2025_SotM[[#This Row],[J ]])), "", "J "), IF(_xlfn.XOR(ISBLANK(Sep_2025_SotM[[#This Row],[D]]), ISBLANK(Sep_2025_SotM[[#This Row],[D ]])), "", "D "), IF(_xlfn.XOR(ISBLANK(Sep_2025_SotM[[#This Row],[L]]), ISBLANK(Sep_2025_SotM[[#This Row],[L ]])), "", "L "), IF(_xlfn.XOR(ISBLANK(Sep_2025_SotM[[#This Row],[S]]), ISBLANK(Sep_2025_SotM[[#This Row],[S ]])), "", "S "), IF(_xlfn.XOR(ISBLANK(Sep_2025_SotM[[#This Row],[H]]), ISBLANK(Sep_2025_SotM[[#This Row],[H ]])), "", "H ")))</f>
        <v/>
      </c>
      <c r="Z170" s="110">
        <f t="shared" si="39"/>
        <v>11</v>
      </c>
      <c r="AA170" s="211">
        <v>45930</v>
      </c>
      <c r="AB170" s="157" t="str">
        <v>alappatjoe</v>
      </c>
      <c r="AC170" s="101">
        <v>2.4</v>
      </c>
      <c r="AD170" s="157">
        <v>0.8</v>
      </c>
      <c r="AE170" s="157" t="str">
        <v>La forza della banda</v>
      </c>
      <c r="AF170" s="157" t="str">
        <v>Shablo, Mimi, Tormento</v>
      </c>
      <c r="AG170" s="102">
        <f t="shared" si="40"/>
        <v>9</v>
      </c>
      <c r="AI170" s="3">
        <f>Sep_2025_SotM[[#This Row],[Max Seed]]/2 + 1</f>
        <v>17</v>
      </c>
      <c r="AJ170" t="str">
        <f ca="1">IF(Sep_2025_SotM[[#This Row],[Num]]&gt;=$A$153, "-", IF(Sep_2025_SotM[[#This Row],[Score 1]]&gt;=3, Sep_2025_SotM[[#This Row],[Song 2]], IF(Sep_2025_SotM[[#This Row],[Score 2]]&gt;=3, Sep_2025_SotM[[#This Row],[Song 1]], "TBD")))</f>
        <v>Last Memory</v>
      </c>
      <c r="AK170" s="3">
        <f ca="1">IFERROR(VLOOKUP(Sep_2025_Results[[#This Row],[Song Title]], $AE$154:$AG$170, 3, FALSE)-Sep_2025_Results[[#This Row],[Result]], "TBD")</f>
        <v>-8</v>
      </c>
      <c r="AL170" s="3" t="str">
        <f t="shared" ca="1" si="41"/>
        <v>↓</v>
      </c>
    </row>
    <row r="172" spans="1:38">
      <c r="A172" s="302">
        <f>MAX(Z173:Z190)</f>
        <v>18</v>
      </c>
      <c r="B172" s="302">
        <f>FLOOR(LOG(A172, 2), 1)-1</f>
        <v>3</v>
      </c>
      <c r="C172" s="302">
        <f t="shared" ref="C172" si="42">_xlfn.CEILING.MATH(LOG(A172, 2), 1)-1</f>
        <v>4</v>
      </c>
      <c r="D172" s="302"/>
      <c r="E172" s="302"/>
      <c r="F172" s="302"/>
      <c r="G172" s="302"/>
      <c r="H172" s="302"/>
      <c r="I172" s="348" t="s">
        <v>4198</v>
      </c>
      <c r="J172" s="348"/>
      <c r="K172" s="348"/>
      <c r="L172" s="348"/>
      <c r="M172" s="348"/>
      <c r="N172" s="348"/>
      <c r="O172" s="348"/>
      <c r="P172" s="348"/>
      <c r="Q172" s="348"/>
      <c r="R172" s="348"/>
      <c r="S172" s="348"/>
      <c r="T172" s="348"/>
      <c r="U172" s="348"/>
      <c r="V172" s="348"/>
      <c r="W172" s="348"/>
      <c r="X172" s="302"/>
      <c r="Z172" s="221" t="s">
        <v>4163</v>
      </c>
      <c r="AA172" s="222" t="s">
        <v>29</v>
      </c>
      <c r="AB172" s="220" t="s">
        <v>32</v>
      </c>
      <c r="AC172" s="221" t="s">
        <v>33</v>
      </c>
      <c r="AD172" s="220" t="s">
        <v>34</v>
      </c>
      <c r="AE172" s="220" t="s">
        <v>4161</v>
      </c>
      <c r="AF172" s="220" t="s">
        <v>36</v>
      </c>
      <c r="AG172" s="221" t="s">
        <v>4164</v>
      </c>
      <c r="AI172" s="247" t="s">
        <v>4165</v>
      </c>
      <c r="AJ172" s="248" t="s">
        <v>35</v>
      </c>
      <c r="AK172" s="249" t="s">
        <v>4166</v>
      </c>
      <c r="AL172" s="282" t="s">
        <v>4167</v>
      </c>
    </row>
    <row r="173" spans="1:38">
      <c r="A173" s="218" t="s">
        <v>4168</v>
      </c>
      <c r="B173" s="213" t="s">
        <v>4169</v>
      </c>
      <c r="C173" s="219" t="s">
        <v>4170</v>
      </c>
      <c r="D173" s="219" t="s">
        <v>4171</v>
      </c>
      <c r="E173" s="219" t="s">
        <v>4172</v>
      </c>
      <c r="F173" s="219" t="s">
        <v>4173</v>
      </c>
      <c r="G173" s="219" t="s">
        <v>4174</v>
      </c>
      <c r="H173" s="219" t="s">
        <v>4175</v>
      </c>
      <c r="I173" s="219" t="s">
        <v>4176</v>
      </c>
      <c r="J173" s="219" t="s">
        <v>4177</v>
      </c>
      <c r="K173" s="219" t="s">
        <v>4178</v>
      </c>
      <c r="L173" s="219" t="s">
        <v>4179</v>
      </c>
      <c r="M173" s="219" t="s">
        <v>4180</v>
      </c>
      <c r="N173" s="226" t="s">
        <v>4181</v>
      </c>
      <c r="O173" s="219" t="s">
        <v>4182</v>
      </c>
      <c r="P173" s="213" t="s">
        <v>47</v>
      </c>
      <c r="Q173" s="231" t="s">
        <v>4183</v>
      </c>
      <c r="R173" s="219" t="s">
        <v>4184</v>
      </c>
      <c r="S173" s="219" t="s">
        <v>4185</v>
      </c>
      <c r="T173" s="219" t="s">
        <v>4186</v>
      </c>
      <c r="U173" s="219" t="s">
        <v>4187</v>
      </c>
      <c r="V173" s="219" t="s">
        <v>4188</v>
      </c>
      <c r="W173" s="219" t="s">
        <v>4189</v>
      </c>
      <c r="X173" s="110" t="s">
        <v>4190</v>
      </c>
      <c r="Z173" s="109">
        <f>IF(AC173&gt;0, COUNTIF(AC$173:AC$190, "&lt;"&amp;AC173) + COUNTIFS(AC$173:AC$190, AC173, AD$173:AD$190, "&lt;"&amp;AD173) + COUNTIFS(AC$173:AC$190, AC173, AD$173:AD$190, AD173, AA$173:AA$190, "&lt;"&amp;AA173) + 1, "TBD")</f>
        <v>6</v>
      </c>
      <c r="AA173" s="59" cm="1">
        <f t="array" ref="AA173:AF190">_xlfn._xlws.FILTER(Data[Date]:Data[Artist], (Data[Date]&gt;=DATE(2025,10,1))*(Data[Date]&lt;=DATE(2025,10,31))*(Data[Winner]=TRUE()), "TBD")</f>
        <v>45931</v>
      </c>
      <c r="AB173" t="str">
        <v>samuelbattista</v>
      </c>
      <c r="AC173" s="3">
        <v>2</v>
      </c>
      <c r="AD173">
        <v>1.0954451150103321</v>
      </c>
      <c r="AE173" t="str">
        <v>Wake Me up When September Ends</v>
      </c>
      <c r="AF173" t="str">
        <v>Green Day</v>
      </c>
      <c r="AG173" s="100">
        <f t="shared" ref="AG173:AG190" si="43">IF(Z173&gt;1, 2^FLOOR(LOG(Z173-1, 2), 1)+1, 1)</f>
        <v>5</v>
      </c>
      <c r="AI173" s="280">
        <v>1</v>
      </c>
      <c r="AJ173" s="279" t="str">
        <f ca="1">P174</f>
        <v>can't slow down</v>
      </c>
      <c r="AK173" s="246">
        <f ca="1">IFERROR(VLOOKUP(Oct_2025_Results[[#This Row],[Song Title]], $AE$173:$AG$190, 3, FALSE)-Oct_2025_Results[[#This Row],[Result]], "TBD")</f>
        <v>1</v>
      </c>
      <c r="AL173" s="281" t="str">
        <f ca="1">IF(AK173&lt;0,"↓",IF(AK173=0,"-","↑"))</f>
        <v>↑</v>
      </c>
    </row>
    <row r="174" spans="1:38">
      <c r="A174" s="199" t="str">
        <f>_xlfn.CONCAT("Seed ", Oct_2025_SotM[[#This Row],[Top Seed]], " vs ",Oct_2025_SotM[[#This Row],[Low Seed]])</f>
        <v>Seed 1 vs 2</v>
      </c>
      <c r="B174" s="201">
        <v>1</v>
      </c>
      <c r="C174" s="200">
        <f>FLOOR(LOG(Oct_2025_SotM[[#This Row],[Num]], 2), 1)</f>
        <v>0</v>
      </c>
      <c r="D174" s="200">
        <f>2^(Oct_2025_SotM[[#This Row],[Round]]+1)</f>
        <v>2</v>
      </c>
      <c r="E174" s="200">
        <f>Oct_2025_SotM[[#This Row],[Max Seed]]-Oct_2025_SotM[[#This Row],[Num]]</f>
        <v>1</v>
      </c>
      <c r="F174" s="200">
        <f>Oct_2025_SotM[[#This Row],[Max Seed]]-Oct_2025_SotM[[#This Row],[Top Seed]]+1</f>
        <v>2</v>
      </c>
      <c r="G174" s="200" t="b">
        <f>IF(Oct_2025_SotM[[#This Row],[Round]]=$C$172, TRUE(), IF(Oct_2025_SotM[[#This Row],[Round]]=$B$172, Oct_2025_SotM[[#This Row],[Top Seed]]&lt;=2*Oct_2025_SotM[[#This Row],[Max Seed]]-$A$172, FALSE()))</f>
        <v>0</v>
      </c>
      <c r="H174" s="200" t="b">
        <f>IF(Oct_2025_SotM[[#This Row],[Round]]=$C$172, TRUE(), IF(Oct_2025_SotM[[#This Row],[Round]]=$B$172, Oct_2025_SotM[[#This Row],[Low Seed]]&lt;=2*Oct_2025_SotM[[#This Row],[Max Seed]]-$A$172, FALSE()))</f>
        <v>0</v>
      </c>
      <c r="I174" s="28"/>
      <c r="J174" s="31"/>
      <c r="K174" s="33" t="s">
        <v>4191</v>
      </c>
      <c r="L174" s="35"/>
      <c r="M174" s="37" t="s">
        <v>4191</v>
      </c>
      <c r="N174" s="203" t="str">
        <f ca="1">IF(Oct_2025_SotM[[#This Row],[Num]]&gt;=$A$172, "-", IF(Oct_2025_SotM[[#This Row],[Initial 1]], VLOOKUP(Oct_2025_SotM[[#This Row],[Top Seed]], $Z$173:$AE$190, 6, FALSE), OFFSET(Oct_2025_SotM[[#This Row],[Winner]], Oct_2025_SotM[[#This Row],[Max Seed]], 0)))</f>
        <v>crossing field</v>
      </c>
      <c r="O174" s="200">
        <f>COUNTIF(Oct_2025_SotM[[#This Row],[J]:[H]],"x")</f>
        <v>2</v>
      </c>
      <c r="P174" s="201" t="str">
        <f ca="1">IF(Oct_2025_SotM[[#This Row],[Num]]&gt;=$A$172, "-", IF(Oct_2025_SotM[[#This Row],[Score 1]]&gt;=3, Oct_2025_SotM[[#This Row],[Song 1]], IF(Oct_2025_SotM[[#This Row],[Score 2]]&gt;=3, Oct_2025_SotM[[#This Row],[Song 2]], "TBD")))</f>
        <v>can't slow down</v>
      </c>
      <c r="Q174" s="206">
        <f>COUNTIF(Oct_2025_SotM[[#This Row],[H ]:[J ]],"x")</f>
        <v>3</v>
      </c>
      <c r="R174" s="200" t="str">
        <f ca="1"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f>
        <v>can't slow down</v>
      </c>
      <c r="S174" s="37"/>
      <c r="T174" s="35" t="s">
        <v>4191</v>
      </c>
      <c r="U174" s="33"/>
      <c r="V174" s="31" t="s">
        <v>4191</v>
      </c>
      <c r="W174" s="28" t="s">
        <v>4191</v>
      </c>
      <c r="X174" s="106" t="str">
        <f ca="1"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f>
        <v/>
      </c>
      <c r="Z174" s="109">
        <f t="shared" ref="Z174:Z190" si="44">IF(AC174&gt;0, COUNTIF(AC$173:AC$190, "&lt;"&amp;AC174) + COUNTIFS(AC$173:AC$190, AC174, AD$173:AD$190, "&lt;"&amp;AD174) + COUNTIFS(AC$173:AC$190, AC174, AD$173:AD$190, AD174, AA$173:AA$190, "&lt;"&amp;AA174) + 1, "TBD")</f>
        <v>18</v>
      </c>
      <c r="AA174" s="59">
        <v>45932</v>
      </c>
      <c r="AB174" t="str">
        <v>danram</v>
      </c>
      <c r="AC174" s="3">
        <v>2.8</v>
      </c>
      <c r="AD174">
        <v>0.74833147735478833</v>
      </c>
      <c r="AE174" t="str">
        <v>The Less I Know The Better</v>
      </c>
      <c r="AF174" t="str">
        <v>Tame Impala</v>
      </c>
      <c r="AG174" s="100">
        <f t="shared" si="43"/>
        <v>17</v>
      </c>
      <c r="AI174" s="280">
        <f>Oct_2025_SotM[[#This Row],[Max Seed]]/2 + 1</f>
        <v>2</v>
      </c>
      <c r="AJ174" s="279" t="str">
        <f ca="1">IF(Oct_2025_SotM[[#This Row],[Num]]&gt;=$A$172, "-", IF(Oct_2025_SotM[[#This Row],[Score 1]]&gt;=3, Oct_2025_SotM[[#This Row],[Song 2]], IF(Oct_2025_SotM[[#This Row],[Score 2]]&gt;=3, Oct_2025_SotM[[#This Row],[Song 1]], "TBD")))</f>
        <v>crossing field</v>
      </c>
      <c r="AK174" s="246">
        <f ca="1">IFERROR(VLOOKUP(Oct_2025_Results[[#This Row],[Song Title]], $AE$173:$AG$190, 3, FALSE)-Oct_2025_Results[[#This Row],[Result]], "TBD")</f>
        <v>1</v>
      </c>
      <c r="AL174" s="281" t="str">
        <f ca="1">IF(AK174&lt;0,"↓",IF(AK174=0,"-","↑"))</f>
        <v>↑</v>
      </c>
    </row>
    <row r="175" spans="1:38">
      <c r="A175" s="199" t="str">
        <f>_xlfn.CONCAT("Seed ", Oct_2025_SotM[[#This Row],[Top Seed]], " vs ",Oct_2025_SotM[[#This Row],[Low Seed]])</f>
        <v>Seed 2 vs 3</v>
      </c>
      <c r="B175" s="201">
        <v>2</v>
      </c>
      <c r="C175" s="200">
        <f>FLOOR(LOG(Oct_2025_SotM[[#This Row],[Num]], 2), 1)</f>
        <v>1</v>
      </c>
      <c r="D175" s="200">
        <f>2^(Oct_2025_SotM[[#This Row],[Round]]+1)</f>
        <v>4</v>
      </c>
      <c r="E175" s="200">
        <f>Oct_2025_SotM[[#This Row],[Max Seed]]-Oct_2025_SotM[[#This Row],[Num]]</f>
        <v>2</v>
      </c>
      <c r="F175" s="200">
        <f>Oct_2025_SotM[[#This Row],[Max Seed]]-Oct_2025_SotM[[#This Row],[Top Seed]]+1</f>
        <v>3</v>
      </c>
      <c r="G175" s="200" t="b">
        <f>IF(Oct_2025_SotM[[#This Row],[Round]]=$C$172, TRUE(), IF(Oct_2025_SotM[[#This Row],[Round]]=$B$172, Oct_2025_SotM[[#This Row],[Top Seed]]&lt;=2*Oct_2025_SotM[[#This Row],[Max Seed]]-$A$172, FALSE()))</f>
        <v>0</v>
      </c>
      <c r="H175" s="200" t="b">
        <f>IF(Oct_2025_SotM[[#This Row],[Round]]=$C$172, TRUE(), IF(Oct_2025_SotM[[#This Row],[Round]]=$B$172, Oct_2025_SotM[[#This Row],[Low Seed]]&lt;=2*Oct_2025_SotM[[#This Row],[Max Seed]]-$A$172, FALSE()))</f>
        <v>0</v>
      </c>
      <c r="I175" s="28" t="s">
        <v>4191</v>
      </c>
      <c r="J175" s="31" t="s">
        <v>4191</v>
      </c>
      <c r="K175" s="33" t="s">
        <v>4191</v>
      </c>
      <c r="L175" s="35" t="s">
        <v>4191</v>
      </c>
      <c r="M175" s="37" t="s">
        <v>4191</v>
      </c>
      <c r="N175" s="203" t="str">
        <f ca="1">IF(Oct_2025_SotM[[#This Row],[Num]]&gt;=$A$172, "-", IF(Oct_2025_SotM[[#This Row],[Initial 1]], VLOOKUP(Oct_2025_SotM[[#This Row],[Top Seed]], $Z$173:$AE$190, 6, FALSE), OFFSET(Oct_2025_SotM[[#This Row],[Winner]], Oct_2025_SotM[[#This Row],[Max Seed]], 0)))</f>
        <v>can't slow down</v>
      </c>
      <c r="O175" s="200">
        <f>COUNTIF(Oct_2025_SotM[[#This Row],[J]:[H]],"x")</f>
        <v>5</v>
      </c>
      <c r="P175" s="201" t="str">
        <f ca="1">IF(Oct_2025_SotM[[#This Row],[Num]]&gt;=$A$172, "-", IF(Oct_2025_SotM[[#This Row],[Score 1]]&gt;=3, Oct_2025_SotM[[#This Row],[Song 1]], IF(Oct_2025_SotM[[#This Row],[Score 2]]&gt;=3, Oct_2025_SotM[[#This Row],[Song 2]], "TBD")))</f>
        <v>can't slow down</v>
      </c>
      <c r="Q175" s="206">
        <f>COUNTIF(Oct_2025_SotM[[#This Row],[H ]:[J ]],"x")</f>
        <v>0</v>
      </c>
      <c r="R175" s="200" t="str">
        <f ca="1"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f>
        <v>Friday I'm in Love</v>
      </c>
      <c r="S175" s="37"/>
      <c r="T175" s="35"/>
      <c r="U175" s="33"/>
      <c r="V175" s="31"/>
      <c r="W175" s="28"/>
      <c r="X175" s="106" t="str">
        <f ca="1"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f>
        <v/>
      </c>
      <c r="Z175" s="109">
        <f t="shared" si="44"/>
        <v>5</v>
      </c>
      <c r="AA175" s="59">
        <v>45936</v>
      </c>
      <c r="AB175" t="str">
        <v>danram</v>
      </c>
      <c r="AC175" s="3">
        <v>2</v>
      </c>
      <c r="AD175">
        <v>0.89442719099991586</v>
      </c>
      <c r="AE175" t="str">
        <v>don't wanna break up again</v>
      </c>
      <c r="AF175" t="str">
        <v>Ariana Grande</v>
      </c>
      <c r="AG175" s="100">
        <f t="shared" si="43"/>
        <v>5</v>
      </c>
      <c r="AI175" s="3">
        <f>Oct_2025_SotM[[#This Row],[Max Seed]]/2 + 1</f>
        <v>3</v>
      </c>
      <c r="AJ175" t="str">
        <f ca="1">IF(Oct_2025_SotM[[#This Row],[Num]]&gt;=$A$172, "-", IF(Oct_2025_SotM[[#This Row],[Score 1]]&gt;=3, Oct_2025_SotM[[#This Row],[Song 2]], IF(Oct_2025_SotM[[#This Row],[Score 2]]&gt;=3, Oct_2025_SotM[[#This Row],[Song 1]], "TBD")))</f>
        <v>Friday I'm in Love</v>
      </c>
      <c r="AK175" s="246">
        <f ca="1">IFERROR(VLOOKUP(Oct_2025_Results[[#This Row],[Song Title]], $AE$173:$AG$190, 3, FALSE)-Oct_2025_Results[[#This Row],[Result]], "TBD")</f>
        <v>6</v>
      </c>
      <c r="AL175" s="3" t="str">
        <f t="shared" ref="AL175:AL190" ca="1" si="45">IF(AK175&lt;0,"↓",IF(AK175=0,"-","↑"))</f>
        <v>↑</v>
      </c>
    </row>
    <row r="176" spans="1:38">
      <c r="A176" s="199" t="str">
        <f>_xlfn.CONCAT("Seed ", Oct_2025_SotM[[#This Row],[Top Seed]], " vs ",Oct_2025_SotM[[#This Row],[Low Seed]])</f>
        <v>Seed 1 vs 4</v>
      </c>
      <c r="B176" s="201">
        <v>3</v>
      </c>
      <c r="C176" s="200">
        <f>FLOOR(LOG(Oct_2025_SotM[[#This Row],[Num]], 2), 1)</f>
        <v>1</v>
      </c>
      <c r="D176" s="200">
        <f>2^(Oct_2025_SotM[[#This Row],[Round]]+1)</f>
        <v>4</v>
      </c>
      <c r="E176" s="200">
        <f>Oct_2025_SotM[[#This Row],[Max Seed]]-Oct_2025_SotM[[#This Row],[Num]]</f>
        <v>1</v>
      </c>
      <c r="F176" s="200">
        <f>Oct_2025_SotM[[#This Row],[Max Seed]]-Oct_2025_SotM[[#This Row],[Top Seed]]+1</f>
        <v>4</v>
      </c>
      <c r="G176" s="200" t="b">
        <f>IF(Oct_2025_SotM[[#This Row],[Round]]=$C$172, TRUE(), IF(Oct_2025_SotM[[#This Row],[Round]]=$B$172, Oct_2025_SotM[[#This Row],[Top Seed]]&lt;=2*Oct_2025_SotM[[#This Row],[Max Seed]]-$A$172, FALSE()))</f>
        <v>0</v>
      </c>
      <c r="H176" s="200" t="b">
        <f>IF(Oct_2025_SotM[[#This Row],[Round]]=$C$172, TRUE(), IF(Oct_2025_SotM[[#This Row],[Round]]=$B$172, Oct_2025_SotM[[#This Row],[Low Seed]]&lt;=2*Oct_2025_SotM[[#This Row],[Max Seed]]-$A$172, FALSE()))</f>
        <v>0</v>
      </c>
      <c r="I176" s="28" t="s">
        <v>4191</v>
      </c>
      <c r="J176" s="31"/>
      <c r="K176" s="33"/>
      <c r="L176" s="35" t="s">
        <v>4191</v>
      </c>
      <c r="M176" s="37"/>
      <c r="N176" s="203" t="str">
        <f ca="1">IF(Oct_2025_SotM[[#This Row],[Num]]&gt;=$A$172, "-", IF(Oct_2025_SotM[[#This Row],[Initial 1]], VLOOKUP(Oct_2025_SotM[[#This Row],[Top Seed]], $Z$173:$AE$190, 6, FALSE), OFFSET(Oct_2025_SotM[[#This Row],[Winner]], Oct_2025_SotM[[#This Row],[Max Seed]], 0)))</f>
        <v>Breathe Deeper</v>
      </c>
      <c r="O176" s="200">
        <f>COUNTIF(Oct_2025_SotM[[#This Row],[J]:[H]],"x")</f>
        <v>2</v>
      </c>
      <c r="P176" s="201" t="str">
        <f ca="1">IF(Oct_2025_SotM[[#This Row],[Num]]&gt;=$A$172, "-", IF(Oct_2025_SotM[[#This Row],[Score 1]]&gt;=3, Oct_2025_SotM[[#This Row],[Song 1]], IF(Oct_2025_SotM[[#This Row],[Score 2]]&gt;=3, Oct_2025_SotM[[#This Row],[Song 2]], "TBD")))</f>
        <v>crossing field</v>
      </c>
      <c r="Q176" s="206">
        <f>COUNTIF(Oct_2025_SotM[[#This Row],[H ]:[J ]],"x")</f>
        <v>3</v>
      </c>
      <c r="R176" s="200" t="str">
        <f ca="1"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f>
        <v>crossing field</v>
      </c>
      <c r="S176" s="37" t="s">
        <v>4191</v>
      </c>
      <c r="T176" s="35"/>
      <c r="U176" s="33" t="s">
        <v>4191</v>
      </c>
      <c r="V176" s="31" t="s">
        <v>4191</v>
      </c>
      <c r="W176" s="28"/>
      <c r="X176" s="106" t="str">
        <f ca="1"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f>
        <v/>
      </c>
      <c r="Z176" s="109">
        <f t="shared" si="44"/>
        <v>8</v>
      </c>
      <c r="AA176" s="59">
        <v>45937</v>
      </c>
      <c r="AB176" t="str">
        <v>currydestroyer27</v>
      </c>
      <c r="AC176" s="3">
        <v>2.2000000000000002</v>
      </c>
      <c r="AD176">
        <v>0.74833147735478833</v>
      </c>
      <c r="AE176" t="str">
        <v>Dj Got Us Fallin' In Love Again</v>
      </c>
      <c r="AF176" t="str">
        <v>Usher, Pitbull</v>
      </c>
      <c r="AG176" s="100">
        <f t="shared" si="43"/>
        <v>5</v>
      </c>
      <c r="AI176" s="3">
        <f>Oct_2025_SotM[[#This Row],[Max Seed]]/2 + 1</f>
        <v>3</v>
      </c>
      <c r="AJ176" t="str">
        <f ca="1">IF(Oct_2025_SotM[[#This Row],[Num]]&gt;=$A$172, "-", IF(Oct_2025_SotM[[#This Row],[Score 1]]&gt;=3, Oct_2025_SotM[[#This Row],[Song 2]], IF(Oct_2025_SotM[[#This Row],[Score 2]]&gt;=3, Oct_2025_SotM[[#This Row],[Song 1]], "TBD")))</f>
        <v>Breathe Deeper</v>
      </c>
      <c r="AK176" s="246">
        <f ca="1">IFERROR(VLOOKUP(Oct_2025_Results[[#This Row],[Song Title]], $AE$173:$AG$190, 3, FALSE)-Oct_2025_Results[[#This Row],[Result]], "TBD")</f>
        <v>-2</v>
      </c>
      <c r="AL176" s="3" t="str">
        <f t="shared" ca="1" si="45"/>
        <v>↓</v>
      </c>
    </row>
    <row r="177" spans="1:38">
      <c r="A177" s="199" t="str">
        <f>_xlfn.CONCAT("Seed ", Oct_2025_SotM[[#This Row],[Top Seed]], " vs ",Oct_2025_SotM[[#This Row],[Low Seed]])</f>
        <v>Seed 4 vs 5</v>
      </c>
      <c r="B177" s="201">
        <v>4</v>
      </c>
      <c r="C177" s="200">
        <f>FLOOR(LOG(Oct_2025_SotM[[#This Row],[Num]], 2), 1)</f>
        <v>2</v>
      </c>
      <c r="D177" s="200">
        <f>2^(Oct_2025_SotM[[#This Row],[Round]]+1)</f>
        <v>8</v>
      </c>
      <c r="E177" s="200">
        <f>Oct_2025_SotM[[#This Row],[Max Seed]]-Oct_2025_SotM[[#This Row],[Num]]</f>
        <v>4</v>
      </c>
      <c r="F177" s="200">
        <f>Oct_2025_SotM[[#This Row],[Max Seed]]-Oct_2025_SotM[[#This Row],[Top Seed]]+1</f>
        <v>5</v>
      </c>
      <c r="G177" s="200" t="b">
        <f>IF(Oct_2025_SotM[[#This Row],[Round]]=$C$172, TRUE(), IF(Oct_2025_SotM[[#This Row],[Round]]=$B$172, Oct_2025_SotM[[#This Row],[Top Seed]]&lt;=2*Oct_2025_SotM[[#This Row],[Max Seed]]-$A$172, FALSE()))</f>
        <v>0</v>
      </c>
      <c r="H177" s="200" t="b">
        <f>IF(Oct_2025_SotM[[#This Row],[Round]]=$C$172, TRUE(), IF(Oct_2025_SotM[[#This Row],[Round]]=$B$172, Oct_2025_SotM[[#This Row],[Low Seed]]&lt;=2*Oct_2025_SotM[[#This Row],[Max Seed]]-$A$172, FALSE()))</f>
        <v>0</v>
      </c>
      <c r="I177" s="28" t="s">
        <v>4191</v>
      </c>
      <c r="J177" s="31"/>
      <c r="K177" s="33" t="s">
        <v>4191</v>
      </c>
      <c r="L177" s="35"/>
      <c r="M177" s="37" t="s">
        <v>4191</v>
      </c>
      <c r="N177" s="203" t="str">
        <f ca="1">IF(Oct_2025_SotM[[#This Row],[Num]]&gt;=$A$172, "-", IF(Oct_2025_SotM[[#This Row],[Initial 1]], VLOOKUP(Oct_2025_SotM[[#This Row],[Top Seed]], $Z$173:$AE$190, 6, FALSE), OFFSET(Oct_2025_SotM[[#This Row],[Winner]], Oct_2025_SotM[[#This Row],[Max Seed]], 0)))</f>
        <v>crossing field</v>
      </c>
      <c r="O177" s="200">
        <f>COUNTIF(Oct_2025_SotM[[#This Row],[J]:[H]],"x")</f>
        <v>3</v>
      </c>
      <c r="P177" s="201" t="str">
        <f ca="1">IF(Oct_2025_SotM[[#This Row],[Num]]&gt;=$A$172, "-", IF(Oct_2025_SotM[[#This Row],[Score 1]]&gt;=3, Oct_2025_SotM[[#This Row],[Song 1]], IF(Oct_2025_SotM[[#This Row],[Score 2]]&gt;=3, Oct_2025_SotM[[#This Row],[Song 2]], "TBD")))</f>
        <v>crossing field</v>
      </c>
      <c r="Q177" s="206">
        <f>COUNTIF(Oct_2025_SotM[[#This Row],[H ]:[J ]],"x")</f>
        <v>2</v>
      </c>
      <c r="R177" s="200" t="str">
        <f ca="1"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f>
        <v>don't wanna break up again</v>
      </c>
      <c r="S177" s="37"/>
      <c r="T177" s="35" t="s">
        <v>4191</v>
      </c>
      <c r="U177" s="33"/>
      <c r="V177" s="31" t="s">
        <v>4191</v>
      </c>
      <c r="W177" s="28"/>
      <c r="X177" s="106" t="str">
        <f ca="1"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f>
        <v/>
      </c>
      <c r="Z177" s="109">
        <f t="shared" si="44"/>
        <v>16</v>
      </c>
      <c r="AA177" s="59">
        <v>45938</v>
      </c>
      <c r="AB177" t="str">
        <v>loganworsdell</v>
      </c>
      <c r="AC177" s="3">
        <v>2.4</v>
      </c>
      <c r="AD177">
        <v>1.4966629547095767</v>
      </c>
      <c r="AE177" t="str">
        <v>Flyers</v>
      </c>
      <c r="AF177" t="str">
        <v>BRADIO</v>
      </c>
      <c r="AG177" s="100">
        <f t="shared" si="43"/>
        <v>9</v>
      </c>
      <c r="AI177" s="3">
        <f>Oct_2025_SotM[[#This Row],[Max Seed]]/2 + 1</f>
        <v>5</v>
      </c>
      <c r="AJ177" t="str">
        <f ca="1">IF(Oct_2025_SotM[[#This Row],[Num]]&gt;=$A$172, "-", IF(Oct_2025_SotM[[#This Row],[Score 1]]&gt;=3, Oct_2025_SotM[[#This Row],[Song 2]], IF(Oct_2025_SotM[[#This Row],[Score 2]]&gt;=3, Oct_2025_SotM[[#This Row],[Song 1]], "TBD")))</f>
        <v>don't wanna break up again</v>
      </c>
      <c r="AK177" s="246">
        <f ca="1">IFERROR(VLOOKUP(Oct_2025_Results[[#This Row],[Song Title]], $AE$173:$AG$190, 3, FALSE)-Oct_2025_Results[[#This Row],[Result]], "TBD")</f>
        <v>0</v>
      </c>
      <c r="AL177" s="3" t="str">
        <f t="shared" ca="1" si="45"/>
        <v>-</v>
      </c>
    </row>
    <row r="178" spans="1:38">
      <c r="A178" s="199" t="str">
        <f>_xlfn.CONCAT("Seed ", Oct_2025_SotM[[#This Row],[Top Seed]], " vs ",Oct_2025_SotM[[#This Row],[Low Seed]])</f>
        <v>Seed 3 vs 6</v>
      </c>
      <c r="B178" s="201">
        <v>5</v>
      </c>
      <c r="C178" s="200">
        <f>FLOOR(LOG(Oct_2025_SotM[[#This Row],[Num]], 2), 1)</f>
        <v>2</v>
      </c>
      <c r="D178" s="200">
        <f>2^(Oct_2025_SotM[[#This Row],[Round]]+1)</f>
        <v>8</v>
      </c>
      <c r="E178" s="200">
        <f>Oct_2025_SotM[[#This Row],[Max Seed]]-Oct_2025_SotM[[#This Row],[Num]]</f>
        <v>3</v>
      </c>
      <c r="F178" s="200">
        <f>Oct_2025_SotM[[#This Row],[Max Seed]]-Oct_2025_SotM[[#This Row],[Top Seed]]+1</f>
        <v>6</v>
      </c>
      <c r="G178" s="200" t="b">
        <f>IF(Oct_2025_SotM[[#This Row],[Round]]=$C$172, TRUE(), IF(Oct_2025_SotM[[#This Row],[Round]]=$B$172, Oct_2025_SotM[[#This Row],[Top Seed]]&lt;=2*Oct_2025_SotM[[#This Row],[Max Seed]]-$A$172, FALSE()))</f>
        <v>0</v>
      </c>
      <c r="H178" s="200" t="b">
        <f>IF(Oct_2025_SotM[[#This Row],[Round]]=$C$172, TRUE(), IF(Oct_2025_SotM[[#This Row],[Round]]=$B$172, Oct_2025_SotM[[#This Row],[Low Seed]]&lt;=2*Oct_2025_SotM[[#This Row],[Max Seed]]-$A$172, FALSE()))</f>
        <v>0</v>
      </c>
      <c r="I178" s="28"/>
      <c r="J178" s="31"/>
      <c r="K178" s="33"/>
      <c r="L178" s="35" t="s">
        <v>4191</v>
      </c>
      <c r="M178" s="37"/>
      <c r="N178" s="203" t="str">
        <f ca="1">IF(Oct_2025_SotM[[#This Row],[Num]]&gt;=$A$172, "-", IF(Oct_2025_SotM[[#This Row],[Initial 1]], VLOOKUP(Oct_2025_SotM[[#This Row],[Top Seed]], $Z$173:$AE$190, 6, FALSE), OFFSET(Oct_2025_SotM[[#This Row],[Winner]], Oct_2025_SotM[[#This Row],[Max Seed]], 0)))</f>
        <v>300 dreams</v>
      </c>
      <c r="O178" s="200">
        <f>COUNTIF(Oct_2025_SotM[[#This Row],[J]:[H]],"x")</f>
        <v>1</v>
      </c>
      <c r="P178" s="201" t="str">
        <f ca="1">IF(Oct_2025_SotM[[#This Row],[Num]]&gt;=$A$172, "-", IF(Oct_2025_SotM[[#This Row],[Score 1]]&gt;=3, Oct_2025_SotM[[#This Row],[Song 1]], IF(Oct_2025_SotM[[#This Row],[Score 2]]&gt;=3, Oct_2025_SotM[[#This Row],[Song 2]], "TBD")))</f>
        <v>Friday I'm in Love</v>
      </c>
      <c r="Q178" s="206">
        <f>COUNTIF(Oct_2025_SotM[[#This Row],[H ]:[J ]],"x")</f>
        <v>4</v>
      </c>
      <c r="R178" s="200" t="str">
        <f ca="1"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f>
        <v>Friday I'm in Love</v>
      </c>
      <c r="S178" s="37" t="s">
        <v>4191</v>
      </c>
      <c r="T178" s="35"/>
      <c r="U178" s="33" t="s">
        <v>4191</v>
      </c>
      <c r="V178" s="31" t="s">
        <v>4191</v>
      </c>
      <c r="W178" s="28" t="s">
        <v>4191</v>
      </c>
      <c r="X178" s="106" t="str">
        <f ca="1"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f>
        <v/>
      </c>
      <c r="Z178" s="109">
        <f t="shared" si="44"/>
        <v>17</v>
      </c>
      <c r="AA178" s="59">
        <v>45939</v>
      </c>
      <c r="AB178" t="str">
        <v>loganworsdell</v>
      </c>
      <c r="AC178" s="3">
        <v>2.6</v>
      </c>
      <c r="AD178">
        <v>1.2</v>
      </c>
      <c r="AE178" t="str">
        <v>Slowly</v>
      </c>
      <c r="AF178" t="str">
        <v>Giraffage, Matosic</v>
      </c>
      <c r="AG178" s="100">
        <f t="shared" si="43"/>
        <v>17</v>
      </c>
      <c r="AI178" s="3">
        <f>Oct_2025_SotM[[#This Row],[Max Seed]]/2 + 1</f>
        <v>5</v>
      </c>
      <c r="AJ178" t="str">
        <f ca="1">IF(Oct_2025_SotM[[#This Row],[Num]]&gt;=$A$172, "-", IF(Oct_2025_SotM[[#This Row],[Score 1]]&gt;=3, Oct_2025_SotM[[#This Row],[Song 2]], IF(Oct_2025_SotM[[#This Row],[Score 2]]&gt;=3, Oct_2025_SotM[[#This Row],[Song 1]], "TBD")))</f>
        <v>300 dreams</v>
      </c>
      <c r="AK178" s="246">
        <f ca="1">IFERROR(VLOOKUP(Oct_2025_Results[[#This Row],[Song Title]], $AE$173:$AG$190, 3, FALSE)-Oct_2025_Results[[#This Row],[Result]], "TBD")</f>
        <v>-2</v>
      </c>
      <c r="AL178" s="3" t="str">
        <f t="shared" ca="1" si="45"/>
        <v>↓</v>
      </c>
    </row>
    <row r="179" spans="1:38">
      <c r="A179" s="199" t="str">
        <f>_xlfn.CONCAT("Seed ", Oct_2025_SotM[[#This Row],[Top Seed]], " vs ",Oct_2025_SotM[[#This Row],[Low Seed]])</f>
        <v>Seed 2 vs 7</v>
      </c>
      <c r="B179" s="201">
        <v>6</v>
      </c>
      <c r="C179" s="200">
        <f>FLOOR(LOG(Oct_2025_SotM[[#This Row],[Num]], 2), 1)</f>
        <v>2</v>
      </c>
      <c r="D179" s="200">
        <f>2^(Oct_2025_SotM[[#This Row],[Round]]+1)</f>
        <v>8</v>
      </c>
      <c r="E179" s="200">
        <f>Oct_2025_SotM[[#This Row],[Max Seed]]-Oct_2025_SotM[[#This Row],[Num]]</f>
        <v>2</v>
      </c>
      <c r="F179" s="200">
        <f>Oct_2025_SotM[[#This Row],[Max Seed]]-Oct_2025_SotM[[#This Row],[Top Seed]]+1</f>
        <v>7</v>
      </c>
      <c r="G179" s="200" t="b">
        <f>IF(Oct_2025_SotM[[#This Row],[Round]]=$C$172, TRUE(), IF(Oct_2025_SotM[[#This Row],[Round]]=$B$172, Oct_2025_SotM[[#This Row],[Top Seed]]&lt;=2*Oct_2025_SotM[[#This Row],[Max Seed]]-$A$172, FALSE()))</f>
        <v>0</v>
      </c>
      <c r="H179" s="200" t="b">
        <f>IF(Oct_2025_SotM[[#This Row],[Round]]=$C$172, TRUE(), IF(Oct_2025_SotM[[#This Row],[Round]]=$B$172, Oct_2025_SotM[[#This Row],[Low Seed]]&lt;=2*Oct_2025_SotM[[#This Row],[Max Seed]]-$A$172, FALSE()))</f>
        <v>0</v>
      </c>
      <c r="I179" s="28" t="s">
        <v>4191</v>
      </c>
      <c r="J179" s="31" t="s">
        <v>4191</v>
      </c>
      <c r="K179" s="33" t="s">
        <v>4191</v>
      </c>
      <c r="L179" s="35" t="s">
        <v>4191</v>
      </c>
      <c r="M179" s="37" t="s">
        <v>4191</v>
      </c>
      <c r="N179" s="203" t="str">
        <f ca="1">IF(Oct_2025_SotM[[#This Row],[Num]]&gt;=$A$172, "-", IF(Oct_2025_SotM[[#This Row],[Initial 1]], VLOOKUP(Oct_2025_SotM[[#This Row],[Top Seed]], $Z$173:$AE$190, 6, FALSE), OFFSET(Oct_2025_SotM[[#This Row],[Winner]], Oct_2025_SotM[[#This Row],[Max Seed]], 0)))</f>
        <v>can't slow down</v>
      </c>
      <c r="O179" s="200">
        <f>COUNTIF(Oct_2025_SotM[[#This Row],[J]:[H]],"x")</f>
        <v>5</v>
      </c>
      <c r="P179" s="201" t="str">
        <f ca="1">IF(Oct_2025_SotM[[#This Row],[Num]]&gt;=$A$172, "-", IF(Oct_2025_SotM[[#This Row],[Score 1]]&gt;=3, Oct_2025_SotM[[#This Row],[Song 1]], IF(Oct_2025_SotM[[#This Row],[Score 2]]&gt;=3, Oct_2025_SotM[[#This Row],[Song 2]], "TBD")))</f>
        <v>can't slow down</v>
      </c>
      <c r="Q179" s="206">
        <f>COUNTIF(Oct_2025_SotM[[#This Row],[H ]:[J ]],"x")</f>
        <v>0</v>
      </c>
      <c r="R179" s="200" t="str">
        <f ca="1"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f>
        <v>Animal</v>
      </c>
      <c r="S179" s="37"/>
      <c r="T179" s="35"/>
      <c r="U179" s="33"/>
      <c r="V179" s="31"/>
      <c r="W179" s="28"/>
      <c r="X179" s="106" t="str">
        <f ca="1"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f>
        <v/>
      </c>
      <c r="Z179" s="109">
        <f t="shared" si="44"/>
        <v>14</v>
      </c>
      <c r="AA179" s="59">
        <v>45943</v>
      </c>
      <c r="AB179" t="str">
        <v>danram</v>
      </c>
      <c r="AC179" s="3">
        <v>2.4</v>
      </c>
      <c r="AD179">
        <v>0.8</v>
      </c>
      <c r="AE179" t="str">
        <v>Stand By Me - Remastered</v>
      </c>
      <c r="AF179" t="str">
        <v>Oasis</v>
      </c>
      <c r="AG179" s="100">
        <f t="shared" si="43"/>
        <v>9</v>
      </c>
      <c r="AI179" s="3">
        <f>Oct_2025_SotM[[#This Row],[Max Seed]]/2 + 1</f>
        <v>5</v>
      </c>
      <c r="AJ179" t="str">
        <f ca="1">IF(Oct_2025_SotM[[#This Row],[Num]]&gt;=$A$172, "-", IF(Oct_2025_SotM[[#This Row],[Score 1]]&gt;=3, Oct_2025_SotM[[#This Row],[Song 2]], IF(Oct_2025_SotM[[#This Row],[Score 2]]&gt;=3, Oct_2025_SotM[[#This Row],[Song 1]], "TBD")))</f>
        <v>Animal</v>
      </c>
      <c r="AK179" s="246">
        <f ca="1">IFERROR(VLOOKUP(Oct_2025_Results[[#This Row],[Song Title]], $AE$173:$AG$190, 3, FALSE)-Oct_2025_Results[[#This Row],[Result]], "TBD")</f>
        <v>0</v>
      </c>
      <c r="AL179" s="3" t="str">
        <f t="shared" ca="1" si="45"/>
        <v>-</v>
      </c>
    </row>
    <row r="180" spans="1:38">
      <c r="A180" s="199" t="str">
        <f>_xlfn.CONCAT("Seed ", Oct_2025_SotM[[#This Row],[Top Seed]], " vs ",Oct_2025_SotM[[#This Row],[Low Seed]])</f>
        <v>Seed 1 vs 8</v>
      </c>
      <c r="B180" s="201">
        <v>7</v>
      </c>
      <c r="C180" s="200">
        <f>FLOOR(LOG(Oct_2025_SotM[[#This Row],[Num]], 2), 1)</f>
        <v>2</v>
      </c>
      <c r="D180" s="200">
        <f>2^(Oct_2025_SotM[[#This Row],[Round]]+1)</f>
        <v>8</v>
      </c>
      <c r="E180" s="200">
        <f>Oct_2025_SotM[[#This Row],[Max Seed]]-Oct_2025_SotM[[#This Row],[Num]]</f>
        <v>1</v>
      </c>
      <c r="F180" s="200">
        <f>Oct_2025_SotM[[#This Row],[Max Seed]]-Oct_2025_SotM[[#This Row],[Top Seed]]+1</f>
        <v>8</v>
      </c>
      <c r="G180" s="200" t="b">
        <f>IF(Oct_2025_SotM[[#This Row],[Round]]=$C$172, TRUE(), IF(Oct_2025_SotM[[#This Row],[Round]]=$B$172, Oct_2025_SotM[[#This Row],[Top Seed]]&lt;=2*Oct_2025_SotM[[#This Row],[Max Seed]]-$A$172, FALSE()))</f>
        <v>0</v>
      </c>
      <c r="H180" s="200" t="b">
        <f>IF(Oct_2025_SotM[[#This Row],[Round]]=$C$172, TRUE(), IF(Oct_2025_SotM[[#This Row],[Round]]=$B$172, Oct_2025_SotM[[#This Row],[Low Seed]]&lt;=2*Oct_2025_SotM[[#This Row],[Max Seed]]-$A$172, FALSE()))</f>
        <v>0</v>
      </c>
      <c r="I180" s="28" t="s">
        <v>4191</v>
      </c>
      <c r="J180" s="31"/>
      <c r="K180" s="33" t="s">
        <v>4191</v>
      </c>
      <c r="L180" s="35" t="s">
        <v>4191</v>
      </c>
      <c r="M180" s="37"/>
      <c r="N180" s="203" t="str">
        <f ca="1">IF(Oct_2025_SotM[[#This Row],[Num]]&gt;=$A$172, "-", IF(Oct_2025_SotM[[#This Row],[Initial 1]], VLOOKUP(Oct_2025_SotM[[#This Row],[Top Seed]], $Z$173:$AE$190, 6, FALSE), OFFSET(Oct_2025_SotM[[#This Row],[Winner]], Oct_2025_SotM[[#This Row],[Max Seed]], 0)))</f>
        <v>Breathe Deeper</v>
      </c>
      <c r="O180" s="200">
        <f>COUNTIF(Oct_2025_SotM[[#This Row],[J]:[H]],"x")</f>
        <v>3</v>
      </c>
      <c r="P180" s="201" t="str">
        <f ca="1">IF(Oct_2025_SotM[[#This Row],[Num]]&gt;=$A$172, "-", IF(Oct_2025_SotM[[#This Row],[Score 1]]&gt;=3, Oct_2025_SotM[[#This Row],[Song 1]], IF(Oct_2025_SotM[[#This Row],[Score 2]]&gt;=3, Oct_2025_SotM[[#This Row],[Song 2]], "TBD")))</f>
        <v>Breathe Deeper</v>
      </c>
      <c r="Q180" s="206">
        <f>COUNTIF(Oct_2025_SotM[[#This Row],[H ]:[J ]],"x")</f>
        <v>2</v>
      </c>
      <c r="R180" s="200" t="str">
        <f ca="1"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f>
        <v>Dj Got Us Fallin' In Love Again</v>
      </c>
      <c r="S180" s="37" t="s">
        <v>4191</v>
      </c>
      <c r="T180" s="35"/>
      <c r="U180" s="33"/>
      <c r="V180" s="31" t="s">
        <v>4191</v>
      </c>
      <c r="W180" s="28"/>
      <c r="X180" s="106" t="str">
        <f ca="1"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f>
        <v/>
      </c>
      <c r="Z180" s="109">
        <f t="shared" si="44"/>
        <v>1</v>
      </c>
      <c r="AA180" s="59">
        <v>45944</v>
      </c>
      <c r="AB180" t="str">
        <v>alappatjoe</v>
      </c>
      <c r="AC180" s="3">
        <v>1.4</v>
      </c>
      <c r="AD180">
        <v>0.8</v>
      </c>
      <c r="AE180" t="str">
        <v>Breathe Deeper</v>
      </c>
      <c r="AF180" t="str">
        <v>Tame Impala</v>
      </c>
      <c r="AG180" s="100">
        <f t="shared" si="43"/>
        <v>1</v>
      </c>
      <c r="AI180" s="3">
        <f>Oct_2025_SotM[[#This Row],[Max Seed]]/2 + 1</f>
        <v>5</v>
      </c>
      <c r="AJ180" t="str">
        <f ca="1">IF(Oct_2025_SotM[[#This Row],[Num]]&gt;=$A$172, "-", IF(Oct_2025_SotM[[#This Row],[Score 1]]&gt;=3, Oct_2025_SotM[[#This Row],[Song 2]], IF(Oct_2025_SotM[[#This Row],[Score 2]]&gt;=3, Oct_2025_SotM[[#This Row],[Song 1]], "TBD")))</f>
        <v>Dj Got Us Fallin' In Love Again</v>
      </c>
      <c r="AK180" s="246">
        <f ca="1">IFERROR(VLOOKUP(Oct_2025_Results[[#This Row],[Song Title]], $AE$173:$AG$190, 3, FALSE)-Oct_2025_Results[[#This Row],[Result]], "TBD")</f>
        <v>0</v>
      </c>
      <c r="AL180" s="3" t="str">
        <f t="shared" ca="1" si="45"/>
        <v>-</v>
      </c>
    </row>
    <row r="181" spans="1:38">
      <c r="A181" s="199" t="str">
        <f>_xlfn.CONCAT("Seed ", Oct_2025_SotM[[#This Row],[Top Seed]], " vs ",Oct_2025_SotM[[#This Row],[Low Seed]])</f>
        <v>Seed 8 vs 9</v>
      </c>
      <c r="B181" s="201">
        <v>8</v>
      </c>
      <c r="C181" s="200">
        <f>FLOOR(LOG(Oct_2025_SotM[[#This Row],[Num]], 2), 1)</f>
        <v>3</v>
      </c>
      <c r="D181" s="200">
        <f>2^(Oct_2025_SotM[[#This Row],[Round]]+1)</f>
        <v>16</v>
      </c>
      <c r="E181" s="200">
        <f>Oct_2025_SotM[[#This Row],[Max Seed]]-Oct_2025_SotM[[#This Row],[Num]]</f>
        <v>8</v>
      </c>
      <c r="F181" s="200">
        <f>Oct_2025_SotM[[#This Row],[Max Seed]]-Oct_2025_SotM[[#This Row],[Top Seed]]+1</f>
        <v>9</v>
      </c>
      <c r="G181" s="200" t="b">
        <f>IF(Oct_2025_SotM[[#This Row],[Round]]=$C$172, TRUE(), IF(Oct_2025_SotM[[#This Row],[Round]]=$B$172, Oct_2025_SotM[[#This Row],[Top Seed]]&lt;=2*Oct_2025_SotM[[#This Row],[Max Seed]]-$A$172, FALSE()))</f>
        <v>1</v>
      </c>
      <c r="H181" s="200" t="b">
        <f>IF(Oct_2025_SotM[[#This Row],[Round]]=$C$172, TRUE(), IF(Oct_2025_SotM[[#This Row],[Round]]=$B$172, Oct_2025_SotM[[#This Row],[Low Seed]]&lt;=2*Oct_2025_SotM[[#This Row],[Max Seed]]-$A$172, FALSE()))</f>
        <v>1</v>
      </c>
      <c r="I181" s="28"/>
      <c r="J181" s="31" t="s">
        <v>4191</v>
      </c>
      <c r="K181" s="33"/>
      <c r="L181" s="35" t="s">
        <v>4191</v>
      </c>
      <c r="M181" s="37" t="s">
        <v>4191</v>
      </c>
      <c r="N181" s="203" t="str">
        <f ca="1">IF(Oct_2025_SotM[[#This Row],[Num]]&gt;=$A$172, "-", IF(Oct_2025_SotM[[#This Row],[Initial 1]], VLOOKUP(Oct_2025_SotM[[#This Row],[Top Seed]], $Z$173:$AE$190, 6, FALSE), OFFSET(Oct_2025_SotM[[#This Row],[Winner]], Oct_2025_SotM[[#This Row],[Max Seed]], 0)))</f>
        <v>Dj Got Us Fallin' In Love Again</v>
      </c>
      <c r="O181" s="200">
        <f>COUNTIF(Oct_2025_SotM[[#This Row],[J]:[H]],"x")</f>
        <v>3</v>
      </c>
      <c r="P181" s="201" t="str">
        <f ca="1">IF(Oct_2025_SotM[[#This Row],[Num]]&gt;=$A$172, "-", IF(Oct_2025_SotM[[#This Row],[Score 1]]&gt;=3, Oct_2025_SotM[[#This Row],[Song 1]], IF(Oct_2025_SotM[[#This Row],[Score 2]]&gt;=3, Oct_2025_SotM[[#This Row],[Song 2]], "TBD")))</f>
        <v>Dj Got Us Fallin' In Love Again</v>
      </c>
      <c r="Q181" s="206">
        <f>COUNTIF(Oct_2025_SotM[[#This Row],[H ]:[J ]],"x")</f>
        <v>2</v>
      </c>
      <c r="R181" s="200" t="str">
        <f ca="1"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f>
        <v>Mockingbird</v>
      </c>
      <c r="S181" s="37"/>
      <c r="T181" s="35"/>
      <c r="U181" s="33" t="s">
        <v>4191</v>
      </c>
      <c r="V181" s="31"/>
      <c r="W181" s="28" t="s">
        <v>4191</v>
      </c>
      <c r="X181" s="106" t="str">
        <f ca="1"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f>
        <v/>
      </c>
      <c r="Z181" s="109">
        <f t="shared" si="44"/>
        <v>13</v>
      </c>
      <c r="AA181" s="59">
        <v>45945</v>
      </c>
      <c r="AB181" t="str">
        <v>alappatjoe</v>
      </c>
      <c r="AC181" s="3">
        <v>2.2000000000000002</v>
      </c>
      <c r="AD181">
        <v>1.1661903789690602</v>
      </c>
      <c r="AE181" t="str">
        <v>Actor</v>
      </c>
      <c r="AF181" t="str">
        <v>Lilas</v>
      </c>
      <c r="AG181" s="100">
        <f t="shared" si="43"/>
        <v>9</v>
      </c>
      <c r="AI181" s="3">
        <f>Oct_2025_SotM[[#This Row],[Max Seed]]/2 + 1</f>
        <v>9</v>
      </c>
      <c r="AJ181" t="str">
        <f ca="1">IF(Oct_2025_SotM[[#This Row],[Num]]&gt;=$A$172, "-", IF(Oct_2025_SotM[[#This Row],[Score 1]]&gt;=3, Oct_2025_SotM[[#This Row],[Song 2]], IF(Oct_2025_SotM[[#This Row],[Score 2]]&gt;=3, Oct_2025_SotM[[#This Row],[Song 1]], "TBD")))</f>
        <v>Mockingbird</v>
      </c>
      <c r="AK181" s="246">
        <f ca="1">IFERROR(VLOOKUP(Oct_2025_Results[[#This Row],[Song Title]], $AE$173:$AG$190, 3, FALSE)-Oct_2025_Results[[#This Row],[Result]], "TBD")</f>
        <v>0</v>
      </c>
      <c r="AL181" s="3" t="str">
        <f t="shared" ca="1" si="45"/>
        <v>-</v>
      </c>
    </row>
    <row r="182" spans="1:38">
      <c r="A182" s="199" t="str">
        <f>_xlfn.CONCAT("Seed ", Oct_2025_SotM[[#This Row],[Top Seed]], " vs ",Oct_2025_SotM[[#This Row],[Low Seed]])</f>
        <v>Seed 7 vs 10</v>
      </c>
      <c r="B182" s="201">
        <v>9</v>
      </c>
      <c r="C182" s="200">
        <f>FLOOR(LOG(Oct_2025_SotM[[#This Row],[Num]], 2), 1)</f>
        <v>3</v>
      </c>
      <c r="D182" s="200">
        <f>2^(Oct_2025_SotM[[#This Row],[Round]]+1)</f>
        <v>16</v>
      </c>
      <c r="E182" s="200">
        <f>Oct_2025_SotM[[#This Row],[Max Seed]]-Oct_2025_SotM[[#This Row],[Num]]</f>
        <v>7</v>
      </c>
      <c r="F182" s="200">
        <f>Oct_2025_SotM[[#This Row],[Max Seed]]-Oct_2025_SotM[[#This Row],[Top Seed]]+1</f>
        <v>10</v>
      </c>
      <c r="G182" s="200" t="b">
        <f>IF(Oct_2025_SotM[[#This Row],[Round]]=$C$172, TRUE(), IF(Oct_2025_SotM[[#This Row],[Round]]=$B$172, Oct_2025_SotM[[#This Row],[Top Seed]]&lt;=2*Oct_2025_SotM[[#This Row],[Max Seed]]-$A$172, FALSE()))</f>
        <v>1</v>
      </c>
      <c r="H182" s="200" t="b">
        <f>IF(Oct_2025_SotM[[#This Row],[Round]]=$C$172, TRUE(), IF(Oct_2025_SotM[[#This Row],[Round]]=$B$172, Oct_2025_SotM[[#This Row],[Low Seed]]&lt;=2*Oct_2025_SotM[[#This Row],[Max Seed]]-$A$172, FALSE()))</f>
        <v>1</v>
      </c>
      <c r="I182" s="28"/>
      <c r="J182" s="31" t="s">
        <v>4191</v>
      </c>
      <c r="K182" s="33" t="s">
        <v>4191</v>
      </c>
      <c r="L182" s="35" t="s">
        <v>4191</v>
      </c>
      <c r="M182" s="37" t="s">
        <v>4191</v>
      </c>
      <c r="N182" s="203" t="str">
        <f ca="1">IF(Oct_2025_SotM[[#This Row],[Num]]&gt;=$A$172, "-", IF(Oct_2025_SotM[[#This Row],[Initial 1]], VLOOKUP(Oct_2025_SotM[[#This Row],[Top Seed]], $Z$173:$AE$190, 6, FALSE), OFFSET(Oct_2025_SotM[[#This Row],[Winner]], Oct_2025_SotM[[#This Row],[Max Seed]], 0)))</f>
        <v>Animal</v>
      </c>
      <c r="O182" s="200">
        <f>COUNTIF(Oct_2025_SotM[[#This Row],[J]:[H]],"x")</f>
        <v>4</v>
      </c>
      <c r="P182" s="201" t="str">
        <f ca="1">IF(Oct_2025_SotM[[#This Row],[Num]]&gt;=$A$172, "-", IF(Oct_2025_SotM[[#This Row],[Score 1]]&gt;=3, Oct_2025_SotM[[#This Row],[Song 1]], IF(Oct_2025_SotM[[#This Row],[Score 2]]&gt;=3, Oct_2025_SotM[[#This Row],[Song 2]], "TBD")))</f>
        <v>Animal</v>
      </c>
      <c r="Q182" s="206">
        <f>COUNTIF(Oct_2025_SotM[[#This Row],[H ]:[J ]],"x")</f>
        <v>1</v>
      </c>
      <c r="R182" s="200" t="str">
        <f ca="1"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f>
        <v>Somebody's Watching Me</v>
      </c>
      <c r="S182" s="37"/>
      <c r="T182" s="35"/>
      <c r="U182" s="33"/>
      <c r="V182" s="31"/>
      <c r="W182" s="28" t="s">
        <v>4191</v>
      </c>
      <c r="X182" s="106" t="str">
        <f ca="1"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f>
        <v/>
      </c>
      <c r="Z182" s="109">
        <f t="shared" si="44"/>
        <v>15</v>
      </c>
      <c r="AA182" s="59">
        <v>45946</v>
      </c>
      <c r="AB182" t="str">
        <v>samuelbattista</v>
      </c>
      <c r="AC182" s="3">
        <v>2.4</v>
      </c>
      <c r="AD182">
        <v>1.019803902718557</v>
      </c>
      <c r="AE182" t="str">
        <v>Jacob's Ladder</v>
      </c>
      <c r="AF182" t="str">
        <v>Rush</v>
      </c>
      <c r="AG182" s="100">
        <f t="shared" si="43"/>
        <v>9</v>
      </c>
      <c r="AI182" s="3">
        <f>Oct_2025_SotM[[#This Row],[Max Seed]]/2 + 1</f>
        <v>9</v>
      </c>
      <c r="AJ182" t="str">
        <f ca="1">IF(Oct_2025_SotM[[#This Row],[Num]]&gt;=$A$172, "-", IF(Oct_2025_SotM[[#This Row],[Score 1]]&gt;=3, Oct_2025_SotM[[#This Row],[Song 2]], IF(Oct_2025_SotM[[#This Row],[Score 2]]&gt;=3, Oct_2025_SotM[[#This Row],[Song 1]], "TBD")))</f>
        <v>Somebody's Watching Me</v>
      </c>
      <c r="AK182" s="246">
        <f ca="1">IFERROR(VLOOKUP(Oct_2025_Results[[#This Row],[Song Title]], $AE$173:$AG$190, 3, FALSE)-Oct_2025_Results[[#This Row],[Result]], "TBD")</f>
        <v>0</v>
      </c>
      <c r="AL182" s="3" t="str">
        <f t="shared" ca="1" si="45"/>
        <v>-</v>
      </c>
    </row>
    <row r="183" spans="1:38">
      <c r="A183" s="199" t="str">
        <f>_xlfn.CONCAT("Seed ", Oct_2025_SotM[[#This Row],[Top Seed]], " vs ",Oct_2025_SotM[[#This Row],[Low Seed]])</f>
        <v>Seed 6 vs 11</v>
      </c>
      <c r="B183" s="201">
        <v>10</v>
      </c>
      <c r="C183" s="200">
        <f>FLOOR(LOG(Oct_2025_SotM[[#This Row],[Num]], 2), 1)</f>
        <v>3</v>
      </c>
      <c r="D183" s="200">
        <f>2^(Oct_2025_SotM[[#This Row],[Round]]+1)</f>
        <v>16</v>
      </c>
      <c r="E183" s="200">
        <f>Oct_2025_SotM[[#This Row],[Max Seed]]-Oct_2025_SotM[[#This Row],[Num]]</f>
        <v>6</v>
      </c>
      <c r="F183" s="200">
        <f>Oct_2025_SotM[[#This Row],[Max Seed]]-Oct_2025_SotM[[#This Row],[Top Seed]]+1</f>
        <v>11</v>
      </c>
      <c r="G183" s="200" t="b">
        <f>IF(Oct_2025_SotM[[#This Row],[Round]]=$C$172, TRUE(), IF(Oct_2025_SotM[[#This Row],[Round]]=$B$172, Oct_2025_SotM[[#This Row],[Top Seed]]&lt;=2*Oct_2025_SotM[[#This Row],[Max Seed]]-$A$172, FALSE()))</f>
        <v>1</v>
      </c>
      <c r="H183" s="200" t="b">
        <f>IF(Oct_2025_SotM[[#This Row],[Round]]=$C$172, TRUE(), IF(Oct_2025_SotM[[#This Row],[Round]]=$B$172, Oct_2025_SotM[[#This Row],[Low Seed]]&lt;=2*Oct_2025_SotM[[#This Row],[Max Seed]]-$A$172, FALSE()))</f>
        <v>1</v>
      </c>
      <c r="I183" s="28"/>
      <c r="J183" s="31"/>
      <c r="K183" s="33"/>
      <c r="L183" s="35" t="s">
        <v>4191</v>
      </c>
      <c r="M183" s="37"/>
      <c r="N183" s="203" t="str">
        <f ca="1">IF(Oct_2025_SotM[[#This Row],[Num]]&gt;=$A$172, "-", IF(Oct_2025_SotM[[#This Row],[Initial 1]], VLOOKUP(Oct_2025_SotM[[#This Row],[Top Seed]], $Z$173:$AE$190, 6, FALSE), OFFSET(Oct_2025_SotM[[#This Row],[Winner]], Oct_2025_SotM[[#This Row],[Max Seed]], 0)))</f>
        <v>Wake Me up When September Ends</v>
      </c>
      <c r="O183" s="200">
        <f>COUNTIF(Oct_2025_SotM[[#This Row],[J]:[H]],"x")</f>
        <v>1</v>
      </c>
      <c r="P183" s="201" t="str">
        <f ca="1">IF(Oct_2025_SotM[[#This Row],[Num]]&gt;=$A$172, "-", IF(Oct_2025_SotM[[#This Row],[Score 1]]&gt;=3, Oct_2025_SotM[[#This Row],[Song 1]], IF(Oct_2025_SotM[[#This Row],[Score 2]]&gt;=3, Oct_2025_SotM[[#This Row],[Song 2]], "TBD")))</f>
        <v>Friday I'm in Love</v>
      </c>
      <c r="Q183" s="206">
        <f>COUNTIF(Oct_2025_SotM[[#This Row],[H ]:[J ]],"x")</f>
        <v>4</v>
      </c>
      <c r="R183" s="200" t="str">
        <f ca="1"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f>
        <v>Friday I'm in Love</v>
      </c>
      <c r="S183" s="37" t="s">
        <v>4191</v>
      </c>
      <c r="T183" s="35"/>
      <c r="U183" s="33" t="s">
        <v>4191</v>
      </c>
      <c r="V183" s="31" t="s">
        <v>4191</v>
      </c>
      <c r="W183" s="28" t="s">
        <v>4191</v>
      </c>
      <c r="X183" s="106" t="str">
        <f ca="1"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f>
        <v/>
      </c>
      <c r="Z183" s="109">
        <f t="shared" si="44"/>
        <v>4</v>
      </c>
      <c r="AA183" s="59">
        <v>45950</v>
      </c>
      <c r="AB183" t="str">
        <v>loganworsdell</v>
      </c>
      <c r="AC183" s="3">
        <v>1.8</v>
      </c>
      <c r="AD183">
        <v>1.1661903789690602</v>
      </c>
      <c r="AE183" t="str">
        <v>crossing field</v>
      </c>
      <c r="AF183" t="str">
        <v>LiSa</v>
      </c>
      <c r="AG183" s="100">
        <f t="shared" si="43"/>
        <v>3</v>
      </c>
      <c r="AI183" s="3">
        <f>Oct_2025_SotM[[#This Row],[Max Seed]]/2 + 1</f>
        <v>9</v>
      </c>
      <c r="AJ183" t="str">
        <f ca="1">IF(Oct_2025_SotM[[#This Row],[Num]]&gt;=$A$172, "-", IF(Oct_2025_SotM[[#This Row],[Score 1]]&gt;=3, Oct_2025_SotM[[#This Row],[Song 2]], IF(Oct_2025_SotM[[#This Row],[Score 2]]&gt;=3, Oct_2025_SotM[[#This Row],[Song 1]], "TBD")))</f>
        <v>Wake Me up When September Ends</v>
      </c>
      <c r="AK183" s="246">
        <f ca="1">IFERROR(VLOOKUP(Oct_2025_Results[[#This Row],[Song Title]], $AE$173:$AG$190, 3, FALSE)-Oct_2025_Results[[#This Row],[Result]], "TBD")</f>
        <v>-4</v>
      </c>
      <c r="AL183" s="3" t="str">
        <f t="shared" ca="1" si="45"/>
        <v>↓</v>
      </c>
    </row>
    <row r="184" spans="1:38">
      <c r="A184" s="199" t="str">
        <f>_xlfn.CONCAT("Seed ", Oct_2025_SotM[[#This Row],[Top Seed]], " vs ",Oct_2025_SotM[[#This Row],[Low Seed]])</f>
        <v>Seed 5 vs 12</v>
      </c>
      <c r="B184" s="201">
        <v>11</v>
      </c>
      <c r="C184" s="200">
        <f>FLOOR(LOG(Oct_2025_SotM[[#This Row],[Num]], 2), 1)</f>
        <v>3</v>
      </c>
      <c r="D184" s="200">
        <f>2^(Oct_2025_SotM[[#This Row],[Round]]+1)</f>
        <v>16</v>
      </c>
      <c r="E184" s="200">
        <f>Oct_2025_SotM[[#This Row],[Max Seed]]-Oct_2025_SotM[[#This Row],[Num]]</f>
        <v>5</v>
      </c>
      <c r="F184" s="200">
        <f>Oct_2025_SotM[[#This Row],[Max Seed]]-Oct_2025_SotM[[#This Row],[Top Seed]]+1</f>
        <v>12</v>
      </c>
      <c r="G184" s="200" t="b">
        <f>IF(Oct_2025_SotM[[#This Row],[Round]]=$C$172, TRUE(), IF(Oct_2025_SotM[[#This Row],[Round]]=$B$172, Oct_2025_SotM[[#This Row],[Top Seed]]&lt;=2*Oct_2025_SotM[[#This Row],[Max Seed]]-$A$172, FALSE()))</f>
        <v>1</v>
      </c>
      <c r="H184" s="200" t="b">
        <f>IF(Oct_2025_SotM[[#This Row],[Round]]=$C$172, TRUE(), IF(Oct_2025_SotM[[#This Row],[Round]]=$B$172, Oct_2025_SotM[[#This Row],[Low Seed]]&lt;=2*Oct_2025_SotM[[#This Row],[Max Seed]]-$A$172, FALSE()))</f>
        <v>1</v>
      </c>
      <c r="I184" s="28" t="s">
        <v>4191</v>
      </c>
      <c r="J184" s="31" t="s">
        <v>4191</v>
      </c>
      <c r="K184" s="33" t="s">
        <v>4191</v>
      </c>
      <c r="L184" s="35"/>
      <c r="M184" s="37"/>
      <c r="N184" s="203" t="str">
        <f ca="1">IF(Oct_2025_SotM[[#This Row],[Num]]&gt;=$A$172, "-", IF(Oct_2025_SotM[[#This Row],[Initial 1]], VLOOKUP(Oct_2025_SotM[[#This Row],[Top Seed]], $Z$173:$AE$190, 6, FALSE), OFFSET(Oct_2025_SotM[[#This Row],[Winner]], Oct_2025_SotM[[#This Row],[Max Seed]], 0)))</f>
        <v>don't wanna break up again</v>
      </c>
      <c r="O184" s="200">
        <f>COUNTIF(Oct_2025_SotM[[#This Row],[J]:[H]],"x")</f>
        <v>3</v>
      </c>
      <c r="P184" s="201" t="str">
        <f ca="1">IF(Oct_2025_SotM[[#This Row],[Num]]&gt;=$A$172, "-", IF(Oct_2025_SotM[[#This Row],[Score 1]]&gt;=3, Oct_2025_SotM[[#This Row],[Song 1]], IF(Oct_2025_SotM[[#This Row],[Score 2]]&gt;=3, Oct_2025_SotM[[#This Row],[Song 2]], "TBD")))</f>
        <v>don't wanna break up again</v>
      </c>
      <c r="Q184" s="206">
        <f>COUNTIF(Oct_2025_SotM[[#This Row],[H ]:[J ]],"x")</f>
        <v>2</v>
      </c>
      <c r="R184" s="200" t="str">
        <f ca="1"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f>
        <v>Bound 2</v>
      </c>
      <c r="S184" s="37" t="s">
        <v>4191</v>
      </c>
      <c r="T184" s="35" t="s">
        <v>4191</v>
      </c>
      <c r="U184" s="33"/>
      <c r="V184" s="31"/>
      <c r="W184" s="28"/>
      <c r="X184" s="106" t="str">
        <f ca="1"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f>
        <v/>
      </c>
      <c r="Z184" s="109">
        <f t="shared" si="44"/>
        <v>7</v>
      </c>
      <c r="AA184" s="59">
        <v>45951</v>
      </c>
      <c r="AB184" t="str">
        <v>samuelbattista</v>
      </c>
      <c r="AC184" s="3">
        <v>2</v>
      </c>
      <c r="AD184">
        <v>1.2649110640673518</v>
      </c>
      <c r="AE184" t="str">
        <v>Animal</v>
      </c>
      <c r="AF184" t="str">
        <v>Neon Trees</v>
      </c>
      <c r="AG184" s="100">
        <f t="shared" si="43"/>
        <v>5</v>
      </c>
      <c r="AI184" s="3">
        <f>Oct_2025_SotM[[#This Row],[Max Seed]]/2 + 1</f>
        <v>9</v>
      </c>
      <c r="AJ184" t="str">
        <f ca="1">IF(Oct_2025_SotM[[#This Row],[Num]]&gt;=$A$172, "-", IF(Oct_2025_SotM[[#This Row],[Score 1]]&gt;=3, Oct_2025_SotM[[#This Row],[Song 2]], IF(Oct_2025_SotM[[#This Row],[Score 2]]&gt;=3, Oct_2025_SotM[[#This Row],[Song 1]], "TBD")))</f>
        <v>Bound 2</v>
      </c>
      <c r="AK184" s="246">
        <f ca="1">IFERROR(VLOOKUP(Oct_2025_Results[[#This Row],[Song Title]], $AE$173:$AG$190, 3, FALSE)-Oct_2025_Results[[#This Row],[Result]], "TBD")</f>
        <v>0</v>
      </c>
      <c r="AL184" s="3" t="str">
        <f t="shared" ca="1" si="45"/>
        <v>-</v>
      </c>
    </row>
    <row r="185" spans="1:38">
      <c r="A185" s="199" t="str">
        <f>_xlfn.CONCAT("Seed ", Oct_2025_SotM[[#This Row],[Top Seed]], " vs ",Oct_2025_SotM[[#This Row],[Low Seed]])</f>
        <v>Seed 4 vs 13</v>
      </c>
      <c r="B185" s="201">
        <v>12</v>
      </c>
      <c r="C185" s="200">
        <f>FLOOR(LOG(Oct_2025_SotM[[#This Row],[Num]], 2), 1)</f>
        <v>3</v>
      </c>
      <c r="D185" s="200">
        <f>2^(Oct_2025_SotM[[#This Row],[Round]]+1)</f>
        <v>16</v>
      </c>
      <c r="E185" s="200">
        <f>Oct_2025_SotM[[#This Row],[Max Seed]]-Oct_2025_SotM[[#This Row],[Num]]</f>
        <v>4</v>
      </c>
      <c r="F185" s="200">
        <f>Oct_2025_SotM[[#This Row],[Max Seed]]-Oct_2025_SotM[[#This Row],[Top Seed]]+1</f>
        <v>13</v>
      </c>
      <c r="G185" s="200" t="b">
        <f>IF(Oct_2025_SotM[[#This Row],[Round]]=$C$172, TRUE(), IF(Oct_2025_SotM[[#This Row],[Round]]=$B$172, Oct_2025_SotM[[#This Row],[Top Seed]]&lt;=2*Oct_2025_SotM[[#This Row],[Max Seed]]-$A$172, FALSE()))</f>
        <v>1</v>
      </c>
      <c r="H185" s="200" t="b">
        <f>IF(Oct_2025_SotM[[#This Row],[Round]]=$C$172, TRUE(), IF(Oct_2025_SotM[[#This Row],[Round]]=$B$172, Oct_2025_SotM[[#This Row],[Low Seed]]&lt;=2*Oct_2025_SotM[[#This Row],[Max Seed]]-$A$172, FALSE()))</f>
        <v>1</v>
      </c>
      <c r="I185" s="28"/>
      <c r="J185" s="31" t="s">
        <v>4191</v>
      </c>
      <c r="K185" s="33" t="s">
        <v>4191</v>
      </c>
      <c r="L185" s="35"/>
      <c r="M185" s="37" t="s">
        <v>4191</v>
      </c>
      <c r="N185" s="203" t="str">
        <f ca="1">IF(Oct_2025_SotM[[#This Row],[Num]]&gt;=$A$172, "-", IF(Oct_2025_SotM[[#This Row],[Initial 1]], VLOOKUP(Oct_2025_SotM[[#This Row],[Top Seed]], $Z$173:$AE$190, 6, FALSE), OFFSET(Oct_2025_SotM[[#This Row],[Winner]], Oct_2025_SotM[[#This Row],[Max Seed]], 0)))</f>
        <v>crossing field</v>
      </c>
      <c r="O185" s="200">
        <f>COUNTIF(Oct_2025_SotM[[#This Row],[J]:[H]],"x")</f>
        <v>3</v>
      </c>
      <c r="P185" s="201" t="str">
        <f ca="1">IF(Oct_2025_SotM[[#This Row],[Num]]&gt;=$A$172, "-", IF(Oct_2025_SotM[[#This Row],[Score 1]]&gt;=3, Oct_2025_SotM[[#This Row],[Song 1]], IF(Oct_2025_SotM[[#This Row],[Score 2]]&gt;=3, Oct_2025_SotM[[#This Row],[Song 2]], "TBD")))</f>
        <v>crossing field</v>
      </c>
      <c r="Q185" s="206">
        <f>COUNTIF(Oct_2025_SotM[[#This Row],[H ]:[J ]],"x")</f>
        <v>2</v>
      </c>
      <c r="R185" s="200" t="str">
        <f ca="1"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f>
        <v>Actor</v>
      </c>
      <c r="S185" s="37"/>
      <c r="T185" s="35" t="s">
        <v>4191</v>
      </c>
      <c r="U185" s="33"/>
      <c r="V185" s="31"/>
      <c r="W185" s="28" t="s">
        <v>4191</v>
      </c>
      <c r="X185" s="106" t="str">
        <f ca="1"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f>
        <v/>
      </c>
      <c r="Z185" s="109">
        <f t="shared" si="44"/>
        <v>2</v>
      </c>
      <c r="AA185" s="59">
        <v>45952</v>
      </c>
      <c r="AB185" t="str">
        <v>samuelbattista</v>
      </c>
      <c r="AC185" s="3">
        <v>1.6</v>
      </c>
      <c r="AD185">
        <v>0.8</v>
      </c>
      <c r="AE185" t="str">
        <v>can't slow down</v>
      </c>
      <c r="AF185" t="str">
        <v>almost Monday</v>
      </c>
      <c r="AG185" s="100">
        <f t="shared" si="43"/>
        <v>2</v>
      </c>
      <c r="AI185" s="3">
        <f>Oct_2025_SotM[[#This Row],[Max Seed]]/2 + 1</f>
        <v>9</v>
      </c>
      <c r="AJ185" t="str">
        <f ca="1">IF(Oct_2025_SotM[[#This Row],[Num]]&gt;=$A$172, "-", IF(Oct_2025_SotM[[#This Row],[Score 1]]&gt;=3, Oct_2025_SotM[[#This Row],[Song 2]], IF(Oct_2025_SotM[[#This Row],[Score 2]]&gt;=3, Oct_2025_SotM[[#This Row],[Song 1]], "TBD")))</f>
        <v>Actor</v>
      </c>
      <c r="AK185" s="246">
        <f ca="1">IFERROR(VLOOKUP(Oct_2025_Results[[#This Row],[Song Title]], $AE$173:$AG$190, 3, FALSE)-Oct_2025_Results[[#This Row],[Result]], "TBD")</f>
        <v>0</v>
      </c>
      <c r="AL185" s="3" t="str">
        <f t="shared" ca="1" si="45"/>
        <v>-</v>
      </c>
    </row>
    <row r="186" spans="1:38">
      <c r="A186" s="199" t="str">
        <f>_xlfn.CONCAT("Seed ", Oct_2025_SotM[[#This Row],[Top Seed]], " vs ",Oct_2025_SotM[[#This Row],[Low Seed]])</f>
        <v>Seed 3 vs 14</v>
      </c>
      <c r="B186" s="201">
        <v>13</v>
      </c>
      <c r="C186" s="200">
        <f>FLOOR(LOG(Oct_2025_SotM[[#This Row],[Num]], 2), 1)</f>
        <v>3</v>
      </c>
      <c r="D186" s="200">
        <f>2^(Oct_2025_SotM[[#This Row],[Round]]+1)</f>
        <v>16</v>
      </c>
      <c r="E186" s="200">
        <f>Oct_2025_SotM[[#This Row],[Max Seed]]-Oct_2025_SotM[[#This Row],[Num]]</f>
        <v>3</v>
      </c>
      <c r="F186" s="200">
        <f>Oct_2025_SotM[[#This Row],[Max Seed]]-Oct_2025_SotM[[#This Row],[Top Seed]]+1</f>
        <v>14</v>
      </c>
      <c r="G186" s="200" t="b">
        <f>IF(Oct_2025_SotM[[#This Row],[Round]]=$C$172, TRUE(), IF(Oct_2025_SotM[[#This Row],[Round]]=$B$172, Oct_2025_SotM[[#This Row],[Top Seed]]&lt;=2*Oct_2025_SotM[[#This Row],[Max Seed]]-$A$172, FALSE()))</f>
        <v>1</v>
      </c>
      <c r="H186" s="200" t="b">
        <f>IF(Oct_2025_SotM[[#This Row],[Round]]=$C$172, TRUE(), IF(Oct_2025_SotM[[#This Row],[Round]]=$B$172, Oct_2025_SotM[[#This Row],[Low Seed]]&lt;=2*Oct_2025_SotM[[#This Row],[Max Seed]]-$A$172, FALSE()))</f>
        <v>1</v>
      </c>
      <c r="I186" s="28" t="s">
        <v>4191</v>
      </c>
      <c r="J186" s="31" t="s">
        <v>4191</v>
      </c>
      <c r="K186" s="33" t="s">
        <v>4191</v>
      </c>
      <c r="L186" s="35" t="s">
        <v>4191</v>
      </c>
      <c r="M186" s="37" t="s">
        <v>4191</v>
      </c>
      <c r="N186" s="203" t="str">
        <f ca="1">IF(Oct_2025_SotM[[#This Row],[Num]]&gt;=$A$172, "-", IF(Oct_2025_SotM[[#This Row],[Initial 1]], VLOOKUP(Oct_2025_SotM[[#This Row],[Top Seed]], $Z$173:$AE$190, 6, FALSE), OFFSET(Oct_2025_SotM[[#This Row],[Winner]], Oct_2025_SotM[[#This Row],[Max Seed]], 0)))</f>
        <v>300 dreams</v>
      </c>
      <c r="O186" s="200">
        <f>COUNTIF(Oct_2025_SotM[[#This Row],[J]:[H]],"x")</f>
        <v>5</v>
      </c>
      <c r="P186" s="201" t="str">
        <f ca="1">IF(Oct_2025_SotM[[#This Row],[Num]]&gt;=$A$172, "-", IF(Oct_2025_SotM[[#This Row],[Score 1]]&gt;=3, Oct_2025_SotM[[#This Row],[Song 1]], IF(Oct_2025_SotM[[#This Row],[Score 2]]&gt;=3, Oct_2025_SotM[[#This Row],[Song 2]], "TBD")))</f>
        <v>300 dreams</v>
      </c>
      <c r="Q186" s="206">
        <f>COUNTIF(Oct_2025_SotM[[#This Row],[H ]:[J ]],"x")</f>
        <v>0</v>
      </c>
      <c r="R186" s="200" t="str">
        <f ca="1"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f>
        <v>Stand By Me - Remastered</v>
      </c>
      <c r="S186" s="37"/>
      <c r="T186" s="35"/>
      <c r="U186" s="33"/>
      <c r="V186" s="31"/>
      <c r="W186" s="28"/>
      <c r="X186" s="106" t="str">
        <f ca="1"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f>
        <v/>
      </c>
      <c r="Z186" s="109">
        <f t="shared" si="44"/>
        <v>9</v>
      </c>
      <c r="AA186" s="59">
        <v>45953</v>
      </c>
      <c r="AB186" t="str">
        <v>alappatjoe</v>
      </c>
      <c r="AC186" s="3">
        <v>2.2000000000000002</v>
      </c>
      <c r="AD186">
        <v>0.74833147735478833</v>
      </c>
      <c r="AE186" t="str">
        <v>Mockingbird</v>
      </c>
      <c r="AF186" t="str">
        <v>Eminem</v>
      </c>
      <c r="AG186" s="100">
        <f t="shared" si="43"/>
        <v>9</v>
      </c>
      <c r="AI186" s="3">
        <f>Oct_2025_SotM[[#This Row],[Max Seed]]/2 + 1</f>
        <v>9</v>
      </c>
      <c r="AJ186" t="str">
        <f ca="1">IF(Oct_2025_SotM[[#This Row],[Num]]&gt;=$A$172, "-", IF(Oct_2025_SotM[[#This Row],[Score 1]]&gt;=3, Oct_2025_SotM[[#This Row],[Song 2]], IF(Oct_2025_SotM[[#This Row],[Score 2]]&gt;=3, Oct_2025_SotM[[#This Row],[Song 1]], "TBD")))</f>
        <v>Stand By Me - Remastered</v>
      </c>
      <c r="AK186" s="246">
        <f ca="1">IFERROR(VLOOKUP(Oct_2025_Results[[#This Row],[Song Title]], $AE$173:$AG$190, 3, FALSE)-Oct_2025_Results[[#This Row],[Result]], "TBD")</f>
        <v>0</v>
      </c>
      <c r="AL186" s="3" t="str">
        <f t="shared" ca="1" si="45"/>
        <v>-</v>
      </c>
    </row>
    <row r="187" spans="1:38">
      <c r="A187" s="199" t="str">
        <f>_xlfn.CONCAT("Seed ", Oct_2025_SotM[[#This Row],[Top Seed]], " vs ",Oct_2025_SotM[[#This Row],[Low Seed]])</f>
        <v>Seed 2 vs 15</v>
      </c>
      <c r="B187" s="201">
        <v>14</v>
      </c>
      <c r="C187" s="200">
        <f>FLOOR(LOG(Oct_2025_SotM[[#This Row],[Num]], 2), 1)</f>
        <v>3</v>
      </c>
      <c r="D187" s="200">
        <f>2^(Oct_2025_SotM[[#This Row],[Round]]+1)</f>
        <v>16</v>
      </c>
      <c r="E187" s="200">
        <f>Oct_2025_SotM[[#This Row],[Max Seed]]-Oct_2025_SotM[[#This Row],[Num]]</f>
        <v>2</v>
      </c>
      <c r="F187" s="200">
        <f>Oct_2025_SotM[[#This Row],[Max Seed]]-Oct_2025_SotM[[#This Row],[Top Seed]]+1</f>
        <v>15</v>
      </c>
      <c r="G187" s="200" t="b">
        <f>IF(Oct_2025_SotM[[#This Row],[Round]]=$C$172, TRUE(), IF(Oct_2025_SotM[[#This Row],[Round]]=$B$172, Oct_2025_SotM[[#This Row],[Top Seed]]&lt;=2*Oct_2025_SotM[[#This Row],[Max Seed]]-$A$172, FALSE()))</f>
        <v>1</v>
      </c>
      <c r="H187" s="200" t="b">
        <f>IF(Oct_2025_SotM[[#This Row],[Round]]=$C$172, TRUE(), IF(Oct_2025_SotM[[#This Row],[Round]]=$B$172, Oct_2025_SotM[[#This Row],[Low Seed]]&lt;=2*Oct_2025_SotM[[#This Row],[Max Seed]]-$A$172, FALSE()))</f>
        <v>0</v>
      </c>
      <c r="I187" s="28" t="s">
        <v>4191</v>
      </c>
      <c r="J187" s="31"/>
      <c r="K187" s="33" t="s">
        <v>4191</v>
      </c>
      <c r="L187" s="35" t="s">
        <v>4191</v>
      </c>
      <c r="M187" s="37" t="s">
        <v>4191</v>
      </c>
      <c r="N187" s="203" t="str">
        <f ca="1">IF(Oct_2025_SotM[[#This Row],[Num]]&gt;=$A$172, "-", IF(Oct_2025_SotM[[#This Row],[Initial 1]], VLOOKUP(Oct_2025_SotM[[#This Row],[Top Seed]], $Z$173:$AE$190, 6, FALSE), OFFSET(Oct_2025_SotM[[#This Row],[Winner]], Oct_2025_SotM[[#This Row],[Max Seed]], 0)))</f>
        <v>can't slow down</v>
      </c>
      <c r="O187" s="200">
        <f>COUNTIF(Oct_2025_SotM[[#This Row],[J]:[H]],"x")</f>
        <v>4</v>
      </c>
      <c r="P187" s="201" t="str">
        <f ca="1">IF(Oct_2025_SotM[[#This Row],[Num]]&gt;=$A$172, "-", IF(Oct_2025_SotM[[#This Row],[Score 1]]&gt;=3, Oct_2025_SotM[[#This Row],[Song 1]], IF(Oct_2025_SotM[[#This Row],[Score 2]]&gt;=3, Oct_2025_SotM[[#This Row],[Song 2]], "TBD")))</f>
        <v>can't slow down</v>
      </c>
      <c r="Q187" s="206">
        <f>COUNTIF(Oct_2025_SotM[[#This Row],[H ]:[J ]],"x")</f>
        <v>1</v>
      </c>
      <c r="R187" s="200" t="str">
        <f ca="1"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f>
        <v>The Less I Know The Better</v>
      </c>
      <c r="S187" s="37"/>
      <c r="T187" s="35"/>
      <c r="U187" s="33"/>
      <c r="V187" s="31" t="s">
        <v>4191</v>
      </c>
      <c r="W187" s="28"/>
      <c r="X187" s="106" t="str">
        <f ca="1"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f>
        <v/>
      </c>
      <c r="Z187" s="109">
        <f t="shared" si="44"/>
        <v>11</v>
      </c>
      <c r="AA187" s="59">
        <v>45957</v>
      </c>
      <c r="AB187" t="str">
        <v>danram</v>
      </c>
      <c r="AC187" s="3">
        <v>2.2000000000000002</v>
      </c>
      <c r="AD187">
        <v>0.9797958971132712</v>
      </c>
      <c r="AE187" t="str">
        <v>Friday I'm in Love</v>
      </c>
      <c r="AF187" t="str">
        <v>The Cure</v>
      </c>
      <c r="AG187" s="100">
        <f t="shared" si="43"/>
        <v>9</v>
      </c>
      <c r="AI187" s="3">
        <f>Oct_2025_SotM[[#This Row],[Max Seed]]/2 + 1</f>
        <v>9</v>
      </c>
      <c r="AJ187" t="str">
        <f ca="1">IF(Oct_2025_SotM[[#This Row],[Num]]&gt;=$A$172, "-", IF(Oct_2025_SotM[[#This Row],[Score 1]]&gt;=3, Oct_2025_SotM[[#This Row],[Song 2]], IF(Oct_2025_SotM[[#This Row],[Score 2]]&gt;=3, Oct_2025_SotM[[#This Row],[Song 1]], "TBD")))</f>
        <v>The Less I Know The Better</v>
      </c>
      <c r="AK187" s="246">
        <f ca="1">IFERROR(VLOOKUP(Oct_2025_Results[[#This Row],[Song Title]], $AE$173:$AG$190, 3, FALSE)-Oct_2025_Results[[#This Row],[Result]], "TBD")</f>
        <v>8</v>
      </c>
      <c r="AL187" s="3" t="str">
        <f t="shared" ca="1" si="45"/>
        <v>↑</v>
      </c>
    </row>
    <row r="188" spans="1:38">
      <c r="A188" s="199" t="str">
        <f>_xlfn.CONCAT("Seed ", Oct_2025_SotM[[#This Row],[Top Seed]], " vs ",Oct_2025_SotM[[#This Row],[Low Seed]])</f>
        <v>Seed 1 vs 16</v>
      </c>
      <c r="B188" s="201">
        <v>15</v>
      </c>
      <c r="C188" s="200">
        <f>FLOOR(LOG(Oct_2025_SotM[[#This Row],[Num]], 2), 1)</f>
        <v>3</v>
      </c>
      <c r="D188" s="200">
        <f>2^(Oct_2025_SotM[[#This Row],[Round]]+1)</f>
        <v>16</v>
      </c>
      <c r="E188" s="200">
        <f>Oct_2025_SotM[[#This Row],[Max Seed]]-Oct_2025_SotM[[#This Row],[Num]]</f>
        <v>1</v>
      </c>
      <c r="F188" s="200">
        <f>Oct_2025_SotM[[#This Row],[Max Seed]]-Oct_2025_SotM[[#This Row],[Top Seed]]+1</f>
        <v>16</v>
      </c>
      <c r="G188" s="200" t="b">
        <f>IF(Oct_2025_SotM[[#This Row],[Round]]=$C$172, TRUE(), IF(Oct_2025_SotM[[#This Row],[Round]]=$B$172, Oct_2025_SotM[[#This Row],[Top Seed]]&lt;=2*Oct_2025_SotM[[#This Row],[Max Seed]]-$A$172, FALSE()))</f>
        <v>1</v>
      </c>
      <c r="H188" s="200" t="b">
        <f>IF(Oct_2025_SotM[[#This Row],[Round]]=$C$172, TRUE(), IF(Oct_2025_SotM[[#This Row],[Round]]=$B$172, Oct_2025_SotM[[#This Row],[Low Seed]]&lt;=2*Oct_2025_SotM[[#This Row],[Max Seed]]-$A$172, FALSE()))</f>
        <v>0</v>
      </c>
      <c r="I188" s="28" t="s">
        <v>4191</v>
      </c>
      <c r="J188" s="31" t="s">
        <v>4191</v>
      </c>
      <c r="K188" s="33"/>
      <c r="L188" s="35" t="s">
        <v>4191</v>
      </c>
      <c r="M188" s="37"/>
      <c r="N188" s="203" t="str">
        <f ca="1">IF(Oct_2025_SotM[[#This Row],[Num]]&gt;=$A$172, "-", IF(Oct_2025_SotM[[#This Row],[Initial 1]], VLOOKUP(Oct_2025_SotM[[#This Row],[Top Seed]], $Z$173:$AE$190, 6, FALSE), OFFSET(Oct_2025_SotM[[#This Row],[Winner]], Oct_2025_SotM[[#This Row],[Max Seed]], 0)))</f>
        <v>Breathe Deeper</v>
      </c>
      <c r="O188" s="200">
        <f>COUNTIF(Oct_2025_SotM[[#This Row],[J]:[H]],"x")</f>
        <v>3</v>
      </c>
      <c r="P188" s="201" t="str">
        <f ca="1">IF(Oct_2025_SotM[[#This Row],[Num]]&gt;=$A$172, "-", IF(Oct_2025_SotM[[#This Row],[Score 1]]&gt;=3, Oct_2025_SotM[[#This Row],[Song 1]], IF(Oct_2025_SotM[[#This Row],[Score 2]]&gt;=3, Oct_2025_SotM[[#This Row],[Song 2]], "TBD")))</f>
        <v>Breathe Deeper</v>
      </c>
      <c r="Q188" s="206">
        <f>COUNTIF(Oct_2025_SotM[[#This Row],[H ]:[J ]],"x")</f>
        <v>2</v>
      </c>
      <c r="R188" s="200" t="str">
        <f ca="1"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f>
        <v>Flyers</v>
      </c>
      <c r="S188" s="37" t="s">
        <v>4191</v>
      </c>
      <c r="T188" s="35"/>
      <c r="U188" s="33" t="s">
        <v>4191</v>
      </c>
      <c r="V188" s="31"/>
      <c r="W188" s="28"/>
      <c r="X188" s="106" t="str">
        <f ca="1"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f>
        <v/>
      </c>
      <c r="Z188" s="109">
        <f t="shared" si="44"/>
        <v>3</v>
      </c>
      <c r="AA188" s="59">
        <v>45958</v>
      </c>
      <c r="AB188" t="str">
        <v>samuelbattista</v>
      </c>
      <c r="AC188" s="3">
        <v>1.8</v>
      </c>
      <c r="AD188">
        <v>0.74833147735478833</v>
      </c>
      <c r="AE188" t="str">
        <v>300 dreams</v>
      </c>
      <c r="AF188" t="str">
        <v>After</v>
      </c>
      <c r="AG188" s="100">
        <f t="shared" si="43"/>
        <v>3</v>
      </c>
      <c r="AI188" s="3">
        <f>Oct_2025_SotM[[#This Row],[Max Seed]]/2 + 1</f>
        <v>9</v>
      </c>
      <c r="AJ188" t="str">
        <f ca="1">IF(Oct_2025_SotM[[#This Row],[Num]]&gt;=$A$172, "-", IF(Oct_2025_SotM[[#This Row],[Score 1]]&gt;=3, Oct_2025_SotM[[#This Row],[Song 2]], IF(Oct_2025_SotM[[#This Row],[Score 2]]&gt;=3, Oct_2025_SotM[[#This Row],[Song 1]], "TBD")))</f>
        <v>Flyers</v>
      </c>
      <c r="AK188" s="246">
        <f ca="1">IFERROR(VLOOKUP(Oct_2025_Results[[#This Row],[Song Title]], $AE$173:$AG$190, 3, FALSE)-Oct_2025_Results[[#This Row],[Result]], "TBD")</f>
        <v>0</v>
      </c>
      <c r="AL188" s="3" t="str">
        <f t="shared" ca="1" si="45"/>
        <v>-</v>
      </c>
    </row>
    <row r="189" spans="1:38">
      <c r="A189" s="199" t="str">
        <f>_xlfn.CONCAT("Seed ", Oct_2025_SotM[[#This Row],[Top Seed]], " vs ",Oct_2025_SotM[[#This Row],[Low Seed]])</f>
        <v>Seed 16 vs 17</v>
      </c>
      <c r="B189" s="201">
        <v>16</v>
      </c>
      <c r="C189" s="200">
        <f>FLOOR(LOG(Oct_2025_SotM[[#This Row],[Num]], 2), 1)</f>
        <v>4</v>
      </c>
      <c r="D189" s="200">
        <f>2^(Oct_2025_SotM[[#This Row],[Round]]+1)</f>
        <v>32</v>
      </c>
      <c r="E189" s="200">
        <f>Oct_2025_SotM[[#This Row],[Max Seed]]-Oct_2025_SotM[[#This Row],[Num]]</f>
        <v>16</v>
      </c>
      <c r="F189" s="200">
        <f>Oct_2025_SotM[[#This Row],[Max Seed]]-Oct_2025_SotM[[#This Row],[Top Seed]]+1</f>
        <v>17</v>
      </c>
      <c r="G189" s="200" t="b">
        <f>IF(Oct_2025_SotM[[#This Row],[Round]]=$C$172, TRUE(), IF(Oct_2025_SotM[[#This Row],[Round]]=$B$172, Oct_2025_SotM[[#This Row],[Top Seed]]&lt;=2*Oct_2025_SotM[[#This Row],[Max Seed]]-$A$172, FALSE()))</f>
        <v>1</v>
      </c>
      <c r="H189" s="200" t="b">
        <f>IF(Oct_2025_SotM[[#This Row],[Round]]=$C$172, TRUE(), IF(Oct_2025_SotM[[#This Row],[Round]]=$B$172, Oct_2025_SotM[[#This Row],[Low Seed]]&lt;=2*Oct_2025_SotM[[#This Row],[Max Seed]]-$A$172, FALSE()))</f>
        <v>1</v>
      </c>
      <c r="I189" s="28" t="s">
        <v>4191</v>
      </c>
      <c r="J189" s="31" t="s">
        <v>4191</v>
      </c>
      <c r="K189" s="33" t="s">
        <v>4191</v>
      </c>
      <c r="L189" s="35" t="s">
        <v>4191</v>
      </c>
      <c r="M189" s="37" t="s">
        <v>4191</v>
      </c>
      <c r="N189" s="203" t="str">
        <f ca="1">IF(Oct_2025_SotM[[#This Row],[Num]]&gt;=$A$172, "-", IF(Oct_2025_SotM[[#This Row],[Initial 1]], VLOOKUP(Oct_2025_SotM[[#This Row],[Top Seed]], $Z$173:$AE$190, 6, FALSE), OFFSET(Oct_2025_SotM[[#This Row],[Winner]], Oct_2025_SotM[[#This Row],[Max Seed]], 0)))</f>
        <v>Flyers</v>
      </c>
      <c r="O189" s="200">
        <f>COUNTIF(Oct_2025_SotM[[#This Row],[J]:[H]],"x")</f>
        <v>5</v>
      </c>
      <c r="P189" s="201" t="str">
        <f ca="1">IF(Oct_2025_SotM[[#This Row],[Num]]&gt;=$A$172, "-", IF(Oct_2025_SotM[[#This Row],[Score 1]]&gt;=3, Oct_2025_SotM[[#This Row],[Song 1]], IF(Oct_2025_SotM[[#This Row],[Score 2]]&gt;=3, Oct_2025_SotM[[#This Row],[Song 2]], "TBD")))</f>
        <v>Flyers</v>
      </c>
      <c r="Q189" s="206">
        <f>COUNTIF(Oct_2025_SotM[[#This Row],[H ]:[J ]],"x")</f>
        <v>0</v>
      </c>
      <c r="R189" s="200" t="str">
        <f ca="1"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f>
        <v>Slowly</v>
      </c>
      <c r="S189" s="37"/>
      <c r="T189" s="35"/>
      <c r="U189" s="33"/>
      <c r="V189" s="31"/>
      <c r="W189" s="28"/>
      <c r="X189" s="106" t="str">
        <f ca="1"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f>
        <v/>
      </c>
      <c r="Z189" s="109">
        <f t="shared" si="44"/>
        <v>12</v>
      </c>
      <c r="AA189" s="59">
        <v>45959</v>
      </c>
      <c r="AB189" t="str">
        <v>danram</v>
      </c>
      <c r="AC189" s="3">
        <v>2.2000000000000002</v>
      </c>
      <c r="AD189">
        <v>0.9797958971132712</v>
      </c>
      <c r="AE189" t="str">
        <v>Bound 2</v>
      </c>
      <c r="AF189" t="str">
        <v>Kanye West</v>
      </c>
      <c r="AG189" s="100">
        <f t="shared" si="43"/>
        <v>9</v>
      </c>
      <c r="AI189" s="3">
        <f>Oct_2025_SotM[[#This Row],[Max Seed]]/2 + 1</f>
        <v>17</v>
      </c>
      <c r="AJ189" t="str">
        <f ca="1">IF(Oct_2025_SotM[[#This Row],[Num]]&gt;=$A$172, "-", IF(Oct_2025_SotM[[#This Row],[Score 1]]&gt;=3, Oct_2025_SotM[[#This Row],[Song 2]], IF(Oct_2025_SotM[[#This Row],[Score 2]]&gt;=3, Oct_2025_SotM[[#This Row],[Song 1]], "TBD")))</f>
        <v>Slowly</v>
      </c>
      <c r="AK189" s="246">
        <f ca="1">IFERROR(VLOOKUP(Oct_2025_Results[[#This Row],[Song Title]], $AE$173:$AG$190, 3, FALSE)-Oct_2025_Results[[#This Row],[Result]], "TBD")</f>
        <v>0</v>
      </c>
      <c r="AL189" s="3" t="str">
        <f t="shared" ca="1" si="45"/>
        <v>-</v>
      </c>
    </row>
    <row r="190" spans="1:38">
      <c r="A190" s="199" t="str">
        <f>_xlfn.CONCAT("Seed ", Oct_2025_SotM[[#This Row],[Top Seed]], " vs ",Oct_2025_SotM[[#This Row],[Low Seed]])</f>
        <v>Seed 15 vs 18</v>
      </c>
      <c r="B190" s="201">
        <v>17</v>
      </c>
      <c r="C190" s="200">
        <f>FLOOR(LOG(Oct_2025_SotM[[#This Row],[Num]], 2), 1)</f>
        <v>4</v>
      </c>
      <c r="D190" s="200">
        <f>2^(Oct_2025_SotM[[#This Row],[Round]]+1)</f>
        <v>32</v>
      </c>
      <c r="E190" s="200">
        <f>Oct_2025_SotM[[#This Row],[Max Seed]]-Oct_2025_SotM[[#This Row],[Num]]</f>
        <v>15</v>
      </c>
      <c r="F190" s="200">
        <f>Oct_2025_SotM[[#This Row],[Max Seed]]-Oct_2025_SotM[[#This Row],[Top Seed]]+1</f>
        <v>18</v>
      </c>
      <c r="G190" s="200" t="b">
        <f>IF(Oct_2025_SotM[[#This Row],[Round]]=$C$172, TRUE(), IF(Oct_2025_SotM[[#This Row],[Round]]=$B$172, Oct_2025_SotM[[#This Row],[Top Seed]]&lt;=2*Oct_2025_SotM[[#This Row],[Max Seed]]-$A$172, FALSE()))</f>
        <v>1</v>
      </c>
      <c r="H190" s="200" t="b">
        <f>IF(Oct_2025_SotM[[#This Row],[Round]]=$C$172, TRUE(), IF(Oct_2025_SotM[[#This Row],[Round]]=$B$172, Oct_2025_SotM[[#This Row],[Low Seed]]&lt;=2*Oct_2025_SotM[[#This Row],[Max Seed]]-$A$172, FALSE()))</f>
        <v>1</v>
      </c>
      <c r="I190" s="28"/>
      <c r="J190" s="31"/>
      <c r="K190" s="33"/>
      <c r="L190" s="35" t="s">
        <v>4191</v>
      </c>
      <c r="M190" s="37"/>
      <c r="N190" s="203" t="str">
        <f ca="1">IF(Oct_2025_SotM[[#This Row],[Num]]&gt;=$A$172, "-", IF(Oct_2025_SotM[[#This Row],[Initial 1]], VLOOKUP(Oct_2025_SotM[[#This Row],[Top Seed]], $Z$173:$AE$190, 6, FALSE), OFFSET(Oct_2025_SotM[[#This Row],[Winner]], Oct_2025_SotM[[#This Row],[Max Seed]], 0)))</f>
        <v>Jacob's Ladder</v>
      </c>
      <c r="O190" s="200">
        <f>COUNTIF(Oct_2025_SotM[[#This Row],[J]:[H]],"x")</f>
        <v>1</v>
      </c>
      <c r="P190" s="201" t="str">
        <f ca="1">IF(Oct_2025_SotM[[#This Row],[Num]]&gt;=$A$172, "-", IF(Oct_2025_SotM[[#This Row],[Score 1]]&gt;=3, Oct_2025_SotM[[#This Row],[Song 1]], IF(Oct_2025_SotM[[#This Row],[Score 2]]&gt;=3, Oct_2025_SotM[[#This Row],[Song 2]], "TBD")))</f>
        <v>The Less I Know The Better</v>
      </c>
      <c r="Q190" s="206">
        <f>COUNTIF(Oct_2025_SotM[[#This Row],[H ]:[J ]],"x")</f>
        <v>4</v>
      </c>
      <c r="R190" s="200" t="str">
        <f ca="1">IF(Oct_2025_SotM[[#This Row],[Num]]&gt;=$A$172, "-", IF(Oct_2025_SotM[[#This Row],[Initial 2]], VLOOKUP(Oct_2025_SotM[[#This Row],[Low Seed]], $Z$173:$AE$190, 6, FALSE), OFFSET(Oct_2025_SotM[[#This Row],[Winner]], 2*(Oct_2025_SotM[[#This Row],[Max Seed]]-Oct_2025_SotM[[#This Row],[Low Seed]])+1, 0)))</f>
        <v>The Less I Know The Better</v>
      </c>
      <c r="S190" s="37" t="s">
        <v>4191</v>
      </c>
      <c r="T190" s="35"/>
      <c r="U190" s="33" t="s">
        <v>4191</v>
      </c>
      <c r="V190" s="31" t="s">
        <v>4191</v>
      </c>
      <c r="W190" s="28" t="s">
        <v>4191</v>
      </c>
      <c r="X190" s="106" t="str">
        <f ca="1">IF(OR(Oct_2025_SotM[[#This Row],[Song 1]]="TBD", Oct_2025_SotM[[#This Row],[Song 2]]="TBD"), "TBD", _xlfn.CONCAT(IF(_xlfn.XOR(ISBLANK(Oct_2025_SotM[[#This Row],[J]]), ISBLANK(Oct_2025_SotM[[#This Row],[J ]])), "", "J "), IF(_xlfn.XOR(ISBLANK(Oct_2025_SotM[[#This Row],[D]]), ISBLANK(Oct_2025_SotM[[#This Row],[D ]])), "", "D "), IF(_xlfn.XOR(ISBLANK(Oct_2025_SotM[[#This Row],[L]]), ISBLANK(Oct_2025_SotM[[#This Row],[L ]])), "", "L "), IF(_xlfn.XOR(ISBLANK(Oct_2025_SotM[[#This Row],[S]]), ISBLANK(Oct_2025_SotM[[#This Row],[S ]])), "", "S "), IF(_xlfn.XOR(ISBLANK(Oct_2025_SotM[[#This Row],[H]]), ISBLANK(Oct_2025_SotM[[#This Row],[H ]])), "", "H ")))</f>
        <v/>
      </c>
      <c r="Z190" s="110">
        <f t="shared" si="44"/>
        <v>10</v>
      </c>
      <c r="AA190" s="211">
        <v>45960</v>
      </c>
      <c r="AB190" s="157" t="str">
        <v>danram</v>
      </c>
      <c r="AC190" s="101">
        <v>2.2000000000000002</v>
      </c>
      <c r="AD190" s="157">
        <v>0.74833147735478833</v>
      </c>
      <c r="AE190" s="157" t="str">
        <v>Somebody's Watching Me</v>
      </c>
      <c r="AF190" s="157" t="str">
        <v>Rockwell</v>
      </c>
      <c r="AG190" s="102">
        <f t="shared" si="43"/>
        <v>9</v>
      </c>
      <c r="AI190" s="3">
        <f>Oct_2025_SotM[[#This Row],[Max Seed]]/2 + 1</f>
        <v>17</v>
      </c>
      <c r="AJ190" t="str">
        <f ca="1">IF(Oct_2025_SotM[[#This Row],[Num]]&gt;=$A$172, "-", IF(Oct_2025_SotM[[#This Row],[Score 1]]&gt;=3, Oct_2025_SotM[[#This Row],[Song 2]], IF(Oct_2025_SotM[[#This Row],[Score 2]]&gt;=3, Oct_2025_SotM[[#This Row],[Song 1]], "TBD")))</f>
        <v>Jacob's Ladder</v>
      </c>
      <c r="AK190" s="246">
        <f ca="1">IFERROR(VLOOKUP(Oct_2025_Results[[#This Row],[Song Title]], $AE$173:$AG$190, 3, FALSE)-Oct_2025_Results[[#This Row],[Result]], "TBD")</f>
        <v>-8</v>
      </c>
      <c r="AL190" s="3" t="str">
        <f t="shared" ca="1" si="45"/>
        <v>↓</v>
      </c>
    </row>
    <row r="192" spans="1:38">
      <c r="A192" s="302">
        <f>MAX(Z193:Z208)</f>
        <v>16</v>
      </c>
      <c r="B192" s="302">
        <f>FLOOR(LOG(A192, 2), 1)-1</f>
        <v>3</v>
      </c>
      <c r="C192" s="302">
        <f t="shared" ref="C192" si="46">_xlfn.CEILING.MATH(LOG(A192, 2), 1)-1</f>
        <v>3</v>
      </c>
      <c r="D192" s="302"/>
      <c r="E192" s="302"/>
      <c r="F192" s="302"/>
      <c r="G192" s="302"/>
      <c r="H192" s="302"/>
      <c r="I192" s="348" t="s">
        <v>4199</v>
      </c>
      <c r="J192" s="348"/>
      <c r="K192" s="348"/>
      <c r="L192" s="348"/>
      <c r="M192" s="348"/>
      <c r="N192" s="348"/>
      <c r="O192" s="348"/>
      <c r="P192" s="348"/>
      <c r="Q192" s="348"/>
      <c r="R192" s="348"/>
      <c r="S192" s="348"/>
      <c r="T192" s="348"/>
      <c r="U192" s="348"/>
      <c r="V192" s="348"/>
      <c r="W192" s="348"/>
      <c r="X192" s="302"/>
      <c r="Z192" s="221" t="s">
        <v>4163</v>
      </c>
      <c r="AA192" s="222" t="s">
        <v>29</v>
      </c>
      <c r="AB192" s="220" t="s">
        <v>32</v>
      </c>
      <c r="AC192" s="221" t="s">
        <v>33</v>
      </c>
      <c r="AD192" s="220" t="s">
        <v>34</v>
      </c>
      <c r="AE192" s="220" t="s">
        <v>4161</v>
      </c>
      <c r="AF192" s="220" t="s">
        <v>36</v>
      </c>
      <c r="AG192" s="221" t="s">
        <v>4164</v>
      </c>
      <c r="AI192" s="249" t="s">
        <v>4165</v>
      </c>
      <c r="AJ192" s="248" t="s">
        <v>35</v>
      </c>
      <c r="AK192" s="249" t="s">
        <v>4166</v>
      </c>
      <c r="AL192" s="249" t="s">
        <v>4167</v>
      </c>
    </row>
    <row r="193" spans="1:38">
      <c r="A193" s="218" t="s">
        <v>4168</v>
      </c>
      <c r="B193" s="213" t="s">
        <v>4169</v>
      </c>
      <c r="C193" s="219" t="s">
        <v>4170</v>
      </c>
      <c r="D193" s="219" t="s">
        <v>4171</v>
      </c>
      <c r="E193" s="219" t="s">
        <v>4172</v>
      </c>
      <c r="F193" s="219" t="s">
        <v>4173</v>
      </c>
      <c r="G193" s="219" t="s">
        <v>4174</v>
      </c>
      <c r="H193" s="219" t="s">
        <v>4175</v>
      </c>
      <c r="I193" s="219" t="s">
        <v>4176</v>
      </c>
      <c r="J193" s="219" t="s">
        <v>4177</v>
      </c>
      <c r="K193" s="219" t="s">
        <v>4178</v>
      </c>
      <c r="L193" s="219" t="s">
        <v>4179</v>
      </c>
      <c r="M193" s="219" t="s">
        <v>4180</v>
      </c>
      <c r="N193" s="226" t="s">
        <v>4181</v>
      </c>
      <c r="O193" s="219" t="s">
        <v>4182</v>
      </c>
      <c r="P193" s="213" t="s">
        <v>47</v>
      </c>
      <c r="Q193" s="231" t="s">
        <v>4183</v>
      </c>
      <c r="R193" s="219" t="s">
        <v>4184</v>
      </c>
      <c r="S193" s="219" t="s">
        <v>4185</v>
      </c>
      <c r="T193" s="219" t="s">
        <v>4186</v>
      </c>
      <c r="U193" s="219" t="s">
        <v>4187</v>
      </c>
      <c r="V193" s="219" t="s">
        <v>4188</v>
      </c>
      <c r="W193" s="219" t="s">
        <v>4189</v>
      </c>
      <c r="X193" s="110" t="s">
        <v>4190</v>
      </c>
      <c r="Z193" s="109">
        <f>IF(AC193&gt;0, COUNTIF(AC$193:AC$208, "&lt;"&amp;AC193) + COUNTIFS(AC$193:AC$208, AC193, AD$193:AD$208, "&lt;"&amp;AD193) + COUNTIFS(AC$193:AC$208, AC193, AD$193:AD$208, AD193, AA$193:AA$208, "&lt;"&amp;AA193) + 1, "TBD")</f>
        <v>12</v>
      </c>
      <c r="AA193" s="59" cm="1">
        <f t="array" ref="AA193:AF208">_xlfn._xlws.FILTER(Data[Date]:Data[Artist], (Data[Date]&gt;=DATE(2025,11,1))*(Data[Date]&lt;=DATE(2025,11,30))*(Data[Winner]=TRUE()), "TBD")</f>
        <v>45964</v>
      </c>
      <c r="AB193" t="str">
        <v>currydestroyer27</v>
      </c>
      <c r="AC193" s="3">
        <v>2.4</v>
      </c>
      <c r="AD193">
        <v>1.4966629547095767</v>
      </c>
      <c r="AE193" t="str">
        <v>IRIS OUT</v>
      </c>
      <c r="AF193" t="str">
        <v>Kenshi Yonezu</v>
      </c>
      <c r="AG193" s="100">
        <f t="shared" ref="AG193:AG208" si="47">IF(Z193&gt;1, 2^FLOOR(LOG(Z193-1, 2), 1)+1, 1)</f>
        <v>9</v>
      </c>
      <c r="AI193" s="246">
        <v>1</v>
      </c>
      <c r="AJ193" s="279" t="str">
        <f ca="1">P194</f>
        <v>Mona Lisa</v>
      </c>
      <c r="AK193" s="246">
        <f ca="1">IFERROR(VLOOKUP(Nov_2025_Results[[#This Row],[Song Title]], $AE$193:$AG$208, 3, FALSE)-Nov_2025_Results[[#This Row],[Result]], "TBD")</f>
        <v>2</v>
      </c>
      <c r="AL193" s="246" t="str">
        <f ca="1">IF(AK193&lt;0,"↓",IF(AK193=0,"-","↑"))</f>
        <v>↑</v>
      </c>
    </row>
    <row r="194" spans="1:38">
      <c r="A194" s="199" t="str">
        <f>_xlfn.CONCAT("Seed ", Nov_2025_SotM[[#This Row],[Top Seed]], " vs ",Nov_2025_SotM[[#This Row],[Low Seed]])</f>
        <v>Seed 1 vs 2</v>
      </c>
      <c r="B194" s="201">
        <v>1</v>
      </c>
      <c r="C194" s="200">
        <f>FLOOR(LOG(Nov_2025_SotM[[#This Row],[Num]], 2), 1)</f>
        <v>0</v>
      </c>
      <c r="D194" s="200">
        <f>2^(Nov_2025_SotM[[#This Row],[Round]]+1)</f>
        <v>2</v>
      </c>
      <c r="E194" s="200">
        <f>Nov_2025_SotM[[#This Row],[Max Seed]]-Nov_2025_SotM[[#This Row],[Num]]</f>
        <v>1</v>
      </c>
      <c r="F194" s="200">
        <f>Nov_2025_SotM[[#This Row],[Max Seed]]-Nov_2025_SotM[[#This Row],[Top Seed]]+1</f>
        <v>2</v>
      </c>
      <c r="G194" s="200" t="b">
        <f>IF(Nov_2025_SotM[[#This Row],[Round]]=$C$192, TRUE(), IF(Nov_2025_SotM[[#This Row],[Round]]=$B$192, Nov_2025_SotM[[#This Row],[Top Seed]]&lt;=2*Nov_2025_SotM[[#This Row],[Max Seed]]-$A$192, FALSE()))</f>
        <v>0</v>
      </c>
      <c r="H194" s="200" t="b">
        <f>IF(Nov_2025_SotM[[#This Row],[Round]]=$C$192, TRUE(), IF(Nov_2025_SotM[[#This Row],[Round]]=$B$192, Nov_2025_SotM[[#This Row],[Low Seed]]&lt;=2*Nov_2025_SotM[[#This Row],[Max Seed]]-$A$192, FALSE()))</f>
        <v>0</v>
      </c>
      <c r="I194" s="28" t="s">
        <v>4191</v>
      </c>
      <c r="J194" s="31"/>
      <c r="K194" s="33" t="s">
        <v>4191</v>
      </c>
      <c r="L194" s="35" t="s">
        <v>4191</v>
      </c>
      <c r="M194" s="37"/>
      <c r="N194" s="203" t="str">
        <f ca="1">IF(Nov_2025_SotM[[#This Row],[Num]]&gt;=$A$192, "-", IF(Nov_2025_SotM[[#This Row],[Initial 1]], VLOOKUP(Nov_2025_SotM[[#This Row],[Top Seed]], $Z$193:$AE$208, 6, FALSE), OFFSET(Nov_2025_SotM[[#This Row],[Winner]], Nov_2025_SotM[[#This Row],[Max Seed]], 0)))</f>
        <v>Mona Lisa</v>
      </c>
      <c r="O194" s="200">
        <f>COUNTIF(Nov_2025_SotM[[#This Row],[J]:[H]],"x")</f>
        <v>3</v>
      </c>
      <c r="P194" s="201" t="str">
        <f ca="1">IF(Nov_2025_SotM[[#This Row],[Num]]&gt;=$A$192, "-", IF(Nov_2025_SotM[[#This Row],[Score 1]]&gt;=3, Nov_2025_SotM[[#This Row],[Song 1]], IF(Nov_2025_SotM[[#This Row],[Score 2]]&gt;=3, Nov_2025_SotM[[#This Row],[Song 2]], "TBD")))</f>
        <v>Mona Lisa</v>
      </c>
      <c r="Q194" s="206">
        <f>COUNTIF(Nov_2025_SotM[[#This Row],[H ]:[J ]],"x")</f>
        <v>2</v>
      </c>
      <c r="R194" s="200" t="str">
        <f ca="1">IF(Nov_2025_SotM[[#This Row],[Num]]&gt;=$A$192, "-", IF(Nov_2025_SotM[[#This Row],[Initial 2]], VLOOKUP(Nov_2025_SotM[[#This Row],[Low Seed]], $Z$193:$AE$208, 6, FALSE), OFFSET(Nov_2025_SotM[[#This Row],[Winner]], 2*(Nov_2025_SotM[[#This Row],[Max Seed]]-Nov_2025_SotM[[#This Row],[Low Seed]])+1, 0)))</f>
        <v>Survivor</v>
      </c>
      <c r="S194" s="37" t="s">
        <v>4191</v>
      </c>
      <c r="T194" s="35"/>
      <c r="U194" s="33"/>
      <c r="V194" s="31" t="s">
        <v>4191</v>
      </c>
      <c r="W194" s="28"/>
      <c r="X194" s="106" t="str">
        <f ca="1">IF(OR(Nov_2025_SotM[[#This Row],[Song 1]]="TBD", Nov_2025_SotM[[#This Row],[Song 2]]="TBD"), "TBD", _xlfn.CONCAT(IF(_xlfn.XOR(ISBLANK(Nov_2025_SotM[[#This Row],[J]]), ISBLANK(Nov_2025_SotM[[#This Row],[J ]])), "", "J "), IF(_xlfn.XOR(ISBLANK(Nov_2025_SotM[[#This Row],[D]]), ISBLANK(Nov_2025_SotM[[#This Row],[D ]])), "", "D "), IF(_xlfn.XOR(ISBLANK(Nov_2025_SotM[[#This Row],[L]]), ISBLANK(Nov_2025_SotM[[#This Row],[L ]])), "", "L "), IF(_xlfn.XOR(ISBLANK(Nov_2025_SotM[[#This Row],[S]]), ISBLANK(Nov_2025_SotM[[#This Row],[S ]])), "", "S "), IF(_xlfn.XOR(ISBLANK(Nov_2025_SotM[[#This Row],[H]]), ISBLANK(Nov_2025_SotM[[#This Row],[H ]])), "", "H ")))</f>
        <v/>
      </c>
      <c r="Z194" s="109">
        <f t="shared" ref="Z194:Z208" si="48">IF(AC194&gt;0, COUNTIF(AC$193:AC$208, "&lt;"&amp;AC194) + COUNTIFS(AC$193:AC$208, AC194, AD$193:AD$208, "&lt;"&amp;AD194) + COUNTIFS(AC$193:AC$208, AC194, AD$193:AD$208, AD194, AA$193:AA$208, "&lt;"&amp;AA194) + 1, "TBD")</f>
        <v>16</v>
      </c>
      <c r="AA194" s="59">
        <v>45965</v>
      </c>
      <c r="AB194" t="str">
        <v>alappatjoe</v>
      </c>
      <c r="AC194" s="3">
        <v>2.6</v>
      </c>
      <c r="AD194">
        <v>1.3564659966250536</v>
      </c>
      <c r="AE194" t="str">
        <v>Star</v>
      </c>
      <c r="AF194" t="str">
        <v>LOONA</v>
      </c>
      <c r="AG194" s="100">
        <f t="shared" si="47"/>
        <v>9</v>
      </c>
      <c r="AI194" s="246">
        <f>Nov_2025_SotM[[#This Row],[Max Seed]]/2 + 1</f>
        <v>2</v>
      </c>
      <c r="AJ194" s="279" t="str">
        <f ca="1">IF(Nov_2025_SotM[[#This Row],[Num]]&gt;=$A$192, "-", IF(Nov_2025_SotM[[#This Row],[Score 1]]&gt;=3, Nov_2025_SotM[[#This Row],[Song 2]], IF(Nov_2025_SotM[[#This Row],[Score 2]]&gt;=3, Nov_2025_SotM[[#This Row],[Song 1]], "TBD")))</f>
        <v>Survivor</v>
      </c>
      <c r="AK194" s="246">
        <f ca="1">IFERROR(VLOOKUP(Nov_2025_Results[[#This Row],[Song Title]], $AE$193:$AG$208, 3, FALSE)-Nov_2025_Results[[#This Row],[Result]], "TBD")</f>
        <v>7</v>
      </c>
      <c r="AL194" s="246" t="str">
        <f ca="1">IF(AK194&lt;0,"↓",IF(AK194=0,"-","↑"))</f>
        <v>↑</v>
      </c>
    </row>
    <row r="195" spans="1:38">
      <c r="A195" s="199" t="str">
        <f>_xlfn.CONCAT("Seed ", Nov_2025_SotM[[#This Row],[Top Seed]], " vs ",Nov_2025_SotM[[#This Row],[Low Seed]])</f>
        <v>Seed 2 vs 3</v>
      </c>
      <c r="B195" s="201">
        <v>2</v>
      </c>
      <c r="C195" s="200">
        <f>FLOOR(LOG(Nov_2025_SotM[[#This Row],[Num]], 2), 1)</f>
        <v>1</v>
      </c>
      <c r="D195" s="200">
        <f>2^(Nov_2025_SotM[[#This Row],[Round]]+1)</f>
        <v>4</v>
      </c>
      <c r="E195" s="200">
        <f>Nov_2025_SotM[[#This Row],[Max Seed]]-Nov_2025_SotM[[#This Row],[Num]]</f>
        <v>2</v>
      </c>
      <c r="F195" s="200">
        <f>Nov_2025_SotM[[#This Row],[Max Seed]]-Nov_2025_SotM[[#This Row],[Top Seed]]+1</f>
        <v>3</v>
      </c>
      <c r="G195" s="200" t="b">
        <f>IF(Nov_2025_SotM[[#This Row],[Round]]=$C$192, TRUE(), IF(Nov_2025_SotM[[#This Row],[Round]]=$B$192, Nov_2025_SotM[[#This Row],[Top Seed]]&lt;=2*Nov_2025_SotM[[#This Row],[Max Seed]]-$A$192, FALSE()))</f>
        <v>0</v>
      </c>
      <c r="H195" s="200" t="b">
        <f>IF(Nov_2025_SotM[[#This Row],[Round]]=$C$192, TRUE(), IF(Nov_2025_SotM[[#This Row],[Round]]=$B$192, Nov_2025_SotM[[#This Row],[Low Seed]]&lt;=2*Nov_2025_SotM[[#This Row],[Max Seed]]-$A$192, FALSE()))</f>
        <v>0</v>
      </c>
      <c r="I195" s="28" t="s">
        <v>4191</v>
      </c>
      <c r="J195" s="31" t="s">
        <v>4191</v>
      </c>
      <c r="K195" s="33" t="s">
        <v>4191</v>
      </c>
      <c r="L195" s="35"/>
      <c r="M195" s="37" t="s">
        <v>4191</v>
      </c>
      <c r="N195" s="203" t="str">
        <f ca="1">IF(Nov_2025_SotM[[#This Row],[Num]]&gt;=$A$192, "-", IF(Nov_2025_SotM[[#This Row],[Initial 1]], VLOOKUP(Nov_2025_SotM[[#This Row],[Top Seed]], $Z$193:$AE$208, 6, FALSE), OFFSET(Nov_2025_SotM[[#This Row],[Winner]], Nov_2025_SotM[[#This Row],[Max Seed]], 0)))</f>
        <v>Survivor</v>
      </c>
      <c r="O195" s="200">
        <f>COUNTIF(Nov_2025_SotM[[#This Row],[J]:[H]],"x")</f>
        <v>4</v>
      </c>
      <c r="P195" s="201" t="str">
        <f ca="1">IF(Nov_2025_SotM[[#This Row],[Num]]&gt;=$A$192, "-", IF(Nov_2025_SotM[[#This Row],[Score 1]]&gt;=3, Nov_2025_SotM[[#This Row],[Song 1]], IF(Nov_2025_SotM[[#This Row],[Score 2]]&gt;=3, Nov_2025_SotM[[#This Row],[Song 2]], "TBD")))</f>
        <v>Survivor</v>
      </c>
      <c r="Q195" s="206">
        <f>COUNTIF(Nov_2025_SotM[[#This Row],[H ]:[J ]],"x")</f>
        <v>1</v>
      </c>
      <c r="R195" s="200" t="str">
        <f ca="1">IF(Nov_2025_SotM[[#This Row],[Num]]&gt;=$A$192, "-", IF(Nov_2025_SotM[[#This Row],[Initial 2]], VLOOKUP(Nov_2025_SotM[[#This Row],[Low Seed]], $Z$193:$AE$208, 6, FALSE), OFFSET(Nov_2025_SotM[[#This Row],[Winner]], 2*(Nov_2025_SotM[[#This Row],[Max Seed]]-Nov_2025_SotM[[#This Row],[Low Seed]])+1, 0)))</f>
        <v>Today</v>
      </c>
      <c r="S195" s="37"/>
      <c r="T195" s="35" t="s">
        <v>4191</v>
      </c>
      <c r="U195" s="33"/>
      <c r="V195" s="31"/>
      <c r="W195" s="28"/>
      <c r="X195" s="106" t="str">
        <f ca="1">IF(OR(Nov_2025_SotM[[#This Row],[Song 1]]="TBD", Nov_2025_SotM[[#This Row],[Song 2]]="TBD"), "TBD", _xlfn.CONCAT(IF(_xlfn.XOR(ISBLANK(Nov_2025_SotM[[#This Row],[J]]), ISBLANK(Nov_2025_SotM[[#This Row],[J ]])), "", "J "), IF(_xlfn.XOR(ISBLANK(Nov_2025_SotM[[#This Row],[D]]), ISBLANK(Nov_2025_SotM[[#This Row],[D ]])), "", "D "), IF(_xlfn.XOR(ISBLANK(Nov_2025_SotM[[#This Row],[L]]), ISBLANK(Nov_2025_SotM[[#This Row],[L ]])), "", "L "), IF(_xlfn.XOR(ISBLANK(Nov_2025_SotM[[#This Row],[S]]), ISBLANK(Nov_2025_SotM[[#This Row],[S ]])), "", "S "), IF(_xlfn.XOR(ISBLANK(Nov_2025_SotM[[#This Row],[H]]), ISBLANK(Nov_2025_SotM[[#This Row],[H ]])), "", "H ")))</f>
        <v/>
      </c>
      <c r="Z195" s="109">
        <f t="shared" si="48"/>
        <v>6</v>
      </c>
      <c r="AA195" s="59">
        <v>45966</v>
      </c>
      <c r="AB195" t="str">
        <v>alappatjoe</v>
      </c>
      <c r="AC195" s="3">
        <v>2</v>
      </c>
      <c r="AD195">
        <v>1.2649110640673518</v>
      </c>
      <c r="AE195" t="str">
        <v>Three Man Weave</v>
      </c>
      <c r="AF195" t="str">
        <v>Injury Reserve</v>
      </c>
      <c r="AG195" s="100">
        <f t="shared" si="47"/>
        <v>5</v>
      </c>
      <c r="AI195" s="246">
        <f>Nov_2025_SotM[[#This Row],[Max Seed]]/2 + 1</f>
        <v>3</v>
      </c>
      <c r="AJ195" s="279" t="str">
        <f ca="1">IF(Nov_2025_SotM[[#This Row],[Num]]&gt;=$A$192, "-", IF(Nov_2025_SotM[[#This Row],[Score 1]]&gt;=3, Nov_2025_SotM[[#This Row],[Song 2]], IF(Nov_2025_SotM[[#This Row],[Score 2]]&gt;=3, Nov_2025_SotM[[#This Row],[Song 1]], "TBD")))</f>
        <v>Today</v>
      </c>
      <c r="AK195" s="246">
        <f ca="1">IFERROR(VLOOKUP(Nov_2025_Results[[#This Row],[Song Title]], $AE$193:$AG$208, 3, FALSE)-Nov_2025_Results[[#This Row],[Result]], "TBD")</f>
        <v>6</v>
      </c>
      <c r="AL195" s="246" t="str">
        <f t="shared" ref="AL195:AL208" ca="1" si="49">IF(AK195&lt;0,"↓",IF(AK195=0,"-","↑"))</f>
        <v>↑</v>
      </c>
    </row>
    <row r="196" spans="1:38">
      <c r="A196" s="199" t="str">
        <f>_xlfn.CONCAT("Seed ", Nov_2025_SotM[[#This Row],[Top Seed]], " vs ",Nov_2025_SotM[[#This Row],[Low Seed]])</f>
        <v>Seed 1 vs 4</v>
      </c>
      <c r="B196" s="201">
        <v>3</v>
      </c>
      <c r="C196" s="200">
        <f>FLOOR(LOG(Nov_2025_SotM[[#This Row],[Num]], 2), 1)</f>
        <v>1</v>
      </c>
      <c r="D196" s="200">
        <f>2^(Nov_2025_SotM[[#This Row],[Round]]+1)</f>
        <v>4</v>
      </c>
      <c r="E196" s="200">
        <f>Nov_2025_SotM[[#This Row],[Max Seed]]-Nov_2025_SotM[[#This Row],[Num]]</f>
        <v>1</v>
      </c>
      <c r="F196" s="200">
        <f>Nov_2025_SotM[[#This Row],[Max Seed]]-Nov_2025_SotM[[#This Row],[Top Seed]]+1</f>
        <v>4</v>
      </c>
      <c r="G196" s="200" t="b">
        <f>IF(Nov_2025_SotM[[#This Row],[Round]]=$C$192, TRUE(), IF(Nov_2025_SotM[[#This Row],[Round]]=$B$192, Nov_2025_SotM[[#This Row],[Top Seed]]&lt;=2*Nov_2025_SotM[[#This Row],[Max Seed]]-$A$192, FALSE()))</f>
        <v>0</v>
      </c>
      <c r="H196" s="200" t="b">
        <f>IF(Nov_2025_SotM[[#This Row],[Round]]=$C$192, TRUE(), IF(Nov_2025_SotM[[#This Row],[Round]]=$B$192, Nov_2025_SotM[[#This Row],[Low Seed]]&lt;=2*Nov_2025_SotM[[#This Row],[Max Seed]]-$A$192, FALSE()))</f>
        <v>0</v>
      </c>
      <c r="I196" s="28"/>
      <c r="J196" s="31"/>
      <c r="K196" s="33"/>
      <c r="L196" s="35"/>
      <c r="M196" s="37" t="s">
        <v>4191</v>
      </c>
      <c r="N196" s="203" t="str">
        <f ca="1">IF(Nov_2025_SotM[[#This Row],[Num]]&gt;=$A$192, "-", IF(Nov_2025_SotM[[#This Row],[Initial 1]], VLOOKUP(Nov_2025_SotM[[#This Row],[Top Seed]], $Z$193:$AE$208, 6, FALSE), OFFSET(Nov_2025_SotM[[#This Row],[Winner]], Nov_2025_SotM[[#This Row],[Max Seed]], 0)))</f>
        <v>Nope your too late I already died</v>
      </c>
      <c r="O196" s="200">
        <f>COUNTIF(Nov_2025_SotM[[#This Row],[J]:[H]],"x")</f>
        <v>1</v>
      </c>
      <c r="P196" s="201" t="str">
        <f ca="1">IF(Nov_2025_SotM[[#This Row],[Num]]&gt;=$A$192, "-", IF(Nov_2025_SotM[[#This Row],[Score 1]]&gt;=3, Nov_2025_SotM[[#This Row],[Song 1]], IF(Nov_2025_SotM[[#This Row],[Score 2]]&gt;=3, Nov_2025_SotM[[#This Row],[Song 2]], "TBD")))</f>
        <v>Mona Lisa</v>
      </c>
      <c r="Q196" s="206">
        <f>COUNTIF(Nov_2025_SotM[[#This Row],[H ]:[J ]],"x")</f>
        <v>4</v>
      </c>
      <c r="R196" s="200" t="str">
        <f ca="1">IF(Nov_2025_SotM[[#This Row],[Num]]&gt;=$A$192, "-", IF(Nov_2025_SotM[[#This Row],[Initial 2]], VLOOKUP(Nov_2025_SotM[[#This Row],[Low Seed]], $Z$193:$AE$208, 6, FALSE), OFFSET(Nov_2025_SotM[[#This Row],[Winner]], 2*(Nov_2025_SotM[[#This Row],[Max Seed]]-Nov_2025_SotM[[#This Row],[Low Seed]])+1, 0)))</f>
        <v>Mona Lisa</v>
      </c>
      <c r="S196" s="37"/>
      <c r="T196" s="35" t="s">
        <v>4191</v>
      </c>
      <c r="U196" s="33" t="s">
        <v>4191</v>
      </c>
      <c r="V196" s="31" t="s">
        <v>4191</v>
      </c>
      <c r="W196" s="28" t="s">
        <v>4191</v>
      </c>
      <c r="X196" s="106" t="str">
        <f ca="1">IF(OR(Nov_2025_SotM[[#This Row],[Song 1]]="TBD", Nov_2025_SotM[[#This Row],[Song 2]]="TBD"), "TBD", _xlfn.CONCAT(IF(_xlfn.XOR(ISBLANK(Nov_2025_SotM[[#This Row],[J]]), ISBLANK(Nov_2025_SotM[[#This Row],[J ]])), "", "J "), IF(_xlfn.XOR(ISBLANK(Nov_2025_SotM[[#This Row],[D]]), ISBLANK(Nov_2025_SotM[[#This Row],[D ]])), "", "D "), IF(_xlfn.XOR(ISBLANK(Nov_2025_SotM[[#This Row],[L]]), ISBLANK(Nov_2025_SotM[[#This Row],[L ]])), "", "L "), IF(_xlfn.XOR(ISBLANK(Nov_2025_SotM[[#This Row],[S]]), ISBLANK(Nov_2025_SotM[[#This Row],[S ]])), "", "S "), IF(_xlfn.XOR(ISBLANK(Nov_2025_SotM[[#This Row],[H]]), ISBLANK(Nov_2025_SotM[[#This Row],[H ]])), "", "H ")))</f>
        <v/>
      </c>
      <c r="Z196" s="109">
        <f t="shared" si="48"/>
        <v>1</v>
      </c>
      <c r="AA196" s="59">
        <v>45967</v>
      </c>
      <c r="AB196" t="str">
        <v>samuelbattista</v>
      </c>
      <c r="AC196" s="3">
        <v>1.2</v>
      </c>
      <c r="AD196">
        <v>0.4</v>
      </c>
      <c r="AE196" t="str">
        <v>Money for Nothing</v>
      </c>
      <c r="AF196" t="str">
        <v>Dire Straits</v>
      </c>
      <c r="AG196" s="100">
        <f t="shared" si="47"/>
        <v>1</v>
      </c>
      <c r="AI196" s="3">
        <f>Nov_2025_SotM[[#This Row],[Max Seed]]/2 + 1</f>
        <v>3</v>
      </c>
      <c r="AJ196" t="str">
        <f ca="1">IF(Nov_2025_SotM[[#This Row],[Num]]&gt;=$A$192, "-", IF(Nov_2025_SotM[[#This Row],[Score 1]]&gt;=3, Nov_2025_SotM[[#This Row],[Song 2]], IF(Nov_2025_SotM[[#This Row],[Score 2]]&gt;=3, Nov_2025_SotM[[#This Row],[Song 1]], "TBD")))</f>
        <v>Nope your too late I already died</v>
      </c>
      <c r="AK196" s="3">
        <f ca="1">IFERROR(VLOOKUP(Nov_2025_Results[[#This Row],[Song Title]], $AE$193:$AG$208, 3, FALSE)-Nov_2025_Results[[#This Row],[Result]], "TBD")</f>
        <v>6</v>
      </c>
      <c r="AL196" s="3" t="str">
        <f t="shared" ca="1" si="49"/>
        <v>↑</v>
      </c>
    </row>
    <row r="197" spans="1:38">
      <c r="A197" s="199" t="str">
        <f>_xlfn.CONCAT("Seed ", Nov_2025_SotM[[#This Row],[Top Seed]], " vs ",Nov_2025_SotM[[#This Row],[Low Seed]])</f>
        <v>Seed 4 vs 5</v>
      </c>
      <c r="B197" s="201">
        <v>4</v>
      </c>
      <c r="C197" s="200">
        <f>FLOOR(LOG(Nov_2025_SotM[[#This Row],[Num]], 2), 1)</f>
        <v>2</v>
      </c>
      <c r="D197" s="200">
        <f>2^(Nov_2025_SotM[[#This Row],[Round]]+1)</f>
        <v>8</v>
      </c>
      <c r="E197" s="200">
        <f>Nov_2025_SotM[[#This Row],[Max Seed]]-Nov_2025_SotM[[#This Row],[Num]]</f>
        <v>4</v>
      </c>
      <c r="F197" s="200">
        <f>Nov_2025_SotM[[#This Row],[Max Seed]]-Nov_2025_SotM[[#This Row],[Top Seed]]+1</f>
        <v>5</v>
      </c>
      <c r="G197" s="200" t="b">
        <f>IF(Nov_2025_SotM[[#This Row],[Round]]=$C$192, TRUE(), IF(Nov_2025_SotM[[#This Row],[Round]]=$B$192, Nov_2025_SotM[[#This Row],[Top Seed]]&lt;=2*Nov_2025_SotM[[#This Row],[Max Seed]]-$A$192, FALSE()))</f>
        <v>0</v>
      </c>
      <c r="H197" s="200" t="b">
        <f>IF(Nov_2025_SotM[[#This Row],[Round]]=$C$192, TRUE(), IF(Nov_2025_SotM[[#This Row],[Round]]=$B$192, Nov_2025_SotM[[#This Row],[Low Seed]]&lt;=2*Nov_2025_SotM[[#This Row],[Max Seed]]-$A$192, FALSE()))</f>
        <v>0</v>
      </c>
      <c r="I197" s="28"/>
      <c r="J197" s="31" t="s">
        <v>4191</v>
      </c>
      <c r="K197" s="33" t="s">
        <v>4191</v>
      </c>
      <c r="L197" s="35" t="s">
        <v>4191</v>
      </c>
      <c r="M197" s="37"/>
      <c r="N197" s="203" t="str">
        <f ca="1">IF(Nov_2025_SotM[[#This Row],[Num]]&gt;=$A$192, "-", IF(Nov_2025_SotM[[#This Row],[Initial 1]], VLOOKUP(Nov_2025_SotM[[#This Row],[Top Seed]], $Z$193:$AE$208, 6, FALSE), OFFSET(Nov_2025_SotM[[#This Row],[Winner]], Nov_2025_SotM[[#This Row],[Max Seed]], 0)))</f>
        <v>Mona Lisa</v>
      </c>
      <c r="O197" s="200">
        <f>COUNTIF(Nov_2025_SotM[[#This Row],[J]:[H]],"x")</f>
        <v>3</v>
      </c>
      <c r="P197" s="201" t="str">
        <f ca="1">IF(Nov_2025_SotM[[#This Row],[Num]]&gt;=$A$192, "-", IF(Nov_2025_SotM[[#This Row],[Score 1]]&gt;=3, Nov_2025_SotM[[#This Row],[Song 1]], IF(Nov_2025_SotM[[#This Row],[Score 2]]&gt;=3, Nov_2025_SotM[[#This Row],[Song 2]], "TBD")))</f>
        <v>Mona Lisa</v>
      </c>
      <c r="Q197" s="206">
        <f>COUNTIF(Nov_2025_SotM[[#This Row],[H ]:[J ]],"x")</f>
        <v>2</v>
      </c>
      <c r="R197" s="200" t="str">
        <f ca="1">IF(Nov_2025_SotM[[#This Row],[Num]]&gt;=$A$192, "-", IF(Nov_2025_SotM[[#This Row],[Initial 2]], VLOOKUP(Nov_2025_SotM[[#This Row],[Low Seed]], $Z$193:$AE$208, 6, FALSE), OFFSET(Nov_2025_SotM[[#This Row],[Winner]], 2*(Nov_2025_SotM[[#This Row],[Max Seed]]-Nov_2025_SotM[[#This Row],[Low Seed]])+1, 0)))</f>
        <v>IRIS OUT</v>
      </c>
      <c r="S197" s="37" t="s">
        <v>4191</v>
      </c>
      <c r="T197" s="35"/>
      <c r="U197" s="33"/>
      <c r="V197" s="31"/>
      <c r="W197" s="28" t="s">
        <v>4191</v>
      </c>
      <c r="X197" s="106" t="str">
        <f ca="1">IF(OR(Nov_2025_SotM[[#This Row],[Song 1]]="TBD", Nov_2025_SotM[[#This Row],[Song 2]]="TBD"), "TBD", _xlfn.CONCAT(IF(_xlfn.XOR(ISBLANK(Nov_2025_SotM[[#This Row],[J]]), ISBLANK(Nov_2025_SotM[[#This Row],[J ]])), "", "J "), IF(_xlfn.XOR(ISBLANK(Nov_2025_SotM[[#This Row],[D]]), ISBLANK(Nov_2025_SotM[[#This Row],[D ]])), "", "D "), IF(_xlfn.XOR(ISBLANK(Nov_2025_SotM[[#This Row],[L]]), ISBLANK(Nov_2025_SotM[[#This Row],[L ]])), "", "L "), IF(_xlfn.XOR(ISBLANK(Nov_2025_SotM[[#This Row],[S]]), ISBLANK(Nov_2025_SotM[[#This Row],[S ]])), "", "S "), IF(_xlfn.XOR(ISBLANK(Nov_2025_SotM[[#This Row],[H]]), ISBLANK(Nov_2025_SotM[[#This Row],[H ]])), "", "H ")))</f>
        <v/>
      </c>
      <c r="Z197" s="109">
        <f t="shared" si="48"/>
        <v>8</v>
      </c>
      <c r="AA197" s="59">
        <v>45971</v>
      </c>
      <c r="AB197" t="str">
        <v>samuelbattista</v>
      </c>
      <c r="AC197" s="3">
        <v>2.4</v>
      </c>
      <c r="AD197">
        <v>0.8</v>
      </c>
      <c r="AE197" t="str">
        <v>Rodeo Clown</v>
      </c>
      <c r="AF197" t="str">
        <v>flipturn</v>
      </c>
      <c r="AG197" s="100">
        <f t="shared" si="47"/>
        <v>5</v>
      </c>
      <c r="AI197" s="3">
        <f>Nov_2025_SotM[[#This Row],[Max Seed]]/2 + 1</f>
        <v>5</v>
      </c>
      <c r="AJ197" t="str">
        <f ca="1">IF(Nov_2025_SotM[[#This Row],[Num]]&gt;=$A$192, "-", IF(Nov_2025_SotM[[#This Row],[Score 1]]&gt;=3, Nov_2025_SotM[[#This Row],[Song 2]], IF(Nov_2025_SotM[[#This Row],[Score 2]]&gt;=3, Nov_2025_SotM[[#This Row],[Song 1]], "TBD")))</f>
        <v>IRIS OUT</v>
      </c>
      <c r="AK197" s="3">
        <f ca="1">IFERROR(VLOOKUP(Nov_2025_Results[[#This Row],[Song Title]], $AE$193:$AG$208, 3, FALSE)-Nov_2025_Results[[#This Row],[Result]], "TBD")</f>
        <v>4</v>
      </c>
      <c r="AL197" s="3" t="str">
        <f t="shared" ca="1" si="49"/>
        <v>↑</v>
      </c>
    </row>
    <row r="198" spans="1:38">
      <c r="A198" s="199" t="str">
        <f>_xlfn.CONCAT("Seed ", Nov_2025_SotM[[#This Row],[Top Seed]], " vs ",Nov_2025_SotM[[#This Row],[Low Seed]])</f>
        <v>Seed 3 vs 6</v>
      </c>
      <c r="B198" s="201">
        <v>5</v>
      </c>
      <c r="C198" s="200">
        <f>FLOOR(LOG(Nov_2025_SotM[[#This Row],[Num]], 2), 1)</f>
        <v>2</v>
      </c>
      <c r="D198" s="200">
        <f>2^(Nov_2025_SotM[[#This Row],[Round]]+1)</f>
        <v>8</v>
      </c>
      <c r="E198" s="200">
        <f>Nov_2025_SotM[[#This Row],[Max Seed]]-Nov_2025_SotM[[#This Row],[Num]]</f>
        <v>3</v>
      </c>
      <c r="F198" s="200">
        <f>Nov_2025_SotM[[#This Row],[Max Seed]]-Nov_2025_SotM[[#This Row],[Top Seed]]+1</f>
        <v>6</v>
      </c>
      <c r="G198" s="200" t="b">
        <f>IF(Nov_2025_SotM[[#This Row],[Round]]=$C$192, TRUE(), IF(Nov_2025_SotM[[#This Row],[Round]]=$B$192, Nov_2025_SotM[[#This Row],[Top Seed]]&lt;=2*Nov_2025_SotM[[#This Row],[Max Seed]]-$A$192, FALSE()))</f>
        <v>0</v>
      </c>
      <c r="H198" s="200" t="b">
        <f>IF(Nov_2025_SotM[[#This Row],[Round]]=$C$192, TRUE(), IF(Nov_2025_SotM[[#This Row],[Round]]=$B$192, Nov_2025_SotM[[#This Row],[Low Seed]]&lt;=2*Nov_2025_SotM[[#This Row],[Max Seed]]-$A$192, FALSE()))</f>
        <v>0</v>
      </c>
      <c r="I198" s="28"/>
      <c r="J198" s="31"/>
      <c r="K198" s="33" t="s">
        <v>4191</v>
      </c>
      <c r="L198" s="35" t="s">
        <v>4191</v>
      </c>
      <c r="M198" s="37" t="s">
        <v>4191</v>
      </c>
      <c r="N198" s="203" t="str">
        <f ca="1">IF(Nov_2025_SotM[[#This Row],[Num]]&gt;=$A$192, "-", IF(Nov_2025_SotM[[#This Row],[Initial 1]], VLOOKUP(Nov_2025_SotM[[#This Row],[Top Seed]], $Z$193:$AE$208, 6, FALSE), OFFSET(Nov_2025_SotM[[#This Row],[Winner]], Nov_2025_SotM[[#This Row],[Max Seed]], 0)))</f>
        <v>Today</v>
      </c>
      <c r="O198" s="200">
        <f>COUNTIF(Nov_2025_SotM[[#This Row],[J]:[H]],"x")</f>
        <v>3</v>
      </c>
      <c r="P198" s="201" t="str">
        <f ca="1">IF(Nov_2025_SotM[[#This Row],[Num]]&gt;=$A$192, "-", IF(Nov_2025_SotM[[#This Row],[Score 1]]&gt;=3, Nov_2025_SotM[[#This Row],[Song 1]], IF(Nov_2025_SotM[[#This Row],[Score 2]]&gt;=3, Nov_2025_SotM[[#This Row],[Song 2]], "TBD")))</f>
        <v>Today</v>
      </c>
      <c r="Q198" s="206">
        <f>COUNTIF(Nov_2025_SotM[[#This Row],[H ]:[J ]],"x")</f>
        <v>2</v>
      </c>
      <c r="R198" s="200" t="str">
        <f ca="1">IF(Nov_2025_SotM[[#This Row],[Num]]&gt;=$A$192, "-", IF(Nov_2025_SotM[[#This Row],[Initial 2]], VLOOKUP(Nov_2025_SotM[[#This Row],[Low Seed]], $Z$193:$AE$208, 6, FALSE), OFFSET(Nov_2025_SotM[[#This Row],[Winner]], 2*(Nov_2025_SotM[[#This Row],[Max Seed]]-Nov_2025_SotM[[#This Row],[Low Seed]])+1, 0)))</f>
        <v>+57</v>
      </c>
      <c r="S198" s="37"/>
      <c r="T198" s="35"/>
      <c r="U198" s="33"/>
      <c r="V198" s="31" t="s">
        <v>4191</v>
      </c>
      <c r="W198" s="28" t="s">
        <v>4191</v>
      </c>
      <c r="X198" s="106" t="str">
        <f ca="1">IF(OR(Nov_2025_SotM[[#This Row],[Song 1]]="TBD", Nov_2025_SotM[[#This Row],[Song 2]]="TBD"), "TBD", _xlfn.CONCAT(IF(_xlfn.XOR(ISBLANK(Nov_2025_SotM[[#This Row],[J]]), ISBLANK(Nov_2025_SotM[[#This Row],[J ]])), "", "J "), IF(_xlfn.XOR(ISBLANK(Nov_2025_SotM[[#This Row],[D]]), ISBLANK(Nov_2025_SotM[[#This Row],[D ]])), "", "D "), IF(_xlfn.XOR(ISBLANK(Nov_2025_SotM[[#This Row],[L]]), ISBLANK(Nov_2025_SotM[[#This Row],[L ]])), "", "L "), IF(_xlfn.XOR(ISBLANK(Nov_2025_SotM[[#This Row],[S]]), ISBLANK(Nov_2025_SotM[[#This Row],[S ]])), "", "S "), IF(_xlfn.XOR(ISBLANK(Nov_2025_SotM[[#This Row],[H]]), ISBLANK(Nov_2025_SotM[[#This Row],[H ]])), "", "H ")))</f>
        <v/>
      </c>
      <c r="Z198" s="109">
        <f t="shared" si="48"/>
        <v>4</v>
      </c>
      <c r="AA198" s="59">
        <v>45972</v>
      </c>
      <c r="AB198" t="str">
        <v>alappatjoe</v>
      </c>
      <c r="AC198" s="3">
        <v>2</v>
      </c>
      <c r="AD198">
        <v>0.89442719099991586</v>
      </c>
      <c r="AE198" t="str">
        <v>Mona Lisa</v>
      </c>
      <c r="AF198" t="str">
        <v>lucasp007</v>
      </c>
      <c r="AG198" s="100">
        <f t="shared" si="47"/>
        <v>3</v>
      </c>
      <c r="AI198" s="3">
        <f>Nov_2025_SotM[[#This Row],[Max Seed]]/2 + 1</f>
        <v>5</v>
      </c>
      <c r="AJ198" t="str">
        <f ca="1">IF(Nov_2025_SotM[[#This Row],[Num]]&gt;=$A$192, "-", IF(Nov_2025_SotM[[#This Row],[Score 1]]&gt;=3, Nov_2025_SotM[[#This Row],[Song 2]], IF(Nov_2025_SotM[[#This Row],[Score 2]]&gt;=3, Nov_2025_SotM[[#This Row],[Song 1]], "TBD")))</f>
        <v>+57</v>
      </c>
      <c r="AK198" s="3">
        <f ca="1">IFERROR(VLOOKUP(Nov_2025_Results[[#This Row],[Song Title]], $AE$193:$AG$208, 3, FALSE)-Nov_2025_Results[[#This Row],[Result]], "TBD")</f>
        <v>4</v>
      </c>
      <c r="AL198" s="3" t="str">
        <f t="shared" ca="1" si="49"/>
        <v>↑</v>
      </c>
    </row>
    <row r="199" spans="1:38">
      <c r="A199" s="199" t="str">
        <f>_xlfn.CONCAT("Seed ", Nov_2025_SotM[[#This Row],[Top Seed]], " vs ",Nov_2025_SotM[[#This Row],[Low Seed]])</f>
        <v>Seed 2 vs 7</v>
      </c>
      <c r="B199" s="201">
        <v>6</v>
      </c>
      <c r="C199" s="200">
        <f>FLOOR(LOG(Nov_2025_SotM[[#This Row],[Num]], 2), 1)</f>
        <v>2</v>
      </c>
      <c r="D199" s="200">
        <f>2^(Nov_2025_SotM[[#This Row],[Round]]+1)</f>
        <v>8</v>
      </c>
      <c r="E199" s="200">
        <f>Nov_2025_SotM[[#This Row],[Max Seed]]-Nov_2025_SotM[[#This Row],[Num]]</f>
        <v>2</v>
      </c>
      <c r="F199" s="200">
        <f>Nov_2025_SotM[[#This Row],[Max Seed]]-Nov_2025_SotM[[#This Row],[Top Seed]]+1</f>
        <v>7</v>
      </c>
      <c r="G199" s="200" t="b">
        <f>IF(Nov_2025_SotM[[#This Row],[Round]]=$C$192, TRUE(), IF(Nov_2025_SotM[[#This Row],[Round]]=$B$192, Nov_2025_SotM[[#This Row],[Top Seed]]&lt;=2*Nov_2025_SotM[[#This Row],[Max Seed]]-$A$192, FALSE()))</f>
        <v>0</v>
      </c>
      <c r="H199" s="200" t="b">
        <f>IF(Nov_2025_SotM[[#This Row],[Round]]=$C$192, TRUE(), IF(Nov_2025_SotM[[#This Row],[Round]]=$B$192, Nov_2025_SotM[[#This Row],[Low Seed]]&lt;=2*Nov_2025_SotM[[#This Row],[Max Seed]]-$A$192, FALSE()))</f>
        <v>0</v>
      </c>
      <c r="I199" s="28" t="s">
        <v>4191</v>
      </c>
      <c r="J199" s="31"/>
      <c r="K199" s="33"/>
      <c r="L199" s="35" t="s">
        <v>4191</v>
      </c>
      <c r="M199" s="37" t="s">
        <v>4191</v>
      </c>
      <c r="N199" s="203" t="str">
        <f ca="1">IF(Nov_2025_SotM[[#This Row],[Num]]&gt;=$A$192, "-", IF(Nov_2025_SotM[[#This Row],[Initial 1]], VLOOKUP(Nov_2025_SotM[[#This Row],[Top Seed]], $Z$193:$AE$208, 6, FALSE), OFFSET(Nov_2025_SotM[[#This Row],[Winner]], Nov_2025_SotM[[#This Row],[Max Seed]], 0)))</f>
        <v>Survivor</v>
      </c>
      <c r="O199" s="200">
        <f>COUNTIF(Nov_2025_SotM[[#This Row],[J]:[H]],"x")</f>
        <v>3</v>
      </c>
      <c r="P199" s="201" t="str">
        <f ca="1">IF(Nov_2025_SotM[[#This Row],[Num]]&gt;=$A$192, "-", IF(Nov_2025_SotM[[#This Row],[Score 1]]&gt;=3, Nov_2025_SotM[[#This Row],[Song 1]], IF(Nov_2025_SotM[[#This Row],[Score 2]]&gt;=3, Nov_2025_SotM[[#This Row],[Song 2]], "TBD")))</f>
        <v>Survivor</v>
      </c>
      <c r="Q199" s="206">
        <f>COUNTIF(Nov_2025_SotM[[#This Row],[H ]:[J ]],"x")</f>
        <v>2</v>
      </c>
      <c r="R199" s="200" t="str">
        <f ca="1">IF(Nov_2025_SotM[[#This Row],[Num]]&gt;=$A$192, "-", IF(Nov_2025_SotM[[#This Row],[Initial 2]], VLOOKUP(Nov_2025_SotM[[#This Row],[Low Seed]], $Z$193:$AE$208, 6, FALSE), OFFSET(Nov_2025_SotM[[#This Row],[Winner]], 2*(Nov_2025_SotM[[#This Row],[Max Seed]]-Nov_2025_SotM[[#This Row],[Low Seed]])+1, 0)))</f>
        <v>Greatness</v>
      </c>
      <c r="S199" s="37"/>
      <c r="T199" s="35"/>
      <c r="U199" s="33" t="s">
        <v>4191</v>
      </c>
      <c r="V199" s="31" t="s">
        <v>4191</v>
      </c>
      <c r="W199" s="28"/>
      <c r="X199" s="106" t="str">
        <f ca="1">IF(OR(Nov_2025_SotM[[#This Row],[Song 1]]="TBD", Nov_2025_SotM[[#This Row],[Song 2]]="TBD"), "TBD", _xlfn.CONCAT(IF(_xlfn.XOR(ISBLANK(Nov_2025_SotM[[#This Row],[J]]), ISBLANK(Nov_2025_SotM[[#This Row],[J ]])), "", "J "), IF(_xlfn.XOR(ISBLANK(Nov_2025_SotM[[#This Row],[D]]), ISBLANK(Nov_2025_SotM[[#This Row],[D ]])), "", "D "), IF(_xlfn.XOR(ISBLANK(Nov_2025_SotM[[#This Row],[L]]), ISBLANK(Nov_2025_SotM[[#This Row],[L ]])), "", "L "), IF(_xlfn.XOR(ISBLANK(Nov_2025_SotM[[#This Row],[S]]), ISBLANK(Nov_2025_SotM[[#This Row],[S ]])), "", "S "), IF(_xlfn.XOR(ISBLANK(Nov_2025_SotM[[#This Row],[H]]), ISBLANK(Nov_2025_SotM[[#This Row],[H ]])), "", "H ")))</f>
        <v/>
      </c>
      <c r="Z199" s="109">
        <f t="shared" si="48"/>
        <v>9</v>
      </c>
      <c r="AA199" s="59">
        <v>45973</v>
      </c>
      <c r="AB199" t="str">
        <v>currydestroyer27</v>
      </c>
      <c r="AC199" s="3">
        <v>2.4</v>
      </c>
      <c r="AD199">
        <v>1.019803902718557</v>
      </c>
      <c r="AE199" t="str">
        <v>Nope your too late I already died</v>
      </c>
      <c r="AF199" t="str">
        <v>wifiskeleton, i wanna be a jack-o-lantern</v>
      </c>
      <c r="AG199" s="100">
        <f t="shared" si="47"/>
        <v>9</v>
      </c>
      <c r="AI199" s="3">
        <f>Nov_2025_SotM[[#This Row],[Max Seed]]/2 + 1</f>
        <v>5</v>
      </c>
      <c r="AJ199" t="str">
        <f ca="1">IF(Nov_2025_SotM[[#This Row],[Num]]&gt;=$A$192, "-", IF(Nov_2025_SotM[[#This Row],[Score 1]]&gt;=3, Nov_2025_SotM[[#This Row],[Song 2]], IF(Nov_2025_SotM[[#This Row],[Score 2]]&gt;=3, Nov_2025_SotM[[#This Row],[Song 1]], "TBD")))</f>
        <v>Greatness</v>
      </c>
      <c r="AK199" s="3">
        <f ca="1">IFERROR(VLOOKUP(Nov_2025_Results[[#This Row],[Song Title]], $AE$193:$AG$208, 3, FALSE)-Nov_2025_Results[[#This Row],[Result]], "TBD")</f>
        <v>0</v>
      </c>
      <c r="AL199" s="3" t="str">
        <f t="shared" ca="1" si="49"/>
        <v>-</v>
      </c>
    </row>
    <row r="200" spans="1:38">
      <c r="A200" s="199" t="str">
        <f>_xlfn.CONCAT("Seed ", Nov_2025_SotM[[#This Row],[Top Seed]], " vs ",Nov_2025_SotM[[#This Row],[Low Seed]])</f>
        <v>Seed 1 vs 8</v>
      </c>
      <c r="B200" s="201">
        <v>7</v>
      </c>
      <c r="C200" s="200">
        <f>FLOOR(LOG(Nov_2025_SotM[[#This Row],[Num]], 2), 1)</f>
        <v>2</v>
      </c>
      <c r="D200" s="200">
        <f>2^(Nov_2025_SotM[[#This Row],[Round]]+1)</f>
        <v>8</v>
      </c>
      <c r="E200" s="200">
        <f>Nov_2025_SotM[[#This Row],[Max Seed]]-Nov_2025_SotM[[#This Row],[Num]]</f>
        <v>1</v>
      </c>
      <c r="F200" s="200">
        <f>Nov_2025_SotM[[#This Row],[Max Seed]]-Nov_2025_SotM[[#This Row],[Top Seed]]+1</f>
        <v>8</v>
      </c>
      <c r="G200" s="200" t="b">
        <f>IF(Nov_2025_SotM[[#This Row],[Round]]=$C$192, TRUE(), IF(Nov_2025_SotM[[#This Row],[Round]]=$B$192, Nov_2025_SotM[[#This Row],[Top Seed]]&lt;=2*Nov_2025_SotM[[#This Row],[Max Seed]]-$A$192, FALSE()))</f>
        <v>0</v>
      </c>
      <c r="H200" s="200" t="b">
        <f>IF(Nov_2025_SotM[[#This Row],[Round]]=$C$192, TRUE(), IF(Nov_2025_SotM[[#This Row],[Round]]=$B$192, Nov_2025_SotM[[#This Row],[Low Seed]]&lt;=2*Nov_2025_SotM[[#This Row],[Max Seed]]-$A$192, FALSE()))</f>
        <v>0</v>
      </c>
      <c r="I200" s="28" t="s">
        <v>4191</v>
      </c>
      <c r="J200" s="31"/>
      <c r="K200" s="33" t="s">
        <v>4191</v>
      </c>
      <c r="L200" s="35"/>
      <c r="M200" s="37"/>
      <c r="N200" s="203" t="str">
        <f ca="1">IF(Nov_2025_SotM[[#This Row],[Num]]&gt;=$A$192, "-", IF(Nov_2025_SotM[[#This Row],[Initial 1]], VLOOKUP(Nov_2025_SotM[[#This Row],[Top Seed]], $Z$193:$AE$208, 6, FALSE), OFFSET(Nov_2025_SotM[[#This Row],[Winner]], Nov_2025_SotM[[#This Row],[Max Seed]], 0)))</f>
        <v>Star</v>
      </c>
      <c r="O200" s="200">
        <f>COUNTIF(Nov_2025_SotM[[#This Row],[J]:[H]],"x")</f>
        <v>2</v>
      </c>
      <c r="P200" s="201" t="str">
        <f ca="1">IF(Nov_2025_SotM[[#This Row],[Num]]&gt;=$A$192, "-", IF(Nov_2025_SotM[[#This Row],[Score 1]]&gt;=3, Nov_2025_SotM[[#This Row],[Song 1]], IF(Nov_2025_SotM[[#This Row],[Score 2]]&gt;=3, Nov_2025_SotM[[#This Row],[Song 2]], "TBD")))</f>
        <v>Nope your too late I already died</v>
      </c>
      <c r="Q200" s="206">
        <f>COUNTIF(Nov_2025_SotM[[#This Row],[H ]:[J ]],"x")</f>
        <v>3</v>
      </c>
      <c r="R200" s="200" t="str">
        <f ca="1">IF(Nov_2025_SotM[[#This Row],[Num]]&gt;=$A$192, "-", IF(Nov_2025_SotM[[#This Row],[Initial 2]], VLOOKUP(Nov_2025_SotM[[#This Row],[Low Seed]], $Z$193:$AE$208, 6, FALSE), OFFSET(Nov_2025_SotM[[#This Row],[Winner]], 2*(Nov_2025_SotM[[#This Row],[Max Seed]]-Nov_2025_SotM[[#This Row],[Low Seed]])+1, 0)))</f>
        <v>Nope your too late I already died</v>
      </c>
      <c r="S200" s="37" t="s">
        <v>4191</v>
      </c>
      <c r="T200" s="35" t="s">
        <v>4191</v>
      </c>
      <c r="U200" s="33"/>
      <c r="V200" s="31" t="s">
        <v>4191</v>
      </c>
      <c r="W200" s="28"/>
      <c r="X200" s="106" t="str">
        <f ca="1">IF(OR(Nov_2025_SotM[[#This Row],[Song 1]]="TBD", Nov_2025_SotM[[#This Row],[Song 2]]="TBD"), "TBD", _xlfn.CONCAT(IF(_xlfn.XOR(ISBLANK(Nov_2025_SotM[[#This Row],[J]]), ISBLANK(Nov_2025_SotM[[#This Row],[J ]])), "", "J "), IF(_xlfn.XOR(ISBLANK(Nov_2025_SotM[[#This Row],[D]]), ISBLANK(Nov_2025_SotM[[#This Row],[D ]])), "", "D "), IF(_xlfn.XOR(ISBLANK(Nov_2025_SotM[[#This Row],[L]]), ISBLANK(Nov_2025_SotM[[#This Row],[L ]])), "", "L "), IF(_xlfn.XOR(ISBLANK(Nov_2025_SotM[[#This Row],[S]]), ISBLANK(Nov_2025_SotM[[#This Row],[S ]])), "", "S "), IF(_xlfn.XOR(ISBLANK(Nov_2025_SotM[[#This Row],[H]]), ISBLANK(Nov_2025_SotM[[#This Row],[H ]])), "", "H ")))</f>
        <v/>
      </c>
      <c r="Z200" s="109">
        <f t="shared" si="48"/>
        <v>11</v>
      </c>
      <c r="AA200" s="59">
        <v>45974</v>
      </c>
      <c r="AB200" t="str">
        <v>alappatjoe</v>
      </c>
      <c r="AC200" s="3">
        <v>2.4</v>
      </c>
      <c r="AD200">
        <v>1.3564659966250536</v>
      </c>
      <c r="AE200" t="str">
        <v>+57</v>
      </c>
      <c r="AF200" t="str">
        <v>KAROL G, Feid, DFZM, Ovy On the Drums, J Balvin, Maluma, Ryan Castro, Blessd</v>
      </c>
      <c r="AG200" s="100">
        <f t="shared" si="47"/>
        <v>9</v>
      </c>
      <c r="AI200" s="3">
        <f>Nov_2025_SotM[[#This Row],[Max Seed]]/2 + 1</f>
        <v>5</v>
      </c>
      <c r="AJ200" t="str">
        <f ca="1">IF(Nov_2025_SotM[[#This Row],[Num]]&gt;=$A$192, "-", IF(Nov_2025_SotM[[#This Row],[Score 1]]&gt;=3, Nov_2025_SotM[[#This Row],[Song 2]], IF(Nov_2025_SotM[[#This Row],[Score 2]]&gt;=3, Nov_2025_SotM[[#This Row],[Song 1]], "TBD")))</f>
        <v>Star</v>
      </c>
      <c r="AK200" s="3">
        <f ca="1">IFERROR(VLOOKUP(Nov_2025_Results[[#This Row],[Song Title]], $AE$193:$AG$208, 3, FALSE)-Nov_2025_Results[[#This Row],[Result]], "TBD")</f>
        <v>4</v>
      </c>
      <c r="AL200" s="3" t="str">
        <f t="shared" ca="1" si="49"/>
        <v>↑</v>
      </c>
    </row>
    <row r="201" spans="1:38">
      <c r="A201" s="199" t="str">
        <f>_xlfn.CONCAT("Seed ", Nov_2025_SotM[[#This Row],[Top Seed]], " vs ",Nov_2025_SotM[[#This Row],[Low Seed]])</f>
        <v>Seed 8 vs 9</v>
      </c>
      <c r="B201" s="201">
        <v>8</v>
      </c>
      <c r="C201" s="200">
        <f>FLOOR(LOG(Nov_2025_SotM[[#This Row],[Num]], 2), 1)</f>
        <v>3</v>
      </c>
      <c r="D201" s="200">
        <f>2^(Nov_2025_SotM[[#This Row],[Round]]+1)</f>
        <v>16</v>
      </c>
      <c r="E201" s="200">
        <f>Nov_2025_SotM[[#This Row],[Max Seed]]-Nov_2025_SotM[[#This Row],[Num]]</f>
        <v>8</v>
      </c>
      <c r="F201" s="200">
        <f>Nov_2025_SotM[[#This Row],[Max Seed]]-Nov_2025_SotM[[#This Row],[Top Seed]]+1</f>
        <v>9</v>
      </c>
      <c r="G201" s="200" t="b">
        <f>IF(Nov_2025_SotM[[#This Row],[Round]]=$C$192, TRUE(), IF(Nov_2025_SotM[[#This Row],[Round]]=$B$192, Nov_2025_SotM[[#This Row],[Top Seed]]&lt;=2*Nov_2025_SotM[[#This Row],[Max Seed]]-$A$192, FALSE()))</f>
        <v>1</v>
      </c>
      <c r="H201" s="200" t="b">
        <f>IF(Nov_2025_SotM[[#This Row],[Round]]=$C$192, TRUE(), IF(Nov_2025_SotM[[#This Row],[Round]]=$B$192, Nov_2025_SotM[[#This Row],[Low Seed]]&lt;=2*Nov_2025_SotM[[#This Row],[Max Seed]]-$A$192, FALSE()))</f>
        <v>1</v>
      </c>
      <c r="I201" s="28" t="s">
        <v>4191</v>
      </c>
      <c r="J201" s="31"/>
      <c r="K201" s="33"/>
      <c r="L201" s="35" t="s">
        <v>4191</v>
      </c>
      <c r="M201" s="37"/>
      <c r="N201" s="203" t="str">
        <f ca="1">IF(Nov_2025_SotM[[#This Row],[Num]]&gt;=$A$192, "-", IF(Nov_2025_SotM[[#This Row],[Initial 1]], VLOOKUP(Nov_2025_SotM[[#This Row],[Top Seed]], $Z$193:$AE$208, 6, FALSE), OFFSET(Nov_2025_SotM[[#This Row],[Winner]], Nov_2025_SotM[[#This Row],[Max Seed]], 0)))</f>
        <v>Rodeo Clown</v>
      </c>
      <c r="O201" s="200">
        <f>COUNTIF(Nov_2025_SotM[[#This Row],[J]:[H]],"x")</f>
        <v>2</v>
      </c>
      <c r="P201" s="201" t="str">
        <f ca="1">IF(Nov_2025_SotM[[#This Row],[Num]]&gt;=$A$192, "-", IF(Nov_2025_SotM[[#This Row],[Score 1]]&gt;=3, Nov_2025_SotM[[#This Row],[Song 1]], IF(Nov_2025_SotM[[#This Row],[Score 2]]&gt;=3, Nov_2025_SotM[[#This Row],[Song 2]], "TBD")))</f>
        <v>Nope your too late I already died</v>
      </c>
      <c r="Q201" s="206">
        <f>COUNTIF(Nov_2025_SotM[[#This Row],[H ]:[J ]],"x")</f>
        <v>3</v>
      </c>
      <c r="R201" s="200" t="str">
        <f ca="1">IF(Nov_2025_SotM[[#This Row],[Num]]&gt;=$A$192, "-", IF(Nov_2025_SotM[[#This Row],[Initial 2]], VLOOKUP(Nov_2025_SotM[[#This Row],[Low Seed]], $Z$193:$AE$208, 6, FALSE), OFFSET(Nov_2025_SotM[[#This Row],[Winner]], 2*(Nov_2025_SotM[[#This Row],[Max Seed]]-Nov_2025_SotM[[#This Row],[Low Seed]])+1, 0)))</f>
        <v>Nope your too late I already died</v>
      </c>
      <c r="S201" s="37" t="s">
        <v>4191</v>
      </c>
      <c r="T201" s="35"/>
      <c r="U201" s="33" t="s">
        <v>4191</v>
      </c>
      <c r="V201" s="31" t="s">
        <v>4191</v>
      </c>
      <c r="W201" s="28"/>
      <c r="X201" s="106" t="str">
        <f ca="1">IF(OR(Nov_2025_SotM[[#This Row],[Song 1]]="TBD", Nov_2025_SotM[[#This Row],[Song 2]]="TBD"), "TBD", _xlfn.CONCAT(IF(_xlfn.XOR(ISBLANK(Nov_2025_SotM[[#This Row],[J]]), ISBLANK(Nov_2025_SotM[[#This Row],[J ]])), "", "J "), IF(_xlfn.XOR(ISBLANK(Nov_2025_SotM[[#This Row],[D]]), ISBLANK(Nov_2025_SotM[[#This Row],[D ]])), "", "D "), IF(_xlfn.XOR(ISBLANK(Nov_2025_SotM[[#This Row],[L]]), ISBLANK(Nov_2025_SotM[[#This Row],[L ]])), "", "L "), IF(_xlfn.XOR(ISBLANK(Nov_2025_SotM[[#This Row],[S]]), ISBLANK(Nov_2025_SotM[[#This Row],[S ]])), "", "S "), IF(_xlfn.XOR(ISBLANK(Nov_2025_SotM[[#This Row],[H]]), ISBLANK(Nov_2025_SotM[[#This Row],[H ]])), "", "H ")))</f>
        <v/>
      </c>
      <c r="Z201" s="109">
        <f t="shared" si="48"/>
        <v>13</v>
      </c>
      <c r="AA201" s="59">
        <v>45978</v>
      </c>
      <c r="AB201" t="str">
        <v>currydestroyer27</v>
      </c>
      <c r="AC201" s="3">
        <v>2.4</v>
      </c>
      <c r="AD201">
        <v>1.4966629547095767</v>
      </c>
      <c r="AE201" t="str">
        <v>Addicted to You</v>
      </c>
      <c r="AF201" t="str">
        <v>Shakira</v>
      </c>
      <c r="AG201" s="100">
        <f t="shared" si="47"/>
        <v>9</v>
      </c>
      <c r="AI201" s="3">
        <f>Nov_2025_SotM[[#This Row],[Max Seed]]/2 + 1</f>
        <v>9</v>
      </c>
      <c r="AJ201" t="str">
        <f ca="1">IF(Nov_2025_SotM[[#This Row],[Num]]&gt;=$A$192, "-", IF(Nov_2025_SotM[[#This Row],[Score 1]]&gt;=3, Nov_2025_SotM[[#This Row],[Song 2]], IF(Nov_2025_SotM[[#This Row],[Score 2]]&gt;=3, Nov_2025_SotM[[#This Row],[Song 1]], "TBD")))</f>
        <v>Rodeo Clown</v>
      </c>
      <c r="AK201" s="3">
        <f ca="1">IFERROR(VLOOKUP(Nov_2025_Results[[#This Row],[Song Title]], $AE$193:$AG$208, 3, FALSE)-Nov_2025_Results[[#This Row],[Result]], "TBD")</f>
        <v>-4</v>
      </c>
      <c r="AL201" s="3" t="str">
        <f t="shared" ca="1" si="49"/>
        <v>↓</v>
      </c>
    </row>
    <row r="202" spans="1:38">
      <c r="A202" s="199" t="str">
        <f>_xlfn.CONCAT("Seed ", Nov_2025_SotM[[#This Row],[Top Seed]], " vs ",Nov_2025_SotM[[#This Row],[Low Seed]])</f>
        <v>Seed 7 vs 10</v>
      </c>
      <c r="B202" s="201">
        <v>9</v>
      </c>
      <c r="C202" s="200">
        <f>FLOOR(LOG(Nov_2025_SotM[[#This Row],[Num]], 2), 1)</f>
        <v>3</v>
      </c>
      <c r="D202" s="200">
        <f>2^(Nov_2025_SotM[[#This Row],[Round]]+1)</f>
        <v>16</v>
      </c>
      <c r="E202" s="200">
        <f>Nov_2025_SotM[[#This Row],[Max Seed]]-Nov_2025_SotM[[#This Row],[Num]]</f>
        <v>7</v>
      </c>
      <c r="F202" s="200">
        <f>Nov_2025_SotM[[#This Row],[Max Seed]]-Nov_2025_SotM[[#This Row],[Top Seed]]+1</f>
        <v>10</v>
      </c>
      <c r="G202" s="200" t="b">
        <f>IF(Nov_2025_SotM[[#This Row],[Round]]=$C$192, TRUE(), IF(Nov_2025_SotM[[#This Row],[Round]]=$B$192, Nov_2025_SotM[[#This Row],[Top Seed]]&lt;=2*Nov_2025_SotM[[#This Row],[Max Seed]]-$A$192, FALSE()))</f>
        <v>1</v>
      </c>
      <c r="H202" s="200" t="b">
        <f>IF(Nov_2025_SotM[[#This Row],[Round]]=$C$192, TRUE(), IF(Nov_2025_SotM[[#This Row],[Round]]=$B$192, Nov_2025_SotM[[#This Row],[Low Seed]]&lt;=2*Nov_2025_SotM[[#This Row],[Max Seed]]-$A$192, FALSE()))</f>
        <v>1</v>
      </c>
      <c r="I202" s="28"/>
      <c r="J202" s="31" t="s">
        <v>4191</v>
      </c>
      <c r="K202" s="33" t="s">
        <v>4191</v>
      </c>
      <c r="L202" s="35" t="s">
        <v>4191</v>
      </c>
      <c r="M202" s="37"/>
      <c r="N202" s="203" t="str">
        <f ca="1">IF(Nov_2025_SotM[[#This Row],[Num]]&gt;=$A$192, "-", IF(Nov_2025_SotM[[#This Row],[Initial 1]], VLOOKUP(Nov_2025_SotM[[#This Row],[Top Seed]], $Z$193:$AE$208, 6, FALSE), OFFSET(Nov_2025_SotM[[#This Row],[Winner]], Nov_2025_SotM[[#This Row],[Max Seed]], 0)))</f>
        <v>Greatness</v>
      </c>
      <c r="O202" s="200">
        <f>COUNTIF(Nov_2025_SotM[[#This Row],[J]:[H]],"x")</f>
        <v>3</v>
      </c>
      <c r="P202" s="201" t="str">
        <f ca="1">IF(Nov_2025_SotM[[#This Row],[Num]]&gt;=$A$192, "-", IF(Nov_2025_SotM[[#This Row],[Score 1]]&gt;=3, Nov_2025_SotM[[#This Row],[Song 1]], IF(Nov_2025_SotM[[#This Row],[Score 2]]&gt;=3, Nov_2025_SotM[[#This Row],[Song 2]], "TBD")))</f>
        <v>Greatness</v>
      </c>
      <c r="Q202" s="206">
        <f>COUNTIF(Nov_2025_SotM[[#This Row],[H ]:[J ]],"x")</f>
        <v>2</v>
      </c>
      <c r="R202" s="200" t="str">
        <f ca="1">IF(Nov_2025_SotM[[#This Row],[Num]]&gt;=$A$192, "-", IF(Nov_2025_SotM[[#This Row],[Initial 2]], VLOOKUP(Nov_2025_SotM[[#This Row],[Low Seed]], $Z$193:$AE$208, 6, FALSE), OFFSET(Nov_2025_SotM[[#This Row],[Winner]], 2*(Nov_2025_SotM[[#This Row],[Max Seed]]-Nov_2025_SotM[[#This Row],[Low Seed]])+1, 0)))</f>
        <v>Wednesday Morning Bonk (It's 9aM)</v>
      </c>
      <c r="S202" s="37" t="s">
        <v>4191</v>
      </c>
      <c r="T202" s="35"/>
      <c r="U202" s="33"/>
      <c r="V202" s="31"/>
      <c r="W202" s="28" t="s">
        <v>4191</v>
      </c>
      <c r="X202" s="106" t="str">
        <f ca="1">IF(OR(Nov_2025_SotM[[#This Row],[Song 1]]="TBD", Nov_2025_SotM[[#This Row],[Song 2]]="TBD"), "TBD", _xlfn.CONCAT(IF(_xlfn.XOR(ISBLANK(Nov_2025_SotM[[#This Row],[J]]), ISBLANK(Nov_2025_SotM[[#This Row],[J ]])), "", "J "), IF(_xlfn.XOR(ISBLANK(Nov_2025_SotM[[#This Row],[D]]), ISBLANK(Nov_2025_SotM[[#This Row],[D ]])), "", "D "), IF(_xlfn.XOR(ISBLANK(Nov_2025_SotM[[#This Row],[L]]), ISBLANK(Nov_2025_SotM[[#This Row],[L ]])), "", "L "), IF(_xlfn.XOR(ISBLANK(Nov_2025_SotM[[#This Row],[S]]), ISBLANK(Nov_2025_SotM[[#This Row],[S ]])), "", "S "), IF(_xlfn.XOR(ISBLANK(Nov_2025_SotM[[#This Row],[H]]), ISBLANK(Nov_2025_SotM[[#This Row],[H ]])), "", "H ")))</f>
        <v/>
      </c>
      <c r="Z202" s="109">
        <f t="shared" si="48"/>
        <v>10</v>
      </c>
      <c r="AA202" s="59">
        <v>45979</v>
      </c>
      <c r="AB202" t="str">
        <v>danram</v>
      </c>
      <c r="AC202" s="3">
        <v>2.4</v>
      </c>
      <c r="AD202">
        <v>1.019803902718557</v>
      </c>
      <c r="AE202" t="str">
        <v>Wednesday Morning Bonk (It's 9aM)</v>
      </c>
      <c r="AF202" t="str">
        <v>Megabonk</v>
      </c>
      <c r="AG202" s="100">
        <f t="shared" si="47"/>
        <v>9</v>
      </c>
      <c r="AI202" s="3">
        <f>Nov_2025_SotM[[#This Row],[Max Seed]]/2 + 1</f>
        <v>9</v>
      </c>
      <c r="AJ202" t="str">
        <f ca="1">IF(Nov_2025_SotM[[#This Row],[Num]]&gt;=$A$192, "-", IF(Nov_2025_SotM[[#This Row],[Score 1]]&gt;=3, Nov_2025_SotM[[#This Row],[Song 2]], IF(Nov_2025_SotM[[#This Row],[Score 2]]&gt;=3, Nov_2025_SotM[[#This Row],[Song 1]], "TBD")))</f>
        <v>Wednesday Morning Bonk (It's 9aM)</v>
      </c>
      <c r="AK202" s="3">
        <f ca="1">IFERROR(VLOOKUP(Nov_2025_Results[[#This Row],[Song Title]], $AE$193:$AG$208, 3, FALSE)-Nov_2025_Results[[#This Row],[Result]], "TBD")</f>
        <v>0</v>
      </c>
      <c r="AL202" s="3" t="str">
        <f t="shared" ca="1" si="49"/>
        <v>-</v>
      </c>
    </row>
    <row r="203" spans="1:38">
      <c r="A203" s="199" t="str">
        <f>_xlfn.CONCAT("Seed ", Nov_2025_SotM[[#This Row],[Top Seed]], " vs ",Nov_2025_SotM[[#This Row],[Low Seed]])</f>
        <v>Seed 6 vs 11</v>
      </c>
      <c r="B203" s="201">
        <v>10</v>
      </c>
      <c r="C203" s="200">
        <f>FLOOR(LOG(Nov_2025_SotM[[#This Row],[Num]], 2), 1)</f>
        <v>3</v>
      </c>
      <c r="D203" s="200">
        <f>2^(Nov_2025_SotM[[#This Row],[Round]]+1)</f>
        <v>16</v>
      </c>
      <c r="E203" s="200">
        <f>Nov_2025_SotM[[#This Row],[Max Seed]]-Nov_2025_SotM[[#This Row],[Num]]</f>
        <v>6</v>
      </c>
      <c r="F203" s="200">
        <f>Nov_2025_SotM[[#This Row],[Max Seed]]-Nov_2025_SotM[[#This Row],[Top Seed]]+1</f>
        <v>11</v>
      </c>
      <c r="G203" s="200" t="b">
        <f>IF(Nov_2025_SotM[[#This Row],[Round]]=$C$192, TRUE(), IF(Nov_2025_SotM[[#This Row],[Round]]=$B$192, Nov_2025_SotM[[#This Row],[Top Seed]]&lt;=2*Nov_2025_SotM[[#This Row],[Max Seed]]-$A$192, FALSE()))</f>
        <v>1</v>
      </c>
      <c r="H203" s="200" t="b">
        <f>IF(Nov_2025_SotM[[#This Row],[Round]]=$C$192, TRUE(), IF(Nov_2025_SotM[[#This Row],[Round]]=$B$192, Nov_2025_SotM[[#This Row],[Low Seed]]&lt;=2*Nov_2025_SotM[[#This Row],[Max Seed]]-$A$192, FALSE()))</f>
        <v>1</v>
      </c>
      <c r="I203" s="28" t="s">
        <v>4191</v>
      </c>
      <c r="J203" s="31"/>
      <c r="K203" s="33" t="s">
        <v>4191</v>
      </c>
      <c r="L203" s="35"/>
      <c r="M203" s="37"/>
      <c r="N203" s="203" t="str">
        <f ca="1">IF(Nov_2025_SotM[[#This Row],[Num]]&gt;=$A$192, "-", IF(Nov_2025_SotM[[#This Row],[Initial 1]], VLOOKUP(Nov_2025_SotM[[#This Row],[Top Seed]], $Z$193:$AE$208, 6, FALSE), OFFSET(Nov_2025_SotM[[#This Row],[Winner]], Nov_2025_SotM[[#This Row],[Max Seed]], 0)))</f>
        <v>Three Man Weave</v>
      </c>
      <c r="O203" s="200">
        <f>COUNTIF(Nov_2025_SotM[[#This Row],[J]:[H]],"x")</f>
        <v>2</v>
      </c>
      <c r="P203" s="201" t="str">
        <f ca="1">IF(Nov_2025_SotM[[#This Row],[Num]]&gt;=$A$192, "-", IF(Nov_2025_SotM[[#This Row],[Score 1]]&gt;=3, Nov_2025_SotM[[#This Row],[Song 1]], IF(Nov_2025_SotM[[#This Row],[Score 2]]&gt;=3, Nov_2025_SotM[[#This Row],[Song 2]], "TBD")))</f>
        <v>+57</v>
      </c>
      <c r="Q203" s="206">
        <f>COUNTIF(Nov_2025_SotM[[#This Row],[H ]:[J ]],"x")</f>
        <v>3</v>
      </c>
      <c r="R203" s="200" t="str">
        <f ca="1">IF(Nov_2025_SotM[[#This Row],[Num]]&gt;=$A$192, "-", IF(Nov_2025_SotM[[#This Row],[Initial 2]], VLOOKUP(Nov_2025_SotM[[#This Row],[Low Seed]], $Z$193:$AE$208, 6, FALSE), OFFSET(Nov_2025_SotM[[#This Row],[Winner]], 2*(Nov_2025_SotM[[#This Row],[Max Seed]]-Nov_2025_SotM[[#This Row],[Low Seed]])+1, 0)))</f>
        <v>+57</v>
      </c>
      <c r="S203" s="37" t="s">
        <v>4191</v>
      </c>
      <c r="T203" s="35" t="s">
        <v>4191</v>
      </c>
      <c r="U203" s="33"/>
      <c r="V203" s="31" t="s">
        <v>4191</v>
      </c>
      <c r="W203" s="28"/>
      <c r="X203" s="106" t="str">
        <f ca="1">IF(OR(Nov_2025_SotM[[#This Row],[Song 1]]="TBD", Nov_2025_SotM[[#This Row],[Song 2]]="TBD"), "TBD", _xlfn.CONCAT(IF(_xlfn.XOR(ISBLANK(Nov_2025_SotM[[#This Row],[J]]), ISBLANK(Nov_2025_SotM[[#This Row],[J ]])), "", "J "), IF(_xlfn.XOR(ISBLANK(Nov_2025_SotM[[#This Row],[D]]), ISBLANK(Nov_2025_SotM[[#This Row],[D ]])), "", "D "), IF(_xlfn.XOR(ISBLANK(Nov_2025_SotM[[#This Row],[L]]), ISBLANK(Nov_2025_SotM[[#This Row],[L ]])), "", "L "), IF(_xlfn.XOR(ISBLANK(Nov_2025_SotM[[#This Row],[S]]), ISBLANK(Nov_2025_SotM[[#This Row],[S ]])), "", "S "), IF(_xlfn.XOR(ISBLANK(Nov_2025_SotM[[#This Row],[H]]), ISBLANK(Nov_2025_SotM[[#This Row],[H ]])), "", "H ")))</f>
        <v/>
      </c>
      <c r="Z203" s="109">
        <f t="shared" si="48"/>
        <v>2</v>
      </c>
      <c r="AA203" s="59">
        <v>45980</v>
      </c>
      <c r="AB203" t="str">
        <v>samuelbattista</v>
      </c>
      <c r="AC203" s="3">
        <v>1.8</v>
      </c>
      <c r="AD203">
        <v>0.74833147735478833</v>
      </c>
      <c r="AE203" t="str">
        <v>The Sound of Muzak</v>
      </c>
      <c r="AF203" t="str">
        <v>Porcupine Tree</v>
      </c>
      <c r="AG203" s="100">
        <f t="shared" si="47"/>
        <v>2</v>
      </c>
      <c r="AI203" s="3">
        <f>Nov_2025_SotM[[#This Row],[Max Seed]]/2 + 1</f>
        <v>9</v>
      </c>
      <c r="AJ203" t="str">
        <f ca="1">IF(Nov_2025_SotM[[#This Row],[Num]]&gt;=$A$192, "-", IF(Nov_2025_SotM[[#This Row],[Score 1]]&gt;=3, Nov_2025_SotM[[#This Row],[Song 2]], IF(Nov_2025_SotM[[#This Row],[Score 2]]&gt;=3, Nov_2025_SotM[[#This Row],[Song 1]], "TBD")))</f>
        <v>Three Man Weave</v>
      </c>
      <c r="AK203" s="3">
        <f ca="1">IFERROR(VLOOKUP(Nov_2025_Results[[#This Row],[Song Title]], $AE$193:$AG$208, 3, FALSE)-Nov_2025_Results[[#This Row],[Result]], "TBD")</f>
        <v>-4</v>
      </c>
      <c r="AL203" s="3" t="str">
        <f t="shared" ca="1" si="49"/>
        <v>↓</v>
      </c>
    </row>
    <row r="204" spans="1:38">
      <c r="A204" s="199" t="str">
        <f>_xlfn.CONCAT("Seed ", Nov_2025_SotM[[#This Row],[Top Seed]], " vs ",Nov_2025_SotM[[#This Row],[Low Seed]])</f>
        <v>Seed 5 vs 12</v>
      </c>
      <c r="B204" s="201">
        <v>11</v>
      </c>
      <c r="C204" s="200">
        <f>FLOOR(LOG(Nov_2025_SotM[[#This Row],[Num]], 2), 1)</f>
        <v>3</v>
      </c>
      <c r="D204" s="200">
        <f>2^(Nov_2025_SotM[[#This Row],[Round]]+1)</f>
        <v>16</v>
      </c>
      <c r="E204" s="200">
        <f>Nov_2025_SotM[[#This Row],[Max Seed]]-Nov_2025_SotM[[#This Row],[Num]]</f>
        <v>5</v>
      </c>
      <c r="F204" s="200">
        <f>Nov_2025_SotM[[#This Row],[Max Seed]]-Nov_2025_SotM[[#This Row],[Top Seed]]+1</f>
        <v>12</v>
      </c>
      <c r="G204" s="200" t="b">
        <f>IF(Nov_2025_SotM[[#This Row],[Round]]=$C$192, TRUE(), IF(Nov_2025_SotM[[#This Row],[Round]]=$B$192, Nov_2025_SotM[[#This Row],[Top Seed]]&lt;=2*Nov_2025_SotM[[#This Row],[Max Seed]]-$A$192, FALSE()))</f>
        <v>1</v>
      </c>
      <c r="H204" s="200" t="b">
        <f>IF(Nov_2025_SotM[[#This Row],[Round]]=$C$192, TRUE(), IF(Nov_2025_SotM[[#This Row],[Round]]=$B$192, Nov_2025_SotM[[#This Row],[Low Seed]]&lt;=2*Nov_2025_SotM[[#This Row],[Max Seed]]-$A$192, FALSE()))</f>
        <v>1</v>
      </c>
      <c r="I204" s="28"/>
      <c r="J204" s="31"/>
      <c r="K204" s="33"/>
      <c r="L204" s="35"/>
      <c r="M204" s="37"/>
      <c r="N204" s="203" t="str">
        <f ca="1">IF(Nov_2025_SotM[[#This Row],[Num]]&gt;=$A$192, "-", IF(Nov_2025_SotM[[#This Row],[Initial 1]], VLOOKUP(Nov_2025_SotM[[#This Row],[Top Seed]], $Z$193:$AE$208, 6, FALSE), OFFSET(Nov_2025_SotM[[#This Row],[Winner]], Nov_2025_SotM[[#This Row],[Max Seed]], 0)))</f>
        <v>hair down</v>
      </c>
      <c r="O204" s="200">
        <f>COUNTIF(Nov_2025_SotM[[#This Row],[J]:[H]],"x")</f>
        <v>0</v>
      </c>
      <c r="P204" s="201" t="str">
        <f ca="1">IF(Nov_2025_SotM[[#This Row],[Num]]&gt;=$A$192, "-", IF(Nov_2025_SotM[[#This Row],[Score 1]]&gt;=3, Nov_2025_SotM[[#This Row],[Song 1]], IF(Nov_2025_SotM[[#This Row],[Score 2]]&gt;=3, Nov_2025_SotM[[#This Row],[Song 2]], "TBD")))</f>
        <v>IRIS OUT</v>
      </c>
      <c r="Q204" s="206">
        <f>COUNTIF(Nov_2025_SotM[[#This Row],[H ]:[J ]],"x")</f>
        <v>5</v>
      </c>
      <c r="R204" s="200" t="str">
        <f ca="1">IF(Nov_2025_SotM[[#This Row],[Num]]&gt;=$A$192, "-", IF(Nov_2025_SotM[[#This Row],[Initial 2]], VLOOKUP(Nov_2025_SotM[[#This Row],[Low Seed]], $Z$193:$AE$208, 6, FALSE), OFFSET(Nov_2025_SotM[[#This Row],[Winner]], 2*(Nov_2025_SotM[[#This Row],[Max Seed]]-Nov_2025_SotM[[#This Row],[Low Seed]])+1, 0)))</f>
        <v>IRIS OUT</v>
      </c>
      <c r="S204" s="37" t="s">
        <v>4191</v>
      </c>
      <c r="T204" s="35" t="s">
        <v>4191</v>
      </c>
      <c r="U204" s="33" t="s">
        <v>4191</v>
      </c>
      <c r="V204" s="31" t="s">
        <v>4191</v>
      </c>
      <c r="W204" s="28" t="s">
        <v>4191</v>
      </c>
      <c r="X204" s="106" t="str">
        <f ca="1">IF(OR(Nov_2025_SotM[[#This Row],[Song 1]]="TBD", Nov_2025_SotM[[#This Row],[Song 2]]="TBD"), "TBD", _xlfn.CONCAT(IF(_xlfn.XOR(ISBLANK(Nov_2025_SotM[[#This Row],[J]]), ISBLANK(Nov_2025_SotM[[#This Row],[J ]])), "", "J "), IF(_xlfn.XOR(ISBLANK(Nov_2025_SotM[[#This Row],[D]]), ISBLANK(Nov_2025_SotM[[#This Row],[D ]])), "", "D "), IF(_xlfn.XOR(ISBLANK(Nov_2025_SotM[[#This Row],[L]]), ISBLANK(Nov_2025_SotM[[#This Row],[L ]])), "", "L "), IF(_xlfn.XOR(ISBLANK(Nov_2025_SotM[[#This Row],[S]]), ISBLANK(Nov_2025_SotM[[#This Row],[S ]])), "", "S "), IF(_xlfn.XOR(ISBLANK(Nov_2025_SotM[[#This Row],[H]]), ISBLANK(Nov_2025_SotM[[#This Row],[H ]])), "", "H ")))</f>
        <v/>
      </c>
      <c r="Z204" s="109">
        <f t="shared" si="48"/>
        <v>7</v>
      </c>
      <c r="AA204" s="59">
        <v>45981</v>
      </c>
      <c r="AB204" t="str">
        <v>danram</v>
      </c>
      <c r="AC204" s="3">
        <v>2.2000000000000002</v>
      </c>
      <c r="AD204">
        <v>0.74833147735478833</v>
      </c>
      <c r="AE204" t="str">
        <v>Greatness</v>
      </c>
      <c r="AF204" t="str">
        <v>Quavo</v>
      </c>
      <c r="AG204" s="100">
        <f t="shared" si="47"/>
        <v>5</v>
      </c>
      <c r="AI204" s="3">
        <f>Nov_2025_SotM[[#This Row],[Max Seed]]/2 + 1</f>
        <v>9</v>
      </c>
      <c r="AJ204" t="str">
        <f ca="1">IF(Nov_2025_SotM[[#This Row],[Num]]&gt;=$A$192, "-", IF(Nov_2025_SotM[[#This Row],[Score 1]]&gt;=3, Nov_2025_SotM[[#This Row],[Song 2]], IF(Nov_2025_SotM[[#This Row],[Score 2]]&gt;=3, Nov_2025_SotM[[#This Row],[Song 1]], "TBD")))</f>
        <v>hair down</v>
      </c>
      <c r="AK204" s="3">
        <f ca="1">IFERROR(VLOOKUP(Nov_2025_Results[[#This Row],[Song Title]], $AE$193:$AG$208, 3, FALSE)-Nov_2025_Results[[#This Row],[Result]], "TBD")</f>
        <v>-4</v>
      </c>
      <c r="AL204" s="3" t="str">
        <f t="shared" ca="1" si="49"/>
        <v>↓</v>
      </c>
    </row>
    <row r="205" spans="1:38">
      <c r="A205" s="199" t="str">
        <f>_xlfn.CONCAT("Seed ", Nov_2025_SotM[[#This Row],[Top Seed]], " vs ",Nov_2025_SotM[[#This Row],[Low Seed]])</f>
        <v>Seed 4 vs 13</v>
      </c>
      <c r="B205" s="201">
        <v>12</v>
      </c>
      <c r="C205" s="200">
        <f>FLOOR(LOG(Nov_2025_SotM[[#This Row],[Num]], 2), 1)</f>
        <v>3</v>
      </c>
      <c r="D205" s="200">
        <f>2^(Nov_2025_SotM[[#This Row],[Round]]+1)</f>
        <v>16</v>
      </c>
      <c r="E205" s="200">
        <f>Nov_2025_SotM[[#This Row],[Max Seed]]-Nov_2025_SotM[[#This Row],[Num]]</f>
        <v>4</v>
      </c>
      <c r="F205" s="200">
        <f>Nov_2025_SotM[[#This Row],[Max Seed]]-Nov_2025_SotM[[#This Row],[Top Seed]]+1</f>
        <v>13</v>
      </c>
      <c r="G205" s="200" t="b">
        <f>IF(Nov_2025_SotM[[#This Row],[Round]]=$C$192, TRUE(), IF(Nov_2025_SotM[[#This Row],[Round]]=$B$192, Nov_2025_SotM[[#This Row],[Top Seed]]&lt;=2*Nov_2025_SotM[[#This Row],[Max Seed]]-$A$192, FALSE()))</f>
        <v>1</v>
      </c>
      <c r="H205" s="200" t="b">
        <f>IF(Nov_2025_SotM[[#This Row],[Round]]=$C$192, TRUE(), IF(Nov_2025_SotM[[#This Row],[Round]]=$B$192, Nov_2025_SotM[[#This Row],[Low Seed]]&lt;=2*Nov_2025_SotM[[#This Row],[Max Seed]]-$A$192, FALSE()))</f>
        <v>1</v>
      </c>
      <c r="I205" s="28" t="s">
        <v>4191</v>
      </c>
      <c r="J205" s="31" t="s">
        <v>4191</v>
      </c>
      <c r="K205" s="33" t="s">
        <v>4191</v>
      </c>
      <c r="L205" s="35" t="s">
        <v>4191</v>
      </c>
      <c r="M205" s="37"/>
      <c r="N205" s="203" t="str">
        <f ca="1">IF(Nov_2025_SotM[[#This Row],[Num]]&gt;=$A$192, "-", IF(Nov_2025_SotM[[#This Row],[Initial 1]], VLOOKUP(Nov_2025_SotM[[#This Row],[Top Seed]], $Z$193:$AE$208, 6, FALSE), OFFSET(Nov_2025_SotM[[#This Row],[Winner]], Nov_2025_SotM[[#This Row],[Max Seed]], 0)))</f>
        <v>Mona Lisa</v>
      </c>
      <c r="O205" s="200">
        <f>COUNTIF(Nov_2025_SotM[[#This Row],[J]:[H]],"x")</f>
        <v>4</v>
      </c>
      <c r="P205" s="201" t="str">
        <f ca="1">IF(Nov_2025_SotM[[#This Row],[Num]]&gt;=$A$192, "-", IF(Nov_2025_SotM[[#This Row],[Score 1]]&gt;=3, Nov_2025_SotM[[#This Row],[Song 1]], IF(Nov_2025_SotM[[#This Row],[Score 2]]&gt;=3, Nov_2025_SotM[[#This Row],[Song 2]], "TBD")))</f>
        <v>Mona Lisa</v>
      </c>
      <c r="Q205" s="206">
        <f>COUNTIF(Nov_2025_SotM[[#This Row],[H ]:[J ]],"x")</f>
        <v>1</v>
      </c>
      <c r="R205" s="200" t="str">
        <f ca="1">IF(Nov_2025_SotM[[#This Row],[Num]]&gt;=$A$192, "-", IF(Nov_2025_SotM[[#This Row],[Initial 2]], VLOOKUP(Nov_2025_SotM[[#This Row],[Low Seed]], $Z$193:$AE$208, 6, FALSE), OFFSET(Nov_2025_SotM[[#This Row],[Winner]], 2*(Nov_2025_SotM[[#This Row],[Max Seed]]-Nov_2025_SotM[[#This Row],[Low Seed]])+1, 0)))</f>
        <v>Addicted to You</v>
      </c>
      <c r="S205" s="37" t="s">
        <v>4191</v>
      </c>
      <c r="T205" s="35"/>
      <c r="U205" s="33"/>
      <c r="V205" s="31"/>
      <c r="W205" s="28"/>
      <c r="X205" s="106" t="str">
        <f ca="1">IF(OR(Nov_2025_SotM[[#This Row],[Song 1]]="TBD", Nov_2025_SotM[[#This Row],[Song 2]]="TBD"), "TBD", _xlfn.CONCAT(IF(_xlfn.XOR(ISBLANK(Nov_2025_SotM[[#This Row],[J]]), ISBLANK(Nov_2025_SotM[[#This Row],[J ]])), "", "J "), IF(_xlfn.XOR(ISBLANK(Nov_2025_SotM[[#This Row],[D]]), ISBLANK(Nov_2025_SotM[[#This Row],[D ]])), "", "D "), IF(_xlfn.XOR(ISBLANK(Nov_2025_SotM[[#This Row],[L]]), ISBLANK(Nov_2025_SotM[[#This Row],[L ]])), "", "L "), IF(_xlfn.XOR(ISBLANK(Nov_2025_SotM[[#This Row],[S]]), ISBLANK(Nov_2025_SotM[[#This Row],[S ]])), "", "S "), IF(_xlfn.XOR(ISBLANK(Nov_2025_SotM[[#This Row],[H]]), ISBLANK(Nov_2025_SotM[[#This Row],[H ]])), "", "H ")))</f>
        <v/>
      </c>
      <c r="Z205" s="109">
        <f t="shared" si="48"/>
        <v>3</v>
      </c>
      <c r="AA205" s="59">
        <v>45985</v>
      </c>
      <c r="AB205" t="str">
        <v>currydestroyer27</v>
      </c>
      <c r="AC205" s="3">
        <v>2</v>
      </c>
      <c r="AD205">
        <v>0.63245553203367588</v>
      </c>
      <c r="AE205" t="str">
        <v>You Say Run</v>
      </c>
      <c r="AF205" t="str">
        <v>Yuki Hayashi</v>
      </c>
      <c r="AG205" s="100">
        <f t="shared" si="47"/>
        <v>3</v>
      </c>
      <c r="AI205" s="3">
        <f>Nov_2025_SotM[[#This Row],[Max Seed]]/2 + 1</f>
        <v>9</v>
      </c>
      <c r="AJ205" t="str">
        <f ca="1">IF(Nov_2025_SotM[[#This Row],[Num]]&gt;=$A$192, "-", IF(Nov_2025_SotM[[#This Row],[Score 1]]&gt;=3, Nov_2025_SotM[[#This Row],[Song 2]], IF(Nov_2025_SotM[[#This Row],[Score 2]]&gt;=3, Nov_2025_SotM[[#This Row],[Song 1]], "TBD")))</f>
        <v>Addicted to You</v>
      </c>
      <c r="AK205" s="3">
        <f ca="1">IFERROR(VLOOKUP(Nov_2025_Results[[#This Row],[Song Title]], $AE$193:$AG$208, 3, FALSE)-Nov_2025_Results[[#This Row],[Result]], "TBD")</f>
        <v>0</v>
      </c>
      <c r="AL205" s="3" t="str">
        <f t="shared" ca="1" si="49"/>
        <v>-</v>
      </c>
    </row>
    <row r="206" spans="1:38">
      <c r="A206" s="199" t="str">
        <f>_xlfn.CONCAT("Seed ", Nov_2025_SotM[[#This Row],[Top Seed]], " vs ",Nov_2025_SotM[[#This Row],[Low Seed]])</f>
        <v>Seed 3 vs 14</v>
      </c>
      <c r="B206" s="201">
        <v>13</v>
      </c>
      <c r="C206" s="200">
        <f>FLOOR(LOG(Nov_2025_SotM[[#This Row],[Num]], 2), 1)</f>
        <v>3</v>
      </c>
      <c r="D206" s="200">
        <f>2^(Nov_2025_SotM[[#This Row],[Round]]+1)</f>
        <v>16</v>
      </c>
      <c r="E206" s="200">
        <f>Nov_2025_SotM[[#This Row],[Max Seed]]-Nov_2025_SotM[[#This Row],[Num]]</f>
        <v>3</v>
      </c>
      <c r="F206" s="200">
        <f>Nov_2025_SotM[[#This Row],[Max Seed]]-Nov_2025_SotM[[#This Row],[Top Seed]]+1</f>
        <v>14</v>
      </c>
      <c r="G206" s="200" t="b">
        <f>IF(Nov_2025_SotM[[#This Row],[Round]]=$C$192, TRUE(), IF(Nov_2025_SotM[[#This Row],[Round]]=$B$192, Nov_2025_SotM[[#This Row],[Top Seed]]&lt;=2*Nov_2025_SotM[[#This Row],[Max Seed]]-$A$192, FALSE()))</f>
        <v>1</v>
      </c>
      <c r="H206" s="200" t="b">
        <f>IF(Nov_2025_SotM[[#This Row],[Round]]=$C$192, TRUE(), IF(Nov_2025_SotM[[#This Row],[Round]]=$B$192, Nov_2025_SotM[[#This Row],[Low Seed]]&lt;=2*Nov_2025_SotM[[#This Row],[Max Seed]]-$A$192, FALSE()))</f>
        <v>1</v>
      </c>
      <c r="I206" s="28" t="s">
        <v>4191</v>
      </c>
      <c r="J206" s="31"/>
      <c r="K206" s="33"/>
      <c r="L206" s="35"/>
      <c r="M206" s="37" t="s">
        <v>4191</v>
      </c>
      <c r="N206" s="203" t="str">
        <f ca="1">IF(Nov_2025_SotM[[#This Row],[Num]]&gt;=$A$192, "-", IF(Nov_2025_SotM[[#This Row],[Initial 1]], VLOOKUP(Nov_2025_SotM[[#This Row],[Top Seed]], $Z$193:$AE$208, 6, FALSE), OFFSET(Nov_2025_SotM[[#This Row],[Winner]], Nov_2025_SotM[[#This Row],[Max Seed]], 0)))</f>
        <v>You Say Run</v>
      </c>
      <c r="O206" s="200">
        <f>COUNTIF(Nov_2025_SotM[[#This Row],[J]:[H]],"x")</f>
        <v>2</v>
      </c>
      <c r="P206" s="201" t="str">
        <f ca="1">IF(Nov_2025_SotM[[#This Row],[Num]]&gt;=$A$192, "-", IF(Nov_2025_SotM[[#This Row],[Score 1]]&gt;=3, Nov_2025_SotM[[#This Row],[Song 1]], IF(Nov_2025_SotM[[#This Row],[Score 2]]&gt;=3, Nov_2025_SotM[[#This Row],[Song 2]], "TBD")))</f>
        <v>Today</v>
      </c>
      <c r="Q206" s="206">
        <f>COUNTIF(Nov_2025_SotM[[#This Row],[H ]:[J ]],"x")</f>
        <v>3</v>
      </c>
      <c r="R206" s="200" t="str">
        <f ca="1">IF(Nov_2025_SotM[[#This Row],[Num]]&gt;=$A$192, "-", IF(Nov_2025_SotM[[#This Row],[Initial 2]], VLOOKUP(Nov_2025_SotM[[#This Row],[Low Seed]], $Z$193:$AE$208, 6, FALSE), OFFSET(Nov_2025_SotM[[#This Row],[Winner]], 2*(Nov_2025_SotM[[#This Row],[Max Seed]]-Nov_2025_SotM[[#This Row],[Low Seed]])+1, 0)))</f>
        <v>Today</v>
      </c>
      <c r="S206" s="37"/>
      <c r="T206" s="35" t="s">
        <v>4191</v>
      </c>
      <c r="U206" s="33" t="s">
        <v>4191</v>
      </c>
      <c r="V206" s="31" t="s">
        <v>4191</v>
      </c>
      <c r="W206" s="28"/>
      <c r="X206" s="106" t="str">
        <f ca="1">IF(OR(Nov_2025_SotM[[#This Row],[Song 1]]="TBD", Nov_2025_SotM[[#This Row],[Song 2]]="TBD"), "TBD", _xlfn.CONCAT(IF(_xlfn.XOR(ISBLANK(Nov_2025_SotM[[#This Row],[J]]), ISBLANK(Nov_2025_SotM[[#This Row],[J ]])), "", "J "), IF(_xlfn.XOR(ISBLANK(Nov_2025_SotM[[#This Row],[D]]), ISBLANK(Nov_2025_SotM[[#This Row],[D ]])), "", "D "), IF(_xlfn.XOR(ISBLANK(Nov_2025_SotM[[#This Row],[L]]), ISBLANK(Nov_2025_SotM[[#This Row],[L ]])), "", "L "), IF(_xlfn.XOR(ISBLANK(Nov_2025_SotM[[#This Row],[S]]), ISBLANK(Nov_2025_SotM[[#This Row],[S ]])), "", "S "), IF(_xlfn.XOR(ISBLANK(Nov_2025_SotM[[#This Row],[H]]), ISBLANK(Nov_2025_SotM[[#This Row],[H ]])), "", "H ")))</f>
        <v/>
      </c>
      <c r="Z206" s="109">
        <f t="shared" si="48"/>
        <v>14</v>
      </c>
      <c r="AA206" s="59">
        <v>45986</v>
      </c>
      <c r="AB206" t="str">
        <v>samuelbattista</v>
      </c>
      <c r="AC206" s="3">
        <v>2.4</v>
      </c>
      <c r="AD206">
        <v>1.4966629547095767</v>
      </c>
      <c r="AE206" t="str">
        <v>Today</v>
      </c>
      <c r="AF206" t="str">
        <v>The Smashing Pumpkins</v>
      </c>
      <c r="AG206" s="100">
        <f t="shared" si="47"/>
        <v>9</v>
      </c>
      <c r="AI206" s="3">
        <f>Nov_2025_SotM[[#This Row],[Max Seed]]/2 + 1</f>
        <v>9</v>
      </c>
      <c r="AJ206" t="str">
        <f ca="1">IF(Nov_2025_SotM[[#This Row],[Num]]&gt;=$A$192, "-", IF(Nov_2025_SotM[[#This Row],[Score 1]]&gt;=3, Nov_2025_SotM[[#This Row],[Song 2]], IF(Nov_2025_SotM[[#This Row],[Score 2]]&gt;=3, Nov_2025_SotM[[#This Row],[Song 1]], "TBD")))</f>
        <v>You Say Run</v>
      </c>
      <c r="AK206" s="3">
        <f ca="1">IFERROR(VLOOKUP(Nov_2025_Results[[#This Row],[Song Title]], $AE$193:$AG$208, 3, FALSE)-Nov_2025_Results[[#This Row],[Result]], "TBD")</f>
        <v>-6</v>
      </c>
      <c r="AL206" s="3" t="str">
        <f t="shared" ca="1" si="49"/>
        <v>↓</v>
      </c>
    </row>
    <row r="207" spans="1:38">
      <c r="A207" s="199" t="str">
        <f>_xlfn.CONCAT("Seed ", Nov_2025_SotM[[#This Row],[Top Seed]], " vs ",Nov_2025_SotM[[#This Row],[Low Seed]])</f>
        <v>Seed 2 vs 15</v>
      </c>
      <c r="B207" s="201">
        <v>14</v>
      </c>
      <c r="C207" s="200">
        <f>FLOOR(LOG(Nov_2025_SotM[[#This Row],[Num]], 2), 1)</f>
        <v>3</v>
      </c>
      <c r="D207" s="200">
        <f>2^(Nov_2025_SotM[[#This Row],[Round]]+1)</f>
        <v>16</v>
      </c>
      <c r="E207" s="200">
        <f>Nov_2025_SotM[[#This Row],[Max Seed]]-Nov_2025_SotM[[#This Row],[Num]]</f>
        <v>2</v>
      </c>
      <c r="F207" s="200">
        <f>Nov_2025_SotM[[#This Row],[Max Seed]]-Nov_2025_SotM[[#This Row],[Top Seed]]+1</f>
        <v>15</v>
      </c>
      <c r="G207" s="200" t="b">
        <f>IF(Nov_2025_SotM[[#This Row],[Round]]=$C$192, TRUE(), IF(Nov_2025_SotM[[#This Row],[Round]]=$B$192, Nov_2025_SotM[[#This Row],[Top Seed]]&lt;=2*Nov_2025_SotM[[#This Row],[Max Seed]]-$A$192, FALSE()))</f>
        <v>1</v>
      </c>
      <c r="H207" s="200" t="b">
        <f>IF(Nov_2025_SotM[[#This Row],[Round]]=$C$192, TRUE(), IF(Nov_2025_SotM[[#This Row],[Round]]=$B$192, Nov_2025_SotM[[#This Row],[Low Seed]]&lt;=2*Nov_2025_SotM[[#This Row],[Max Seed]]-$A$192, FALSE()))</f>
        <v>1</v>
      </c>
      <c r="I207" s="28"/>
      <c r="J207" s="31"/>
      <c r="K207" s="33"/>
      <c r="L207" s="35" t="s">
        <v>4191</v>
      </c>
      <c r="M207" s="37"/>
      <c r="N207" s="203" t="str">
        <f ca="1">IF(Nov_2025_SotM[[#This Row],[Num]]&gt;=$A$192, "-", IF(Nov_2025_SotM[[#This Row],[Initial 1]], VLOOKUP(Nov_2025_SotM[[#This Row],[Top Seed]], $Z$193:$AE$208, 6, FALSE), OFFSET(Nov_2025_SotM[[#This Row],[Winner]], Nov_2025_SotM[[#This Row],[Max Seed]], 0)))</f>
        <v>The Sound of Muzak</v>
      </c>
      <c r="O207" s="200">
        <f>COUNTIF(Nov_2025_SotM[[#This Row],[J]:[H]],"x")</f>
        <v>1</v>
      </c>
      <c r="P207" s="201" t="str">
        <f ca="1">IF(Nov_2025_SotM[[#This Row],[Num]]&gt;=$A$192, "-", IF(Nov_2025_SotM[[#This Row],[Score 1]]&gt;=3, Nov_2025_SotM[[#This Row],[Song 1]], IF(Nov_2025_SotM[[#This Row],[Score 2]]&gt;=3, Nov_2025_SotM[[#This Row],[Song 2]], "TBD")))</f>
        <v>Survivor</v>
      </c>
      <c r="Q207" s="206">
        <f>COUNTIF(Nov_2025_SotM[[#This Row],[H ]:[J ]],"x")</f>
        <v>4</v>
      </c>
      <c r="R207" s="200" t="str">
        <f ca="1">IF(Nov_2025_SotM[[#This Row],[Num]]&gt;=$A$192, "-", IF(Nov_2025_SotM[[#This Row],[Initial 2]], VLOOKUP(Nov_2025_SotM[[#This Row],[Low Seed]], $Z$193:$AE$208, 6, FALSE), OFFSET(Nov_2025_SotM[[#This Row],[Winner]], 2*(Nov_2025_SotM[[#This Row],[Max Seed]]-Nov_2025_SotM[[#This Row],[Low Seed]])+1, 0)))</f>
        <v>Survivor</v>
      </c>
      <c r="S207" s="37" t="s">
        <v>4191</v>
      </c>
      <c r="T207" s="35"/>
      <c r="U207" s="33" t="s">
        <v>4191</v>
      </c>
      <c r="V207" s="31" t="s">
        <v>4191</v>
      </c>
      <c r="W207" s="28" t="s">
        <v>4191</v>
      </c>
      <c r="X207" s="106" t="str">
        <f ca="1">IF(OR(Nov_2025_SotM[[#This Row],[Song 1]]="TBD", Nov_2025_SotM[[#This Row],[Song 2]]="TBD"), "TBD", _xlfn.CONCAT(IF(_xlfn.XOR(ISBLANK(Nov_2025_SotM[[#This Row],[J]]), ISBLANK(Nov_2025_SotM[[#This Row],[J ]])), "", "J "), IF(_xlfn.XOR(ISBLANK(Nov_2025_SotM[[#This Row],[D]]), ISBLANK(Nov_2025_SotM[[#This Row],[D ]])), "", "D "), IF(_xlfn.XOR(ISBLANK(Nov_2025_SotM[[#This Row],[L]]), ISBLANK(Nov_2025_SotM[[#This Row],[L ]])), "", "L "), IF(_xlfn.XOR(ISBLANK(Nov_2025_SotM[[#This Row],[S]]), ISBLANK(Nov_2025_SotM[[#This Row],[S ]])), "", "S "), IF(_xlfn.XOR(ISBLANK(Nov_2025_SotM[[#This Row],[H]]), ISBLANK(Nov_2025_SotM[[#This Row],[H ]])), "", "H ")))</f>
        <v/>
      </c>
      <c r="Z207" s="109">
        <f t="shared" si="48"/>
        <v>5</v>
      </c>
      <c r="AA207" s="59">
        <v>45987</v>
      </c>
      <c r="AB207" t="str">
        <v>alappatjoe</v>
      </c>
      <c r="AC207" s="3">
        <v>2</v>
      </c>
      <c r="AD207">
        <v>0.89442719099991586</v>
      </c>
      <c r="AE207" t="str">
        <v>hair down</v>
      </c>
      <c r="AF207" t="str">
        <v>thủy</v>
      </c>
      <c r="AG207" s="100">
        <f t="shared" si="47"/>
        <v>5</v>
      </c>
      <c r="AI207" s="3">
        <f>Nov_2025_SotM[[#This Row],[Max Seed]]/2 + 1</f>
        <v>9</v>
      </c>
      <c r="AJ207" t="str">
        <f ca="1">IF(Nov_2025_SotM[[#This Row],[Num]]&gt;=$A$192, "-", IF(Nov_2025_SotM[[#This Row],[Score 1]]&gt;=3, Nov_2025_SotM[[#This Row],[Song 2]], IF(Nov_2025_SotM[[#This Row],[Score 2]]&gt;=3, Nov_2025_SotM[[#This Row],[Song 1]], "TBD")))</f>
        <v>The Sound of Muzak</v>
      </c>
      <c r="AK207" s="3">
        <f ca="1">IFERROR(VLOOKUP(Nov_2025_Results[[#This Row],[Song Title]], $AE$193:$AG$208, 3, FALSE)-Nov_2025_Results[[#This Row],[Result]], "TBD")</f>
        <v>-7</v>
      </c>
      <c r="AL207" s="3" t="str">
        <f t="shared" ca="1" si="49"/>
        <v>↓</v>
      </c>
    </row>
    <row r="208" spans="1:38">
      <c r="A208" s="199" t="str">
        <f>_xlfn.CONCAT("Seed ", Nov_2025_SotM[[#This Row],[Top Seed]], " vs ",Nov_2025_SotM[[#This Row],[Low Seed]])</f>
        <v>Seed 1 vs 16</v>
      </c>
      <c r="B208" s="201">
        <v>15</v>
      </c>
      <c r="C208" s="200">
        <f>FLOOR(LOG(Nov_2025_SotM[[#This Row],[Num]], 2), 1)</f>
        <v>3</v>
      </c>
      <c r="D208" s="200">
        <f>2^(Nov_2025_SotM[[#This Row],[Round]]+1)</f>
        <v>16</v>
      </c>
      <c r="E208" s="200">
        <f>Nov_2025_SotM[[#This Row],[Max Seed]]-Nov_2025_SotM[[#This Row],[Num]]</f>
        <v>1</v>
      </c>
      <c r="F208" s="200">
        <f>Nov_2025_SotM[[#This Row],[Max Seed]]-Nov_2025_SotM[[#This Row],[Top Seed]]+1</f>
        <v>16</v>
      </c>
      <c r="G208" s="200" t="b">
        <f>IF(Nov_2025_SotM[[#This Row],[Round]]=$C$192, TRUE(), IF(Nov_2025_SotM[[#This Row],[Round]]=$B$192, Nov_2025_SotM[[#This Row],[Top Seed]]&lt;=2*Nov_2025_SotM[[#This Row],[Max Seed]]-$A$192, FALSE()))</f>
        <v>1</v>
      </c>
      <c r="H208" s="200" t="b">
        <f>IF(Nov_2025_SotM[[#This Row],[Round]]=$C$192, TRUE(), IF(Nov_2025_SotM[[#This Row],[Round]]=$B$192, Nov_2025_SotM[[#This Row],[Low Seed]]&lt;=2*Nov_2025_SotM[[#This Row],[Max Seed]]-$A$192, FALSE()))</f>
        <v>1</v>
      </c>
      <c r="I208" s="28"/>
      <c r="J208" s="31"/>
      <c r="K208" s="33" t="s">
        <v>4191</v>
      </c>
      <c r="L208" s="35" t="s">
        <v>4191</v>
      </c>
      <c r="M208" s="37"/>
      <c r="N208" s="203" t="str">
        <f ca="1">IF(Nov_2025_SotM[[#This Row],[Num]]&gt;=$A$192, "-", IF(Nov_2025_SotM[[#This Row],[Initial 1]], VLOOKUP(Nov_2025_SotM[[#This Row],[Top Seed]], $Z$193:$AE$208, 6, FALSE), OFFSET(Nov_2025_SotM[[#This Row],[Winner]], Nov_2025_SotM[[#This Row],[Max Seed]], 0)))</f>
        <v>Money for Nothing</v>
      </c>
      <c r="O208" s="200">
        <f>COUNTIF(Nov_2025_SotM[[#This Row],[J]:[H]],"x")</f>
        <v>2</v>
      </c>
      <c r="P208" s="201" t="str">
        <f ca="1">IF(Nov_2025_SotM[[#This Row],[Num]]&gt;=$A$192, "-", IF(Nov_2025_SotM[[#This Row],[Score 1]]&gt;=3, Nov_2025_SotM[[#This Row],[Song 1]], IF(Nov_2025_SotM[[#This Row],[Score 2]]&gt;=3, Nov_2025_SotM[[#This Row],[Song 2]], "TBD")))</f>
        <v>Star</v>
      </c>
      <c r="Q208" s="206">
        <f>COUNTIF(Nov_2025_SotM[[#This Row],[H ]:[J ]],"x")</f>
        <v>3</v>
      </c>
      <c r="R208" s="200" t="str">
        <f ca="1">IF(Nov_2025_SotM[[#This Row],[Num]]&gt;=$A$192, "-", IF(Nov_2025_SotM[[#This Row],[Initial 2]], VLOOKUP(Nov_2025_SotM[[#This Row],[Low Seed]], $Z$193:$AE$208, 6, FALSE), OFFSET(Nov_2025_SotM[[#This Row],[Winner]], 2*(Nov_2025_SotM[[#This Row],[Max Seed]]-Nov_2025_SotM[[#This Row],[Low Seed]])+1, 0)))</f>
        <v>Star</v>
      </c>
      <c r="S208" s="37" t="s">
        <v>4191</v>
      </c>
      <c r="T208" s="35"/>
      <c r="U208" s="33"/>
      <c r="V208" s="31" t="s">
        <v>4191</v>
      </c>
      <c r="W208" s="28" t="s">
        <v>4191</v>
      </c>
      <c r="X208" s="106" t="str">
        <f ca="1">IF(OR(Nov_2025_SotM[[#This Row],[Song 1]]="TBD", Nov_2025_SotM[[#This Row],[Song 2]]="TBD"), "TBD", _xlfn.CONCAT(IF(_xlfn.XOR(ISBLANK(Nov_2025_SotM[[#This Row],[J]]), ISBLANK(Nov_2025_SotM[[#This Row],[J ]])), "", "J "), IF(_xlfn.XOR(ISBLANK(Nov_2025_SotM[[#This Row],[D]]), ISBLANK(Nov_2025_SotM[[#This Row],[D ]])), "", "D "), IF(_xlfn.XOR(ISBLANK(Nov_2025_SotM[[#This Row],[L]]), ISBLANK(Nov_2025_SotM[[#This Row],[L ]])), "", "L "), IF(_xlfn.XOR(ISBLANK(Nov_2025_SotM[[#This Row],[S]]), ISBLANK(Nov_2025_SotM[[#This Row],[S ]])), "", "S "), IF(_xlfn.XOR(ISBLANK(Nov_2025_SotM[[#This Row],[H]]), ISBLANK(Nov_2025_SotM[[#This Row],[H ]])), "", "H ")))</f>
        <v/>
      </c>
      <c r="Z208" s="110">
        <f t="shared" si="48"/>
        <v>15</v>
      </c>
      <c r="AA208" s="211">
        <v>45988</v>
      </c>
      <c r="AB208" s="157" t="str">
        <v>danram</v>
      </c>
      <c r="AC208" s="101">
        <v>2.6</v>
      </c>
      <c r="AD208" s="157">
        <v>1.019803902718557</v>
      </c>
      <c r="AE208" s="157" t="str">
        <v>Survivor</v>
      </c>
      <c r="AF208" s="157" t="str">
        <v>Destiny's Child</v>
      </c>
      <c r="AG208" s="102">
        <f t="shared" si="47"/>
        <v>9</v>
      </c>
      <c r="AI208" s="3">
        <f>Nov_2025_SotM[[#This Row],[Max Seed]]/2 + 1</f>
        <v>9</v>
      </c>
      <c r="AJ208" t="str">
        <f ca="1">IF(Nov_2025_SotM[[#This Row],[Num]]&gt;=$A$192, "-", IF(Nov_2025_SotM[[#This Row],[Score 1]]&gt;=3, Nov_2025_SotM[[#This Row],[Song 2]], IF(Nov_2025_SotM[[#This Row],[Score 2]]&gt;=3, Nov_2025_SotM[[#This Row],[Song 1]], "TBD")))</f>
        <v>Money for Nothing</v>
      </c>
      <c r="AK208" s="3">
        <f ca="1">IFERROR(VLOOKUP(Nov_2025_Results[[#This Row],[Song Title]], $AE$193:$AG$208, 3, FALSE)-Nov_2025_Results[[#This Row],[Result]], "TBD")</f>
        <v>-8</v>
      </c>
      <c r="AL208" s="3" t="str">
        <f t="shared" ca="1" si="49"/>
        <v>↓</v>
      </c>
    </row>
    <row r="210" spans="1:38">
      <c r="A210" s="302">
        <f>MAX(Z211:Z222)</f>
        <v>12</v>
      </c>
      <c r="B210" s="302">
        <f>FLOOR(LOG(A210, 2), 1)-1</f>
        <v>2</v>
      </c>
      <c r="C210" s="302">
        <f t="shared" ref="C210" si="50">_xlfn.CEILING.MATH(LOG(A210, 2), 1)-1</f>
        <v>3</v>
      </c>
      <c r="D210" s="302"/>
      <c r="E210" s="302"/>
      <c r="F210" s="302"/>
      <c r="G210" s="302"/>
      <c r="H210" s="302"/>
      <c r="I210" s="348" t="s">
        <v>4200</v>
      </c>
      <c r="J210" s="348"/>
      <c r="K210" s="348"/>
      <c r="L210" s="348"/>
      <c r="M210" s="348"/>
      <c r="N210" s="348"/>
      <c r="O210" s="348"/>
      <c r="P210" s="348"/>
      <c r="Q210" s="348"/>
      <c r="R210" s="348"/>
      <c r="S210" s="348"/>
      <c r="T210" s="348"/>
      <c r="U210" s="348"/>
      <c r="V210" s="348"/>
      <c r="W210" s="348"/>
      <c r="X210" s="302"/>
      <c r="Z210" s="221" t="s">
        <v>4163</v>
      </c>
      <c r="AA210" s="222" t="s">
        <v>29</v>
      </c>
      <c r="AB210" s="220" t="s">
        <v>32</v>
      </c>
      <c r="AC210" s="221" t="s">
        <v>33</v>
      </c>
      <c r="AD210" s="220" t="s">
        <v>34</v>
      </c>
      <c r="AE210" s="220" t="s">
        <v>4161</v>
      </c>
      <c r="AF210" s="220" t="s">
        <v>36</v>
      </c>
      <c r="AG210" s="221" t="s">
        <v>4164</v>
      </c>
      <c r="AI210" s="247" t="s">
        <v>4165</v>
      </c>
      <c r="AJ210" s="248" t="s">
        <v>35</v>
      </c>
      <c r="AK210" s="249" t="s">
        <v>4166</v>
      </c>
      <c r="AL210" s="282" t="s">
        <v>4167</v>
      </c>
    </row>
    <row r="211" spans="1:38">
      <c r="A211" s="218" t="s">
        <v>4168</v>
      </c>
      <c r="B211" s="213" t="s">
        <v>4169</v>
      </c>
      <c r="C211" s="219" t="s">
        <v>4170</v>
      </c>
      <c r="D211" s="219" t="s">
        <v>4171</v>
      </c>
      <c r="E211" s="219" t="s">
        <v>4172</v>
      </c>
      <c r="F211" s="219" t="s">
        <v>4173</v>
      </c>
      <c r="G211" s="219" t="s">
        <v>4174</v>
      </c>
      <c r="H211" s="219" t="s">
        <v>4175</v>
      </c>
      <c r="I211" s="219" t="s">
        <v>4176</v>
      </c>
      <c r="J211" s="219" t="s">
        <v>4177</v>
      </c>
      <c r="K211" s="219" t="s">
        <v>4178</v>
      </c>
      <c r="L211" s="219" t="s">
        <v>4179</v>
      </c>
      <c r="M211" s="219" t="s">
        <v>4180</v>
      </c>
      <c r="N211" s="226" t="s">
        <v>4181</v>
      </c>
      <c r="O211" s="219" t="s">
        <v>4182</v>
      </c>
      <c r="P211" s="213" t="s">
        <v>47</v>
      </c>
      <c r="Q211" s="231" t="s">
        <v>4183</v>
      </c>
      <c r="R211" s="219" t="s">
        <v>4184</v>
      </c>
      <c r="S211" s="219" t="s">
        <v>4185</v>
      </c>
      <c r="T211" s="219" t="s">
        <v>4186</v>
      </c>
      <c r="U211" s="219" t="s">
        <v>4187</v>
      </c>
      <c r="V211" s="219" t="s">
        <v>4188</v>
      </c>
      <c r="W211" s="219" t="s">
        <v>4189</v>
      </c>
      <c r="X211" s="110" t="s">
        <v>4190</v>
      </c>
      <c r="Z211" s="109">
        <f>IF(AC211&gt;0, COUNTIF(AC$211:AC$222, "&lt;"&amp;AC211) + COUNTIFS(AC$211:AC$222, AC211, AD$211:AD$222, "&lt;"&amp;AD211) + COUNTIFS(AC$211:AC$222, AC211, AD$211:AD$222, AD211, AA$211:AA$222, "&lt;"&amp;AA211) + 1, "TBD")</f>
        <v>1</v>
      </c>
      <c r="AA211" s="59" cm="1">
        <f t="array" ref="AA211:AF222">_xlfn._xlws.FILTER(Data[Date]:Data[Artist], (Data[Date]&gt;=DATE(2025,12,1))*(Data[Date]&lt;=DATE(2025,12,31))*(Data[Winner]=TRUE()), "TBD")</f>
        <v>45992</v>
      </c>
      <c r="AB211" t="str">
        <v>currydestroyer27</v>
      </c>
      <c r="AC211" s="3">
        <v>1.4</v>
      </c>
      <c r="AD211">
        <v>0.4898979485566356</v>
      </c>
      <c r="AE211" t="str">
        <v>Dark Necessities</v>
      </c>
      <c r="AF211" t="str">
        <v>Red Hot Chili Peppers</v>
      </c>
      <c r="AG211" s="100">
        <f t="shared" ref="AG211:AG222" si="51">IF(Z211&gt;1, 2^FLOOR(LOG(Z211-1, 2), 1)+1, 1)</f>
        <v>1</v>
      </c>
      <c r="AI211" s="280">
        <v>1</v>
      </c>
      <c r="AJ211" s="279" t="str">
        <f ca="1">P212</f>
        <v>Dark Necessities</v>
      </c>
      <c r="AK211" s="246">
        <f ca="1">IFERROR(VLOOKUP(Dec_2025_Results[[#This Row],[Song Title]], $AE$211:$AG$222, 3, FALSE)-Dec_2025_Results[[#This Row],[Result]], "TBD")</f>
        <v>0</v>
      </c>
      <c r="AL211" s="281" t="str">
        <f ca="1">IF(AK211&lt;0,"↓",IF(AK211=0,"-","↑"))</f>
        <v>-</v>
      </c>
    </row>
    <row r="212" spans="1:38">
      <c r="A212" s="199" t="str">
        <f>_xlfn.CONCAT("Seed ", Dec_2025_SotM[[#This Row],[Top Seed]], " vs ",Dec_2025_SotM[[#This Row],[Low Seed]])</f>
        <v>Seed 1 vs 2</v>
      </c>
      <c r="B212" s="201">
        <v>1</v>
      </c>
      <c r="C212" s="200">
        <f>FLOOR(LOG(Dec_2025_SotM[[#This Row],[Num]], 2), 1)</f>
        <v>0</v>
      </c>
      <c r="D212" s="200">
        <f>2^(Dec_2025_SotM[[#This Row],[Round]]+1)</f>
        <v>2</v>
      </c>
      <c r="E212" s="200">
        <f>Dec_2025_SotM[[#This Row],[Max Seed]]-Dec_2025_SotM[[#This Row],[Num]]</f>
        <v>1</v>
      </c>
      <c r="F212" s="200">
        <f>Dec_2025_SotM[[#This Row],[Max Seed]]-Dec_2025_SotM[[#This Row],[Top Seed]]+1</f>
        <v>2</v>
      </c>
      <c r="G212" s="200" t="b">
        <f>IF(Dec_2025_SotM[[#This Row],[Round]]=$C$210, TRUE(), IF(Dec_2025_SotM[[#This Row],[Round]]=$B$210, Dec_2025_SotM[[#This Row],[Top Seed]]&lt;=2*Dec_2025_SotM[[#This Row],[Max Seed]]-$A$210, FALSE()))</f>
        <v>0</v>
      </c>
      <c r="H212" s="200" t="b">
        <f>IF(Dec_2025_SotM[[#This Row],[Round]]=$C$210, TRUE(), IF(Dec_2025_SotM[[#This Row],[Round]]=$B$210, Dec_2025_SotM[[#This Row],[Low Seed]]&lt;=2*Dec_2025_SotM[[#This Row],[Max Seed]]-$A$210, FALSE()))</f>
        <v>0</v>
      </c>
      <c r="I212" s="28" t="s">
        <v>4191</v>
      </c>
      <c r="J212" s="31"/>
      <c r="K212" s="33"/>
      <c r="L212" s="35" t="s">
        <v>4191</v>
      </c>
      <c r="M212" s="37" t="s">
        <v>4191</v>
      </c>
      <c r="N212" s="203" t="str">
        <f ca="1">IF(Dec_2025_SotM[[#This Row],[Num]]&gt;=$A$210, "-", IF(Dec_2025_SotM[[#This Row],[Initial 1]], VLOOKUP(Dec_2025_SotM[[#This Row],[Top Seed]], $Z$211:$AE$222, 6, FALSE), OFFSET(Dec_2025_SotM[[#This Row],[Winner]], Dec_2025_SotM[[#This Row],[Max Seed]], 0)))</f>
        <v>Dark Necessities</v>
      </c>
      <c r="O212" s="200">
        <f>COUNTIF(Dec_2025_SotM[[#This Row],[J]:[H]],"x")</f>
        <v>3</v>
      </c>
      <c r="P212" s="201" t="str">
        <f ca="1">IF(Dec_2025_SotM[[#This Row],[Num]]&gt;=$A$210, "-", IF(Dec_2025_SotM[[#This Row],[Score 1]]&gt;=3, Dec_2025_SotM[[#This Row],[Song 1]], IF(Dec_2025_SotM[[#This Row],[Score 2]]&gt;=3, Dec_2025_SotM[[#This Row],[Song 2]], "TBD")))</f>
        <v>Dark Necessities</v>
      </c>
      <c r="Q212" s="206">
        <f>COUNTIF(Dec_2025_SotM[[#This Row],[H ]:[J ]],"x")</f>
        <v>2</v>
      </c>
      <c r="R212" s="200" t="str">
        <f ca="1">IF(Dec_2025_SotM[[#This Row],[Num]]&gt;=$A$210, "-", IF(Dec_2025_SotM[[#This Row],[Initial 2]], VLOOKUP(Dec_2025_SotM[[#This Row],[Low Seed]], $Z$211:$AE$222, 6, FALSE), OFFSET(Dec_2025_SotM[[#This Row],[Winner]], 2*(Dec_2025_SotM[[#This Row],[Max Seed]]-Dec_2025_SotM[[#This Row],[Low Seed]])+1, 0)))</f>
        <v>PASAJERO</v>
      </c>
      <c r="S212" s="37"/>
      <c r="T212" s="35"/>
      <c r="U212" s="33" t="s">
        <v>4191</v>
      </c>
      <c r="V212" s="31" t="s">
        <v>4191</v>
      </c>
      <c r="W212" s="28"/>
      <c r="X212" s="106" t="str">
        <f ca="1">IF(OR(Dec_2025_SotM[[#This Row],[Song 1]]="TBD", Dec_2025_SotM[[#This Row],[Song 2]]="TBD"), "TBD", _xlfn.CONCAT(IF(_xlfn.XOR(ISBLANK(Dec_2025_SotM[[#This Row],[J]]), ISBLANK(Dec_2025_SotM[[#This Row],[J ]])), "", "J "), IF(_xlfn.XOR(ISBLANK(Dec_2025_SotM[[#This Row],[D]]), ISBLANK(Dec_2025_SotM[[#This Row],[D ]])), "", "D "), IF(_xlfn.XOR(ISBLANK(Dec_2025_SotM[[#This Row],[L]]), ISBLANK(Dec_2025_SotM[[#This Row],[L ]])), "", "L "), IF(_xlfn.XOR(ISBLANK(Dec_2025_SotM[[#This Row],[S]]), ISBLANK(Dec_2025_SotM[[#This Row],[S ]])), "", "S "), IF(_xlfn.XOR(ISBLANK(Dec_2025_SotM[[#This Row],[H]]), ISBLANK(Dec_2025_SotM[[#This Row],[H ]])), "", "H ")))</f>
        <v/>
      </c>
      <c r="Z212" s="109">
        <f t="shared" ref="Z212:Z222" si="52">IF(AC212&gt;0, COUNTIF(AC$211:AC$222, "&lt;"&amp;AC212) + COUNTIFS(AC$211:AC$222, AC212, AD$211:AD$222, "&lt;"&amp;AD212) + COUNTIFS(AC$211:AC$222, AC212, AD$211:AD$222, AD212, AA$211:AA$222, "&lt;"&amp;AA212) + 1, "TBD")</f>
        <v>6</v>
      </c>
      <c r="AA212" s="59">
        <v>45993</v>
      </c>
      <c r="AB212" t="str">
        <v>danram</v>
      </c>
      <c r="AC212" s="3">
        <v>2</v>
      </c>
      <c r="AD212">
        <v>0.89442719099991586</v>
      </c>
      <c r="AE212" t="str">
        <v>Selfish</v>
      </c>
      <c r="AF212" t="str">
        <v>PnB Rock</v>
      </c>
      <c r="AG212" s="100">
        <f t="shared" si="51"/>
        <v>5</v>
      </c>
      <c r="AI212" s="280">
        <f>Dec_2025_SotM[[#This Row],[Max Seed]]/2 + 1</f>
        <v>2</v>
      </c>
      <c r="AJ212" s="279" t="str">
        <f ca="1">IF(Dec_2025_SotM[[#This Row],[Num]]&gt;=$A$210, "-", IF(Dec_2025_SotM[[#This Row],[Score 1]]&gt;=3, Dec_2025_SotM[[#This Row],[Song 2]], IF(Dec_2025_SotM[[#This Row],[Score 2]]&gt;=3, Dec_2025_SotM[[#This Row],[Song 1]], "TBD")))</f>
        <v>PASAJERO</v>
      </c>
      <c r="AK212" s="246">
        <f ca="1">IFERROR(VLOOKUP(Dec_2025_Results[[#This Row],[Song Title]], $AE$211:$AG$222, 3, FALSE)-Dec_2025_Results[[#This Row],[Result]], "TBD")</f>
        <v>7</v>
      </c>
      <c r="AL212" s="281" t="str">
        <f t="shared" ref="AL212:AL222" ca="1" si="53">IF(AK212&lt;0,"↓",IF(AK212=0,"-","↑"))</f>
        <v>↑</v>
      </c>
    </row>
    <row r="213" spans="1:38">
      <c r="A213" s="199" t="str">
        <f>_xlfn.CONCAT("Seed ", Dec_2025_SotM[[#This Row],[Top Seed]], " vs ",Dec_2025_SotM[[#This Row],[Low Seed]])</f>
        <v>Seed 2 vs 3</v>
      </c>
      <c r="B213" s="201">
        <v>2</v>
      </c>
      <c r="C213" s="200">
        <f>FLOOR(LOG(Dec_2025_SotM[[#This Row],[Num]], 2), 1)</f>
        <v>1</v>
      </c>
      <c r="D213" s="200">
        <f>2^(Dec_2025_SotM[[#This Row],[Round]]+1)</f>
        <v>4</v>
      </c>
      <c r="E213" s="200">
        <f>Dec_2025_SotM[[#This Row],[Max Seed]]-Dec_2025_SotM[[#This Row],[Num]]</f>
        <v>2</v>
      </c>
      <c r="F213" s="200">
        <f>Dec_2025_SotM[[#This Row],[Max Seed]]-Dec_2025_SotM[[#This Row],[Top Seed]]+1</f>
        <v>3</v>
      </c>
      <c r="G213" s="200" t="b">
        <f>IF(Dec_2025_SotM[[#This Row],[Round]]=$C$210, TRUE(), IF(Dec_2025_SotM[[#This Row],[Round]]=$B$210, Dec_2025_SotM[[#This Row],[Top Seed]]&lt;=2*Dec_2025_SotM[[#This Row],[Max Seed]]-$A$210, FALSE()))</f>
        <v>0</v>
      </c>
      <c r="H213" s="200" t="b">
        <f>IF(Dec_2025_SotM[[#This Row],[Round]]=$C$210, TRUE(), IF(Dec_2025_SotM[[#This Row],[Round]]=$B$210, Dec_2025_SotM[[#This Row],[Low Seed]]&lt;=2*Dec_2025_SotM[[#This Row],[Max Seed]]-$A$210, FALSE()))</f>
        <v>0</v>
      </c>
      <c r="I213" s="28" t="s">
        <v>4191</v>
      </c>
      <c r="J213" s="31"/>
      <c r="K213" s="33"/>
      <c r="L213" s="35"/>
      <c r="M213" s="37" t="s">
        <v>4191</v>
      </c>
      <c r="N213" s="203" t="str">
        <f ca="1">IF(Dec_2025_SotM[[#This Row],[Num]]&gt;=$A$210, "-", IF(Dec_2025_SotM[[#This Row],[Initial 1]], VLOOKUP(Dec_2025_SotM[[#This Row],[Top Seed]], $Z$211:$AE$222, 6, FALSE), OFFSET(Dec_2025_SotM[[#This Row],[Winner]], Dec_2025_SotM[[#This Row],[Max Seed]], 0)))</f>
        <v>Trunks</v>
      </c>
      <c r="O213" s="200">
        <f>COUNTIF(Dec_2025_SotM[[#This Row],[J]:[H]],"x")</f>
        <v>2</v>
      </c>
      <c r="P213" s="201" t="str">
        <f ca="1">IF(Dec_2025_SotM[[#This Row],[Num]]&gt;=$A$210, "-", IF(Dec_2025_SotM[[#This Row],[Score 1]]&gt;=3, Dec_2025_SotM[[#This Row],[Song 1]], IF(Dec_2025_SotM[[#This Row],[Score 2]]&gt;=3, Dec_2025_SotM[[#This Row],[Song 2]], "TBD")))</f>
        <v>PASAJERO</v>
      </c>
      <c r="Q213" s="206">
        <f>COUNTIF(Dec_2025_SotM[[#This Row],[H ]:[J ]],"x")</f>
        <v>3</v>
      </c>
      <c r="R213" s="200" t="str">
        <f ca="1">IF(Dec_2025_SotM[[#This Row],[Num]]&gt;=$A$210, "-", IF(Dec_2025_SotM[[#This Row],[Initial 2]], VLOOKUP(Dec_2025_SotM[[#This Row],[Low Seed]], $Z$211:$AE$222, 6, FALSE), OFFSET(Dec_2025_SotM[[#This Row],[Winner]], 2*(Dec_2025_SotM[[#This Row],[Max Seed]]-Dec_2025_SotM[[#This Row],[Low Seed]])+1, 0)))</f>
        <v>PASAJERO</v>
      </c>
      <c r="S213" s="37"/>
      <c r="T213" s="35" t="s">
        <v>4191</v>
      </c>
      <c r="U213" s="33" t="s">
        <v>4191</v>
      </c>
      <c r="V213" s="31" t="s">
        <v>4191</v>
      </c>
      <c r="W213" s="28"/>
      <c r="X213" s="106" t="str">
        <f ca="1">IF(OR(Dec_2025_SotM[[#This Row],[Song 1]]="TBD", Dec_2025_SotM[[#This Row],[Song 2]]="TBD"), "TBD", _xlfn.CONCAT(IF(_xlfn.XOR(ISBLANK(Dec_2025_SotM[[#This Row],[J]]), ISBLANK(Dec_2025_SotM[[#This Row],[J ]])), "", "J "), IF(_xlfn.XOR(ISBLANK(Dec_2025_SotM[[#This Row],[D]]), ISBLANK(Dec_2025_SotM[[#This Row],[D ]])), "", "D "), IF(_xlfn.XOR(ISBLANK(Dec_2025_SotM[[#This Row],[L]]), ISBLANK(Dec_2025_SotM[[#This Row],[L ]])), "", "L "), IF(_xlfn.XOR(ISBLANK(Dec_2025_SotM[[#This Row],[S]]), ISBLANK(Dec_2025_SotM[[#This Row],[S ]])), "", "S "), IF(_xlfn.XOR(ISBLANK(Dec_2025_SotM[[#This Row],[H]]), ISBLANK(Dec_2025_SotM[[#This Row],[H ]])), "", "H ")))</f>
        <v/>
      </c>
      <c r="Z213" s="109">
        <f t="shared" si="52"/>
        <v>3</v>
      </c>
      <c r="AA213" s="59">
        <v>45994</v>
      </c>
      <c r="AB213" t="str">
        <v>alappatjoe</v>
      </c>
      <c r="AC213" s="3">
        <v>1.6</v>
      </c>
      <c r="AD213">
        <v>0.4898979485566356</v>
      </c>
      <c r="AE213" t="str">
        <v>nah</v>
      </c>
      <c r="AF213" t="str">
        <v>Khalid</v>
      </c>
      <c r="AG213" s="100">
        <f t="shared" si="51"/>
        <v>3</v>
      </c>
      <c r="AI213" s="3">
        <f>Dec_2025_SotM[[#This Row],[Max Seed]]/2 + 1</f>
        <v>3</v>
      </c>
      <c r="AJ213" t="str">
        <f ca="1">IF(Dec_2025_SotM[[#This Row],[Num]]&gt;=$A$210, "-", IF(Dec_2025_SotM[[#This Row],[Score 1]]&gt;=3, Dec_2025_SotM[[#This Row],[Song 2]], IF(Dec_2025_SotM[[#This Row],[Score 2]]&gt;=3, Dec_2025_SotM[[#This Row],[Song 1]], "TBD")))</f>
        <v>Trunks</v>
      </c>
      <c r="AK213" s="3">
        <f ca="1">IFERROR(VLOOKUP(Dec_2025_Results[[#This Row],[Song Title]], $AE$211:$AG$222, 3, FALSE)-Dec_2025_Results[[#This Row],[Result]], "TBD")</f>
        <v>6</v>
      </c>
      <c r="AL213" s="3" t="str">
        <f t="shared" ca="1" si="53"/>
        <v>↑</v>
      </c>
    </row>
    <row r="214" spans="1:38">
      <c r="A214" s="199" t="str">
        <f>_xlfn.CONCAT("Seed ", Dec_2025_SotM[[#This Row],[Top Seed]], " vs ",Dec_2025_SotM[[#This Row],[Low Seed]])</f>
        <v>Seed 1 vs 4</v>
      </c>
      <c r="B214" s="201">
        <v>3</v>
      </c>
      <c r="C214" s="200">
        <f>FLOOR(LOG(Dec_2025_SotM[[#This Row],[Num]], 2), 1)</f>
        <v>1</v>
      </c>
      <c r="D214" s="200">
        <f>2^(Dec_2025_SotM[[#This Row],[Round]]+1)</f>
        <v>4</v>
      </c>
      <c r="E214" s="200">
        <f>Dec_2025_SotM[[#This Row],[Max Seed]]-Dec_2025_SotM[[#This Row],[Num]]</f>
        <v>1</v>
      </c>
      <c r="F214" s="200">
        <f>Dec_2025_SotM[[#This Row],[Max Seed]]-Dec_2025_SotM[[#This Row],[Top Seed]]+1</f>
        <v>4</v>
      </c>
      <c r="G214" s="200" t="b">
        <f>IF(Dec_2025_SotM[[#This Row],[Round]]=$C$210, TRUE(), IF(Dec_2025_SotM[[#This Row],[Round]]=$B$210, Dec_2025_SotM[[#This Row],[Top Seed]]&lt;=2*Dec_2025_SotM[[#This Row],[Max Seed]]-$A$210, FALSE()))</f>
        <v>0</v>
      </c>
      <c r="H214" s="200" t="b">
        <f>IF(Dec_2025_SotM[[#This Row],[Round]]=$C$210, TRUE(), IF(Dec_2025_SotM[[#This Row],[Round]]=$B$210, Dec_2025_SotM[[#This Row],[Low Seed]]&lt;=2*Dec_2025_SotM[[#This Row],[Max Seed]]-$A$210, FALSE()))</f>
        <v>0</v>
      </c>
      <c r="I214" s="28" t="s">
        <v>4191</v>
      </c>
      <c r="J214" s="31" t="s">
        <v>4191</v>
      </c>
      <c r="K214" s="33" t="s">
        <v>4191</v>
      </c>
      <c r="L214" s="35"/>
      <c r="M214" s="37" t="s">
        <v>4191</v>
      </c>
      <c r="N214" s="203" t="str">
        <f ca="1">IF(Dec_2025_SotM[[#This Row],[Num]]&gt;=$A$210, "-", IF(Dec_2025_SotM[[#This Row],[Initial 1]], VLOOKUP(Dec_2025_SotM[[#This Row],[Top Seed]], $Z$211:$AE$222, 6, FALSE), OFFSET(Dec_2025_SotM[[#This Row],[Winner]], Dec_2025_SotM[[#This Row],[Max Seed]], 0)))</f>
        <v>Dark Necessities</v>
      </c>
      <c r="O214" s="200">
        <f>COUNTIF(Dec_2025_SotM[[#This Row],[J]:[H]],"x")</f>
        <v>4</v>
      </c>
      <c r="P214" s="201" t="str">
        <f ca="1">IF(Dec_2025_SotM[[#This Row],[Num]]&gt;=$A$210, "-", IF(Dec_2025_SotM[[#This Row],[Score 1]]&gt;=3, Dec_2025_SotM[[#This Row],[Song 1]], IF(Dec_2025_SotM[[#This Row],[Score 2]]&gt;=3, Dec_2025_SotM[[#This Row],[Song 2]], "TBD")))</f>
        <v>Dark Necessities</v>
      </c>
      <c r="Q214" s="206">
        <f>COUNTIF(Dec_2025_SotM[[#This Row],[H ]:[J ]],"x")</f>
        <v>1</v>
      </c>
      <c r="R214" s="200">
        <f ca="1">IF(Dec_2025_SotM[[#This Row],[Num]]&gt;=$A$210, "-", IF(Dec_2025_SotM[[#This Row],[Initial 2]], VLOOKUP(Dec_2025_SotM[[#This Row],[Low Seed]], $Z$211:$AE$222, 6, FALSE), OFFSET(Dec_2025_SotM[[#This Row],[Winner]], 2*(Dec_2025_SotM[[#This Row],[Max Seed]]-Dec_2025_SotM[[#This Row],[Low Seed]])+1, 0)))</f>
        <v>1979</v>
      </c>
      <c r="S214" s="37"/>
      <c r="T214" s="35" t="s">
        <v>4191</v>
      </c>
      <c r="U214" s="33"/>
      <c r="V214" s="31"/>
      <c r="W214" s="28"/>
      <c r="X214" s="106" t="str">
        <f ca="1">IF(OR(Dec_2025_SotM[[#This Row],[Song 1]]="TBD", Dec_2025_SotM[[#This Row],[Song 2]]="TBD"), "TBD", _xlfn.CONCAT(IF(_xlfn.XOR(ISBLANK(Dec_2025_SotM[[#This Row],[J]]), ISBLANK(Dec_2025_SotM[[#This Row],[J ]])), "", "J "), IF(_xlfn.XOR(ISBLANK(Dec_2025_SotM[[#This Row],[D]]), ISBLANK(Dec_2025_SotM[[#This Row],[D ]])), "", "D "), IF(_xlfn.XOR(ISBLANK(Dec_2025_SotM[[#This Row],[L]]), ISBLANK(Dec_2025_SotM[[#This Row],[L ]])), "", "L "), IF(_xlfn.XOR(ISBLANK(Dec_2025_SotM[[#This Row],[S]]), ISBLANK(Dec_2025_SotM[[#This Row],[S ]])), "", "S "), IF(_xlfn.XOR(ISBLANK(Dec_2025_SotM[[#This Row],[H]]), ISBLANK(Dec_2025_SotM[[#This Row],[H ]])), "", "H ")))</f>
        <v/>
      </c>
      <c r="Z214" s="109">
        <f t="shared" si="52"/>
        <v>7</v>
      </c>
      <c r="AA214" s="59">
        <v>45995</v>
      </c>
      <c r="AB214" t="str">
        <v>samuelbattista</v>
      </c>
      <c r="AC214" s="3">
        <v>2</v>
      </c>
      <c r="AD214">
        <v>1.0954451150103321</v>
      </c>
      <c r="AE214" t="str">
        <v>100 Horses</v>
      </c>
      <c r="AF214" t="str">
        <v>Geese</v>
      </c>
      <c r="AG214" s="100">
        <f t="shared" si="51"/>
        <v>5</v>
      </c>
      <c r="AI214" s="3">
        <f>Dec_2025_SotM[[#This Row],[Max Seed]]/2 + 1</f>
        <v>3</v>
      </c>
      <c r="AJ214">
        <f ca="1">IF(Dec_2025_SotM[[#This Row],[Num]]&gt;=$A$210, "-", IF(Dec_2025_SotM[[#This Row],[Score 1]]&gt;=3, Dec_2025_SotM[[#This Row],[Song 2]], IF(Dec_2025_SotM[[#This Row],[Score 2]]&gt;=3, Dec_2025_SotM[[#This Row],[Song 1]], "TBD")))</f>
        <v>1979</v>
      </c>
      <c r="AK214" s="3">
        <f ca="1">IFERROR(VLOOKUP(Dec_2025_Results[[#This Row],[Song Title]], $AE$211:$AG$222, 3, FALSE)-Dec_2025_Results[[#This Row],[Result]], "TBD")</f>
        <v>0</v>
      </c>
      <c r="AL214" s="3" t="str">
        <f t="shared" ca="1" si="53"/>
        <v>-</v>
      </c>
    </row>
    <row r="215" spans="1:38">
      <c r="A215" s="199" t="str">
        <f>_xlfn.CONCAT("Seed ", Dec_2025_SotM[[#This Row],[Top Seed]], " vs ",Dec_2025_SotM[[#This Row],[Low Seed]])</f>
        <v>Seed 4 vs 5</v>
      </c>
      <c r="B215" s="201">
        <v>4</v>
      </c>
      <c r="C215" s="200">
        <f>FLOOR(LOG(Dec_2025_SotM[[#This Row],[Num]], 2), 1)</f>
        <v>2</v>
      </c>
      <c r="D215" s="200">
        <f>2^(Dec_2025_SotM[[#This Row],[Round]]+1)</f>
        <v>8</v>
      </c>
      <c r="E215" s="200">
        <f>Dec_2025_SotM[[#This Row],[Max Seed]]-Dec_2025_SotM[[#This Row],[Num]]</f>
        <v>4</v>
      </c>
      <c r="F215" s="200">
        <f>Dec_2025_SotM[[#This Row],[Max Seed]]-Dec_2025_SotM[[#This Row],[Top Seed]]+1</f>
        <v>5</v>
      </c>
      <c r="G215" s="200" t="b">
        <f>IF(Dec_2025_SotM[[#This Row],[Round]]=$C$210, TRUE(), IF(Dec_2025_SotM[[#This Row],[Round]]=$B$210, Dec_2025_SotM[[#This Row],[Top Seed]]&lt;=2*Dec_2025_SotM[[#This Row],[Max Seed]]-$A$210, FALSE()))</f>
        <v>1</v>
      </c>
      <c r="H215" s="200" t="b">
        <f>IF(Dec_2025_SotM[[#This Row],[Round]]=$C$210, TRUE(), IF(Dec_2025_SotM[[#This Row],[Round]]=$B$210, Dec_2025_SotM[[#This Row],[Low Seed]]&lt;=2*Dec_2025_SotM[[#This Row],[Max Seed]]-$A$210, FALSE()))</f>
        <v>0</v>
      </c>
      <c r="I215" s="28"/>
      <c r="J215" s="31" t="s">
        <v>4191</v>
      </c>
      <c r="K215" s="33" t="s">
        <v>4191</v>
      </c>
      <c r="L215" s="35" t="s">
        <v>4191</v>
      </c>
      <c r="M215" s="37"/>
      <c r="N215" s="203">
        <f ca="1">IF(Dec_2025_SotM[[#This Row],[Num]]&gt;=$A$210, "-", IF(Dec_2025_SotM[[#This Row],[Initial 1]], VLOOKUP(Dec_2025_SotM[[#This Row],[Top Seed]], $Z$211:$AE$222, 6, FALSE), OFFSET(Dec_2025_SotM[[#This Row],[Winner]], Dec_2025_SotM[[#This Row],[Max Seed]], 0)))</f>
        <v>1979</v>
      </c>
      <c r="O215" s="200">
        <f>COUNTIF(Dec_2025_SotM[[#This Row],[J]:[H]],"x")</f>
        <v>3</v>
      </c>
      <c r="P215" s="201">
        <f ca="1">IF(Dec_2025_SotM[[#This Row],[Num]]&gt;=$A$210, "-", IF(Dec_2025_SotM[[#This Row],[Score 1]]&gt;=3, Dec_2025_SotM[[#This Row],[Song 1]], IF(Dec_2025_SotM[[#This Row],[Score 2]]&gt;=3, Dec_2025_SotM[[#This Row],[Song 2]], "TBD")))</f>
        <v>1979</v>
      </c>
      <c r="Q215" s="206">
        <f>COUNTIF(Dec_2025_SotM[[#This Row],[H ]:[J ]],"x")</f>
        <v>2</v>
      </c>
      <c r="R215" s="200" t="str">
        <f ca="1">IF(Dec_2025_SotM[[#This Row],[Num]]&gt;=$A$210, "-", IF(Dec_2025_SotM[[#This Row],[Initial 2]], VLOOKUP(Dec_2025_SotM[[#This Row],[Low Seed]], $Z$211:$AE$222, 6, FALSE), OFFSET(Dec_2025_SotM[[#This Row],[Winner]], 2*(Dec_2025_SotM[[#This Row],[Max Seed]]-Dec_2025_SotM[[#This Row],[Low Seed]])+1, 0)))</f>
        <v>her</v>
      </c>
      <c r="S215" s="37" t="s">
        <v>4191</v>
      </c>
      <c r="T215" s="35"/>
      <c r="U215" s="33"/>
      <c r="V215" s="31"/>
      <c r="W215" s="28" t="s">
        <v>4191</v>
      </c>
      <c r="X215" s="106" t="str">
        <f ca="1">IF(OR(Dec_2025_SotM[[#This Row],[Song 1]]="TBD", Dec_2025_SotM[[#This Row],[Song 2]]="TBD"), "TBD", _xlfn.CONCAT(IF(_xlfn.XOR(ISBLANK(Dec_2025_SotM[[#This Row],[J]]), ISBLANK(Dec_2025_SotM[[#This Row],[J ]])), "", "J "), IF(_xlfn.XOR(ISBLANK(Dec_2025_SotM[[#This Row],[D]]), ISBLANK(Dec_2025_SotM[[#This Row],[D ]])), "", "D "), IF(_xlfn.XOR(ISBLANK(Dec_2025_SotM[[#This Row],[L]]), ISBLANK(Dec_2025_SotM[[#This Row],[L ]])), "", "L "), IF(_xlfn.XOR(ISBLANK(Dec_2025_SotM[[#This Row],[S]]), ISBLANK(Dec_2025_SotM[[#This Row],[S ]])), "", "S "), IF(_xlfn.XOR(ISBLANK(Dec_2025_SotM[[#This Row],[H]]), ISBLANK(Dec_2025_SotM[[#This Row],[H ]])), "", "H ")))</f>
        <v/>
      </c>
      <c r="Z215" s="109">
        <f t="shared" si="52"/>
        <v>4</v>
      </c>
      <c r="AA215" s="59">
        <v>45999</v>
      </c>
      <c r="AB215" t="str">
        <v>samuelbattista</v>
      </c>
      <c r="AC215" s="3">
        <v>1.8</v>
      </c>
      <c r="AD215">
        <v>0.9797958971132712</v>
      </c>
      <c r="AE215">
        <v>1979</v>
      </c>
      <c r="AF215" t="str">
        <v>The Smashing Pumpkins</v>
      </c>
      <c r="AG215" s="100">
        <f t="shared" si="51"/>
        <v>3</v>
      </c>
      <c r="AI215" s="3">
        <f>Dec_2025_SotM[[#This Row],[Max Seed]]/2 + 1</f>
        <v>5</v>
      </c>
      <c r="AJ215" t="str">
        <f ca="1">IF(Dec_2025_SotM[[#This Row],[Num]]&gt;=$A$210, "-", IF(Dec_2025_SotM[[#This Row],[Score 1]]&gt;=3, Dec_2025_SotM[[#This Row],[Song 2]], IF(Dec_2025_SotM[[#This Row],[Score 2]]&gt;=3, Dec_2025_SotM[[#This Row],[Song 1]], "TBD")))</f>
        <v>her</v>
      </c>
      <c r="AK215" s="3">
        <f ca="1">IFERROR(VLOOKUP(Dec_2025_Results[[#This Row],[Song Title]], $AE$211:$AG$222, 3, FALSE)-Dec_2025_Results[[#This Row],[Result]], "TBD")</f>
        <v>4</v>
      </c>
      <c r="AL215" s="3" t="str">
        <f t="shared" ca="1" si="53"/>
        <v>↑</v>
      </c>
    </row>
    <row r="216" spans="1:38">
      <c r="A216" s="199" t="str">
        <f>_xlfn.CONCAT("Seed ", Dec_2025_SotM[[#This Row],[Top Seed]], " vs ",Dec_2025_SotM[[#This Row],[Low Seed]])</f>
        <v>Seed 3 vs 6</v>
      </c>
      <c r="B216" s="201">
        <v>5</v>
      </c>
      <c r="C216" s="200">
        <f>FLOOR(LOG(Dec_2025_SotM[[#This Row],[Num]], 2), 1)</f>
        <v>2</v>
      </c>
      <c r="D216" s="200">
        <f>2^(Dec_2025_SotM[[#This Row],[Round]]+1)</f>
        <v>8</v>
      </c>
      <c r="E216" s="200">
        <f>Dec_2025_SotM[[#This Row],[Max Seed]]-Dec_2025_SotM[[#This Row],[Num]]</f>
        <v>3</v>
      </c>
      <c r="F216" s="200">
        <f>Dec_2025_SotM[[#This Row],[Max Seed]]-Dec_2025_SotM[[#This Row],[Top Seed]]+1</f>
        <v>6</v>
      </c>
      <c r="G216" s="200" t="b">
        <f>IF(Dec_2025_SotM[[#This Row],[Round]]=$C$210, TRUE(), IF(Dec_2025_SotM[[#This Row],[Round]]=$B$210, Dec_2025_SotM[[#This Row],[Top Seed]]&lt;=2*Dec_2025_SotM[[#This Row],[Max Seed]]-$A$210, FALSE()))</f>
        <v>1</v>
      </c>
      <c r="H216" s="200" t="b">
        <f>IF(Dec_2025_SotM[[#This Row],[Round]]=$C$210, TRUE(), IF(Dec_2025_SotM[[#This Row],[Round]]=$B$210, Dec_2025_SotM[[#This Row],[Low Seed]]&lt;=2*Dec_2025_SotM[[#This Row],[Max Seed]]-$A$210, FALSE()))</f>
        <v>0</v>
      </c>
      <c r="I216" s="28" t="s">
        <v>4191</v>
      </c>
      <c r="J216" s="31"/>
      <c r="K216" s="33"/>
      <c r="L216" s="35"/>
      <c r="M216" s="37"/>
      <c r="N216" s="203" t="str">
        <f ca="1">IF(Dec_2025_SotM[[#This Row],[Num]]&gt;=$A$210, "-", IF(Dec_2025_SotM[[#This Row],[Initial 1]], VLOOKUP(Dec_2025_SotM[[#This Row],[Top Seed]], $Z$211:$AE$222, 6, FALSE), OFFSET(Dec_2025_SotM[[#This Row],[Winner]], Dec_2025_SotM[[#This Row],[Max Seed]], 0)))</f>
        <v>nah</v>
      </c>
      <c r="O216" s="200">
        <f>COUNTIF(Dec_2025_SotM[[#This Row],[J]:[H]],"x")</f>
        <v>1</v>
      </c>
      <c r="P216" s="201" t="str">
        <f ca="1">IF(Dec_2025_SotM[[#This Row],[Num]]&gt;=$A$210, "-", IF(Dec_2025_SotM[[#This Row],[Score 1]]&gt;=3, Dec_2025_SotM[[#This Row],[Song 1]], IF(Dec_2025_SotM[[#This Row],[Score 2]]&gt;=3, Dec_2025_SotM[[#This Row],[Song 2]], "TBD")))</f>
        <v>PASAJERO</v>
      </c>
      <c r="Q216" s="206">
        <f>COUNTIF(Dec_2025_SotM[[#This Row],[H ]:[J ]],"x")</f>
        <v>4</v>
      </c>
      <c r="R216" s="200" t="str">
        <f ca="1">IF(Dec_2025_SotM[[#This Row],[Num]]&gt;=$A$210, "-", IF(Dec_2025_SotM[[#This Row],[Initial 2]], VLOOKUP(Dec_2025_SotM[[#This Row],[Low Seed]], $Z$211:$AE$222, 6, FALSE), OFFSET(Dec_2025_SotM[[#This Row],[Winner]], 2*(Dec_2025_SotM[[#This Row],[Max Seed]]-Dec_2025_SotM[[#This Row],[Low Seed]])+1, 0)))</f>
        <v>PASAJERO</v>
      </c>
      <c r="S216" s="37" t="s">
        <v>4191</v>
      </c>
      <c r="T216" s="35" t="s">
        <v>4191</v>
      </c>
      <c r="U216" s="33" t="s">
        <v>4191</v>
      </c>
      <c r="V216" s="31" t="s">
        <v>4191</v>
      </c>
      <c r="W216" s="28"/>
      <c r="X216" s="106" t="str">
        <f ca="1">IF(OR(Dec_2025_SotM[[#This Row],[Song 1]]="TBD", Dec_2025_SotM[[#This Row],[Song 2]]="TBD"), "TBD", _xlfn.CONCAT(IF(_xlfn.XOR(ISBLANK(Dec_2025_SotM[[#This Row],[J]]), ISBLANK(Dec_2025_SotM[[#This Row],[J ]])), "", "J "), IF(_xlfn.XOR(ISBLANK(Dec_2025_SotM[[#This Row],[D]]), ISBLANK(Dec_2025_SotM[[#This Row],[D ]])), "", "D "), IF(_xlfn.XOR(ISBLANK(Dec_2025_SotM[[#This Row],[L]]), ISBLANK(Dec_2025_SotM[[#This Row],[L ]])), "", "L "), IF(_xlfn.XOR(ISBLANK(Dec_2025_SotM[[#This Row],[S]]), ISBLANK(Dec_2025_SotM[[#This Row],[S ]])), "", "S "), IF(_xlfn.XOR(ISBLANK(Dec_2025_SotM[[#This Row],[H]]), ISBLANK(Dec_2025_SotM[[#This Row],[H ]])), "", "H ")))</f>
        <v/>
      </c>
      <c r="Z216" s="109">
        <f t="shared" si="52"/>
        <v>12</v>
      </c>
      <c r="AA216" s="59">
        <v>46000</v>
      </c>
      <c r="AB216" t="str">
        <v>currydestroyer27</v>
      </c>
      <c r="AC216" s="3">
        <v>2.4</v>
      </c>
      <c r="AD216">
        <v>1.019803902718557</v>
      </c>
      <c r="AE216" t="str">
        <v>her</v>
      </c>
      <c r="AF216" t="str">
        <v>JVKE, Annika Wells</v>
      </c>
      <c r="AG216" s="100">
        <f t="shared" si="51"/>
        <v>9</v>
      </c>
      <c r="AI216" s="3">
        <f>Dec_2025_SotM[[#This Row],[Max Seed]]/2 + 1</f>
        <v>5</v>
      </c>
      <c r="AJ216" t="str">
        <f ca="1">IF(Dec_2025_SotM[[#This Row],[Num]]&gt;=$A$210, "-", IF(Dec_2025_SotM[[#This Row],[Score 1]]&gt;=3, Dec_2025_SotM[[#This Row],[Song 2]], IF(Dec_2025_SotM[[#This Row],[Score 2]]&gt;=3, Dec_2025_SotM[[#This Row],[Song 1]], "TBD")))</f>
        <v>nah</v>
      </c>
      <c r="AK216" s="3">
        <f ca="1">IFERROR(VLOOKUP(Dec_2025_Results[[#This Row],[Song Title]], $AE$211:$AG$222, 3, FALSE)-Dec_2025_Results[[#This Row],[Result]], "TBD")</f>
        <v>-2</v>
      </c>
      <c r="AL216" s="3" t="str">
        <f t="shared" ca="1" si="53"/>
        <v>↓</v>
      </c>
    </row>
    <row r="217" spans="1:38">
      <c r="A217" s="199" t="str">
        <f>_xlfn.CONCAT("Seed ", Dec_2025_SotM[[#This Row],[Top Seed]], " vs ",Dec_2025_SotM[[#This Row],[Low Seed]])</f>
        <v>Seed 2 vs 7</v>
      </c>
      <c r="B217" s="201">
        <v>6</v>
      </c>
      <c r="C217" s="200">
        <f>FLOOR(LOG(Dec_2025_SotM[[#This Row],[Num]], 2), 1)</f>
        <v>2</v>
      </c>
      <c r="D217" s="200">
        <f>2^(Dec_2025_SotM[[#This Row],[Round]]+1)</f>
        <v>8</v>
      </c>
      <c r="E217" s="200">
        <f>Dec_2025_SotM[[#This Row],[Max Seed]]-Dec_2025_SotM[[#This Row],[Num]]</f>
        <v>2</v>
      </c>
      <c r="F217" s="200">
        <f>Dec_2025_SotM[[#This Row],[Max Seed]]-Dec_2025_SotM[[#This Row],[Top Seed]]+1</f>
        <v>7</v>
      </c>
      <c r="G217" s="200" t="b">
        <f>IF(Dec_2025_SotM[[#This Row],[Round]]=$C$210, TRUE(), IF(Dec_2025_SotM[[#This Row],[Round]]=$B$210, Dec_2025_SotM[[#This Row],[Top Seed]]&lt;=2*Dec_2025_SotM[[#This Row],[Max Seed]]-$A$210, FALSE()))</f>
        <v>1</v>
      </c>
      <c r="H217" s="200" t="b">
        <f>IF(Dec_2025_SotM[[#This Row],[Round]]=$C$210, TRUE(), IF(Dec_2025_SotM[[#This Row],[Round]]=$B$210, Dec_2025_SotM[[#This Row],[Low Seed]]&lt;=2*Dec_2025_SotM[[#This Row],[Max Seed]]-$A$210, FALSE()))</f>
        <v>0</v>
      </c>
      <c r="I217" s="28" t="s">
        <v>4191</v>
      </c>
      <c r="J217" s="31"/>
      <c r="K217" s="33"/>
      <c r="L217" s="35"/>
      <c r="M217" s="37"/>
      <c r="N217" s="203" t="str">
        <f ca="1">IF(Dec_2025_SotM[[#This Row],[Num]]&gt;=$A$210, "-", IF(Dec_2025_SotM[[#This Row],[Initial 1]], VLOOKUP(Dec_2025_SotM[[#This Row],[Top Seed]], $Z$211:$AE$222, 6, FALSE), OFFSET(Dec_2025_SotM[[#This Row],[Winner]], Dec_2025_SotM[[#This Row],[Max Seed]], 0)))</f>
        <v>I Hope</v>
      </c>
      <c r="O217" s="200">
        <f>COUNTIF(Dec_2025_SotM[[#This Row],[J]:[H]],"x")</f>
        <v>1</v>
      </c>
      <c r="P217" s="201" t="str">
        <f ca="1">IF(Dec_2025_SotM[[#This Row],[Num]]&gt;=$A$210, "-", IF(Dec_2025_SotM[[#This Row],[Score 1]]&gt;=3, Dec_2025_SotM[[#This Row],[Song 1]], IF(Dec_2025_SotM[[#This Row],[Score 2]]&gt;=3, Dec_2025_SotM[[#This Row],[Song 2]], "TBD")))</f>
        <v>Trunks</v>
      </c>
      <c r="Q217" s="206">
        <f>COUNTIF(Dec_2025_SotM[[#This Row],[H ]:[J ]],"x")</f>
        <v>4</v>
      </c>
      <c r="R217" s="200" t="str">
        <f ca="1">IF(Dec_2025_SotM[[#This Row],[Num]]&gt;=$A$210, "-", IF(Dec_2025_SotM[[#This Row],[Initial 2]], VLOOKUP(Dec_2025_SotM[[#This Row],[Low Seed]], $Z$211:$AE$222, 6, FALSE), OFFSET(Dec_2025_SotM[[#This Row],[Winner]], 2*(Dec_2025_SotM[[#This Row],[Max Seed]]-Dec_2025_SotM[[#This Row],[Low Seed]])+1, 0)))</f>
        <v>Trunks</v>
      </c>
      <c r="S217" s="37" t="s">
        <v>4191</v>
      </c>
      <c r="T217" s="35" t="s">
        <v>4191</v>
      </c>
      <c r="U217" s="33" t="s">
        <v>4191</v>
      </c>
      <c r="V217" s="31" t="s">
        <v>4191</v>
      </c>
      <c r="W217" s="28"/>
      <c r="X217" s="106" t="str">
        <f ca="1">IF(OR(Dec_2025_SotM[[#This Row],[Song 1]]="TBD", Dec_2025_SotM[[#This Row],[Song 2]]="TBD"), "TBD", _xlfn.CONCAT(IF(_xlfn.XOR(ISBLANK(Dec_2025_SotM[[#This Row],[J]]), ISBLANK(Dec_2025_SotM[[#This Row],[J ]])), "", "J "), IF(_xlfn.XOR(ISBLANK(Dec_2025_SotM[[#This Row],[D]]), ISBLANK(Dec_2025_SotM[[#This Row],[D ]])), "", "D "), IF(_xlfn.XOR(ISBLANK(Dec_2025_SotM[[#This Row],[L]]), ISBLANK(Dec_2025_SotM[[#This Row],[L ]])), "", "L "), IF(_xlfn.XOR(ISBLANK(Dec_2025_SotM[[#This Row],[S]]), ISBLANK(Dec_2025_SotM[[#This Row],[S ]])), "", "S "), IF(_xlfn.XOR(ISBLANK(Dec_2025_SotM[[#This Row],[H]]), ISBLANK(Dec_2025_SotM[[#This Row],[H ]])), "", "H ")))</f>
        <v/>
      </c>
      <c r="Z217" s="109">
        <f t="shared" si="52"/>
        <v>11</v>
      </c>
      <c r="AA217" s="59">
        <v>46001</v>
      </c>
      <c r="AB217" t="str">
        <v>loganworsdell</v>
      </c>
      <c r="AC217" s="3">
        <v>2.4</v>
      </c>
      <c r="AD217">
        <v>0.8</v>
      </c>
      <c r="AE217" t="str">
        <v>PASAJERO</v>
      </c>
      <c r="AF217" t="str">
        <v>Mora</v>
      </c>
      <c r="AG217" s="100">
        <f t="shared" si="51"/>
        <v>9</v>
      </c>
      <c r="AI217" s="3">
        <f>Dec_2025_SotM[[#This Row],[Max Seed]]/2 + 1</f>
        <v>5</v>
      </c>
      <c r="AJ217" t="str">
        <f ca="1">IF(Dec_2025_SotM[[#This Row],[Num]]&gt;=$A$210, "-", IF(Dec_2025_SotM[[#This Row],[Score 1]]&gt;=3, Dec_2025_SotM[[#This Row],[Song 2]], IF(Dec_2025_SotM[[#This Row],[Score 2]]&gt;=3, Dec_2025_SotM[[#This Row],[Song 1]], "TBD")))</f>
        <v>I Hope</v>
      </c>
      <c r="AK217" s="3">
        <f ca="1">IFERROR(VLOOKUP(Dec_2025_Results[[#This Row],[Song Title]], $AE$211:$AG$222, 3, FALSE)-Dec_2025_Results[[#This Row],[Result]], "TBD")</f>
        <v>-3</v>
      </c>
      <c r="AL217" s="3" t="str">
        <f t="shared" ca="1" si="53"/>
        <v>↓</v>
      </c>
    </row>
    <row r="218" spans="1:38">
      <c r="A218" s="199" t="str">
        <f>_xlfn.CONCAT("Seed ", Dec_2025_SotM[[#This Row],[Top Seed]], " vs ",Dec_2025_SotM[[#This Row],[Low Seed]])</f>
        <v>Seed 1 vs 8</v>
      </c>
      <c r="B218" s="201">
        <v>7</v>
      </c>
      <c r="C218" s="200">
        <f>FLOOR(LOG(Dec_2025_SotM[[#This Row],[Num]], 2), 1)</f>
        <v>2</v>
      </c>
      <c r="D218" s="200">
        <f>2^(Dec_2025_SotM[[#This Row],[Round]]+1)</f>
        <v>8</v>
      </c>
      <c r="E218" s="200">
        <f>Dec_2025_SotM[[#This Row],[Max Seed]]-Dec_2025_SotM[[#This Row],[Num]]</f>
        <v>1</v>
      </c>
      <c r="F218" s="200">
        <f>Dec_2025_SotM[[#This Row],[Max Seed]]-Dec_2025_SotM[[#This Row],[Top Seed]]+1</f>
        <v>8</v>
      </c>
      <c r="G218" s="200" t="b">
        <f>IF(Dec_2025_SotM[[#This Row],[Round]]=$C$210, TRUE(), IF(Dec_2025_SotM[[#This Row],[Round]]=$B$210, Dec_2025_SotM[[#This Row],[Top Seed]]&lt;=2*Dec_2025_SotM[[#This Row],[Max Seed]]-$A$210, FALSE()))</f>
        <v>1</v>
      </c>
      <c r="H218" s="200" t="b">
        <f>IF(Dec_2025_SotM[[#This Row],[Round]]=$C$210, TRUE(), IF(Dec_2025_SotM[[#This Row],[Round]]=$B$210, Dec_2025_SotM[[#This Row],[Low Seed]]&lt;=2*Dec_2025_SotM[[#This Row],[Max Seed]]-$A$210, FALSE()))</f>
        <v>0</v>
      </c>
      <c r="I218" s="28" t="s">
        <v>4191</v>
      </c>
      <c r="J218" s="31" t="s">
        <v>4191</v>
      </c>
      <c r="K218" s="33" t="s">
        <v>4191</v>
      </c>
      <c r="L218" s="35" t="s">
        <v>4191</v>
      </c>
      <c r="M218" s="37" t="s">
        <v>4191</v>
      </c>
      <c r="N218" s="203" t="str">
        <f ca="1">IF(Dec_2025_SotM[[#This Row],[Num]]&gt;=$A$210, "-", IF(Dec_2025_SotM[[#This Row],[Initial 1]], VLOOKUP(Dec_2025_SotM[[#This Row],[Top Seed]], $Z$211:$AE$222, 6, FALSE), OFFSET(Dec_2025_SotM[[#This Row],[Winner]], Dec_2025_SotM[[#This Row],[Max Seed]], 0)))</f>
        <v>Dark Necessities</v>
      </c>
      <c r="O218" s="200">
        <f>COUNTIF(Dec_2025_SotM[[#This Row],[J]:[H]],"x")</f>
        <v>5</v>
      </c>
      <c r="P218" s="201" t="str">
        <f ca="1">IF(Dec_2025_SotM[[#This Row],[Num]]&gt;=$A$210, "-", IF(Dec_2025_SotM[[#This Row],[Score 1]]&gt;=3, Dec_2025_SotM[[#This Row],[Song 1]], IF(Dec_2025_SotM[[#This Row],[Score 2]]&gt;=3, Dec_2025_SotM[[#This Row],[Song 2]], "TBD")))</f>
        <v>Dark Necessities</v>
      </c>
      <c r="Q218" s="206">
        <f>COUNTIF(Dec_2025_SotM[[#This Row],[H ]:[J ]],"x")</f>
        <v>0</v>
      </c>
      <c r="R218" s="200" t="str">
        <f ca="1">IF(Dec_2025_SotM[[#This Row],[Num]]&gt;=$A$210, "-", IF(Dec_2025_SotM[[#This Row],[Initial 2]], VLOOKUP(Dec_2025_SotM[[#This Row],[Low Seed]], $Z$211:$AE$222, 6, FALSE), OFFSET(Dec_2025_SotM[[#This Row],[Winner]], 2*(Dec_2025_SotM[[#This Row],[Max Seed]]-Dec_2025_SotM[[#This Row],[Low Seed]])+1, 0)))</f>
        <v>God Save The Girl</v>
      </c>
      <c r="S218" s="37"/>
      <c r="T218" s="35"/>
      <c r="U218" s="33"/>
      <c r="V218" s="31"/>
      <c r="W218" s="28"/>
      <c r="X218" s="106" t="str">
        <f ca="1">IF(OR(Dec_2025_SotM[[#This Row],[Song 1]]="TBD", Dec_2025_SotM[[#This Row],[Song 2]]="TBD"), "TBD", _xlfn.CONCAT(IF(_xlfn.XOR(ISBLANK(Dec_2025_SotM[[#This Row],[J]]), ISBLANK(Dec_2025_SotM[[#This Row],[J ]])), "", "J "), IF(_xlfn.XOR(ISBLANK(Dec_2025_SotM[[#This Row],[D]]), ISBLANK(Dec_2025_SotM[[#This Row],[D ]])), "", "D "), IF(_xlfn.XOR(ISBLANK(Dec_2025_SotM[[#This Row],[L]]), ISBLANK(Dec_2025_SotM[[#This Row],[L ]])), "", "L "), IF(_xlfn.XOR(ISBLANK(Dec_2025_SotM[[#This Row],[S]]), ISBLANK(Dec_2025_SotM[[#This Row],[S ]])), "", "S "), IF(_xlfn.XOR(ISBLANK(Dec_2025_SotM[[#This Row],[H]]), ISBLANK(Dec_2025_SotM[[#This Row],[H ]])), "", "H ")))</f>
        <v/>
      </c>
      <c r="Z218" s="109">
        <f t="shared" si="52"/>
        <v>2</v>
      </c>
      <c r="AA218" s="59">
        <v>46002</v>
      </c>
      <c r="AB218" t="str">
        <v>loganworsdell</v>
      </c>
      <c r="AC218" s="3">
        <v>1.4</v>
      </c>
      <c r="AD218">
        <v>0.8</v>
      </c>
      <c r="AE218" t="str">
        <v>I Hope</v>
      </c>
      <c r="AF218" t="str">
        <v>Jay Lewis, Gorilla Mode Dezz, Mista Cain</v>
      </c>
      <c r="AG218" s="100">
        <f t="shared" si="51"/>
        <v>2</v>
      </c>
      <c r="AI218" s="3">
        <f>Dec_2025_SotM[[#This Row],[Max Seed]]/2 + 1</f>
        <v>5</v>
      </c>
      <c r="AJ218" t="str">
        <f ca="1">IF(Dec_2025_SotM[[#This Row],[Num]]&gt;=$A$210, "-", IF(Dec_2025_SotM[[#This Row],[Score 1]]&gt;=3, Dec_2025_SotM[[#This Row],[Song 2]], IF(Dec_2025_SotM[[#This Row],[Score 2]]&gt;=3, Dec_2025_SotM[[#This Row],[Song 1]], "TBD")))</f>
        <v>God Save The Girl</v>
      </c>
      <c r="AK218" s="3">
        <f ca="1">IFERROR(VLOOKUP(Dec_2025_Results[[#This Row],[Song Title]], $AE$211:$AG$222, 3, FALSE)-Dec_2025_Results[[#This Row],[Result]], "TBD")</f>
        <v>0</v>
      </c>
      <c r="AL218" s="3" t="str">
        <f t="shared" ca="1" si="53"/>
        <v>-</v>
      </c>
    </row>
    <row r="219" spans="1:38">
      <c r="A219" s="199" t="str">
        <f>_xlfn.CONCAT("Seed ", Dec_2025_SotM[[#This Row],[Top Seed]], " vs ",Dec_2025_SotM[[#This Row],[Low Seed]])</f>
        <v>Seed 8 vs 9</v>
      </c>
      <c r="B219" s="201">
        <v>8</v>
      </c>
      <c r="C219" s="200">
        <f>FLOOR(LOG(Dec_2025_SotM[[#This Row],[Num]], 2), 1)</f>
        <v>3</v>
      </c>
      <c r="D219" s="200">
        <f>2^(Dec_2025_SotM[[#This Row],[Round]]+1)</f>
        <v>16</v>
      </c>
      <c r="E219" s="200">
        <f>Dec_2025_SotM[[#This Row],[Max Seed]]-Dec_2025_SotM[[#This Row],[Num]]</f>
        <v>8</v>
      </c>
      <c r="F219" s="200">
        <f>Dec_2025_SotM[[#This Row],[Max Seed]]-Dec_2025_SotM[[#This Row],[Top Seed]]+1</f>
        <v>9</v>
      </c>
      <c r="G219" s="200" t="b">
        <f>IF(Dec_2025_SotM[[#This Row],[Round]]=$C$210, TRUE(), IF(Dec_2025_SotM[[#This Row],[Round]]=$B$210, Dec_2025_SotM[[#This Row],[Top Seed]]&lt;=2*Dec_2025_SotM[[#This Row],[Max Seed]]-$A$210, FALSE()))</f>
        <v>1</v>
      </c>
      <c r="H219" s="200" t="b">
        <f>IF(Dec_2025_SotM[[#This Row],[Round]]=$C$210, TRUE(), IF(Dec_2025_SotM[[#This Row],[Round]]=$B$210, Dec_2025_SotM[[#This Row],[Low Seed]]&lt;=2*Dec_2025_SotM[[#This Row],[Max Seed]]-$A$210, FALSE()))</f>
        <v>1</v>
      </c>
      <c r="I219" s="28"/>
      <c r="J219" s="31" t="s">
        <v>4191</v>
      </c>
      <c r="K219" s="33" t="s">
        <v>4191</v>
      </c>
      <c r="L219" s="35" t="s">
        <v>4191</v>
      </c>
      <c r="M219" s="37"/>
      <c r="N219" s="203" t="str">
        <f ca="1">IF(Dec_2025_SotM[[#This Row],[Num]]&gt;=$A$210, "-", IF(Dec_2025_SotM[[#This Row],[Initial 1]], VLOOKUP(Dec_2025_SotM[[#This Row],[Top Seed]], $Z$211:$AE$222, 6, FALSE), OFFSET(Dec_2025_SotM[[#This Row],[Winner]], Dec_2025_SotM[[#This Row],[Max Seed]], 0)))</f>
        <v>God Save The Girl</v>
      </c>
      <c r="O219" s="200">
        <f>COUNTIF(Dec_2025_SotM[[#This Row],[J]:[H]],"x")</f>
        <v>3</v>
      </c>
      <c r="P219" s="201" t="str">
        <f ca="1">IF(Dec_2025_SotM[[#This Row],[Num]]&gt;=$A$210, "-", IF(Dec_2025_SotM[[#This Row],[Score 1]]&gt;=3, Dec_2025_SotM[[#This Row],[Song 1]], IF(Dec_2025_SotM[[#This Row],[Score 2]]&gt;=3, Dec_2025_SotM[[#This Row],[Song 2]], "TBD")))</f>
        <v>God Save The Girl</v>
      </c>
      <c r="Q219" s="206">
        <f>COUNTIF(Dec_2025_SotM[[#This Row],[H ]:[J ]],"x")</f>
        <v>2</v>
      </c>
      <c r="R219" s="200" t="str">
        <f ca="1">IF(Dec_2025_SotM[[#This Row],[Num]]&gt;=$A$210, "-", IF(Dec_2025_SotM[[#This Row],[Initial 2]], VLOOKUP(Dec_2025_SotM[[#This Row],[Low Seed]], $Z$211:$AE$222, 6, FALSE), OFFSET(Dec_2025_SotM[[#This Row],[Winner]], 2*(Dec_2025_SotM[[#This Row],[Max Seed]]-Dec_2025_SotM[[#This Row],[Low Seed]])+1, 0)))</f>
        <v>veil</v>
      </c>
      <c r="S219" s="37" t="s">
        <v>4191</v>
      </c>
      <c r="T219" s="35"/>
      <c r="U219" s="33"/>
      <c r="V219" s="31"/>
      <c r="W219" s="28" t="s">
        <v>4191</v>
      </c>
      <c r="X219" s="106" t="str">
        <f ca="1">IF(OR(Dec_2025_SotM[[#This Row],[Song 1]]="TBD", Dec_2025_SotM[[#This Row],[Song 2]]="TBD"), "TBD", _xlfn.CONCAT(IF(_xlfn.XOR(ISBLANK(Dec_2025_SotM[[#This Row],[J]]), ISBLANK(Dec_2025_SotM[[#This Row],[J ]])), "", "J "), IF(_xlfn.XOR(ISBLANK(Dec_2025_SotM[[#This Row],[D]]), ISBLANK(Dec_2025_SotM[[#This Row],[D ]])), "", "D "), IF(_xlfn.XOR(ISBLANK(Dec_2025_SotM[[#This Row],[L]]), ISBLANK(Dec_2025_SotM[[#This Row],[L ]])), "", "L "), IF(_xlfn.XOR(ISBLANK(Dec_2025_SotM[[#This Row],[S]]), ISBLANK(Dec_2025_SotM[[#This Row],[S ]])), "", "S "), IF(_xlfn.XOR(ISBLANK(Dec_2025_SotM[[#This Row],[H]]), ISBLANK(Dec_2025_SotM[[#This Row],[H ]])), "", "H ")))</f>
        <v/>
      </c>
      <c r="Z219" s="109">
        <f t="shared" si="52"/>
        <v>9</v>
      </c>
      <c r="AA219" s="59">
        <v>46006</v>
      </c>
      <c r="AB219" t="str">
        <v>currydestroyer27</v>
      </c>
      <c r="AC219" s="3">
        <v>2.2000000000000002</v>
      </c>
      <c r="AD219">
        <v>0.74833147735478833</v>
      </c>
      <c r="AE219" t="str">
        <v>veil</v>
      </c>
      <c r="AF219" t="str">
        <v>須田景凪</v>
      </c>
      <c r="AG219" s="100">
        <f t="shared" si="51"/>
        <v>9</v>
      </c>
      <c r="AI219" s="3">
        <f>Dec_2025_SotM[[#This Row],[Max Seed]]/2 + 1</f>
        <v>9</v>
      </c>
      <c r="AJ219" t="str">
        <f ca="1">IF(Dec_2025_SotM[[#This Row],[Num]]&gt;=$A$210, "-", IF(Dec_2025_SotM[[#This Row],[Score 1]]&gt;=3, Dec_2025_SotM[[#This Row],[Song 2]], IF(Dec_2025_SotM[[#This Row],[Score 2]]&gt;=3, Dec_2025_SotM[[#This Row],[Song 1]], "TBD")))</f>
        <v>veil</v>
      </c>
      <c r="AK219" s="3">
        <f ca="1">IFERROR(VLOOKUP(Dec_2025_Results[[#This Row],[Song Title]], $AE$211:$AG$222, 3, FALSE)-Dec_2025_Results[[#This Row],[Result]], "TBD")</f>
        <v>0</v>
      </c>
      <c r="AL219" s="3" t="str">
        <f t="shared" ca="1" si="53"/>
        <v>-</v>
      </c>
    </row>
    <row r="220" spans="1:38">
      <c r="A220" s="199" t="str">
        <f>_xlfn.CONCAT("Seed ", Dec_2025_SotM[[#This Row],[Top Seed]], " vs ",Dec_2025_SotM[[#This Row],[Low Seed]])</f>
        <v>Seed 7 vs 10</v>
      </c>
      <c r="B220" s="201">
        <v>9</v>
      </c>
      <c r="C220" s="200">
        <f>FLOOR(LOG(Dec_2025_SotM[[#This Row],[Num]], 2), 1)</f>
        <v>3</v>
      </c>
      <c r="D220" s="200">
        <f>2^(Dec_2025_SotM[[#This Row],[Round]]+1)</f>
        <v>16</v>
      </c>
      <c r="E220" s="200">
        <f>Dec_2025_SotM[[#This Row],[Max Seed]]-Dec_2025_SotM[[#This Row],[Num]]</f>
        <v>7</v>
      </c>
      <c r="F220" s="200">
        <f>Dec_2025_SotM[[#This Row],[Max Seed]]-Dec_2025_SotM[[#This Row],[Top Seed]]+1</f>
        <v>10</v>
      </c>
      <c r="G220" s="200" t="b">
        <f>IF(Dec_2025_SotM[[#This Row],[Round]]=$C$210, TRUE(), IF(Dec_2025_SotM[[#This Row],[Round]]=$B$210, Dec_2025_SotM[[#This Row],[Top Seed]]&lt;=2*Dec_2025_SotM[[#This Row],[Max Seed]]-$A$210, FALSE()))</f>
        <v>1</v>
      </c>
      <c r="H220" s="200" t="b">
        <f>IF(Dec_2025_SotM[[#This Row],[Round]]=$C$210, TRUE(), IF(Dec_2025_SotM[[#This Row],[Round]]=$B$210, Dec_2025_SotM[[#This Row],[Low Seed]]&lt;=2*Dec_2025_SotM[[#This Row],[Max Seed]]-$A$210, FALSE()))</f>
        <v>1</v>
      </c>
      <c r="I220" s="28"/>
      <c r="J220" s="31"/>
      <c r="K220" s="33"/>
      <c r="L220" s="35" t="s">
        <v>4191</v>
      </c>
      <c r="M220" s="37"/>
      <c r="N220" s="203" t="str">
        <f ca="1">IF(Dec_2025_SotM[[#This Row],[Num]]&gt;=$A$210, "-", IF(Dec_2025_SotM[[#This Row],[Initial 1]], VLOOKUP(Dec_2025_SotM[[#This Row],[Top Seed]], $Z$211:$AE$222, 6, FALSE), OFFSET(Dec_2025_SotM[[#This Row],[Winner]], Dec_2025_SotM[[#This Row],[Max Seed]], 0)))</f>
        <v>100 Horses</v>
      </c>
      <c r="O220" s="200">
        <f>COUNTIF(Dec_2025_SotM[[#This Row],[J]:[H]],"x")</f>
        <v>1</v>
      </c>
      <c r="P220" s="201" t="str">
        <f ca="1">IF(Dec_2025_SotM[[#This Row],[Num]]&gt;=$A$210, "-", IF(Dec_2025_SotM[[#This Row],[Score 1]]&gt;=3, Dec_2025_SotM[[#This Row],[Song 1]], IF(Dec_2025_SotM[[#This Row],[Score 2]]&gt;=3, Dec_2025_SotM[[#This Row],[Song 2]], "TBD")))</f>
        <v>Trunks</v>
      </c>
      <c r="Q220" s="206">
        <f>COUNTIF(Dec_2025_SotM[[#This Row],[H ]:[J ]],"x")</f>
        <v>4</v>
      </c>
      <c r="R220" s="200" t="str">
        <f ca="1">IF(Dec_2025_SotM[[#This Row],[Num]]&gt;=$A$210, "-", IF(Dec_2025_SotM[[#This Row],[Initial 2]], VLOOKUP(Dec_2025_SotM[[#This Row],[Low Seed]], $Z$211:$AE$222, 6, FALSE), OFFSET(Dec_2025_SotM[[#This Row],[Winner]], 2*(Dec_2025_SotM[[#This Row],[Max Seed]]-Dec_2025_SotM[[#This Row],[Low Seed]])+1, 0)))</f>
        <v>Trunks</v>
      </c>
      <c r="S220" s="37" t="s">
        <v>4191</v>
      </c>
      <c r="T220" s="35"/>
      <c r="U220" s="33" t="s">
        <v>4191</v>
      </c>
      <c r="V220" s="31" t="s">
        <v>4191</v>
      </c>
      <c r="W220" s="28" t="s">
        <v>4191</v>
      </c>
      <c r="X220" s="106" t="str">
        <f ca="1">IF(OR(Dec_2025_SotM[[#This Row],[Song 1]]="TBD", Dec_2025_SotM[[#This Row],[Song 2]]="TBD"), "TBD", _xlfn.CONCAT(IF(_xlfn.XOR(ISBLANK(Dec_2025_SotM[[#This Row],[J]]), ISBLANK(Dec_2025_SotM[[#This Row],[J ]])), "", "J "), IF(_xlfn.XOR(ISBLANK(Dec_2025_SotM[[#This Row],[D]]), ISBLANK(Dec_2025_SotM[[#This Row],[D ]])), "", "D "), IF(_xlfn.XOR(ISBLANK(Dec_2025_SotM[[#This Row],[L]]), ISBLANK(Dec_2025_SotM[[#This Row],[L ]])), "", "L "), IF(_xlfn.XOR(ISBLANK(Dec_2025_SotM[[#This Row],[S]]), ISBLANK(Dec_2025_SotM[[#This Row],[S ]])), "", "S "), IF(_xlfn.XOR(ISBLANK(Dec_2025_SotM[[#This Row],[H]]), ISBLANK(Dec_2025_SotM[[#This Row],[H ]])), "", "H ")))</f>
        <v/>
      </c>
      <c r="Z220" s="109">
        <f t="shared" si="52"/>
        <v>8</v>
      </c>
      <c r="AA220" s="59">
        <v>46007</v>
      </c>
      <c r="AB220" t="str">
        <v>loganworsdell</v>
      </c>
      <c r="AC220" s="3">
        <v>2</v>
      </c>
      <c r="AD220">
        <v>1.0954451150103321</v>
      </c>
      <c r="AE220" t="str">
        <v>God Save The Girl</v>
      </c>
      <c r="AF220" t="str">
        <v>Riovaz</v>
      </c>
      <c r="AG220" s="100">
        <f t="shared" si="51"/>
        <v>5</v>
      </c>
      <c r="AI220" s="3">
        <f>Dec_2025_SotM[[#This Row],[Max Seed]]/2 + 1</f>
        <v>9</v>
      </c>
      <c r="AJ220" t="str">
        <f ca="1">IF(Dec_2025_SotM[[#This Row],[Num]]&gt;=$A$210, "-", IF(Dec_2025_SotM[[#This Row],[Score 1]]&gt;=3, Dec_2025_SotM[[#This Row],[Song 2]], IF(Dec_2025_SotM[[#This Row],[Score 2]]&gt;=3, Dec_2025_SotM[[#This Row],[Song 1]], "TBD")))</f>
        <v>100 Horses</v>
      </c>
      <c r="AK220" s="3">
        <f ca="1">IFERROR(VLOOKUP(Dec_2025_Results[[#This Row],[Song Title]], $AE$211:$AG$222, 3, FALSE)-Dec_2025_Results[[#This Row],[Result]], "TBD")</f>
        <v>-4</v>
      </c>
      <c r="AL220" s="3" t="str">
        <f t="shared" ca="1" si="53"/>
        <v>↓</v>
      </c>
    </row>
    <row r="221" spans="1:38">
      <c r="A221" s="199" t="str">
        <f>_xlfn.CONCAT("Seed ", Dec_2025_SotM[[#This Row],[Top Seed]], " vs ",Dec_2025_SotM[[#This Row],[Low Seed]])</f>
        <v>Seed 6 vs 11</v>
      </c>
      <c r="B221" s="201">
        <v>10</v>
      </c>
      <c r="C221" s="200">
        <f>FLOOR(LOG(Dec_2025_SotM[[#This Row],[Num]], 2), 1)</f>
        <v>3</v>
      </c>
      <c r="D221" s="200">
        <f>2^(Dec_2025_SotM[[#This Row],[Round]]+1)</f>
        <v>16</v>
      </c>
      <c r="E221" s="200">
        <f>Dec_2025_SotM[[#This Row],[Max Seed]]-Dec_2025_SotM[[#This Row],[Num]]</f>
        <v>6</v>
      </c>
      <c r="F221" s="200">
        <f>Dec_2025_SotM[[#This Row],[Max Seed]]-Dec_2025_SotM[[#This Row],[Top Seed]]+1</f>
        <v>11</v>
      </c>
      <c r="G221" s="200" t="b">
        <f>IF(Dec_2025_SotM[[#This Row],[Round]]=$C$210, TRUE(), IF(Dec_2025_SotM[[#This Row],[Round]]=$B$210, Dec_2025_SotM[[#This Row],[Top Seed]]&lt;=2*Dec_2025_SotM[[#This Row],[Max Seed]]-$A$210, FALSE()))</f>
        <v>1</v>
      </c>
      <c r="H221" s="200" t="b">
        <f>IF(Dec_2025_SotM[[#This Row],[Round]]=$C$210, TRUE(), IF(Dec_2025_SotM[[#This Row],[Round]]=$B$210, Dec_2025_SotM[[#This Row],[Low Seed]]&lt;=2*Dec_2025_SotM[[#This Row],[Max Seed]]-$A$210, FALSE()))</f>
        <v>1</v>
      </c>
      <c r="I221" s="28" t="s">
        <v>4191</v>
      </c>
      <c r="J221" s="31" t="s">
        <v>4191</v>
      </c>
      <c r="K221" s="33"/>
      <c r="L221" s="35"/>
      <c r="M221" s="37"/>
      <c r="N221" s="203" t="str">
        <f ca="1">IF(Dec_2025_SotM[[#This Row],[Num]]&gt;=$A$210, "-", IF(Dec_2025_SotM[[#This Row],[Initial 1]], VLOOKUP(Dec_2025_SotM[[#This Row],[Top Seed]], $Z$211:$AE$222, 6, FALSE), OFFSET(Dec_2025_SotM[[#This Row],[Winner]], Dec_2025_SotM[[#This Row],[Max Seed]], 0)))</f>
        <v>Selfish</v>
      </c>
      <c r="O221" s="200">
        <f>COUNTIF(Dec_2025_SotM[[#This Row],[J]:[H]],"x")</f>
        <v>2</v>
      </c>
      <c r="P221" s="201" t="str">
        <f ca="1">IF(Dec_2025_SotM[[#This Row],[Num]]&gt;=$A$210, "-", IF(Dec_2025_SotM[[#This Row],[Score 1]]&gt;=3, Dec_2025_SotM[[#This Row],[Song 1]], IF(Dec_2025_SotM[[#This Row],[Score 2]]&gt;=3, Dec_2025_SotM[[#This Row],[Song 2]], "TBD")))</f>
        <v>PASAJERO</v>
      </c>
      <c r="Q221" s="206">
        <f>COUNTIF(Dec_2025_SotM[[#This Row],[H ]:[J ]],"x")</f>
        <v>3</v>
      </c>
      <c r="R221" s="200" t="str">
        <f ca="1">IF(Dec_2025_SotM[[#This Row],[Num]]&gt;=$A$210, "-", IF(Dec_2025_SotM[[#This Row],[Initial 2]], VLOOKUP(Dec_2025_SotM[[#This Row],[Low Seed]], $Z$211:$AE$222, 6, FALSE), OFFSET(Dec_2025_SotM[[#This Row],[Winner]], 2*(Dec_2025_SotM[[#This Row],[Max Seed]]-Dec_2025_SotM[[#This Row],[Low Seed]])+1, 0)))</f>
        <v>PASAJERO</v>
      </c>
      <c r="S221" s="37" t="s">
        <v>4191</v>
      </c>
      <c r="T221" s="35" t="s">
        <v>4191</v>
      </c>
      <c r="U221" s="33" t="s">
        <v>4191</v>
      </c>
      <c r="V221" s="31"/>
      <c r="W221" s="28"/>
      <c r="X221" s="106" t="str">
        <f ca="1">IF(OR(Dec_2025_SotM[[#This Row],[Song 1]]="TBD", Dec_2025_SotM[[#This Row],[Song 2]]="TBD"), "TBD", _xlfn.CONCAT(IF(_xlfn.XOR(ISBLANK(Dec_2025_SotM[[#This Row],[J]]), ISBLANK(Dec_2025_SotM[[#This Row],[J ]])), "", "J "), IF(_xlfn.XOR(ISBLANK(Dec_2025_SotM[[#This Row],[D]]), ISBLANK(Dec_2025_SotM[[#This Row],[D ]])), "", "D "), IF(_xlfn.XOR(ISBLANK(Dec_2025_SotM[[#This Row],[L]]), ISBLANK(Dec_2025_SotM[[#This Row],[L ]])), "", "L "), IF(_xlfn.XOR(ISBLANK(Dec_2025_SotM[[#This Row],[S]]), ISBLANK(Dec_2025_SotM[[#This Row],[S ]])), "", "S "), IF(_xlfn.XOR(ISBLANK(Dec_2025_SotM[[#This Row],[H]]), ISBLANK(Dec_2025_SotM[[#This Row],[H ]])), "", "H ")))</f>
        <v/>
      </c>
      <c r="Z221" s="109">
        <f t="shared" si="52"/>
        <v>10</v>
      </c>
      <c r="AA221" s="59">
        <v>46008</v>
      </c>
      <c r="AB221" t="str">
        <v>currydestroyer27</v>
      </c>
      <c r="AC221" s="3">
        <v>2.2000000000000002</v>
      </c>
      <c r="AD221">
        <v>1.4696938456699069</v>
      </c>
      <c r="AE221" t="str">
        <v>Trunks</v>
      </c>
      <c r="AF221" t="str">
        <v>A$AP Rocky</v>
      </c>
      <c r="AG221" s="100">
        <f t="shared" si="51"/>
        <v>9</v>
      </c>
      <c r="AI221" s="3">
        <f>Dec_2025_SotM[[#This Row],[Max Seed]]/2 + 1</f>
        <v>9</v>
      </c>
      <c r="AJ221" t="str">
        <f ca="1">IF(Dec_2025_SotM[[#This Row],[Num]]&gt;=$A$210, "-", IF(Dec_2025_SotM[[#This Row],[Score 1]]&gt;=3, Dec_2025_SotM[[#This Row],[Song 2]], IF(Dec_2025_SotM[[#This Row],[Score 2]]&gt;=3, Dec_2025_SotM[[#This Row],[Song 1]], "TBD")))</f>
        <v>Selfish</v>
      </c>
      <c r="AK221" s="3">
        <f ca="1">IFERROR(VLOOKUP(Dec_2025_Results[[#This Row],[Song Title]], $AE$211:$AG$222, 3, FALSE)-Dec_2025_Results[[#This Row],[Result]], "TBD")</f>
        <v>-4</v>
      </c>
      <c r="AL221" s="3" t="str">
        <f t="shared" ca="1" si="53"/>
        <v>↓</v>
      </c>
    </row>
    <row r="222" spans="1:38">
      <c r="A222" s="199" t="str">
        <f>_xlfn.CONCAT("Seed ", Dec_2025_SotM[[#This Row],[Top Seed]], " vs ",Dec_2025_SotM[[#This Row],[Low Seed]])</f>
        <v>Seed 5 vs 12</v>
      </c>
      <c r="B222" s="201">
        <v>11</v>
      </c>
      <c r="C222" s="200">
        <f>FLOOR(LOG(Dec_2025_SotM[[#This Row],[Num]], 2), 1)</f>
        <v>3</v>
      </c>
      <c r="D222" s="200">
        <f>2^(Dec_2025_SotM[[#This Row],[Round]]+1)</f>
        <v>16</v>
      </c>
      <c r="E222" s="200">
        <f>Dec_2025_SotM[[#This Row],[Max Seed]]-Dec_2025_SotM[[#This Row],[Num]]</f>
        <v>5</v>
      </c>
      <c r="F222" s="200">
        <f>Dec_2025_SotM[[#This Row],[Max Seed]]-Dec_2025_SotM[[#This Row],[Top Seed]]+1</f>
        <v>12</v>
      </c>
      <c r="G222" s="200" t="b">
        <f>IF(Dec_2025_SotM[[#This Row],[Round]]=$C$210, TRUE(), IF(Dec_2025_SotM[[#This Row],[Round]]=$B$210, Dec_2025_SotM[[#This Row],[Top Seed]]&lt;=2*Dec_2025_SotM[[#This Row],[Max Seed]]-$A$210, FALSE()))</f>
        <v>1</v>
      </c>
      <c r="H222" s="200" t="b">
        <f>IF(Dec_2025_SotM[[#This Row],[Round]]=$C$210, TRUE(), IF(Dec_2025_SotM[[#This Row],[Round]]=$B$210, Dec_2025_SotM[[#This Row],[Low Seed]]&lt;=2*Dec_2025_SotM[[#This Row],[Max Seed]]-$A$210, FALSE()))</f>
        <v>1</v>
      </c>
      <c r="I222" s="28" t="s">
        <v>4191</v>
      </c>
      <c r="J222" s="31"/>
      <c r="K222" s="33"/>
      <c r="L222" s="35"/>
      <c r="M222" s="37"/>
      <c r="N222" s="203" t="str">
        <f ca="1">IF(Dec_2025_SotM[[#This Row],[Num]]&gt;=$A$210, "-", IF(Dec_2025_SotM[[#This Row],[Initial 1]], VLOOKUP(Dec_2025_SotM[[#This Row],[Top Seed]], $Z$211:$AE$222, 6, FALSE), OFFSET(Dec_2025_SotM[[#This Row],[Winner]], Dec_2025_SotM[[#This Row],[Max Seed]], 0)))</f>
        <v>Carol of the Bells</v>
      </c>
      <c r="O222" s="200">
        <f>COUNTIF(Dec_2025_SotM[[#This Row],[J]:[H]],"x")</f>
        <v>1</v>
      </c>
      <c r="P222" s="201" t="str">
        <f ca="1">IF(Dec_2025_SotM[[#This Row],[Num]]&gt;=$A$210, "-", IF(Dec_2025_SotM[[#This Row],[Score 1]]&gt;=3, Dec_2025_SotM[[#This Row],[Song 1]], IF(Dec_2025_SotM[[#This Row],[Score 2]]&gt;=3, Dec_2025_SotM[[#This Row],[Song 2]], "TBD")))</f>
        <v>her</v>
      </c>
      <c r="Q222" s="206">
        <f>COUNTIF(Dec_2025_SotM[[#This Row],[H ]:[J ]],"x")</f>
        <v>4</v>
      </c>
      <c r="R222" s="200" t="str">
        <f ca="1">IF(Dec_2025_SotM[[#This Row],[Num]]&gt;=$A$210, "-", IF(Dec_2025_SotM[[#This Row],[Initial 2]], VLOOKUP(Dec_2025_SotM[[#This Row],[Low Seed]], $Z$211:$AE$222, 6, FALSE), OFFSET(Dec_2025_SotM[[#This Row],[Winner]], 2*(Dec_2025_SotM[[#This Row],[Max Seed]]-Dec_2025_SotM[[#This Row],[Low Seed]])+1, 0)))</f>
        <v>her</v>
      </c>
      <c r="S222" s="37" t="s">
        <v>4191</v>
      </c>
      <c r="T222" s="35" t="s">
        <v>4191</v>
      </c>
      <c r="U222" s="67" t="s">
        <v>4191</v>
      </c>
      <c r="V222" s="31" t="s">
        <v>4191</v>
      </c>
      <c r="W222" s="28"/>
      <c r="X222" s="106" t="str">
        <f ca="1">IF(OR(Dec_2025_SotM[[#This Row],[Song 1]]="TBD", Dec_2025_SotM[[#This Row],[Song 2]]="TBD"), "TBD", _xlfn.CONCAT(IF(_xlfn.XOR(ISBLANK(Dec_2025_SotM[[#This Row],[J]]), ISBLANK(Dec_2025_SotM[[#This Row],[J ]])), "", "J "), IF(_xlfn.XOR(ISBLANK(Dec_2025_SotM[[#This Row],[D]]), ISBLANK(Dec_2025_SotM[[#This Row],[D ]])), "", "D "), IF(_xlfn.XOR(ISBLANK(Dec_2025_SotM[[#This Row],[L]]), ISBLANK(Dec_2025_SotM[[#This Row],[L ]])), "", "L "), IF(_xlfn.XOR(ISBLANK(Dec_2025_SotM[[#This Row],[S]]), ISBLANK(Dec_2025_SotM[[#This Row],[S ]])), "", "S "), IF(_xlfn.XOR(ISBLANK(Dec_2025_SotM[[#This Row],[H]]), ISBLANK(Dec_2025_SotM[[#This Row],[H ]])), "", "H ")))</f>
        <v/>
      </c>
      <c r="Z222" s="110">
        <f t="shared" si="52"/>
        <v>5</v>
      </c>
      <c r="AA222" s="211">
        <v>46009</v>
      </c>
      <c r="AB222" s="157" t="str">
        <v>currydestroyer27</v>
      </c>
      <c r="AC222" s="101">
        <v>2</v>
      </c>
      <c r="AD222" s="157">
        <v>0.63245553203367588</v>
      </c>
      <c r="AE222" s="157" t="str">
        <v>Carol of the Bells</v>
      </c>
      <c r="AF222" s="157" t="str">
        <v>Cathedral Choir</v>
      </c>
      <c r="AG222" s="102">
        <f t="shared" si="51"/>
        <v>5</v>
      </c>
      <c r="AI222" s="3">
        <f>Dec_2025_SotM[[#This Row],[Max Seed]]/2 + 1</f>
        <v>9</v>
      </c>
      <c r="AJ222" t="str">
        <f ca="1">IF(Dec_2025_SotM[[#This Row],[Num]]&gt;=$A$210, "-", IF(Dec_2025_SotM[[#This Row],[Score 1]]&gt;=3, Dec_2025_SotM[[#This Row],[Song 2]], IF(Dec_2025_SotM[[#This Row],[Score 2]]&gt;=3, Dec_2025_SotM[[#This Row],[Song 1]], "TBD")))</f>
        <v>Carol of the Bells</v>
      </c>
      <c r="AK222" s="3">
        <f ca="1">IFERROR(VLOOKUP(Dec_2025_Results[[#This Row],[Song Title]], $AE$211:$AG$222, 3, FALSE)-Dec_2025_Results[[#This Row],[Result]], "TBD")</f>
        <v>-4</v>
      </c>
      <c r="AL222" s="3" t="str">
        <f t="shared" ca="1" si="53"/>
        <v>↓</v>
      </c>
    </row>
  </sheetData>
  <mergeCells count="12">
    <mergeCell ref="I192:W192"/>
    <mergeCell ref="I210:W210"/>
    <mergeCell ref="I95:W95"/>
    <mergeCell ref="I114:W114"/>
    <mergeCell ref="I135:W135"/>
    <mergeCell ref="I153:W153"/>
    <mergeCell ref="I172:W172"/>
    <mergeCell ref="I1:W1"/>
    <mergeCell ref="I19:W19"/>
    <mergeCell ref="I37:W37"/>
    <mergeCell ref="I56:W56"/>
    <mergeCell ref="I76:W76"/>
  </mergeCells>
  <conditionalFormatting sqref="AK1:AK1048576">
    <cfRule type="cellIs" dxfId="91" priority="6" operator="equal">
      <formula>"Diff"</formula>
    </cfRule>
    <cfRule type="expression" dxfId="90" priority="15">
      <formula>AND(ISNUMBER(AK1), AK1=0, NOT(ISBLANK(AK1)))</formula>
    </cfRule>
    <cfRule type="expression" dxfId="89" priority="16">
      <formula>AND(ISNUMBER(AK1), AK1&gt;0, NOT(ISBLANK(AK1)))</formula>
    </cfRule>
    <cfRule type="cellIs" dxfId="88" priority="17" operator="lessThan">
      <formula>0</formula>
    </cfRule>
  </conditionalFormatting>
  <conditionalFormatting sqref="AL1:AL1048576">
    <cfRule type="cellIs" dxfId="87" priority="12" operator="equal">
      <formula>"↓"</formula>
    </cfRule>
    <cfRule type="cellIs" dxfId="86" priority="13" operator="equal">
      <formula>"↑"</formula>
    </cfRule>
    <cfRule type="cellIs" dxfId="85" priority="14" operator="equal">
      <formula>"-"</formula>
    </cfRule>
  </conditionalFormatting>
  <pageMargins left="0.7" right="0.7" top="0.75" bottom="0.75" header="0.3" footer="0.3"/>
  <ignoredErrors>
    <ignoredError sqref="AI3:AL17 AJ2:AL2" calculatedColumn="1"/>
  </ignoredErrors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39" id="{FC2CD28D-14B6-4FB5-AB31-8BD081F0A376}">
            <xm:f>INDEX($AB$2:$AB$222, MATCH(N1, $AE$2:$AE$222,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2540" id="{AD4883E6-CC0F-4D3C-9BD5-62225754CC9B}">
            <xm:f>INDEX($AB$2:$AB$222, MATCH(N1, $AE$2:$AE$222, 0), 1)=Leaderboard!$B$4</xm:f>
            <x14:dxf>
              <fill>
                <patternFill patternType="solid">
                  <bgColor rgb="FFDDEBF7"/>
                </patternFill>
              </fill>
            </x14:dxf>
          </x14:cfRule>
          <x14:cfRule type="expression" priority="2541" id="{4D114765-ACAC-40A5-9DBB-20CDED96D3BA}">
            <xm:f>INDEX($AB$2:$AB$222, MATCH(N1, $AE$2:$AE$222, 0), 1)=Leaderboard!$B$5</xm:f>
            <x14:dxf>
              <fill>
                <patternFill patternType="solid">
                  <bgColor rgb="FFFFF2CC"/>
                </patternFill>
              </fill>
            </x14:dxf>
          </x14:cfRule>
          <x14:cfRule type="expression" priority="2542" id="{B793A94B-832F-4497-9AC0-D9500DCA40D1}">
            <xm:f>INDEX($AB$2:$AB$222, MATCH(N1, $AE$2:$AE$222, 0), 1)=Leaderboard!$B$6</xm:f>
            <x14:dxf>
              <fill>
                <patternFill patternType="solid">
                  <bgColor rgb="FFEDEDED"/>
                </patternFill>
              </fill>
            </x14:dxf>
          </x14:cfRule>
          <x14:cfRule type="expression" priority="2543" id="{3C0DEA5C-3B57-409A-A170-D889818788B0}">
            <xm:f>INDEX($AB$2:$AB$222, MATCH(N1, $AE$2:$AE$222, 0), 1)=Leaderboard!$B$7</xm:f>
            <x14:dxf>
              <fill>
                <patternFill patternType="solid">
                  <bgColor rgb="FFFCE4D6"/>
                </patternFill>
              </fill>
            </x14:dxf>
          </x14:cfRule>
          <xm:sqref>N1:R1048576</xm:sqref>
        </x14:conditionalFormatting>
        <x14:conditionalFormatting xmlns:xm="http://schemas.microsoft.com/office/excel/2006/main">
          <x14:cfRule type="expression" priority="23" id="{625AE852-316A-47C4-9639-398EA89917C7}">
            <xm:f>$AB1=Leaderboard!$B$3</xm:f>
            <x14:dxf>
              <fill>
                <patternFill patternType="solid">
                  <bgColor rgb="FFE2EFDA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24" id="{0CB9035D-C44D-4045-8644-28F6BF815490}">
            <xm:f>$AB1=Leaderboard!$B$4</xm:f>
            <x14:dxf>
              <fill>
                <patternFill patternType="solid">
                  <bgColor theme="8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25" id="{A1A73A49-FA50-47BD-B589-1F9B3DCA1DA6}">
            <xm:f>$AB1=Leaderboard!$B$5</xm:f>
            <x14:dxf>
              <fill>
                <patternFill patternType="solid">
                  <bgColor theme="7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26" id="{575DDAE7-B06E-4361-A531-A1F10A3AE386}">
            <xm:f>$AB1=Leaderboard!$B$6</xm:f>
            <x14:dxf>
              <fill>
                <patternFill patternType="solid">
                  <bgColor theme="6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27" id="{0BB5C97C-F583-4263-9EE1-4284B57F3BB1}">
            <xm:f>$AB1=Leaderboard!$B$7</xm:f>
            <x14:dxf>
              <fill>
                <patternFill patternType="solid">
                  <bgColor theme="5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m:sqref>Z1:AG1048576</xm:sqref>
        </x14:conditionalFormatting>
        <x14:conditionalFormatting xmlns:xm="http://schemas.microsoft.com/office/excel/2006/main">
          <x14:cfRule type="expression" priority="2569" id="{DC66FA6D-2966-4DA5-AFBA-FC2B521177BD}">
            <xm:f>INDEX($AB$2:$AB$222, MATCH($AJ1, $AE$2:$AE$222,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2570" id="{0A6649AF-3C92-4D4A-9CDD-C00C6F2E0428}">
            <xm:f>INDEX($AB$2:$AB$222, MATCH($AJ1, $AE$2:$AE$222, 0), 1)=Leaderboard!$B$4</xm:f>
            <x14:dxf>
              <fill>
                <patternFill patternType="solid">
                  <bgColor theme="8" tint="0.79998168889431442"/>
                </patternFill>
              </fill>
            </x14:dxf>
          </x14:cfRule>
          <x14:cfRule type="expression" priority="2571" id="{C710FEA6-DEA8-474C-BABF-55A3A7D5A6FC}">
            <xm:f>INDEX($AB$2:$AB$222, MATCH($AJ1, $AE$2:$AE$222, 0), 1)=Leaderboard!$B$5</xm:f>
            <x14:dxf>
              <fill>
                <patternFill patternType="solid">
                  <bgColor theme="7" tint="0.79998168889431442"/>
                </patternFill>
              </fill>
            </x14:dxf>
          </x14:cfRule>
          <x14:cfRule type="expression" priority="2572" id="{E5B9E36B-E5C3-4C51-A19A-A92705305DD9}">
            <xm:f>INDEX($AB$2:$AB$222, MATCH($AJ1, $AE$2:$AE$222, 0), 1)=Leaderboard!$B$6</xm:f>
            <x14:dxf>
              <fill>
                <patternFill patternType="solid">
                  <bgColor theme="6" tint="0.79998168889431442"/>
                </patternFill>
              </fill>
            </x14:dxf>
          </x14:cfRule>
          <x14:cfRule type="expression" priority="2573" id="{5507A369-A8A3-4716-BC0B-01B392E70599}">
            <xm:f>INDEX($AB$2:$AB$222, MATCH($AJ1, $AE$2:$AE$222, 0), 1)=Leaderboard!$B$7</xm:f>
            <x14:dxf>
              <fill>
                <patternFill patternType="solid">
                  <bgColor theme="5" tint="0.79998168889431442"/>
                </patternFill>
              </fill>
            </x14:dxf>
          </x14:cfRule>
          <xm:sqref>AI1:AJ1048576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380F-F236-4CEA-ABA3-BF47B622926A}">
  <sheetPr codeName="Sheet6"/>
  <dimension ref="A1:AL200"/>
  <sheetViews>
    <sheetView topLeftCell="A116" zoomScale="85" zoomScaleNormal="85" workbookViewId="0">
      <selection activeCell="AB1" sqref="AB1"/>
    </sheetView>
  </sheetViews>
  <sheetFormatPr defaultRowHeight="15" outlineLevelCol="1"/>
  <cols>
    <col min="1" max="1" width="16" bestFit="1" customWidth="1"/>
    <col min="2" max="2" width="9.140625" hidden="1" customWidth="1" outlineLevel="1"/>
    <col min="3" max="3" width="9.140625" style="3" hidden="1" customWidth="1" outlineLevel="1"/>
    <col min="4" max="4" width="12" style="3" hidden="1" customWidth="1" outlineLevel="1"/>
    <col min="5" max="5" width="11.5703125" style="3" hidden="1" customWidth="1" outlineLevel="1"/>
    <col min="6" max="6" width="11.7109375" style="3" hidden="1" customWidth="1" outlineLevel="1"/>
    <col min="7" max="7" width="10.42578125" style="3" hidden="1" customWidth="1" outlineLevel="1"/>
    <col min="8" max="8" width="12.7109375" style="3" hidden="1" customWidth="1" outlineLevel="1"/>
    <col min="9" max="9" width="9.140625" style="3" collapsed="1"/>
    <col min="10" max="13" width="9.140625" style="3"/>
    <col min="14" max="14" width="44.28515625" style="204" bestFit="1" customWidth="1"/>
    <col min="15" max="15" width="9.5703125" customWidth="1"/>
    <col min="16" max="16" width="44.28515625" style="3" bestFit="1" customWidth="1"/>
    <col min="17" max="17" width="9.5703125" style="123" customWidth="1"/>
    <col min="18" max="18" width="41.42578125" bestFit="1" customWidth="1"/>
    <col min="19" max="23" width="9.140625" style="3"/>
    <col min="24" max="24" width="12.7109375" style="3" bestFit="1" customWidth="1"/>
    <col min="26" max="26" width="9.140625" style="3"/>
    <col min="27" max="27" width="12" style="59" bestFit="1" customWidth="1"/>
    <col min="28" max="28" width="16.140625" bestFit="1" customWidth="1"/>
    <col min="29" max="30" width="9.140625" style="3"/>
    <col min="31" max="31" width="44.28515625" bestFit="1" customWidth="1"/>
    <col min="32" max="32" width="69" bestFit="1" customWidth="1"/>
    <col min="36" max="36" width="41.42578125" bestFit="1" customWidth="1"/>
  </cols>
  <sheetData>
    <row r="1" spans="1:38">
      <c r="A1" s="301">
        <f>MAX(Z:Z)</f>
        <v>199</v>
      </c>
      <c r="B1" s="301">
        <f>FLOOR(LOG(A1, 2), 1)-1</f>
        <v>6</v>
      </c>
      <c r="C1" s="301">
        <f>_xlfn.CEILING.MATH(LOG(A1, 2), 1)-1</f>
        <v>7</v>
      </c>
      <c r="D1" s="301"/>
      <c r="E1" s="301"/>
      <c r="F1" s="301"/>
      <c r="G1" s="301"/>
      <c r="H1" s="301"/>
      <c r="I1" s="347" t="s">
        <v>4200</v>
      </c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01"/>
      <c r="Z1" s="148" t="s">
        <v>4163</v>
      </c>
      <c r="AA1" s="149" t="s">
        <v>29</v>
      </c>
      <c r="AB1" s="150" t="s">
        <v>32</v>
      </c>
      <c r="AC1" s="151" t="s">
        <v>33</v>
      </c>
      <c r="AD1" s="152" t="s">
        <v>34</v>
      </c>
      <c r="AE1" s="153" t="s">
        <v>4161</v>
      </c>
      <c r="AF1" s="154" t="s">
        <v>36</v>
      </c>
      <c r="AG1" s="155" t="s">
        <v>4164</v>
      </c>
      <c r="AI1" s="207" t="s">
        <v>4165</v>
      </c>
      <c r="AJ1" s="208" t="s">
        <v>35</v>
      </c>
      <c r="AK1" s="209" t="s">
        <v>4166</v>
      </c>
      <c r="AL1" s="210" t="s">
        <v>4167</v>
      </c>
    </row>
    <row r="2" spans="1:38">
      <c r="A2" s="194" t="s">
        <v>4168</v>
      </c>
      <c r="B2" s="195" t="s">
        <v>4169</v>
      </c>
      <c r="C2" s="195" t="s">
        <v>4170</v>
      </c>
      <c r="D2" s="195" t="s">
        <v>4171</v>
      </c>
      <c r="E2" s="195" t="s">
        <v>4172</v>
      </c>
      <c r="F2" s="195" t="s">
        <v>4173</v>
      </c>
      <c r="G2" s="195" t="s">
        <v>4174</v>
      </c>
      <c r="H2" s="195" t="s">
        <v>4175</v>
      </c>
      <c r="I2" s="195" t="s">
        <v>4176</v>
      </c>
      <c r="J2" s="195" t="s">
        <v>4177</v>
      </c>
      <c r="K2" s="195" t="s">
        <v>4178</v>
      </c>
      <c r="L2" s="195" t="s">
        <v>4179</v>
      </c>
      <c r="M2" s="195" t="s">
        <v>4180</v>
      </c>
      <c r="N2" s="205" t="s">
        <v>4181</v>
      </c>
      <c r="O2" s="196" t="s">
        <v>4182</v>
      </c>
      <c r="P2" s="195" t="s">
        <v>47</v>
      </c>
      <c r="Q2" s="196" t="s">
        <v>4183</v>
      </c>
      <c r="R2" s="195" t="s">
        <v>4184</v>
      </c>
      <c r="S2" s="195" t="s">
        <v>4185</v>
      </c>
      <c r="T2" s="195" t="s">
        <v>4186</v>
      </c>
      <c r="U2" s="195" t="s">
        <v>4187</v>
      </c>
      <c r="V2" s="195" t="s">
        <v>4188</v>
      </c>
      <c r="W2" s="202" t="s">
        <v>4189</v>
      </c>
      <c r="X2" s="196" t="s">
        <v>4190</v>
      </c>
      <c r="Z2" s="109">
        <f t="shared" ref="Z2:Z33" si="0">IF(AC2&gt;0, COUNTIF(AC$2:AC$200, "&lt;"&amp;AC2) + COUNTIFS(AC$2:AC$200, AC2, AD$2:AD$200, "&lt;"&amp;AD2) + COUNTIFS(AC$2:AC$200, AC2, AD$2:AD$200, AD2, AA$2:AA$200, "&lt;"&amp;AA2) + 1, "TBD")</f>
        <v>161</v>
      </c>
      <c r="AA2" s="85" cm="1">
        <f t="array" ref="AA2:AF200">_xlfn._xlws.FILTER(Data[Date]:Data[Artist], (Data[Date]&gt;=DATE(2025,1,1))*(Data[Date]&lt;=DATE(2025,12,31))*(Data[Winner]=TRUE()), "TBD")</f>
        <v>45663</v>
      </c>
      <c r="AB2" s="123" t="str">
        <v>danram</v>
      </c>
      <c r="AC2" s="3">
        <v>2.4</v>
      </c>
      <c r="AD2" s="86">
        <v>1.3564659966250536</v>
      </c>
      <c r="AE2" s="123" t="str">
        <v>Favourite</v>
      </c>
      <c r="AF2" t="str">
        <v>Fontaines D.C.</v>
      </c>
      <c r="AG2" s="100">
        <f>IFERROR(IF(Z2&gt;1, 2^(FLOOR(LOG(Z2-1,2),1))+1, 1), "TBD")</f>
        <v>129</v>
      </c>
      <c r="AI2" s="114">
        <v>1</v>
      </c>
      <c r="AJ2" s="105" t="str">
        <f ca="1">P3</f>
        <v>Float On</v>
      </c>
      <c r="AK2" s="115">
        <f ca="1">IFERROR(VLOOKUP(SotY_2025_Results[[#This Row],[Song Title]], $AE$2:$AG$200, 3, FALSE)-SotY_2025_Results[[#This Row],[Result]], "TBD")</f>
        <v>8</v>
      </c>
      <c r="AL2" s="112" t="str">
        <f ca="1">IF(SotY_2025_Results[[#This Row],[Diff]]&lt;0,"↓",IF(SotY_2025_Results[[#This Row],[Diff]]=0,"-","↑"))</f>
        <v>↑</v>
      </c>
    </row>
    <row r="3" spans="1:38">
      <c r="A3" s="197" t="str">
        <f>_xlfn.CONCAT("Seed ", SotY_2025[[#This Row],[Top Seed]], " vs ", SotY_2025[[#This Row],[Low Seed]])</f>
        <v>Seed 1 vs 2</v>
      </c>
      <c r="B3" s="115">
        <v>1</v>
      </c>
      <c r="C3" s="115">
        <f>FLOOR(LOG(SotY_2025[[#This Row],[Num]], 2), 1)</f>
        <v>0</v>
      </c>
      <c r="D3" s="115">
        <f>2^(SotY_2025[[#This Row],[Round]]+1)</f>
        <v>2</v>
      </c>
      <c r="E3" s="115">
        <f>SotY_2025[[#This Row],[Max Seed]]-SotY_2025[[#This Row],[Num]]</f>
        <v>1</v>
      </c>
      <c r="F3" s="115">
        <f>SotY_2025[[#This Row],[Max Seed]]-SotY_2025[[#This Row],[Top Seed]]+1</f>
        <v>2</v>
      </c>
      <c r="G3" s="115" t="b">
        <f>IF(SotY_2025[[#This Row],[Round]]=$C$1, TRUE(), IF(SotY_2025[[#This Row],[Round]]=$B$1, SotY_2025[[#This Row],[Top Seed]]&lt;=2*SotY_2025[[#This Row],[Max Seed]]-$A$1, FALSE()))</f>
        <v>0</v>
      </c>
      <c r="H3" s="115" t="b">
        <f>IF(SotY_2025[[#This Row],[Round]]=$C$1, TRUE(), IF(SotY_2025[[#This Row],[Round]]=$B$1, SotY_2025[[#This Row],[Low Seed]]&lt;=2*SotY_2025[[#This Row],[Max Seed]]-$A$1, FALSE()))</f>
        <v>0</v>
      </c>
      <c r="I3" s="187" t="s">
        <v>4191</v>
      </c>
      <c r="J3" s="188"/>
      <c r="K3" s="189" t="s">
        <v>4191</v>
      </c>
      <c r="L3" s="190"/>
      <c r="M3" s="191"/>
      <c r="N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Buy U a Drank</v>
      </c>
      <c r="O3" s="105">
        <f>COUNTIF(SotY_2025[[#This Row],[J]:[H]],"x")</f>
        <v>2</v>
      </c>
      <c r="P3" s="115" t="str">
        <f ca="1">IF(SotY_2025[[#This Row],[Num]]&gt;=$A$1, "-", IF(SotY_2025[[#This Row],[Score 1]]&gt;=3, SotY_2025[[#This Row],[Song 1]], IF(SotY_2025[[#This Row],[Score 2]]&gt;=3, SotY_2025[[#This Row],[Song 2]], "TBD")))</f>
        <v>Float On</v>
      </c>
      <c r="Q3" s="193">
        <f>COUNTIF(SotY_2025[[#This Row],[H ]:[J ]],"x")</f>
        <v>3</v>
      </c>
      <c r="R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Float On</v>
      </c>
      <c r="S3" s="191" t="s">
        <v>4191</v>
      </c>
      <c r="T3" s="190" t="s">
        <v>4191</v>
      </c>
      <c r="U3" s="189"/>
      <c r="V3" s="188" t="s">
        <v>4191</v>
      </c>
      <c r="W3" s="198"/>
      <c r="X3" s="213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3" s="109">
        <f t="shared" si="0"/>
        <v>80</v>
      </c>
      <c r="AA3" s="85">
        <v>45664</v>
      </c>
      <c r="AB3" s="123" t="str">
        <v>danram</v>
      </c>
      <c r="AC3" s="3">
        <v>2.2000000000000002</v>
      </c>
      <c r="AD3" s="86">
        <v>0.74833147735478833</v>
      </c>
      <c r="AE3" s="123" t="str">
        <v>CRAZY</v>
      </c>
      <c r="AF3" t="str">
        <v>LE SSERAFIM</v>
      </c>
      <c r="AG3" s="100">
        <f t="shared" ref="AG3:AG66" si="1">IFERROR(IF(Z3&gt;1, 2^(FLOOR(LOG(Z3-1,2),1))+1, 1), "TBD")</f>
        <v>65</v>
      </c>
      <c r="AI3" s="114">
        <f>SotY_2025[[#This Row],[Max Seed]]/2 + 1</f>
        <v>2</v>
      </c>
      <c r="AJ3" s="105" t="str">
        <f ca="1">IF(SotY_2025[[#This Row],[Num]]&gt;=$A$1, "-", IF(SotY_2025[[#This Row],[Score 1]]&gt;=3, SotY_2025[[#This Row],[Song 2]], IF(SotY_2025[[#This Row],[Score 2]]&gt;=3, SotY_2025[[#This Row],[Song 1]], "TBD")))</f>
        <v>Buy U a Drank</v>
      </c>
      <c r="AK3" s="115">
        <f ca="1">IFERROR(VLOOKUP(SotY_2025_Results[[#This Row],[Song Title]], $AE$2:$AG$200, 3, FALSE)-SotY_2025_Results[[#This Row],[Result]], "TBD")</f>
        <v>7</v>
      </c>
      <c r="AL3" s="112" t="str">
        <f ca="1">IF(SotY_2025_Results[[#This Row],[Diff]]&lt;0,"↓",IF(SotY_2025_Results[[#This Row],[Diff]]=0,"-","↑"))</f>
        <v>↑</v>
      </c>
    </row>
    <row r="4" spans="1:38">
      <c r="A4" s="197" t="str">
        <f>_xlfn.CONCAT("Seed ", SotY_2025[[#This Row],[Top Seed]], " vs ", SotY_2025[[#This Row],[Low Seed]])</f>
        <v>Seed 2 vs 3</v>
      </c>
      <c r="B4" s="115">
        <v>2</v>
      </c>
      <c r="C4" s="115">
        <f>FLOOR(LOG(SotY_2025[[#This Row],[Num]], 2), 1)</f>
        <v>1</v>
      </c>
      <c r="D4" s="115">
        <f>2^(SotY_2025[[#This Row],[Round]]+1)</f>
        <v>4</v>
      </c>
      <c r="E4" s="115">
        <f>SotY_2025[[#This Row],[Max Seed]]-SotY_2025[[#This Row],[Num]]</f>
        <v>2</v>
      </c>
      <c r="F4" s="115">
        <f>SotY_2025[[#This Row],[Max Seed]]-SotY_2025[[#This Row],[Top Seed]]+1</f>
        <v>3</v>
      </c>
      <c r="G4" s="115" t="b">
        <f>IF(SotY_2025[[#This Row],[Round]]=$C$1, TRUE(), IF(SotY_2025[[#This Row],[Round]]=$B$1, SotY_2025[[#This Row],[Top Seed]]&lt;=2*SotY_2025[[#This Row],[Max Seed]]-$A$1, FALSE()))</f>
        <v>0</v>
      </c>
      <c r="H4" s="115" t="b">
        <f>IF(SotY_2025[[#This Row],[Round]]=$C$1, TRUE(), IF(SotY_2025[[#This Row],[Round]]=$B$1, SotY_2025[[#This Row],[Low Seed]]&lt;=2*SotY_2025[[#This Row],[Max Seed]]-$A$1, FALSE()))</f>
        <v>0</v>
      </c>
      <c r="I4" s="187" t="s">
        <v>4191</v>
      </c>
      <c r="J4" s="188" t="s">
        <v>4191</v>
      </c>
      <c r="K4" s="189" t="s">
        <v>4191</v>
      </c>
      <c r="L4" s="190"/>
      <c r="M4" s="191"/>
      <c r="N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Float On</v>
      </c>
      <c r="O4" s="105">
        <f>COUNTIF(SotY_2025[[#This Row],[J]:[H]],"x")</f>
        <v>3</v>
      </c>
      <c r="P4" s="115" t="str">
        <f ca="1">IF(SotY_2025[[#This Row],[Num]]&gt;=$A$1, "-", IF(SotY_2025[[#This Row],[Score 1]]&gt;=3, SotY_2025[[#This Row],[Song 1]], IF(SotY_2025[[#This Row],[Score 2]]&gt;=3, SotY_2025[[#This Row],[Song 2]], "TBD")))</f>
        <v>Float On</v>
      </c>
      <c r="Q4" s="193">
        <f>COUNTIF(SotY_2025[[#This Row],[H ]:[J ]],"x")</f>
        <v>2</v>
      </c>
      <c r="R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Still into You</v>
      </c>
      <c r="S4" s="191" t="s">
        <v>4191</v>
      </c>
      <c r="T4" s="190" t="s">
        <v>4191</v>
      </c>
      <c r="U4" s="189"/>
      <c r="V4" s="188"/>
      <c r="W4" s="198"/>
      <c r="X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4" s="109">
        <f t="shared" si="0"/>
        <v>137</v>
      </c>
      <c r="AA4" s="59">
        <v>45665</v>
      </c>
      <c r="AB4" t="str">
        <v>danram</v>
      </c>
      <c r="AC4" s="3">
        <v>2.4</v>
      </c>
      <c r="AD4" s="3">
        <v>1.019803902718557</v>
      </c>
      <c r="AE4" t="str">
        <v>drive ME crazy!</v>
      </c>
      <c r="AF4" t="str">
        <v>Lil Yachty</v>
      </c>
      <c r="AG4" s="100">
        <f t="shared" si="1"/>
        <v>129</v>
      </c>
      <c r="AI4" s="114">
        <f>SotY_2025[[#This Row],[Max Seed]]/2 + 1</f>
        <v>3</v>
      </c>
      <c r="AJ4" s="105" t="str">
        <f ca="1">IF(SotY_2025[[#This Row],[Num]]&gt;=$A$1, "-", IF(SotY_2025[[#This Row],[Score 1]]&gt;=3, SotY_2025[[#This Row],[Song 2]], IF(SotY_2025[[#This Row],[Score 2]]&gt;=3, SotY_2025[[#This Row],[Song 1]], "TBD")))</f>
        <v>Still into You</v>
      </c>
      <c r="AK4" s="115">
        <f ca="1">IFERROR(VLOOKUP(SotY_2025_Results[[#This Row],[Song Title]], $AE$2:$AG$200, 3, FALSE)-SotY_2025_Results[[#This Row],[Result]], "TBD")</f>
        <v>30</v>
      </c>
      <c r="AL4" s="112" t="str">
        <f ca="1">IF(SotY_2025_Results[[#This Row],[Diff]]&lt;0,"↓",IF(SotY_2025_Results[[#This Row],[Diff]]=0,"-","↑"))</f>
        <v>↑</v>
      </c>
    </row>
    <row r="5" spans="1:38">
      <c r="A5" s="197" t="str">
        <f>_xlfn.CONCAT("Seed ", SotY_2025[[#This Row],[Top Seed]], " vs ", SotY_2025[[#This Row],[Low Seed]])</f>
        <v>Seed 1 vs 4</v>
      </c>
      <c r="B5" s="115">
        <v>3</v>
      </c>
      <c r="C5" s="115">
        <f>FLOOR(LOG(SotY_2025[[#This Row],[Num]], 2), 1)</f>
        <v>1</v>
      </c>
      <c r="D5" s="115">
        <f>2^(SotY_2025[[#This Row],[Round]]+1)</f>
        <v>4</v>
      </c>
      <c r="E5" s="115">
        <f>SotY_2025[[#This Row],[Max Seed]]-SotY_2025[[#This Row],[Num]]</f>
        <v>1</v>
      </c>
      <c r="F5" s="115">
        <f>SotY_2025[[#This Row],[Max Seed]]-SotY_2025[[#This Row],[Top Seed]]+1</f>
        <v>4</v>
      </c>
      <c r="G5" s="115" t="b">
        <f>IF(SotY_2025[[#This Row],[Round]]=$C$1, TRUE(), IF(SotY_2025[[#This Row],[Round]]=$B$1, SotY_2025[[#This Row],[Top Seed]]&lt;=2*SotY_2025[[#This Row],[Max Seed]]-$A$1, FALSE()))</f>
        <v>0</v>
      </c>
      <c r="H5" s="115" t="b">
        <f>IF(SotY_2025[[#This Row],[Round]]=$C$1, TRUE(), IF(SotY_2025[[#This Row],[Round]]=$B$1, SotY_2025[[#This Row],[Low Seed]]&lt;=2*SotY_2025[[#This Row],[Max Seed]]-$A$1, FALSE()))</f>
        <v>0</v>
      </c>
      <c r="I5" s="187"/>
      <c r="J5" s="188"/>
      <c r="K5" s="189"/>
      <c r="L5" s="190" t="s">
        <v>4191</v>
      </c>
      <c r="M5" s="191" t="s">
        <v>4191</v>
      </c>
      <c r="N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can't slow down</v>
      </c>
      <c r="O5" s="105">
        <f>COUNTIF(SotY_2025[[#This Row],[J]:[H]],"x")</f>
        <v>2</v>
      </c>
      <c r="P5" s="115" t="str">
        <f ca="1">IF(SotY_2025[[#This Row],[Num]]&gt;=$A$1, "-", IF(SotY_2025[[#This Row],[Score 1]]&gt;=3, SotY_2025[[#This Row],[Song 1]], IF(SotY_2025[[#This Row],[Score 2]]&gt;=3, SotY_2025[[#This Row],[Song 2]], "TBD")))</f>
        <v>Buy U a Drank</v>
      </c>
      <c r="Q5" s="193">
        <f>COUNTIF(SotY_2025[[#This Row],[H ]:[J ]],"x")</f>
        <v>3</v>
      </c>
      <c r="R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Buy U a Drank</v>
      </c>
      <c r="S5" s="191"/>
      <c r="T5" s="190"/>
      <c r="U5" s="189" t="s">
        <v>4191</v>
      </c>
      <c r="V5" s="188" t="s">
        <v>4191</v>
      </c>
      <c r="W5" s="198" t="s">
        <v>4191</v>
      </c>
      <c r="X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5" s="109">
        <f t="shared" si="0"/>
        <v>138</v>
      </c>
      <c r="AA5" s="59">
        <v>45666</v>
      </c>
      <c r="AB5" t="str">
        <v>samuelbattista</v>
      </c>
      <c r="AC5" s="3">
        <v>2.4</v>
      </c>
      <c r="AD5" s="3">
        <v>1.019803902718557</v>
      </c>
      <c r="AE5" t="str">
        <v>Soul Makossa</v>
      </c>
      <c r="AF5" t="str">
        <v>Manu Dibango</v>
      </c>
      <c r="AG5" s="100">
        <f t="shared" si="1"/>
        <v>129</v>
      </c>
      <c r="AI5" s="114">
        <f>SotY_2025[[#This Row],[Max Seed]]/2 + 1</f>
        <v>3</v>
      </c>
      <c r="AJ5" s="105" t="str">
        <f ca="1">IF(SotY_2025[[#This Row],[Num]]&gt;=$A$1, "-", IF(SotY_2025[[#This Row],[Score 1]]&gt;=3, SotY_2025[[#This Row],[Song 2]], IF(SotY_2025[[#This Row],[Score 2]]&gt;=3, SotY_2025[[#This Row],[Song 1]], "TBD")))</f>
        <v>can't slow down</v>
      </c>
      <c r="AK5" s="115">
        <f ca="1">IFERROR(VLOOKUP(SotY_2025_Results[[#This Row],[Song Title]], $AE$2:$AG$200, 3, FALSE)-SotY_2025_Results[[#This Row],[Result]], "TBD")</f>
        <v>14</v>
      </c>
      <c r="AL5" s="112" t="str">
        <f ca="1">IF(SotY_2025_Results[[#This Row],[Diff]]&lt;0,"↓",IF(SotY_2025_Results[[#This Row],[Diff]]=0,"-","↑"))</f>
        <v>↑</v>
      </c>
    </row>
    <row r="6" spans="1:38">
      <c r="A6" s="197" t="str">
        <f>_xlfn.CONCAT("Seed ", SotY_2025[[#This Row],[Top Seed]], " vs ", SotY_2025[[#This Row],[Low Seed]])</f>
        <v>Seed 4 vs 5</v>
      </c>
      <c r="B6" s="115">
        <v>4</v>
      </c>
      <c r="C6" s="115">
        <f>FLOOR(LOG(SotY_2025[[#This Row],[Num]], 2), 1)</f>
        <v>2</v>
      </c>
      <c r="D6" s="115">
        <f>2^(SotY_2025[[#This Row],[Round]]+1)</f>
        <v>8</v>
      </c>
      <c r="E6" s="115">
        <f>SotY_2025[[#This Row],[Max Seed]]-SotY_2025[[#This Row],[Num]]</f>
        <v>4</v>
      </c>
      <c r="F6" s="115">
        <f>SotY_2025[[#This Row],[Max Seed]]-SotY_2025[[#This Row],[Top Seed]]+1</f>
        <v>5</v>
      </c>
      <c r="G6" s="115" t="b">
        <f>IF(SotY_2025[[#This Row],[Round]]=$C$1, TRUE(), IF(SotY_2025[[#This Row],[Round]]=$B$1, SotY_2025[[#This Row],[Top Seed]]&lt;=2*SotY_2025[[#This Row],[Max Seed]]-$A$1, FALSE()))</f>
        <v>0</v>
      </c>
      <c r="H6" s="115" t="b">
        <f>IF(SotY_2025[[#This Row],[Round]]=$C$1, TRUE(), IF(SotY_2025[[#This Row],[Round]]=$B$1, SotY_2025[[#This Row],[Low Seed]]&lt;=2*SotY_2025[[#This Row],[Max Seed]]-$A$1, FALSE()))</f>
        <v>0</v>
      </c>
      <c r="I6" s="187" t="s">
        <v>4191</v>
      </c>
      <c r="J6" s="188"/>
      <c r="K6" s="189" t="s">
        <v>4191</v>
      </c>
      <c r="L6" s="190" t="s">
        <v>4191</v>
      </c>
      <c r="M6" s="191"/>
      <c r="N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Buy U a Drank</v>
      </c>
      <c r="O6" s="105">
        <f>COUNTIF(SotY_2025[[#This Row],[J]:[H]],"x")</f>
        <v>3</v>
      </c>
      <c r="P6" s="115" t="str">
        <f ca="1">IF(SotY_2025[[#This Row],[Num]]&gt;=$A$1, "-", IF(SotY_2025[[#This Row],[Score 1]]&gt;=3, SotY_2025[[#This Row],[Song 1]], IF(SotY_2025[[#This Row],[Score 2]]&gt;=3, SotY_2025[[#This Row],[Song 2]], "TBD")))</f>
        <v>Buy U a Drank</v>
      </c>
      <c r="Q6" s="193">
        <f>COUNTIF(SotY_2025[[#This Row],[H ]:[J ]],"x")</f>
        <v>2</v>
      </c>
      <c r="R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Umbrella</v>
      </c>
      <c r="S6" s="191" t="s">
        <v>4191</v>
      </c>
      <c r="T6" s="190"/>
      <c r="U6" s="189"/>
      <c r="V6" s="188" t="s">
        <v>4191</v>
      </c>
      <c r="W6" s="198"/>
      <c r="X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6" s="109">
        <f t="shared" si="0"/>
        <v>158</v>
      </c>
      <c r="AA6" s="59">
        <v>45670</v>
      </c>
      <c r="AB6" t="str">
        <v>alappatjoe</v>
      </c>
      <c r="AC6" s="3">
        <v>2.4</v>
      </c>
      <c r="AD6" s="3">
        <v>1.2</v>
      </c>
      <c r="AE6" t="str">
        <v>クラクラ</v>
      </c>
      <c r="AF6" t="str">
        <v>Ado</v>
      </c>
      <c r="AG6" s="100">
        <f t="shared" si="1"/>
        <v>129</v>
      </c>
      <c r="AI6" s="114">
        <f>SotY_2025[[#This Row],[Max Seed]]/2 + 1</f>
        <v>5</v>
      </c>
      <c r="AJ6" s="105" t="str">
        <f ca="1">IF(SotY_2025[[#This Row],[Num]]&gt;=$A$1, "-", IF(SotY_2025[[#This Row],[Score 1]]&gt;=3, SotY_2025[[#This Row],[Song 2]], IF(SotY_2025[[#This Row],[Score 2]]&gt;=3, SotY_2025[[#This Row],[Song 1]], "TBD")))</f>
        <v>Umbrella</v>
      </c>
      <c r="AK6" s="115">
        <f ca="1">IFERROR(VLOOKUP(SotY_2025_Results[[#This Row],[Song Title]], $AE$2:$AG$200, 3, FALSE)-SotY_2025_Results[[#This Row],[Result]], "TBD")</f>
        <v>0</v>
      </c>
      <c r="AL6" s="112" t="str">
        <f ca="1">IF(SotY_2025_Results[[#This Row],[Diff]]&lt;0,"↓",IF(SotY_2025_Results[[#This Row],[Diff]]=0,"-","↑"))</f>
        <v>-</v>
      </c>
    </row>
    <row r="7" spans="1:38">
      <c r="A7" s="197" t="str">
        <f>_xlfn.CONCAT("Seed ", SotY_2025[[#This Row],[Top Seed]], " vs ", SotY_2025[[#This Row],[Low Seed]])</f>
        <v>Seed 3 vs 6</v>
      </c>
      <c r="B7" s="115">
        <v>5</v>
      </c>
      <c r="C7" s="115">
        <f>FLOOR(LOG(SotY_2025[[#This Row],[Num]], 2), 1)</f>
        <v>2</v>
      </c>
      <c r="D7" s="115">
        <f>2^(SotY_2025[[#This Row],[Round]]+1)</f>
        <v>8</v>
      </c>
      <c r="E7" s="115">
        <f>SotY_2025[[#This Row],[Max Seed]]-SotY_2025[[#This Row],[Num]]</f>
        <v>3</v>
      </c>
      <c r="F7" s="115">
        <f>SotY_2025[[#This Row],[Max Seed]]-SotY_2025[[#This Row],[Top Seed]]+1</f>
        <v>6</v>
      </c>
      <c r="G7" s="115" t="b">
        <f>IF(SotY_2025[[#This Row],[Round]]=$C$1, TRUE(), IF(SotY_2025[[#This Row],[Round]]=$B$1, SotY_2025[[#This Row],[Top Seed]]&lt;=2*SotY_2025[[#This Row],[Max Seed]]-$A$1, FALSE()))</f>
        <v>0</v>
      </c>
      <c r="H7" s="115" t="b">
        <f>IF(SotY_2025[[#This Row],[Round]]=$C$1, TRUE(), IF(SotY_2025[[#This Row],[Round]]=$B$1, SotY_2025[[#This Row],[Low Seed]]&lt;=2*SotY_2025[[#This Row],[Max Seed]]-$A$1, FALSE()))</f>
        <v>0</v>
      </c>
      <c r="I7" s="187"/>
      <c r="J7" s="188" t="s">
        <v>4191</v>
      </c>
      <c r="K7" s="189"/>
      <c r="L7" s="190"/>
      <c r="M7" s="191"/>
      <c r="N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Danza Kuduro</v>
      </c>
      <c r="O7" s="105">
        <f>COUNTIF(SotY_2025[[#This Row],[J]:[H]],"x")</f>
        <v>1</v>
      </c>
      <c r="P7" s="115" t="str">
        <f ca="1">IF(SotY_2025[[#This Row],[Num]]&gt;=$A$1, "-", IF(SotY_2025[[#This Row],[Score 1]]&gt;=3, SotY_2025[[#This Row],[Song 1]], IF(SotY_2025[[#This Row],[Score 2]]&gt;=3, SotY_2025[[#This Row],[Song 2]], "TBD")))</f>
        <v>Still into You</v>
      </c>
      <c r="Q7" s="193">
        <f>COUNTIF(SotY_2025[[#This Row],[H ]:[J ]],"x")</f>
        <v>4</v>
      </c>
      <c r="R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Still into You</v>
      </c>
      <c r="S7" s="191" t="s">
        <v>4191</v>
      </c>
      <c r="T7" s="190" t="s">
        <v>4191</v>
      </c>
      <c r="U7" s="189" t="s">
        <v>4191</v>
      </c>
      <c r="V7" s="188"/>
      <c r="W7" s="198" t="s">
        <v>4191</v>
      </c>
      <c r="X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7" s="109">
        <f t="shared" si="0"/>
        <v>139</v>
      </c>
      <c r="AA7" s="59">
        <v>45671</v>
      </c>
      <c r="AB7" t="str">
        <v>danram</v>
      </c>
      <c r="AC7" s="3">
        <v>2.4</v>
      </c>
      <c r="AD7" s="3">
        <v>1.019803902718557</v>
      </c>
      <c r="AE7" t="str">
        <v>Malas Decisiones</v>
      </c>
      <c r="AF7" t="str">
        <v>Kenia OS</v>
      </c>
      <c r="AG7" s="100">
        <f t="shared" si="1"/>
        <v>129</v>
      </c>
      <c r="AI7" s="114">
        <f>SotY_2025[[#This Row],[Max Seed]]/2 + 1</f>
        <v>5</v>
      </c>
      <c r="AJ7" s="105" t="str">
        <f ca="1">IF(SotY_2025[[#This Row],[Num]]&gt;=$A$1, "-", IF(SotY_2025[[#This Row],[Score 1]]&gt;=3, SotY_2025[[#This Row],[Song 2]], IF(SotY_2025[[#This Row],[Score 2]]&gt;=3, SotY_2025[[#This Row],[Song 1]], "TBD")))</f>
        <v>Danza Kuduro</v>
      </c>
      <c r="AK7" s="115">
        <f ca="1">IFERROR(VLOOKUP(SotY_2025_Results[[#This Row],[Song Title]], $AE$2:$AG$200, 3, FALSE)-SotY_2025_Results[[#This Row],[Result]], "TBD")</f>
        <v>60</v>
      </c>
      <c r="AL7" s="112" t="str">
        <f ca="1">IF(SotY_2025_Results[[#This Row],[Diff]]&lt;0,"↓",IF(SotY_2025_Results[[#This Row],[Diff]]=0,"-","↑"))</f>
        <v>↑</v>
      </c>
    </row>
    <row r="8" spans="1:38">
      <c r="A8" s="197" t="str">
        <f>_xlfn.CONCAT("Seed ", SotY_2025[[#This Row],[Top Seed]], " vs ", SotY_2025[[#This Row],[Low Seed]])</f>
        <v>Seed 2 vs 7</v>
      </c>
      <c r="B8" s="115">
        <v>6</v>
      </c>
      <c r="C8" s="115">
        <f>FLOOR(LOG(SotY_2025[[#This Row],[Num]], 2), 1)</f>
        <v>2</v>
      </c>
      <c r="D8" s="115">
        <f>2^(SotY_2025[[#This Row],[Round]]+1)</f>
        <v>8</v>
      </c>
      <c r="E8" s="115">
        <f>SotY_2025[[#This Row],[Max Seed]]-SotY_2025[[#This Row],[Num]]</f>
        <v>2</v>
      </c>
      <c r="F8" s="115">
        <f>SotY_2025[[#This Row],[Max Seed]]-SotY_2025[[#This Row],[Top Seed]]+1</f>
        <v>7</v>
      </c>
      <c r="G8" s="115" t="b">
        <f>IF(SotY_2025[[#This Row],[Round]]=$C$1, TRUE(), IF(SotY_2025[[#This Row],[Round]]=$B$1, SotY_2025[[#This Row],[Top Seed]]&lt;=2*SotY_2025[[#This Row],[Max Seed]]-$A$1, FALSE()))</f>
        <v>0</v>
      </c>
      <c r="H8" s="115" t="b">
        <f>IF(SotY_2025[[#This Row],[Round]]=$C$1, TRUE(), IF(SotY_2025[[#This Row],[Round]]=$B$1, SotY_2025[[#This Row],[Low Seed]]&lt;=2*SotY_2025[[#This Row],[Max Seed]]-$A$1, FALSE()))</f>
        <v>0</v>
      </c>
      <c r="I8" s="187"/>
      <c r="J8" s="188" t="s">
        <v>4191</v>
      </c>
      <c r="K8" s="189" t="s">
        <v>4191</v>
      </c>
      <c r="L8" s="190" t="s">
        <v>4191</v>
      </c>
      <c r="M8" s="191" t="s">
        <v>4191</v>
      </c>
      <c r="N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Float On</v>
      </c>
      <c r="O8" s="105">
        <f>COUNTIF(SotY_2025[[#This Row],[J]:[H]],"x")</f>
        <v>4</v>
      </c>
      <c r="P8" s="115" t="str">
        <f ca="1">IF(SotY_2025[[#This Row],[Num]]&gt;=$A$1, "-", IF(SotY_2025[[#This Row],[Score 1]]&gt;=3, SotY_2025[[#This Row],[Song 1]], IF(SotY_2025[[#This Row],[Score 2]]&gt;=3, SotY_2025[[#This Row],[Song 2]], "TBD")))</f>
        <v>Float On</v>
      </c>
      <c r="Q8" s="193">
        <f>COUNTIF(SotY_2025[[#This Row],[H ]:[J ]],"x")</f>
        <v>1</v>
      </c>
      <c r="R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Airplanes</v>
      </c>
      <c r="S8" s="191"/>
      <c r="T8" s="190"/>
      <c r="U8" s="189"/>
      <c r="V8" s="188"/>
      <c r="W8" s="198" t="s">
        <v>4191</v>
      </c>
      <c r="X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8" s="109">
        <f t="shared" si="0"/>
        <v>162</v>
      </c>
      <c r="AA8" s="59">
        <v>45672</v>
      </c>
      <c r="AB8" t="str">
        <v>currydestroyer27</v>
      </c>
      <c r="AC8" s="3">
        <v>2.4</v>
      </c>
      <c r="AD8" s="3">
        <v>1.3564659966250536</v>
      </c>
      <c r="AE8" t="str">
        <v>Like That</v>
      </c>
      <c r="AF8" t="str">
        <v>Doja Cat, Gucci Mane</v>
      </c>
      <c r="AG8" s="100">
        <f t="shared" si="1"/>
        <v>129</v>
      </c>
      <c r="AI8" s="114">
        <f>SotY_2025[[#This Row],[Max Seed]]/2 + 1</f>
        <v>5</v>
      </c>
      <c r="AJ8" s="105" t="str">
        <f ca="1">IF(SotY_2025[[#This Row],[Num]]&gt;=$A$1, "-", IF(SotY_2025[[#This Row],[Score 1]]&gt;=3, SotY_2025[[#This Row],[Song 2]], IF(SotY_2025[[#This Row],[Score 2]]&gt;=3, SotY_2025[[#This Row],[Song 1]], "TBD")))</f>
        <v>Airplanes</v>
      </c>
      <c r="AK8" s="115">
        <f ca="1">IFERROR(VLOOKUP(SotY_2025_Results[[#This Row],[Song Title]], $AE$2:$AG$200, 3, FALSE)-SotY_2025_Results[[#This Row],[Result]], "TBD")</f>
        <v>28</v>
      </c>
      <c r="AL8" s="112" t="str">
        <f ca="1">IF(SotY_2025_Results[[#This Row],[Diff]]&lt;0,"↓",IF(SotY_2025_Results[[#This Row],[Diff]]=0,"-","↑"))</f>
        <v>↑</v>
      </c>
    </row>
    <row r="9" spans="1:38">
      <c r="A9" s="197" t="str">
        <f>_xlfn.CONCAT("Seed ", SotY_2025[[#This Row],[Top Seed]], " vs ", SotY_2025[[#This Row],[Low Seed]])</f>
        <v>Seed 1 vs 8</v>
      </c>
      <c r="B9" s="115">
        <v>7</v>
      </c>
      <c r="C9" s="115">
        <f>FLOOR(LOG(SotY_2025[[#This Row],[Num]], 2), 1)</f>
        <v>2</v>
      </c>
      <c r="D9" s="115">
        <f>2^(SotY_2025[[#This Row],[Round]]+1)</f>
        <v>8</v>
      </c>
      <c r="E9" s="115">
        <f>SotY_2025[[#This Row],[Max Seed]]-SotY_2025[[#This Row],[Num]]</f>
        <v>1</v>
      </c>
      <c r="F9" s="115">
        <f>SotY_2025[[#This Row],[Max Seed]]-SotY_2025[[#This Row],[Top Seed]]+1</f>
        <v>8</v>
      </c>
      <c r="G9" s="115" t="b">
        <f>IF(SotY_2025[[#This Row],[Round]]=$C$1, TRUE(), IF(SotY_2025[[#This Row],[Round]]=$B$1, SotY_2025[[#This Row],[Top Seed]]&lt;=2*SotY_2025[[#This Row],[Max Seed]]-$A$1, FALSE()))</f>
        <v>0</v>
      </c>
      <c r="H9" s="115" t="b">
        <f>IF(SotY_2025[[#This Row],[Round]]=$C$1, TRUE(), IF(SotY_2025[[#This Row],[Round]]=$B$1, SotY_2025[[#This Row],[Low Seed]]&lt;=2*SotY_2025[[#This Row],[Max Seed]]-$A$1, FALSE()))</f>
        <v>0</v>
      </c>
      <c r="I9" s="187" t="s">
        <v>4191</v>
      </c>
      <c r="J9" s="188"/>
      <c r="K9" s="189" t="s">
        <v>4191</v>
      </c>
      <c r="L9" s="190" t="s">
        <v>4191</v>
      </c>
      <c r="M9" s="191"/>
      <c r="N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can't slow down</v>
      </c>
      <c r="O9" s="105">
        <f>COUNTIF(SotY_2025[[#This Row],[J]:[H]],"x")</f>
        <v>3</v>
      </c>
      <c r="P9" s="115" t="str">
        <f ca="1">IF(SotY_2025[[#This Row],[Num]]&gt;=$A$1, "-", IF(SotY_2025[[#This Row],[Score 1]]&gt;=3, SotY_2025[[#This Row],[Song 1]], IF(SotY_2025[[#This Row],[Score 2]]&gt;=3, SotY_2025[[#This Row],[Song 2]], "TBD")))</f>
        <v>can't slow down</v>
      </c>
      <c r="Q9" s="193">
        <f>COUNTIF(SotY_2025[[#This Row],[H ]:[J ]],"x")</f>
        <v>2</v>
      </c>
      <c r="R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Take Me Out</v>
      </c>
      <c r="S9" s="191" t="s">
        <v>4191</v>
      </c>
      <c r="T9" s="190"/>
      <c r="U9" s="189"/>
      <c r="V9" s="188" t="s">
        <v>4191</v>
      </c>
      <c r="W9" s="198"/>
      <c r="X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9" s="109">
        <f t="shared" si="0"/>
        <v>159</v>
      </c>
      <c r="AA9" s="59">
        <v>45673</v>
      </c>
      <c r="AB9" t="str">
        <v>danram</v>
      </c>
      <c r="AC9" s="3">
        <v>2.4</v>
      </c>
      <c r="AD9" s="3">
        <v>1.2</v>
      </c>
      <c r="AE9" t="str">
        <v>BAILE INoLVIDABLE</v>
      </c>
      <c r="AF9" t="str">
        <v>Bad Bunny</v>
      </c>
      <c r="AG9" s="100">
        <f t="shared" si="1"/>
        <v>129</v>
      </c>
      <c r="AI9" s="114">
        <f>SotY_2025[[#This Row],[Max Seed]]/2 + 1</f>
        <v>5</v>
      </c>
      <c r="AJ9" s="105" t="str">
        <f ca="1">IF(SotY_2025[[#This Row],[Num]]&gt;=$A$1, "-", IF(SotY_2025[[#This Row],[Score 1]]&gt;=3, SotY_2025[[#This Row],[Song 2]], IF(SotY_2025[[#This Row],[Score 2]]&gt;=3, SotY_2025[[#This Row],[Song 1]], "TBD")))</f>
        <v>Take Me Out</v>
      </c>
      <c r="AK9" s="115">
        <f ca="1">IFERROR(VLOOKUP(SotY_2025_Results[[#This Row],[Song Title]], $AE$2:$AG$200, 3, FALSE)-SotY_2025_Results[[#This Row],[Result]], "TBD")</f>
        <v>124</v>
      </c>
      <c r="AL9" s="112" t="str">
        <f ca="1">IF(SotY_2025_Results[[#This Row],[Diff]]&lt;0,"↓",IF(SotY_2025_Results[[#This Row],[Diff]]=0,"-","↑"))</f>
        <v>↑</v>
      </c>
    </row>
    <row r="10" spans="1:38">
      <c r="A10" s="197" t="str">
        <f>_xlfn.CONCAT("Seed ", SotY_2025[[#This Row],[Top Seed]], " vs ", SotY_2025[[#This Row],[Low Seed]])</f>
        <v>Seed 8 vs 9</v>
      </c>
      <c r="B10" s="115">
        <v>8</v>
      </c>
      <c r="C10" s="115">
        <f>FLOOR(LOG(SotY_2025[[#This Row],[Num]], 2), 1)</f>
        <v>3</v>
      </c>
      <c r="D10" s="115">
        <f>2^(SotY_2025[[#This Row],[Round]]+1)</f>
        <v>16</v>
      </c>
      <c r="E10" s="115">
        <f>SotY_2025[[#This Row],[Max Seed]]-SotY_2025[[#This Row],[Num]]</f>
        <v>8</v>
      </c>
      <c r="F10" s="115">
        <f>SotY_2025[[#This Row],[Max Seed]]-SotY_2025[[#This Row],[Top Seed]]+1</f>
        <v>9</v>
      </c>
      <c r="G10" s="115" t="b">
        <f>IF(SotY_2025[[#This Row],[Round]]=$C$1, TRUE(), IF(SotY_2025[[#This Row],[Round]]=$B$1, SotY_2025[[#This Row],[Top Seed]]&lt;=2*SotY_2025[[#This Row],[Max Seed]]-$A$1, FALSE()))</f>
        <v>0</v>
      </c>
      <c r="H10" s="115" t="b">
        <f>IF(SotY_2025[[#This Row],[Round]]=$C$1, TRUE(), IF(SotY_2025[[#This Row],[Round]]=$B$1, SotY_2025[[#This Row],[Low Seed]]&lt;=2*SotY_2025[[#This Row],[Max Seed]]-$A$1, FALSE()))</f>
        <v>0</v>
      </c>
      <c r="I10" s="187" t="s">
        <v>4191</v>
      </c>
      <c r="J10" s="188"/>
      <c r="K10" s="189"/>
      <c r="L10" s="190" t="s">
        <v>4191</v>
      </c>
      <c r="M10" s="191" t="s">
        <v>4191</v>
      </c>
      <c r="N1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Take Me Out</v>
      </c>
      <c r="O10" s="105">
        <f>COUNTIF(SotY_2025[[#This Row],[J]:[H]],"x")</f>
        <v>3</v>
      </c>
      <c r="P10" s="115" t="str">
        <f ca="1">IF(SotY_2025[[#This Row],[Num]]&gt;=$A$1, "-", IF(SotY_2025[[#This Row],[Score 1]]&gt;=3, SotY_2025[[#This Row],[Song 1]], IF(SotY_2025[[#This Row],[Score 2]]&gt;=3, SotY_2025[[#This Row],[Song 2]], "TBD")))</f>
        <v>Take Me Out</v>
      </c>
      <c r="Q10" s="193">
        <f>COUNTIF(SotY_2025[[#This Row],[H ]:[J ]],"x")</f>
        <v>2</v>
      </c>
      <c r="R1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KLOuFRENS</v>
      </c>
      <c r="S10" s="191"/>
      <c r="T10" s="190"/>
      <c r="U10" s="189" t="s">
        <v>4191</v>
      </c>
      <c r="V10" s="188" t="s">
        <v>4191</v>
      </c>
      <c r="W10" s="198"/>
      <c r="X1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0" s="109">
        <f t="shared" si="0"/>
        <v>186</v>
      </c>
      <c r="AA10" s="59">
        <v>45677</v>
      </c>
      <c r="AB10" t="str">
        <v>samuelbattista</v>
      </c>
      <c r="AC10" s="3">
        <v>2.6</v>
      </c>
      <c r="AD10" s="3">
        <v>1.2</v>
      </c>
      <c r="AE10" t="str">
        <v>Corazón Tatuado</v>
      </c>
      <c r="AF10" t="str">
        <v>Estevie</v>
      </c>
      <c r="AG10" s="100">
        <f t="shared" si="1"/>
        <v>129</v>
      </c>
      <c r="AI10" s="114">
        <f>SotY_2025[[#This Row],[Max Seed]]/2 + 1</f>
        <v>9</v>
      </c>
      <c r="AJ10" s="105" t="str">
        <f ca="1">IF(SotY_2025[[#This Row],[Num]]&gt;=$A$1, "-", IF(SotY_2025[[#This Row],[Score 1]]&gt;=3, SotY_2025[[#This Row],[Song 2]], IF(SotY_2025[[#This Row],[Score 2]]&gt;=3, SotY_2025[[#This Row],[Song 1]], "TBD")))</f>
        <v>KLOuFRENS</v>
      </c>
      <c r="AK10" s="115">
        <f ca="1">IFERROR(VLOOKUP(SotY_2025_Results[[#This Row],[Song Title]], $AE$2:$AG$200, 3, FALSE)-SotY_2025_Results[[#This Row],[Result]], "TBD")</f>
        <v>56</v>
      </c>
      <c r="AL10" s="112" t="str">
        <f ca="1">IF(SotY_2025_Results[[#This Row],[Diff]]&lt;0,"↓",IF(SotY_2025_Results[[#This Row],[Diff]]=0,"-","↑"))</f>
        <v>↑</v>
      </c>
    </row>
    <row r="11" spans="1:38">
      <c r="A11" s="197" t="str">
        <f>_xlfn.CONCAT("Seed ", SotY_2025[[#This Row],[Top Seed]], " vs ", SotY_2025[[#This Row],[Low Seed]])</f>
        <v>Seed 7 vs 10</v>
      </c>
      <c r="B11" s="115">
        <v>9</v>
      </c>
      <c r="C11" s="115">
        <f>FLOOR(LOG(SotY_2025[[#This Row],[Num]], 2), 1)</f>
        <v>3</v>
      </c>
      <c r="D11" s="115">
        <f>2^(SotY_2025[[#This Row],[Round]]+1)</f>
        <v>16</v>
      </c>
      <c r="E11" s="115">
        <f>SotY_2025[[#This Row],[Max Seed]]-SotY_2025[[#This Row],[Num]]</f>
        <v>7</v>
      </c>
      <c r="F11" s="115">
        <f>SotY_2025[[#This Row],[Max Seed]]-SotY_2025[[#This Row],[Top Seed]]+1</f>
        <v>10</v>
      </c>
      <c r="G11" s="115" t="b">
        <f>IF(SotY_2025[[#This Row],[Round]]=$C$1, TRUE(), IF(SotY_2025[[#This Row],[Round]]=$B$1, SotY_2025[[#This Row],[Top Seed]]&lt;=2*SotY_2025[[#This Row],[Max Seed]]-$A$1, FALSE()))</f>
        <v>0</v>
      </c>
      <c r="H11" s="115" t="b">
        <f>IF(SotY_2025[[#This Row],[Round]]=$C$1, TRUE(), IF(SotY_2025[[#This Row],[Round]]=$B$1, SotY_2025[[#This Row],[Low Seed]]&lt;=2*SotY_2025[[#This Row],[Max Seed]]-$A$1, FALSE()))</f>
        <v>0</v>
      </c>
      <c r="I11" s="187" t="s">
        <v>4191</v>
      </c>
      <c r="J11" s="188" t="s">
        <v>4191</v>
      </c>
      <c r="K11" s="189"/>
      <c r="L11" s="190"/>
      <c r="M11" s="191"/>
      <c r="N1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Ensalada</v>
      </c>
      <c r="O11" s="105">
        <f>COUNTIF(SotY_2025[[#This Row],[J]:[H]],"x")</f>
        <v>2</v>
      </c>
      <c r="P11" s="115" t="str">
        <f ca="1">IF(SotY_2025[[#This Row],[Num]]&gt;=$A$1, "-", IF(SotY_2025[[#This Row],[Score 1]]&gt;=3, SotY_2025[[#This Row],[Song 1]], IF(SotY_2025[[#This Row],[Score 2]]&gt;=3, SotY_2025[[#This Row],[Song 2]], "TBD")))</f>
        <v>Airplanes</v>
      </c>
      <c r="Q11" s="193">
        <f>COUNTIF(SotY_2025[[#This Row],[H ]:[J ]],"x")</f>
        <v>3</v>
      </c>
      <c r="R1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Airplanes</v>
      </c>
      <c r="S11" s="191" t="s">
        <v>4191</v>
      </c>
      <c r="T11" s="190" t="s">
        <v>4191</v>
      </c>
      <c r="U11" s="189" t="s">
        <v>4191</v>
      </c>
      <c r="V11" s="188"/>
      <c r="W11" s="198"/>
      <c r="X1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1" s="109">
        <f t="shared" si="0"/>
        <v>98</v>
      </c>
      <c r="AA11" s="59">
        <v>45678</v>
      </c>
      <c r="AB11" t="str">
        <v>loganworsdell</v>
      </c>
      <c r="AC11" s="3">
        <v>2.2000000000000002</v>
      </c>
      <c r="AD11" s="3">
        <v>0.9797958971132712</v>
      </c>
      <c r="AE11" t="str">
        <v>el cielo</v>
      </c>
      <c r="AF11" t="str">
        <v>TINI</v>
      </c>
      <c r="AG11" s="100">
        <f t="shared" si="1"/>
        <v>65</v>
      </c>
      <c r="AI11" s="114">
        <f>SotY_2025[[#This Row],[Max Seed]]/2 + 1</f>
        <v>9</v>
      </c>
      <c r="AJ11" s="105" t="str">
        <f ca="1">IF(SotY_2025[[#This Row],[Num]]&gt;=$A$1, "-", IF(SotY_2025[[#This Row],[Score 1]]&gt;=3, SotY_2025[[#This Row],[Song 2]], IF(SotY_2025[[#This Row],[Score 2]]&gt;=3, SotY_2025[[#This Row],[Song 1]], "TBD")))</f>
        <v>Ensalada</v>
      </c>
      <c r="AK11" s="115">
        <f ca="1">IFERROR(VLOOKUP(SotY_2025_Results[[#This Row],[Song Title]], $AE$2:$AG$200, 3, FALSE)-SotY_2025_Results[[#This Row],[Result]], "TBD")</f>
        <v>56</v>
      </c>
      <c r="AL11" s="112" t="str">
        <f ca="1">IF(SotY_2025_Results[[#This Row],[Diff]]&lt;0,"↓",IF(SotY_2025_Results[[#This Row],[Diff]]=0,"-","↑"))</f>
        <v>↑</v>
      </c>
    </row>
    <row r="12" spans="1:38">
      <c r="A12" s="197" t="str">
        <f>_xlfn.CONCAT("Seed ", SotY_2025[[#This Row],[Top Seed]], " vs ", SotY_2025[[#This Row],[Low Seed]])</f>
        <v>Seed 6 vs 11</v>
      </c>
      <c r="B12" s="115">
        <v>10</v>
      </c>
      <c r="C12" s="115">
        <f>FLOOR(LOG(SotY_2025[[#This Row],[Num]], 2), 1)</f>
        <v>3</v>
      </c>
      <c r="D12" s="115">
        <f>2^(SotY_2025[[#This Row],[Round]]+1)</f>
        <v>16</v>
      </c>
      <c r="E12" s="115">
        <f>SotY_2025[[#This Row],[Max Seed]]-SotY_2025[[#This Row],[Num]]</f>
        <v>6</v>
      </c>
      <c r="F12" s="115">
        <f>SotY_2025[[#This Row],[Max Seed]]-SotY_2025[[#This Row],[Top Seed]]+1</f>
        <v>11</v>
      </c>
      <c r="G12" s="115" t="b">
        <f>IF(SotY_2025[[#This Row],[Round]]=$C$1, TRUE(), IF(SotY_2025[[#This Row],[Round]]=$B$1, SotY_2025[[#This Row],[Top Seed]]&lt;=2*SotY_2025[[#This Row],[Max Seed]]-$A$1, FALSE()))</f>
        <v>0</v>
      </c>
      <c r="H12" s="115" t="b">
        <f>IF(SotY_2025[[#This Row],[Round]]=$C$1, TRUE(), IF(SotY_2025[[#This Row],[Round]]=$B$1, SotY_2025[[#This Row],[Low Seed]]&lt;=2*SotY_2025[[#This Row],[Max Seed]]-$A$1, FALSE()))</f>
        <v>0</v>
      </c>
      <c r="I12" s="187" t="s">
        <v>4191</v>
      </c>
      <c r="J12" s="188" t="s">
        <v>4191</v>
      </c>
      <c r="K12" s="189"/>
      <c r="L12" s="190"/>
      <c r="M12" s="191" t="s">
        <v>4191</v>
      </c>
      <c r="N1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Still into You</v>
      </c>
      <c r="O12" s="105">
        <f>COUNTIF(SotY_2025[[#This Row],[J]:[H]],"x")</f>
        <v>3</v>
      </c>
      <c r="P12" s="115" t="str">
        <f ca="1">IF(SotY_2025[[#This Row],[Num]]&gt;=$A$1, "-", IF(SotY_2025[[#This Row],[Score 1]]&gt;=3, SotY_2025[[#This Row],[Song 1]], IF(SotY_2025[[#This Row],[Score 2]]&gt;=3, SotY_2025[[#This Row],[Song 2]], "TBD")))</f>
        <v>Still into You</v>
      </c>
      <c r="Q12" s="193">
        <f>COUNTIF(SotY_2025[[#This Row],[H ]:[J ]],"x")</f>
        <v>2</v>
      </c>
      <c r="R1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Animal</v>
      </c>
      <c r="S12" s="191"/>
      <c r="T12" s="190" t="s">
        <v>4191</v>
      </c>
      <c r="U12" s="189" t="s">
        <v>4191</v>
      </c>
      <c r="V12" s="188"/>
      <c r="W12" s="198"/>
      <c r="X1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2" s="109">
        <f t="shared" si="0"/>
        <v>99</v>
      </c>
      <c r="AA12" s="59">
        <v>45679</v>
      </c>
      <c r="AB12" t="str">
        <v>loganworsdell</v>
      </c>
      <c r="AC12" s="3">
        <v>2.2000000000000002</v>
      </c>
      <c r="AD12" s="3">
        <v>0.9797958971132712</v>
      </c>
      <c r="AE12" t="str">
        <v>Tears On A Pretty Face</v>
      </c>
      <c r="AF12" t="str">
        <v>Kyle Dion</v>
      </c>
      <c r="AG12" s="100">
        <f t="shared" si="1"/>
        <v>65</v>
      </c>
      <c r="AI12" s="114">
        <f>SotY_2025[[#This Row],[Max Seed]]/2 + 1</f>
        <v>9</v>
      </c>
      <c r="AJ12" s="105" t="str">
        <f ca="1">IF(SotY_2025[[#This Row],[Num]]&gt;=$A$1, "-", IF(SotY_2025[[#This Row],[Score 1]]&gt;=3, SotY_2025[[#This Row],[Song 2]], IF(SotY_2025[[#This Row],[Score 2]]&gt;=3, SotY_2025[[#This Row],[Song 1]], "TBD")))</f>
        <v>Animal</v>
      </c>
      <c r="AK12" s="115">
        <f ca="1">IFERROR(VLOOKUP(SotY_2025_Results[[#This Row],[Song Title]], $AE$2:$AG$200, 3, FALSE)-SotY_2025_Results[[#This Row],[Result]], "TBD")</f>
        <v>56</v>
      </c>
      <c r="AL12" s="112" t="str">
        <f ca="1">IF(SotY_2025_Results[[#This Row],[Diff]]&lt;0,"↓",IF(SotY_2025_Results[[#This Row],[Diff]]=0,"-","↑"))</f>
        <v>↑</v>
      </c>
    </row>
    <row r="13" spans="1:38">
      <c r="A13" s="197" t="str">
        <f>_xlfn.CONCAT("Seed ", SotY_2025[[#This Row],[Top Seed]], " vs ", SotY_2025[[#This Row],[Low Seed]])</f>
        <v>Seed 5 vs 12</v>
      </c>
      <c r="B13" s="115">
        <v>11</v>
      </c>
      <c r="C13" s="115">
        <f>FLOOR(LOG(SotY_2025[[#This Row],[Num]], 2), 1)</f>
        <v>3</v>
      </c>
      <c r="D13" s="115">
        <f>2^(SotY_2025[[#This Row],[Round]]+1)</f>
        <v>16</v>
      </c>
      <c r="E13" s="115">
        <f>SotY_2025[[#This Row],[Max Seed]]-SotY_2025[[#This Row],[Num]]</f>
        <v>5</v>
      </c>
      <c r="F13" s="115">
        <f>SotY_2025[[#This Row],[Max Seed]]-SotY_2025[[#This Row],[Top Seed]]+1</f>
        <v>12</v>
      </c>
      <c r="G13" s="115" t="b">
        <f>IF(SotY_2025[[#This Row],[Round]]=$C$1, TRUE(), IF(SotY_2025[[#This Row],[Round]]=$B$1, SotY_2025[[#This Row],[Top Seed]]&lt;=2*SotY_2025[[#This Row],[Max Seed]]-$A$1, FALSE()))</f>
        <v>0</v>
      </c>
      <c r="H13" s="115" t="b">
        <f>IF(SotY_2025[[#This Row],[Round]]=$C$1, TRUE(), IF(SotY_2025[[#This Row],[Round]]=$B$1, SotY_2025[[#This Row],[Low Seed]]&lt;=2*SotY_2025[[#This Row],[Max Seed]]-$A$1, FALSE()))</f>
        <v>0</v>
      </c>
      <c r="I13" s="187"/>
      <c r="J13" s="188" t="s">
        <v>4191</v>
      </c>
      <c r="K13" s="189" t="s">
        <v>4191</v>
      </c>
      <c r="L13" s="190"/>
      <c r="M13" s="191" t="s">
        <v>4191</v>
      </c>
      <c r="N1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Umbrella</v>
      </c>
      <c r="O13" s="105">
        <f>COUNTIF(SotY_2025[[#This Row],[J]:[H]],"x")</f>
        <v>3</v>
      </c>
      <c r="P13" s="115" t="str">
        <f ca="1">IF(SotY_2025[[#This Row],[Num]]&gt;=$A$1, "-", IF(SotY_2025[[#This Row],[Score 1]]&gt;=3, SotY_2025[[#This Row],[Song 1]], IF(SotY_2025[[#This Row],[Score 2]]&gt;=3, SotY_2025[[#This Row],[Song 2]], "TBD")))</f>
        <v>Umbrella</v>
      </c>
      <c r="Q13" s="193">
        <f>COUNTIF(SotY_2025[[#This Row],[H ]:[J ]],"x")</f>
        <v>2</v>
      </c>
      <c r="R1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All Night Long</v>
      </c>
      <c r="S13" s="191"/>
      <c r="T13" s="190" t="s">
        <v>4191</v>
      </c>
      <c r="U13" s="189"/>
      <c r="V13" s="188"/>
      <c r="W13" s="198" t="s">
        <v>4191</v>
      </c>
      <c r="X1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3" s="109">
        <f t="shared" si="0"/>
        <v>21</v>
      </c>
      <c r="AA13" s="59">
        <v>45680</v>
      </c>
      <c r="AB13" t="str">
        <v>alappatjoe</v>
      </c>
      <c r="AC13" s="3">
        <v>1.8</v>
      </c>
      <c r="AD13" s="3">
        <v>0.74833147735478833</v>
      </c>
      <c r="AE13" t="str">
        <v>All Night Long</v>
      </c>
      <c r="AF13" t="str">
        <v>Lionel Richie</v>
      </c>
      <c r="AG13" s="100">
        <f t="shared" si="1"/>
        <v>17</v>
      </c>
      <c r="AI13" s="114">
        <f>SotY_2025[[#This Row],[Max Seed]]/2 + 1</f>
        <v>9</v>
      </c>
      <c r="AJ13" s="105" t="str">
        <f ca="1">IF(SotY_2025[[#This Row],[Num]]&gt;=$A$1, "-", IF(SotY_2025[[#This Row],[Score 1]]&gt;=3, SotY_2025[[#This Row],[Song 2]], IF(SotY_2025[[#This Row],[Score 2]]&gt;=3, SotY_2025[[#This Row],[Song 1]], "TBD")))</f>
        <v>All Night Long</v>
      </c>
      <c r="AK13" s="115">
        <f ca="1">IFERROR(VLOOKUP(SotY_2025_Results[[#This Row],[Song Title]], $AE$2:$AG$200, 3, FALSE)-SotY_2025_Results[[#This Row],[Result]], "TBD")</f>
        <v>8</v>
      </c>
      <c r="AL13" s="112" t="str">
        <f ca="1">IF(SotY_2025_Results[[#This Row],[Diff]]&lt;0,"↓",IF(SotY_2025_Results[[#This Row],[Diff]]=0,"-","↑"))</f>
        <v>↑</v>
      </c>
    </row>
    <row r="14" spans="1:38">
      <c r="A14" s="197" t="str">
        <f>_xlfn.CONCAT("Seed ", SotY_2025[[#This Row],[Top Seed]], " vs ", SotY_2025[[#This Row],[Low Seed]])</f>
        <v>Seed 4 vs 13</v>
      </c>
      <c r="B14" s="115">
        <v>12</v>
      </c>
      <c r="C14" s="115">
        <f>FLOOR(LOG(SotY_2025[[#This Row],[Num]], 2), 1)</f>
        <v>3</v>
      </c>
      <c r="D14" s="115">
        <f>2^(SotY_2025[[#This Row],[Round]]+1)</f>
        <v>16</v>
      </c>
      <c r="E14" s="115">
        <f>SotY_2025[[#This Row],[Max Seed]]-SotY_2025[[#This Row],[Num]]</f>
        <v>4</v>
      </c>
      <c r="F14" s="115">
        <f>SotY_2025[[#This Row],[Max Seed]]-SotY_2025[[#This Row],[Top Seed]]+1</f>
        <v>13</v>
      </c>
      <c r="G14" s="115" t="b">
        <f>IF(SotY_2025[[#This Row],[Round]]=$C$1, TRUE(), IF(SotY_2025[[#This Row],[Round]]=$B$1, SotY_2025[[#This Row],[Top Seed]]&lt;=2*SotY_2025[[#This Row],[Max Seed]]-$A$1, FALSE()))</f>
        <v>0</v>
      </c>
      <c r="H14" s="115" t="b">
        <f>IF(SotY_2025[[#This Row],[Round]]=$C$1, TRUE(), IF(SotY_2025[[#This Row],[Round]]=$B$1, SotY_2025[[#This Row],[Low Seed]]&lt;=2*SotY_2025[[#This Row],[Max Seed]]-$A$1, FALSE()))</f>
        <v>0</v>
      </c>
      <c r="I14" s="187"/>
      <c r="J14" s="188"/>
      <c r="K14" s="189"/>
      <c r="L14" s="190"/>
      <c r="M14" s="191" t="s">
        <v>4191</v>
      </c>
      <c r="N1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Bottoms Up</v>
      </c>
      <c r="O14" s="105">
        <f>COUNTIF(SotY_2025[[#This Row],[J]:[H]],"x")</f>
        <v>1</v>
      </c>
      <c r="P14" s="115" t="str">
        <f ca="1">IF(SotY_2025[[#This Row],[Num]]&gt;=$A$1, "-", IF(SotY_2025[[#This Row],[Score 1]]&gt;=3, SotY_2025[[#This Row],[Song 1]], IF(SotY_2025[[#This Row],[Score 2]]&gt;=3, SotY_2025[[#This Row],[Song 2]], "TBD")))</f>
        <v>Buy U a Drank</v>
      </c>
      <c r="Q14" s="193">
        <f>COUNTIF(SotY_2025[[#This Row],[H ]:[J ]],"x")</f>
        <v>4</v>
      </c>
      <c r="R1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Buy U a Drank</v>
      </c>
      <c r="S14" s="191"/>
      <c r="T14" s="190" t="s">
        <v>4191</v>
      </c>
      <c r="U14" s="189" t="s">
        <v>4191</v>
      </c>
      <c r="V14" s="188" t="s">
        <v>4191</v>
      </c>
      <c r="W14" s="198" t="s">
        <v>4191</v>
      </c>
      <c r="X1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4" s="109">
        <f t="shared" si="0"/>
        <v>70</v>
      </c>
      <c r="AA14" s="59">
        <v>45684</v>
      </c>
      <c r="AB14" t="str">
        <v>currydestroyer27</v>
      </c>
      <c r="AC14" s="3">
        <v>2</v>
      </c>
      <c r="AD14" s="3">
        <v>1.2649110640673518</v>
      </c>
      <c r="AE14" t="str">
        <v>Nights</v>
      </c>
      <c r="AF14" t="str">
        <v>Frank Ocean</v>
      </c>
      <c r="AG14" s="100">
        <f t="shared" si="1"/>
        <v>65</v>
      </c>
      <c r="AI14" s="114">
        <f>SotY_2025[[#This Row],[Max Seed]]/2 + 1</f>
        <v>9</v>
      </c>
      <c r="AJ14" s="105" t="str">
        <f ca="1">IF(SotY_2025[[#This Row],[Num]]&gt;=$A$1, "-", IF(SotY_2025[[#This Row],[Score 1]]&gt;=3, SotY_2025[[#This Row],[Song 2]], IF(SotY_2025[[#This Row],[Score 2]]&gt;=3, SotY_2025[[#This Row],[Song 1]], "TBD")))</f>
        <v>Bottoms Up</v>
      </c>
      <c r="AK14" s="115">
        <f ca="1">IFERROR(VLOOKUP(SotY_2025_Results[[#This Row],[Song Title]], $AE$2:$AG$200, 3, FALSE)-SotY_2025_Results[[#This Row],[Result]], "TBD")</f>
        <v>8</v>
      </c>
      <c r="AL14" s="112" t="str">
        <f ca="1">IF(SotY_2025_Results[[#This Row],[Diff]]&lt;0,"↓",IF(SotY_2025_Results[[#This Row],[Diff]]=0,"-","↑"))</f>
        <v>↑</v>
      </c>
    </row>
    <row r="15" spans="1:38">
      <c r="A15" s="197" t="str">
        <f>_xlfn.CONCAT("Seed ", SotY_2025[[#This Row],[Top Seed]], " vs ", SotY_2025[[#This Row],[Low Seed]])</f>
        <v>Seed 3 vs 14</v>
      </c>
      <c r="B15" s="115">
        <v>13</v>
      </c>
      <c r="C15" s="115">
        <f>FLOOR(LOG(SotY_2025[[#This Row],[Num]], 2), 1)</f>
        <v>3</v>
      </c>
      <c r="D15" s="115">
        <f>2^(SotY_2025[[#This Row],[Round]]+1)</f>
        <v>16</v>
      </c>
      <c r="E15" s="115">
        <f>SotY_2025[[#This Row],[Max Seed]]-SotY_2025[[#This Row],[Num]]</f>
        <v>3</v>
      </c>
      <c r="F15" s="115">
        <f>SotY_2025[[#This Row],[Max Seed]]-SotY_2025[[#This Row],[Top Seed]]+1</f>
        <v>14</v>
      </c>
      <c r="G15" s="115" t="b">
        <f>IF(SotY_2025[[#This Row],[Round]]=$C$1, TRUE(), IF(SotY_2025[[#This Row],[Round]]=$B$1, SotY_2025[[#This Row],[Top Seed]]&lt;=2*SotY_2025[[#This Row],[Max Seed]]-$A$1, FALSE()))</f>
        <v>0</v>
      </c>
      <c r="H15" s="115" t="b">
        <f>IF(SotY_2025[[#This Row],[Round]]=$C$1, TRUE(), IF(SotY_2025[[#This Row],[Round]]=$B$1, SotY_2025[[#This Row],[Low Seed]]&lt;=2*SotY_2025[[#This Row],[Max Seed]]-$A$1, FALSE()))</f>
        <v>0</v>
      </c>
      <c r="I15" s="187" t="s">
        <v>4191</v>
      </c>
      <c r="J15" s="188"/>
      <c r="K15" s="189"/>
      <c r="L15" s="190"/>
      <c r="M15" s="191"/>
      <c r="N1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Locked out of Heaven</v>
      </c>
      <c r="O15" s="105">
        <f>COUNTIF(SotY_2025[[#This Row],[J]:[H]],"x")</f>
        <v>1</v>
      </c>
      <c r="P15" s="115" t="str">
        <f ca="1">IF(SotY_2025[[#This Row],[Num]]&gt;=$A$1, "-", IF(SotY_2025[[#This Row],[Score 1]]&gt;=3, SotY_2025[[#This Row],[Song 1]], IF(SotY_2025[[#This Row],[Score 2]]&gt;=3, SotY_2025[[#This Row],[Song 2]], "TBD")))</f>
        <v>Danza Kuduro</v>
      </c>
      <c r="Q15" s="193">
        <f>COUNTIF(SotY_2025[[#This Row],[H ]:[J ]],"x")</f>
        <v>4</v>
      </c>
      <c r="R1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Danza Kuduro</v>
      </c>
      <c r="S15" s="191" t="s">
        <v>4191</v>
      </c>
      <c r="T15" s="190" t="s">
        <v>4191</v>
      </c>
      <c r="U15" s="189" t="s">
        <v>4191</v>
      </c>
      <c r="V15" s="188" t="s">
        <v>4191</v>
      </c>
      <c r="W15" s="198"/>
      <c r="X1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5" s="109">
        <f t="shared" si="0"/>
        <v>15</v>
      </c>
      <c r="AA15" s="59">
        <v>45685</v>
      </c>
      <c r="AB15" t="str">
        <v>danram</v>
      </c>
      <c r="AC15" s="3">
        <v>1.6</v>
      </c>
      <c r="AD15" s="3">
        <v>0.8</v>
      </c>
      <c r="AE15" t="str">
        <v>Float On</v>
      </c>
      <c r="AF15" t="str">
        <v>Modest Mouse</v>
      </c>
      <c r="AG15" s="100">
        <f t="shared" si="1"/>
        <v>9</v>
      </c>
      <c r="AI15" s="114">
        <f>SotY_2025[[#This Row],[Max Seed]]/2 + 1</f>
        <v>9</v>
      </c>
      <c r="AJ15" s="105" t="str">
        <f ca="1">IF(SotY_2025[[#This Row],[Num]]&gt;=$A$1, "-", IF(SotY_2025[[#This Row],[Score 1]]&gt;=3, SotY_2025[[#This Row],[Song 2]], IF(SotY_2025[[#This Row],[Score 2]]&gt;=3, SotY_2025[[#This Row],[Song 1]], "TBD")))</f>
        <v>Locked out of Heaven</v>
      </c>
      <c r="AK15" s="115">
        <f ca="1">IFERROR(VLOOKUP(SotY_2025_Results[[#This Row],[Song Title]], $AE$2:$AG$200, 3, FALSE)-SotY_2025_Results[[#This Row],[Result]], "TBD")</f>
        <v>120</v>
      </c>
      <c r="AL15" s="112" t="str">
        <f ca="1">IF(SotY_2025_Results[[#This Row],[Diff]]&lt;0,"↓",IF(SotY_2025_Results[[#This Row],[Diff]]=0,"-","↑"))</f>
        <v>↑</v>
      </c>
    </row>
    <row r="16" spans="1:38">
      <c r="A16" s="197" t="str">
        <f>_xlfn.CONCAT("Seed ", SotY_2025[[#This Row],[Top Seed]], " vs ", SotY_2025[[#This Row],[Low Seed]])</f>
        <v>Seed 2 vs 15</v>
      </c>
      <c r="B16" s="115">
        <v>14</v>
      </c>
      <c r="C16" s="115">
        <f>FLOOR(LOG(SotY_2025[[#This Row],[Num]], 2), 1)</f>
        <v>3</v>
      </c>
      <c r="D16" s="115">
        <f>2^(SotY_2025[[#This Row],[Round]]+1)</f>
        <v>16</v>
      </c>
      <c r="E16" s="115">
        <f>SotY_2025[[#This Row],[Max Seed]]-SotY_2025[[#This Row],[Num]]</f>
        <v>2</v>
      </c>
      <c r="F16" s="115">
        <f>SotY_2025[[#This Row],[Max Seed]]-SotY_2025[[#This Row],[Top Seed]]+1</f>
        <v>15</v>
      </c>
      <c r="G16" s="115" t="b">
        <f>IF(SotY_2025[[#This Row],[Round]]=$C$1, TRUE(), IF(SotY_2025[[#This Row],[Round]]=$B$1, SotY_2025[[#This Row],[Top Seed]]&lt;=2*SotY_2025[[#This Row],[Max Seed]]-$A$1, FALSE()))</f>
        <v>0</v>
      </c>
      <c r="H16" s="115" t="b">
        <f>IF(SotY_2025[[#This Row],[Round]]=$C$1, TRUE(), IF(SotY_2025[[#This Row],[Round]]=$B$1, SotY_2025[[#This Row],[Low Seed]]&lt;=2*SotY_2025[[#This Row],[Max Seed]]-$A$1, FALSE()))</f>
        <v>0</v>
      </c>
      <c r="I16" s="187" t="s">
        <v>4191</v>
      </c>
      <c r="J16" s="188"/>
      <c r="K16" s="189" t="s">
        <v>4191</v>
      </c>
      <c r="L16" s="190"/>
      <c r="M16" s="191"/>
      <c r="N1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el cielo</v>
      </c>
      <c r="O16" s="105">
        <f>COUNTIF(SotY_2025[[#This Row],[J]:[H]],"x")</f>
        <v>2</v>
      </c>
      <c r="P16" s="115" t="str">
        <f ca="1">IF(SotY_2025[[#This Row],[Num]]&gt;=$A$1, "-", IF(SotY_2025[[#This Row],[Score 1]]&gt;=3, SotY_2025[[#This Row],[Song 1]], IF(SotY_2025[[#This Row],[Score 2]]&gt;=3, SotY_2025[[#This Row],[Song 2]], "TBD")))</f>
        <v>Float On</v>
      </c>
      <c r="Q16" s="193">
        <f>COUNTIF(SotY_2025[[#This Row],[H ]:[J ]],"x")</f>
        <v>3</v>
      </c>
      <c r="R1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Float On</v>
      </c>
      <c r="S16" s="191" t="s">
        <v>4191</v>
      </c>
      <c r="T16" s="190" t="s">
        <v>4191</v>
      </c>
      <c r="U16" s="189"/>
      <c r="V16" s="188" t="s">
        <v>4191</v>
      </c>
      <c r="W16" s="198"/>
      <c r="X1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6" s="109">
        <f t="shared" si="0"/>
        <v>22</v>
      </c>
      <c r="AA16" s="59">
        <v>45686</v>
      </c>
      <c r="AB16" t="str">
        <v>currydestroyer27</v>
      </c>
      <c r="AC16" s="3">
        <v>1.8</v>
      </c>
      <c r="AD16" s="3">
        <v>0.74833147735478833</v>
      </c>
      <c r="AE16">
        <v>90210</v>
      </c>
      <c r="AF16" t="str">
        <v>Travis Scott, Kacy Hill</v>
      </c>
      <c r="AG16" s="100">
        <f t="shared" si="1"/>
        <v>17</v>
      </c>
      <c r="AI16" s="114">
        <f>SotY_2025[[#This Row],[Max Seed]]/2 + 1</f>
        <v>9</v>
      </c>
      <c r="AJ16" s="105" t="str">
        <f ca="1">IF(SotY_2025[[#This Row],[Num]]&gt;=$A$1, "-", IF(SotY_2025[[#This Row],[Score 1]]&gt;=3, SotY_2025[[#This Row],[Song 2]], IF(SotY_2025[[#This Row],[Score 2]]&gt;=3, SotY_2025[[#This Row],[Song 1]], "TBD")))</f>
        <v>el cielo</v>
      </c>
      <c r="AK16" s="115">
        <f ca="1">IFERROR(VLOOKUP(SotY_2025_Results[[#This Row],[Song Title]], $AE$2:$AG$200, 3, FALSE)-SotY_2025_Results[[#This Row],[Result]], "TBD")</f>
        <v>56</v>
      </c>
      <c r="AL16" s="112" t="str">
        <f ca="1">IF(SotY_2025_Results[[#This Row],[Diff]]&lt;0,"↓",IF(SotY_2025_Results[[#This Row],[Diff]]=0,"-","↑"))</f>
        <v>↑</v>
      </c>
    </row>
    <row r="17" spans="1:38">
      <c r="A17" s="197" t="str">
        <f>_xlfn.CONCAT("Seed ", SotY_2025[[#This Row],[Top Seed]], " vs ", SotY_2025[[#This Row],[Low Seed]])</f>
        <v>Seed 1 vs 16</v>
      </c>
      <c r="B17" s="115">
        <v>15</v>
      </c>
      <c r="C17" s="115">
        <f>FLOOR(LOG(SotY_2025[[#This Row],[Num]], 2), 1)</f>
        <v>3</v>
      </c>
      <c r="D17" s="115">
        <f>2^(SotY_2025[[#This Row],[Round]]+1)</f>
        <v>16</v>
      </c>
      <c r="E17" s="115">
        <f>SotY_2025[[#This Row],[Max Seed]]-SotY_2025[[#This Row],[Num]]</f>
        <v>1</v>
      </c>
      <c r="F17" s="115">
        <f>SotY_2025[[#This Row],[Max Seed]]-SotY_2025[[#This Row],[Top Seed]]+1</f>
        <v>16</v>
      </c>
      <c r="G17" s="115" t="b">
        <f>IF(SotY_2025[[#This Row],[Round]]=$C$1, TRUE(), IF(SotY_2025[[#This Row],[Round]]=$B$1, SotY_2025[[#This Row],[Top Seed]]&lt;=2*SotY_2025[[#This Row],[Max Seed]]-$A$1, FALSE()))</f>
        <v>0</v>
      </c>
      <c r="H17" s="115" t="b">
        <f>IF(SotY_2025[[#This Row],[Round]]=$C$1, TRUE(), IF(SotY_2025[[#This Row],[Round]]=$B$1, SotY_2025[[#This Row],[Low Seed]]&lt;=2*SotY_2025[[#This Row],[Max Seed]]-$A$1, FALSE()))</f>
        <v>0</v>
      </c>
      <c r="I17" s="187" t="s">
        <v>4191</v>
      </c>
      <c r="J17" s="188"/>
      <c r="K17" s="189"/>
      <c r="L17" s="190"/>
      <c r="M17" s="191"/>
      <c r="N1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Billie Jean</v>
      </c>
      <c r="O17" s="105">
        <f>COUNTIF(SotY_2025[[#This Row],[J]:[H]],"x")</f>
        <v>1</v>
      </c>
      <c r="P17" s="115" t="str">
        <f ca="1">IF(SotY_2025[[#This Row],[Num]]&gt;=$A$1, "-", IF(SotY_2025[[#This Row],[Score 1]]&gt;=3, SotY_2025[[#This Row],[Song 1]], IF(SotY_2025[[#This Row],[Score 2]]&gt;=3, SotY_2025[[#This Row],[Song 2]], "TBD")))</f>
        <v>can't slow down</v>
      </c>
      <c r="Q17" s="193">
        <f>COUNTIF(SotY_2025[[#This Row],[H ]:[J ]],"x")</f>
        <v>4</v>
      </c>
      <c r="R1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can't slow down</v>
      </c>
      <c r="S17" s="191" t="s">
        <v>4191</v>
      </c>
      <c r="T17" s="190" t="s">
        <v>4191</v>
      </c>
      <c r="U17" s="189" t="s">
        <v>4191</v>
      </c>
      <c r="V17" s="188" t="s">
        <v>4191</v>
      </c>
      <c r="W17" s="198"/>
      <c r="X1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7" s="109">
        <f t="shared" si="0"/>
        <v>109</v>
      </c>
      <c r="AA17" s="59">
        <v>45687</v>
      </c>
      <c r="AB17" t="str">
        <v>samuelbattista</v>
      </c>
      <c r="AC17" s="3">
        <v>2.2000000000000002</v>
      </c>
      <c r="AD17" s="3">
        <v>1.1661903789690602</v>
      </c>
      <c r="AE17" t="str">
        <v>Giddy Up</v>
      </c>
      <c r="AF17" t="str">
        <v>Ginger Root</v>
      </c>
      <c r="AG17" s="100">
        <f t="shared" si="1"/>
        <v>65</v>
      </c>
      <c r="AI17" s="114">
        <f>SotY_2025[[#This Row],[Max Seed]]/2 + 1</f>
        <v>9</v>
      </c>
      <c r="AJ17" s="105" t="str">
        <f ca="1">IF(SotY_2025[[#This Row],[Num]]&gt;=$A$1, "-", IF(SotY_2025[[#This Row],[Score 1]]&gt;=3, SotY_2025[[#This Row],[Song 2]], IF(SotY_2025[[#This Row],[Score 2]]&gt;=3, SotY_2025[[#This Row],[Song 1]], "TBD")))</f>
        <v>Billie Jean</v>
      </c>
      <c r="AK17" s="115">
        <f ca="1">IFERROR(VLOOKUP(SotY_2025_Results[[#This Row],[Song Title]], $AE$2:$AG$200, 3, FALSE)-SotY_2025_Results[[#This Row],[Result]], "TBD")</f>
        <v>-8</v>
      </c>
      <c r="AL17" s="112" t="str">
        <f ca="1">IF(SotY_2025_Results[[#This Row],[Diff]]&lt;0,"↓",IF(SotY_2025_Results[[#This Row],[Diff]]=0,"-","↑"))</f>
        <v>↓</v>
      </c>
    </row>
    <row r="18" spans="1:38">
      <c r="A18" s="197" t="str">
        <f>_xlfn.CONCAT("Seed ", SotY_2025[[#This Row],[Top Seed]], " vs ", SotY_2025[[#This Row],[Low Seed]])</f>
        <v>Seed 16 vs 17</v>
      </c>
      <c r="B18" s="115">
        <v>16</v>
      </c>
      <c r="C18" s="115">
        <f>FLOOR(LOG(SotY_2025[[#This Row],[Num]], 2), 1)</f>
        <v>4</v>
      </c>
      <c r="D18" s="115">
        <f>2^(SotY_2025[[#This Row],[Round]]+1)</f>
        <v>32</v>
      </c>
      <c r="E18" s="115">
        <f>SotY_2025[[#This Row],[Max Seed]]-SotY_2025[[#This Row],[Num]]</f>
        <v>16</v>
      </c>
      <c r="F18" s="115">
        <f>SotY_2025[[#This Row],[Max Seed]]-SotY_2025[[#This Row],[Top Seed]]+1</f>
        <v>17</v>
      </c>
      <c r="G18" s="115" t="b">
        <f>IF(SotY_2025[[#This Row],[Round]]=$C$1, TRUE(), IF(SotY_2025[[#This Row],[Round]]=$B$1, SotY_2025[[#This Row],[Top Seed]]&lt;=2*SotY_2025[[#This Row],[Max Seed]]-$A$1, FALSE()))</f>
        <v>0</v>
      </c>
      <c r="H18" s="115" t="b">
        <f>IF(SotY_2025[[#This Row],[Round]]=$C$1, TRUE(), IF(SotY_2025[[#This Row],[Round]]=$B$1, SotY_2025[[#This Row],[Low Seed]]&lt;=2*SotY_2025[[#This Row],[Max Seed]]-$A$1, FALSE()))</f>
        <v>0</v>
      </c>
      <c r="I18" s="187"/>
      <c r="J18" s="188" t="s">
        <v>4191</v>
      </c>
      <c r="K18" s="189"/>
      <c r="L18" s="190"/>
      <c r="M18" s="191" t="s">
        <v>4191</v>
      </c>
      <c r="N1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CRAZY</v>
      </c>
      <c r="O18" s="105">
        <f>COUNTIF(SotY_2025[[#This Row],[J]:[H]],"x")</f>
        <v>2</v>
      </c>
      <c r="P18" s="115" t="str">
        <f ca="1">IF(SotY_2025[[#This Row],[Num]]&gt;=$A$1, "-", IF(SotY_2025[[#This Row],[Score 1]]&gt;=3, SotY_2025[[#This Row],[Song 1]], IF(SotY_2025[[#This Row],[Score 2]]&gt;=3, SotY_2025[[#This Row],[Song 2]], "TBD")))</f>
        <v>can't slow down</v>
      </c>
      <c r="Q18" s="193">
        <f>COUNTIF(SotY_2025[[#This Row],[H ]:[J ]],"x")</f>
        <v>3</v>
      </c>
      <c r="R1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can't slow down</v>
      </c>
      <c r="S18" s="191"/>
      <c r="T18" s="190" t="s">
        <v>4191</v>
      </c>
      <c r="U18" s="189" t="s">
        <v>4191</v>
      </c>
      <c r="V18" s="188"/>
      <c r="W18" s="198" t="s">
        <v>4191</v>
      </c>
      <c r="X1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8" s="109">
        <f t="shared" si="0"/>
        <v>23</v>
      </c>
      <c r="AA18" s="59">
        <v>45691</v>
      </c>
      <c r="AB18" t="str">
        <v>loganworsdell</v>
      </c>
      <c r="AC18" s="3">
        <v>1.8</v>
      </c>
      <c r="AD18" s="3">
        <v>0.74833147735478833</v>
      </c>
      <c r="AE18" t="str">
        <v>MUTT</v>
      </c>
      <c r="AF18" t="str">
        <v>Leon Thomas</v>
      </c>
      <c r="AG18" s="100">
        <f t="shared" si="1"/>
        <v>17</v>
      </c>
      <c r="AI18" s="114">
        <f>SotY_2025[[#This Row],[Max Seed]]/2 + 1</f>
        <v>17</v>
      </c>
      <c r="AJ18" s="105" t="str">
        <f ca="1">IF(SotY_2025[[#This Row],[Num]]&gt;=$A$1, "-", IF(SotY_2025[[#This Row],[Score 1]]&gt;=3, SotY_2025[[#This Row],[Song 2]], IF(SotY_2025[[#This Row],[Score 2]]&gt;=3, SotY_2025[[#This Row],[Song 1]], "TBD")))</f>
        <v>CRAZY</v>
      </c>
      <c r="AK18" s="115">
        <f ca="1">IFERROR(VLOOKUP(SotY_2025_Results[[#This Row],[Song Title]], $AE$2:$AG$200, 3, FALSE)-SotY_2025_Results[[#This Row],[Result]], "TBD")</f>
        <v>48</v>
      </c>
      <c r="AL18" s="112" t="str">
        <f ca="1">IF(SotY_2025_Results[[#This Row],[Diff]]&lt;0,"↓",IF(SotY_2025_Results[[#This Row],[Diff]]=0,"-","↑"))</f>
        <v>↑</v>
      </c>
    </row>
    <row r="19" spans="1:38">
      <c r="A19" s="197" t="str">
        <f>_xlfn.CONCAT("Seed ", SotY_2025[[#This Row],[Top Seed]], " vs ", SotY_2025[[#This Row],[Low Seed]])</f>
        <v>Seed 15 vs 18</v>
      </c>
      <c r="B19" s="115">
        <v>17</v>
      </c>
      <c r="C19" s="115">
        <f>FLOOR(LOG(SotY_2025[[#This Row],[Num]], 2), 1)</f>
        <v>4</v>
      </c>
      <c r="D19" s="115">
        <f>2^(SotY_2025[[#This Row],[Round]]+1)</f>
        <v>32</v>
      </c>
      <c r="E19" s="115">
        <f>SotY_2025[[#This Row],[Max Seed]]-SotY_2025[[#This Row],[Num]]</f>
        <v>15</v>
      </c>
      <c r="F19" s="115">
        <f>SotY_2025[[#This Row],[Max Seed]]-SotY_2025[[#This Row],[Top Seed]]+1</f>
        <v>18</v>
      </c>
      <c r="G19" s="115" t="b">
        <f>IF(SotY_2025[[#This Row],[Round]]=$C$1, TRUE(), IF(SotY_2025[[#This Row],[Round]]=$B$1, SotY_2025[[#This Row],[Top Seed]]&lt;=2*SotY_2025[[#This Row],[Max Seed]]-$A$1, FALSE()))</f>
        <v>0</v>
      </c>
      <c r="H19" s="115" t="b">
        <f>IF(SotY_2025[[#This Row],[Round]]=$C$1, TRUE(), IF(SotY_2025[[#This Row],[Round]]=$B$1, SotY_2025[[#This Row],[Low Seed]]&lt;=2*SotY_2025[[#This Row],[Max Seed]]-$A$1, FALSE()))</f>
        <v>0</v>
      </c>
      <c r="I19" s="187" t="s">
        <v>4191</v>
      </c>
      <c r="J19" s="188" t="s">
        <v>4191</v>
      </c>
      <c r="K19" s="189"/>
      <c r="L19" s="190" t="s">
        <v>4191</v>
      </c>
      <c r="M19" s="191" t="s">
        <v>4191</v>
      </c>
      <c r="N1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Float On</v>
      </c>
      <c r="O19" s="105">
        <f>COUNTIF(SotY_2025[[#This Row],[J]:[H]],"x")</f>
        <v>4</v>
      </c>
      <c r="P19" s="115" t="str">
        <f ca="1">IF(SotY_2025[[#This Row],[Num]]&gt;=$A$1, "-", IF(SotY_2025[[#This Row],[Score 1]]&gt;=3, SotY_2025[[#This Row],[Song 1]], IF(SotY_2025[[#This Row],[Score 2]]&gt;=3, SotY_2025[[#This Row],[Song 2]], "TBD")))</f>
        <v>Float On</v>
      </c>
      <c r="Q19" s="193">
        <f>COUNTIF(SotY_2025[[#This Row],[H ]:[J ]],"x")</f>
        <v>1</v>
      </c>
      <c r="R1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WASSUP</v>
      </c>
      <c r="S19" s="191"/>
      <c r="T19" s="190"/>
      <c r="U19" s="189" t="s">
        <v>4191</v>
      </c>
      <c r="V19" s="188"/>
      <c r="W19" s="198"/>
      <c r="X1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9" s="109">
        <f t="shared" si="0"/>
        <v>81</v>
      </c>
      <c r="AA19" s="59">
        <v>45692</v>
      </c>
      <c r="AB19" t="str">
        <v>loganworsdell</v>
      </c>
      <c r="AC19" s="3">
        <v>2.2000000000000002</v>
      </c>
      <c r="AD19" s="3">
        <v>0.74833147735478833</v>
      </c>
      <c r="AE19" t="str">
        <v>Stay Right Here</v>
      </c>
      <c r="AF19" t="str">
        <v>Saba, Xavier Omär, Mick Jenkins</v>
      </c>
      <c r="AG19" s="100">
        <f t="shared" si="1"/>
        <v>65</v>
      </c>
      <c r="AI19" s="114">
        <f>SotY_2025[[#This Row],[Max Seed]]/2 + 1</f>
        <v>17</v>
      </c>
      <c r="AJ19" s="105" t="str">
        <f ca="1">IF(SotY_2025[[#This Row],[Num]]&gt;=$A$1, "-", IF(SotY_2025[[#This Row],[Score 1]]&gt;=3, SotY_2025[[#This Row],[Song 2]], IF(SotY_2025[[#This Row],[Score 2]]&gt;=3, SotY_2025[[#This Row],[Song 1]], "TBD")))</f>
        <v>WASSUP</v>
      </c>
      <c r="AK19" s="115">
        <f ca="1">IFERROR(VLOOKUP(SotY_2025_Results[[#This Row],[Song Title]], $AE$2:$AG$200, 3, FALSE)-SotY_2025_Results[[#This Row],[Result]], "TBD")</f>
        <v>112</v>
      </c>
      <c r="AL19" s="112" t="str">
        <f ca="1">IF(SotY_2025_Results[[#This Row],[Diff]]&lt;0,"↓",IF(SotY_2025_Results[[#This Row],[Diff]]=0,"-","↑"))</f>
        <v>↑</v>
      </c>
    </row>
    <row r="20" spans="1:38">
      <c r="A20" s="197" t="str">
        <f>_xlfn.CONCAT("Seed ", SotY_2025[[#This Row],[Top Seed]], " vs ", SotY_2025[[#This Row],[Low Seed]])</f>
        <v>Seed 14 vs 19</v>
      </c>
      <c r="B20" s="115">
        <v>18</v>
      </c>
      <c r="C20" s="115">
        <f>FLOOR(LOG(SotY_2025[[#This Row],[Num]], 2), 1)</f>
        <v>4</v>
      </c>
      <c r="D20" s="115">
        <f>2^(SotY_2025[[#This Row],[Round]]+1)</f>
        <v>32</v>
      </c>
      <c r="E20" s="115">
        <f>SotY_2025[[#This Row],[Max Seed]]-SotY_2025[[#This Row],[Num]]</f>
        <v>14</v>
      </c>
      <c r="F20" s="115">
        <f>SotY_2025[[#This Row],[Max Seed]]-SotY_2025[[#This Row],[Top Seed]]+1</f>
        <v>19</v>
      </c>
      <c r="G20" s="115" t="b">
        <f>IF(SotY_2025[[#This Row],[Round]]=$C$1, TRUE(), IF(SotY_2025[[#This Row],[Round]]=$B$1, SotY_2025[[#This Row],[Top Seed]]&lt;=2*SotY_2025[[#This Row],[Max Seed]]-$A$1, FALSE()))</f>
        <v>0</v>
      </c>
      <c r="H20" s="115" t="b">
        <f>IF(SotY_2025[[#This Row],[Round]]=$C$1, TRUE(), IF(SotY_2025[[#This Row],[Round]]=$B$1, SotY_2025[[#This Row],[Low Seed]]&lt;=2*SotY_2025[[#This Row],[Max Seed]]-$A$1, FALSE()))</f>
        <v>0</v>
      </c>
      <c r="I20" s="187"/>
      <c r="J20" s="188"/>
      <c r="K20" s="189"/>
      <c r="L20" s="190" t="s">
        <v>4191</v>
      </c>
      <c r="M20" s="191"/>
      <c r="N2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(Don't Fear) The Reaper</v>
      </c>
      <c r="O20" s="105">
        <f>COUNTIF(SotY_2025[[#This Row],[J]:[H]],"x")</f>
        <v>1</v>
      </c>
      <c r="P20" s="115" t="str">
        <f ca="1">IF(SotY_2025[[#This Row],[Num]]&gt;=$A$1, "-", IF(SotY_2025[[#This Row],[Score 1]]&gt;=3, SotY_2025[[#This Row],[Song 1]], IF(SotY_2025[[#This Row],[Score 2]]&gt;=3, SotY_2025[[#This Row],[Song 2]], "TBD")))</f>
        <v>Danza Kuduro</v>
      </c>
      <c r="Q20" s="193">
        <f>COUNTIF(SotY_2025[[#This Row],[H ]:[J ]],"x")</f>
        <v>4</v>
      </c>
      <c r="R2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Danza Kuduro</v>
      </c>
      <c r="S20" s="191" t="s">
        <v>4191</v>
      </c>
      <c r="T20" s="190"/>
      <c r="U20" s="189" t="s">
        <v>4191</v>
      </c>
      <c r="V20" s="188" t="s">
        <v>4191</v>
      </c>
      <c r="W20" s="198" t="s">
        <v>4191</v>
      </c>
      <c r="X2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20" s="109">
        <f t="shared" si="0"/>
        <v>4</v>
      </c>
      <c r="AA20" s="59">
        <v>45693</v>
      </c>
      <c r="AB20" t="str">
        <v>alappatjoe</v>
      </c>
      <c r="AC20" s="3">
        <v>1.4</v>
      </c>
      <c r="AD20" s="3">
        <v>0.4898979485566356</v>
      </c>
      <c r="AE20" t="str">
        <v>星屑のパイプライン</v>
      </c>
      <c r="AF20" t="str">
        <v>Junk Fujiyama</v>
      </c>
      <c r="AG20" s="100">
        <f t="shared" si="1"/>
        <v>3</v>
      </c>
      <c r="AI20" s="114">
        <f>SotY_2025[[#This Row],[Max Seed]]/2 + 1</f>
        <v>17</v>
      </c>
      <c r="AJ20" s="105" t="str">
        <f ca="1">IF(SotY_2025[[#This Row],[Num]]&gt;=$A$1, "-", IF(SotY_2025[[#This Row],[Score 1]]&gt;=3, SotY_2025[[#This Row],[Song 2]], IF(SotY_2025[[#This Row],[Score 2]]&gt;=3, SotY_2025[[#This Row],[Song 1]], "TBD")))</f>
        <v>(Don't Fear) The Reaper</v>
      </c>
      <c r="AK20" s="115">
        <f ca="1">IFERROR(VLOOKUP(SotY_2025_Results[[#This Row],[Song Title]], $AE$2:$AG$200, 3, FALSE)-SotY_2025_Results[[#This Row],[Result]], "TBD")</f>
        <v>48</v>
      </c>
      <c r="AL20" s="112" t="str">
        <f ca="1">IF(SotY_2025_Results[[#This Row],[Diff]]&lt;0,"↓",IF(SotY_2025_Results[[#This Row],[Diff]]=0,"-","↑"))</f>
        <v>↑</v>
      </c>
    </row>
    <row r="21" spans="1:38">
      <c r="A21" s="197" t="str">
        <f>_xlfn.CONCAT("Seed ", SotY_2025[[#This Row],[Top Seed]], " vs ", SotY_2025[[#This Row],[Low Seed]])</f>
        <v>Seed 13 vs 20</v>
      </c>
      <c r="B21" s="115">
        <v>19</v>
      </c>
      <c r="C21" s="115">
        <f>FLOOR(LOG(SotY_2025[[#This Row],[Num]], 2), 1)</f>
        <v>4</v>
      </c>
      <c r="D21" s="115">
        <f>2^(SotY_2025[[#This Row],[Round]]+1)</f>
        <v>32</v>
      </c>
      <c r="E21" s="115">
        <f>SotY_2025[[#This Row],[Max Seed]]-SotY_2025[[#This Row],[Num]]</f>
        <v>13</v>
      </c>
      <c r="F21" s="115">
        <f>SotY_2025[[#This Row],[Max Seed]]-SotY_2025[[#This Row],[Top Seed]]+1</f>
        <v>20</v>
      </c>
      <c r="G21" s="115" t="b">
        <f>IF(SotY_2025[[#This Row],[Round]]=$C$1, TRUE(), IF(SotY_2025[[#This Row],[Round]]=$B$1, SotY_2025[[#This Row],[Top Seed]]&lt;=2*SotY_2025[[#This Row],[Max Seed]]-$A$1, FALSE()))</f>
        <v>0</v>
      </c>
      <c r="H21" s="115" t="b">
        <f>IF(SotY_2025[[#This Row],[Round]]=$C$1, TRUE(), IF(SotY_2025[[#This Row],[Round]]=$B$1, SotY_2025[[#This Row],[Low Seed]]&lt;=2*SotY_2025[[#This Row],[Max Seed]]-$A$1, FALSE()))</f>
        <v>0</v>
      </c>
      <c r="I21" s="187"/>
      <c r="J21" s="188" t="s">
        <v>4191</v>
      </c>
      <c r="K21" s="189" t="s">
        <v>4191</v>
      </c>
      <c r="L21" s="190" t="s">
        <v>4191</v>
      </c>
      <c r="M21" s="191"/>
      <c r="N2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Buy U a Drank</v>
      </c>
      <c r="O21" s="105">
        <f>COUNTIF(SotY_2025[[#This Row],[J]:[H]],"x")</f>
        <v>3</v>
      </c>
      <c r="P21" s="115" t="str">
        <f ca="1">IF(SotY_2025[[#This Row],[Num]]&gt;=$A$1, "-", IF(SotY_2025[[#This Row],[Score 1]]&gt;=3, SotY_2025[[#This Row],[Song 1]], IF(SotY_2025[[#This Row],[Score 2]]&gt;=3, SotY_2025[[#This Row],[Song 2]], "TBD")))</f>
        <v>Buy U a Drank</v>
      </c>
      <c r="Q21" s="193">
        <f>COUNTIF(SotY_2025[[#This Row],[H ]:[J ]],"x")</f>
        <v>2</v>
      </c>
      <c r="R2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IRIS OUT</v>
      </c>
      <c r="S21" s="191" t="s">
        <v>4191</v>
      </c>
      <c r="T21" s="190"/>
      <c r="U21" s="189"/>
      <c r="V21" s="188"/>
      <c r="W21" s="198" t="s">
        <v>4191</v>
      </c>
      <c r="X2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21" s="109">
        <f t="shared" si="0"/>
        <v>110</v>
      </c>
      <c r="AA21" s="59">
        <v>45694</v>
      </c>
      <c r="AB21" t="str">
        <v>currydestroyer27</v>
      </c>
      <c r="AC21" s="3">
        <v>2.2000000000000002</v>
      </c>
      <c r="AD21" s="3">
        <v>1.1661903789690602</v>
      </c>
      <c r="AE21" t="str">
        <v>スパイラル</v>
      </c>
      <c r="AF21" t="str">
        <v>KANA-BOON</v>
      </c>
      <c r="AG21" s="100">
        <f t="shared" si="1"/>
        <v>65</v>
      </c>
      <c r="AI21" s="114">
        <f>SotY_2025[[#This Row],[Max Seed]]/2 + 1</f>
        <v>17</v>
      </c>
      <c r="AJ21" s="105" t="str">
        <f ca="1">IF(SotY_2025[[#This Row],[Num]]&gt;=$A$1, "-", IF(SotY_2025[[#This Row],[Score 1]]&gt;=3, SotY_2025[[#This Row],[Song 2]], IF(SotY_2025[[#This Row],[Score 2]]&gt;=3, SotY_2025[[#This Row],[Song 1]], "TBD")))</f>
        <v>IRIS OUT</v>
      </c>
      <c r="AK21" s="115">
        <f ca="1">IFERROR(VLOOKUP(SotY_2025_Results[[#This Row],[Song Title]], $AE$2:$AG$200, 3, FALSE)-SotY_2025_Results[[#This Row],[Result]], "TBD")</f>
        <v>112</v>
      </c>
      <c r="AL21" s="112" t="str">
        <f ca="1">IF(SotY_2025_Results[[#This Row],[Diff]]&lt;0,"↓",IF(SotY_2025_Results[[#This Row],[Diff]]=0,"-","↑"))</f>
        <v>↑</v>
      </c>
    </row>
    <row r="22" spans="1:38">
      <c r="A22" s="197" t="str">
        <f>_xlfn.CONCAT("Seed ", SotY_2025[[#This Row],[Top Seed]], " vs ", SotY_2025[[#This Row],[Low Seed]])</f>
        <v>Seed 12 vs 21</v>
      </c>
      <c r="B22" s="115">
        <v>20</v>
      </c>
      <c r="C22" s="115">
        <f>FLOOR(LOG(SotY_2025[[#This Row],[Num]], 2), 1)</f>
        <v>4</v>
      </c>
      <c r="D22" s="115">
        <f>2^(SotY_2025[[#This Row],[Round]]+1)</f>
        <v>32</v>
      </c>
      <c r="E22" s="115">
        <f>SotY_2025[[#This Row],[Max Seed]]-SotY_2025[[#This Row],[Num]]</f>
        <v>12</v>
      </c>
      <c r="F22" s="115">
        <f>SotY_2025[[#This Row],[Max Seed]]-SotY_2025[[#This Row],[Top Seed]]+1</f>
        <v>21</v>
      </c>
      <c r="G22" s="115" t="b">
        <f>IF(SotY_2025[[#This Row],[Round]]=$C$1, TRUE(), IF(SotY_2025[[#This Row],[Round]]=$B$1, SotY_2025[[#This Row],[Top Seed]]&lt;=2*SotY_2025[[#This Row],[Max Seed]]-$A$1, FALSE()))</f>
        <v>0</v>
      </c>
      <c r="H22" s="115" t="b">
        <f>IF(SotY_2025[[#This Row],[Round]]=$C$1, TRUE(), IF(SotY_2025[[#This Row],[Round]]=$B$1, SotY_2025[[#This Row],[Low Seed]]&lt;=2*SotY_2025[[#This Row],[Max Seed]]-$A$1, FALSE()))</f>
        <v>0</v>
      </c>
      <c r="I22" s="187"/>
      <c r="J22" s="188"/>
      <c r="K22" s="189" t="s">
        <v>4191</v>
      </c>
      <c r="L22" s="190" t="s">
        <v>4191</v>
      </c>
      <c r="M22" s="191"/>
      <c r="N2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Three Man Weave</v>
      </c>
      <c r="O22" s="105">
        <f>COUNTIF(SotY_2025[[#This Row],[J]:[H]],"x")</f>
        <v>2</v>
      </c>
      <c r="P22" s="115" t="str">
        <f ca="1">IF(SotY_2025[[#This Row],[Num]]&gt;=$A$1, "-", IF(SotY_2025[[#This Row],[Score 1]]&gt;=3, SotY_2025[[#This Row],[Song 1]], IF(SotY_2025[[#This Row],[Score 2]]&gt;=3, SotY_2025[[#This Row],[Song 2]], "TBD")))</f>
        <v>All Night Long</v>
      </c>
      <c r="Q22" s="193">
        <f>COUNTIF(SotY_2025[[#This Row],[H ]:[J ]],"x")</f>
        <v>3</v>
      </c>
      <c r="R2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All Night Long</v>
      </c>
      <c r="S22" s="191" t="s">
        <v>4191</v>
      </c>
      <c r="T22" s="190"/>
      <c r="U22" s="189"/>
      <c r="V22" s="188" t="s">
        <v>4191</v>
      </c>
      <c r="W22" s="198" t="s">
        <v>4191</v>
      </c>
      <c r="X2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22" s="109">
        <f t="shared" si="0"/>
        <v>71</v>
      </c>
      <c r="AA22" s="59">
        <v>45698</v>
      </c>
      <c r="AB22" t="str">
        <v>samuelbattista</v>
      </c>
      <c r="AC22" s="3">
        <v>2</v>
      </c>
      <c r="AD22" s="3">
        <v>1.2649110640673518</v>
      </c>
      <c r="AE22" t="str">
        <v>bitter</v>
      </c>
      <c r="AF22" t="str">
        <v>Internet Girl, Payday</v>
      </c>
      <c r="AG22" s="100">
        <f t="shared" si="1"/>
        <v>65</v>
      </c>
      <c r="AI22" s="114">
        <f>SotY_2025[[#This Row],[Max Seed]]/2 + 1</f>
        <v>17</v>
      </c>
      <c r="AJ22" s="105" t="str">
        <f ca="1">IF(SotY_2025[[#This Row],[Num]]&gt;=$A$1, "-", IF(SotY_2025[[#This Row],[Score 1]]&gt;=3, SotY_2025[[#This Row],[Song 2]], IF(SotY_2025[[#This Row],[Score 2]]&gt;=3, SotY_2025[[#This Row],[Song 1]], "TBD")))</f>
        <v>Three Man Weave</v>
      </c>
      <c r="AK22" s="115">
        <f ca="1">IFERROR(VLOOKUP(SotY_2025_Results[[#This Row],[Song Title]], $AE$2:$AG$200, 3, FALSE)-SotY_2025_Results[[#This Row],[Result]], "TBD")</f>
        <v>48</v>
      </c>
      <c r="AL22" s="112" t="str">
        <f ca="1">IF(SotY_2025_Results[[#This Row],[Diff]]&lt;0,"↓",IF(SotY_2025_Results[[#This Row],[Diff]]=0,"-","↑"))</f>
        <v>↑</v>
      </c>
    </row>
    <row r="23" spans="1:38">
      <c r="A23" s="197" t="str">
        <f>_xlfn.CONCAT("Seed ", SotY_2025[[#This Row],[Top Seed]], " vs ", SotY_2025[[#This Row],[Low Seed]])</f>
        <v>Seed 11 vs 22</v>
      </c>
      <c r="B23" s="115">
        <v>21</v>
      </c>
      <c r="C23" s="115">
        <f>FLOOR(LOG(SotY_2025[[#This Row],[Num]], 2), 1)</f>
        <v>4</v>
      </c>
      <c r="D23" s="115">
        <f>2^(SotY_2025[[#This Row],[Round]]+1)</f>
        <v>32</v>
      </c>
      <c r="E23" s="115">
        <f>SotY_2025[[#This Row],[Max Seed]]-SotY_2025[[#This Row],[Num]]</f>
        <v>11</v>
      </c>
      <c r="F23" s="115">
        <f>SotY_2025[[#This Row],[Max Seed]]-SotY_2025[[#This Row],[Top Seed]]+1</f>
        <v>22</v>
      </c>
      <c r="G23" s="115" t="b">
        <f>IF(SotY_2025[[#This Row],[Round]]=$C$1, TRUE(), IF(SotY_2025[[#This Row],[Round]]=$B$1, SotY_2025[[#This Row],[Top Seed]]&lt;=2*SotY_2025[[#This Row],[Max Seed]]-$A$1, FALSE()))</f>
        <v>0</v>
      </c>
      <c r="H23" s="115" t="b">
        <f>IF(SotY_2025[[#This Row],[Round]]=$C$1, TRUE(), IF(SotY_2025[[#This Row],[Round]]=$B$1, SotY_2025[[#This Row],[Low Seed]]&lt;=2*SotY_2025[[#This Row],[Max Seed]]-$A$1, FALSE()))</f>
        <v>0</v>
      </c>
      <c r="I23" s="187" t="s">
        <v>4191</v>
      </c>
      <c r="J23" s="188" t="s">
        <v>4191</v>
      </c>
      <c r="K23" s="189" t="s">
        <v>4191</v>
      </c>
      <c r="L23" s="190" t="s">
        <v>4191</v>
      </c>
      <c r="M23" s="191" t="s">
        <v>4191</v>
      </c>
      <c r="N2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Animal</v>
      </c>
      <c r="O23" s="105">
        <f>COUNTIF(SotY_2025[[#This Row],[J]:[H]],"x")</f>
        <v>5</v>
      </c>
      <c r="P23" s="115" t="str">
        <f ca="1">IF(SotY_2025[[#This Row],[Num]]&gt;=$A$1, "-", IF(SotY_2025[[#This Row],[Score 1]]&gt;=3, SotY_2025[[#This Row],[Song 1]], IF(SotY_2025[[#This Row],[Score 2]]&gt;=3, SotY_2025[[#This Row],[Song 2]], "TBD")))</f>
        <v>Animal</v>
      </c>
      <c r="Q23" s="193">
        <f>COUNTIF(SotY_2025[[#This Row],[H ]:[J ]],"x")</f>
        <v>0</v>
      </c>
      <c r="R2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SEE U DANCE</v>
      </c>
      <c r="S23" s="191"/>
      <c r="T23" s="190"/>
      <c r="U23" s="189"/>
      <c r="V23" s="188"/>
      <c r="W23" s="198"/>
      <c r="X2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23" s="109">
        <f t="shared" si="0"/>
        <v>167</v>
      </c>
      <c r="AA23" s="59">
        <v>45699</v>
      </c>
      <c r="AB23" t="str">
        <v>samuelbattista</v>
      </c>
      <c r="AC23" s="3">
        <v>2.4</v>
      </c>
      <c r="AD23" s="3">
        <v>1.4966629547095767</v>
      </c>
      <c r="AE23" t="str">
        <v>burbank house</v>
      </c>
      <c r="AF23" t="str">
        <v>tsubi club</v>
      </c>
      <c r="AG23" s="100">
        <f t="shared" si="1"/>
        <v>129</v>
      </c>
      <c r="AI23" s="114">
        <f>SotY_2025[[#This Row],[Max Seed]]/2 + 1</f>
        <v>17</v>
      </c>
      <c r="AJ23" s="105" t="str">
        <f ca="1">IF(SotY_2025[[#This Row],[Num]]&gt;=$A$1, "-", IF(SotY_2025[[#This Row],[Score 1]]&gt;=3, SotY_2025[[#This Row],[Song 2]], IF(SotY_2025[[#This Row],[Score 2]]&gt;=3, SotY_2025[[#This Row],[Song 1]], "TBD")))</f>
        <v>SEE U DANCE</v>
      </c>
      <c r="AK23" s="115">
        <f ca="1">IFERROR(VLOOKUP(SotY_2025_Results[[#This Row],[Song Title]], $AE$2:$AG$200, 3, FALSE)-SotY_2025_Results[[#This Row],[Result]], "TBD")</f>
        <v>112</v>
      </c>
      <c r="AL23" s="112" t="str">
        <f ca="1">IF(SotY_2025_Results[[#This Row],[Diff]]&lt;0,"↓",IF(SotY_2025_Results[[#This Row],[Diff]]=0,"-","↑"))</f>
        <v>↑</v>
      </c>
    </row>
    <row r="24" spans="1:38">
      <c r="A24" s="197" t="str">
        <f>_xlfn.CONCAT("Seed ", SotY_2025[[#This Row],[Top Seed]], " vs ", SotY_2025[[#This Row],[Low Seed]])</f>
        <v>Seed 10 vs 23</v>
      </c>
      <c r="B24" s="115">
        <v>22</v>
      </c>
      <c r="C24" s="115">
        <f>FLOOR(LOG(SotY_2025[[#This Row],[Num]], 2), 1)</f>
        <v>4</v>
      </c>
      <c r="D24" s="115">
        <f>2^(SotY_2025[[#This Row],[Round]]+1)</f>
        <v>32</v>
      </c>
      <c r="E24" s="115">
        <f>SotY_2025[[#This Row],[Max Seed]]-SotY_2025[[#This Row],[Num]]</f>
        <v>10</v>
      </c>
      <c r="F24" s="115">
        <f>SotY_2025[[#This Row],[Max Seed]]-SotY_2025[[#This Row],[Top Seed]]+1</f>
        <v>23</v>
      </c>
      <c r="G24" s="115" t="b">
        <f>IF(SotY_2025[[#This Row],[Round]]=$C$1, TRUE(), IF(SotY_2025[[#This Row],[Round]]=$B$1, SotY_2025[[#This Row],[Top Seed]]&lt;=2*SotY_2025[[#This Row],[Max Seed]]-$A$1, FALSE()))</f>
        <v>0</v>
      </c>
      <c r="H24" s="115" t="b">
        <f>IF(SotY_2025[[#This Row],[Round]]=$C$1, TRUE(), IF(SotY_2025[[#This Row],[Round]]=$B$1, SotY_2025[[#This Row],[Low Seed]]&lt;=2*SotY_2025[[#This Row],[Max Seed]]-$A$1, FALSE()))</f>
        <v>0</v>
      </c>
      <c r="I24" s="187"/>
      <c r="J24" s="188" t="s">
        <v>4191</v>
      </c>
      <c r="K24" s="189"/>
      <c r="L24" s="190"/>
      <c r="M24" s="191"/>
      <c r="N2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on one tonight</v>
      </c>
      <c r="O24" s="105">
        <f>COUNTIF(SotY_2025[[#This Row],[J]:[H]],"x")</f>
        <v>1</v>
      </c>
      <c r="P24" s="115" t="str">
        <f ca="1">IF(SotY_2025[[#This Row],[Num]]&gt;=$A$1, "-", IF(SotY_2025[[#This Row],[Score 1]]&gt;=3, SotY_2025[[#This Row],[Song 1]], IF(SotY_2025[[#This Row],[Score 2]]&gt;=3, SotY_2025[[#This Row],[Song 2]], "TBD")))</f>
        <v>Airplanes</v>
      </c>
      <c r="Q24" s="193">
        <f>COUNTIF(SotY_2025[[#This Row],[H ]:[J ]],"x")</f>
        <v>4</v>
      </c>
      <c r="R2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Airplanes</v>
      </c>
      <c r="S24" s="191" t="s">
        <v>4191</v>
      </c>
      <c r="T24" s="190" t="s">
        <v>4191</v>
      </c>
      <c r="U24" s="189" t="s">
        <v>4191</v>
      </c>
      <c r="V24" s="188"/>
      <c r="W24" s="198" t="s">
        <v>4191</v>
      </c>
      <c r="X2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24" s="109">
        <f t="shared" si="0"/>
        <v>140</v>
      </c>
      <c r="AA24" s="59">
        <v>45700</v>
      </c>
      <c r="AB24" t="str">
        <v>alappatjoe</v>
      </c>
      <c r="AC24" s="3">
        <v>2.4</v>
      </c>
      <c r="AD24" s="3">
        <v>1.019803902718557</v>
      </c>
      <c r="AE24" t="str">
        <v>Born Again</v>
      </c>
      <c r="AF24" t="str">
        <v>LISA, Doja Cat, RAYE</v>
      </c>
      <c r="AG24" s="100">
        <f t="shared" si="1"/>
        <v>129</v>
      </c>
      <c r="AI24" s="114">
        <f>SotY_2025[[#This Row],[Max Seed]]/2 + 1</f>
        <v>17</v>
      </c>
      <c r="AJ24" s="105" t="str">
        <f ca="1">IF(SotY_2025[[#This Row],[Num]]&gt;=$A$1, "-", IF(SotY_2025[[#This Row],[Score 1]]&gt;=3, SotY_2025[[#This Row],[Song 2]], IF(SotY_2025[[#This Row],[Score 2]]&gt;=3, SotY_2025[[#This Row],[Song 1]], "TBD")))</f>
        <v>on one tonight</v>
      </c>
      <c r="AK24" s="115">
        <f ca="1">IFERROR(VLOOKUP(SotY_2025_Results[[#This Row],[Song Title]], $AE$2:$AG$200, 3, FALSE)-SotY_2025_Results[[#This Row],[Result]], "TBD")</f>
        <v>112</v>
      </c>
      <c r="AL24" s="112" t="str">
        <f ca="1">IF(SotY_2025_Results[[#This Row],[Diff]]&lt;0,"↓",IF(SotY_2025_Results[[#This Row],[Diff]]=0,"-","↑"))</f>
        <v>↑</v>
      </c>
    </row>
    <row r="25" spans="1:38">
      <c r="A25" s="197" t="str">
        <f>_xlfn.CONCAT("Seed ", SotY_2025[[#This Row],[Top Seed]], " vs ", SotY_2025[[#This Row],[Low Seed]])</f>
        <v>Seed 9 vs 24</v>
      </c>
      <c r="B25" s="115">
        <v>23</v>
      </c>
      <c r="C25" s="115">
        <f>FLOOR(LOG(SotY_2025[[#This Row],[Num]], 2), 1)</f>
        <v>4</v>
      </c>
      <c r="D25" s="115">
        <f>2^(SotY_2025[[#This Row],[Round]]+1)</f>
        <v>32</v>
      </c>
      <c r="E25" s="115">
        <f>SotY_2025[[#This Row],[Max Seed]]-SotY_2025[[#This Row],[Num]]</f>
        <v>9</v>
      </c>
      <c r="F25" s="115">
        <f>SotY_2025[[#This Row],[Max Seed]]-SotY_2025[[#This Row],[Top Seed]]+1</f>
        <v>24</v>
      </c>
      <c r="G25" s="115" t="b">
        <f>IF(SotY_2025[[#This Row],[Round]]=$C$1, TRUE(), IF(SotY_2025[[#This Row],[Round]]=$B$1, SotY_2025[[#This Row],[Top Seed]]&lt;=2*SotY_2025[[#This Row],[Max Seed]]-$A$1, FALSE()))</f>
        <v>0</v>
      </c>
      <c r="H25" s="115" t="b">
        <f>IF(SotY_2025[[#This Row],[Round]]=$C$1, TRUE(), IF(SotY_2025[[#This Row],[Round]]=$B$1, SotY_2025[[#This Row],[Low Seed]]&lt;=2*SotY_2025[[#This Row],[Max Seed]]-$A$1, FALSE()))</f>
        <v>0</v>
      </c>
      <c r="I25" s="187"/>
      <c r="J25" s="188" t="s">
        <v>4191</v>
      </c>
      <c r="K25" s="189" t="s">
        <v>4191</v>
      </c>
      <c r="L25" s="190" t="s">
        <v>4191</v>
      </c>
      <c r="M25" s="191"/>
      <c r="N2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KLOuFRENS</v>
      </c>
      <c r="O25" s="105">
        <f>COUNTIF(SotY_2025[[#This Row],[J]:[H]],"x")</f>
        <v>3</v>
      </c>
      <c r="P25" s="115" t="str">
        <f ca="1">IF(SotY_2025[[#This Row],[Num]]&gt;=$A$1, "-", IF(SotY_2025[[#This Row],[Score 1]]&gt;=3, SotY_2025[[#This Row],[Song 1]], IF(SotY_2025[[#This Row],[Score 2]]&gt;=3, SotY_2025[[#This Row],[Song 2]], "TBD")))</f>
        <v>KLOuFRENS</v>
      </c>
      <c r="Q25" s="193">
        <f>COUNTIF(SotY_2025[[#This Row],[H ]:[J ]],"x")</f>
        <v>2</v>
      </c>
      <c r="R2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CHAINSAW BLOOD</v>
      </c>
      <c r="S25" s="191" t="s">
        <v>4191</v>
      </c>
      <c r="T25" s="190"/>
      <c r="U25" s="189"/>
      <c r="V25" s="188"/>
      <c r="W25" s="198" t="s">
        <v>4191</v>
      </c>
      <c r="X2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25" s="109">
        <f t="shared" si="0"/>
        <v>141</v>
      </c>
      <c r="AA25" s="59">
        <v>45701</v>
      </c>
      <c r="AB25" t="str">
        <v>loganworsdell</v>
      </c>
      <c r="AC25" s="3">
        <v>2.4</v>
      </c>
      <c r="AD25" s="3">
        <v>1.019803902718557</v>
      </c>
      <c r="AE25" t="str">
        <v>shhhhhhh...</v>
      </c>
      <c r="AF25" t="str">
        <v>WEAN, tlinh</v>
      </c>
      <c r="AG25" s="100">
        <f t="shared" si="1"/>
        <v>129</v>
      </c>
      <c r="AI25" s="114">
        <f>SotY_2025[[#This Row],[Max Seed]]/2 + 1</f>
        <v>17</v>
      </c>
      <c r="AJ25" s="105" t="str">
        <f ca="1">IF(SotY_2025[[#This Row],[Num]]&gt;=$A$1, "-", IF(SotY_2025[[#This Row],[Score 1]]&gt;=3, SotY_2025[[#This Row],[Song 2]], IF(SotY_2025[[#This Row],[Score 2]]&gt;=3, SotY_2025[[#This Row],[Song 1]], "TBD")))</f>
        <v>CHAINSAW BLOOD</v>
      </c>
      <c r="AK25" s="115">
        <f ca="1">IFERROR(VLOOKUP(SotY_2025_Results[[#This Row],[Song Title]], $AE$2:$AG$200, 3, FALSE)-SotY_2025_Results[[#This Row],[Result]], "TBD")</f>
        <v>0</v>
      </c>
      <c r="AL25" s="112" t="str">
        <f ca="1">IF(SotY_2025_Results[[#This Row],[Diff]]&lt;0,"↓",IF(SotY_2025_Results[[#This Row],[Diff]]=0,"-","↑"))</f>
        <v>-</v>
      </c>
    </row>
    <row r="26" spans="1:38">
      <c r="A26" s="197" t="str">
        <f>_xlfn.CONCAT("Seed ", SotY_2025[[#This Row],[Top Seed]], " vs ", SotY_2025[[#This Row],[Low Seed]])</f>
        <v>Seed 8 vs 25</v>
      </c>
      <c r="B26" s="115">
        <v>24</v>
      </c>
      <c r="C26" s="115">
        <f>FLOOR(LOG(SotY_2025[[#This Row],[Num]], 2), 1)</f>
        <v>4</v>
      </c>
      <c r="D26" s="115">
        <f>2^(SotY_2025[[#This Row],[Round]]+1)</f>
        <v>32</v>
      </c>
      <c r="E26" s="115">
        <f>SotY_2025[[#This Row],[Max Seed]]-SotY_2025[[#This Row],[Num]]</f>
        <v>8</v>
      </c>
      <c r="F26" s="115">
        <f>SotY_2025[[#This Row],[Max Seed]]-SotY_2025[[#This Row],[Top Seed]]+1</f>
        <v>25</v>
      </c>
      <c r="G26" s="115" t="b">
        <f>IF(SotY_2025[[#This Row],[Round]]=$C$1, TRUE(), IF(SotY_2025[[#This Row],[Round]]=$B$1, SotY_2025[[#This Row],[Top Seed]]&lt;=2*SotY_2025[[#This Row],[Max Seed]]-$A$1, FALSE()))</f>
        <v>0</v>
      </c>
      <c r="H26" s="115" t="b">
        <f>IF(SotY_2025[[#This Row],[Round]]=$C$1, TRUE(), IF(SotY_2025[[#This Row],[Round]]=$B$1, SotY_2025[[#This Row],[Low Seed]]&lt;=2*SotY_2025[[#This Row],[Max Seed]]-$A$1, FALSE()))</f>
        <v>0</v>
      </c>
      <c r="I26" s="187"/>
      <c r="J26" s="188"/>
      <c r="K26" s="189"/>
      <c r="L26" s="190"/>
      <c r="M26" s="191"/>
      <c r="N2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Smells Like Teen Spirit</v>
      </c>
      <c r="O26" s="105">
        <f>COUNTIF(SotY_2025[[#This Row],[J]:[H]],"x")</f>
        <v>0</v>
      </c>
      <c r="P26" s="115" t="str">
        <f ca="1">IF(SotY_2025[[#This Row],[Num]]&gt;=$A$1, "-", IF(SotY_2025[[#This Row],[Score 1]]&gt;=3, SotY_2025[[#This Row],[Song 1]], IF(SotY_2025[[#This Row],[Score 2]]&gt;=3, SotY_2025[[#This Row],[Song 2]], "TBD")))</f>
        <v>Take Me Out</v>
      </c>
      <c r="Q26" s="193">
        <f>COUNTIF(SotY_2025[[#This Row],[H ]:[J ]],"x")</f>
        <v>5</v>
      </c>
      <c r="R2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Take Me Out</v>
      </c>
      <c r="S26" s="191" t="s">
        <v>4191</v>
      </c>
      <c r="T26" s="190" t="s">
        <v>4191</v>
      </c>
      <c r="U26" s="189" t="s">
        <v>4191</v>
      </c>
      <c r="V26" s="188" t="s">
        <v>4191</v>
      </c>
      <c r="W26" s="198" t="s">
        <v>4191</v>
      </c>
      <c r="X2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26" s="109">
        <f t="shared" si="0"/>
        <v>163</v>
      </c>
      <c r="AA26" s="59">
        <v>45705</v>
      </c>
      <c r="AB26" t="str">
        <v>danram</v>
      </c>
      <c r="AC26" s="3">
        <v>2.4</v>
      </c>
      <c r="AD26" s="3">
        <v>1.3564659966250536</v>
      </c>
      <c r="AE26" t="str">
        <v>Locked out of Heaven</v>
      </c>
      <c r="AF26" t="str">
        <v>Bruno Mars</v>
      </c>
      <c r="AG26" s="100">
        <f t="shared" si="1"/>
        <v>129</v>
      </c>
      <c r="AI26" s="114">
        <f>SotY_2025[[#This Row],[Max Seed]]/2 + 1</f>
        <v>17</v>
      </c>
      <c r="AJ26" s="105" t="str">
        <f ca="1">IF(SotY_2025[[#This Row],[Num]]&gt;=$A$1, "-", IF(SotY_2025[[#This Row],[Score 1]]&gt;=3, SotY_2025[[#This Row],[Song 2]], IF(SotY_2025[[#This Row],[Score 2]]&gt;=3, SotY_2025[[#This Row],[Song 1]], "TBD")))</f>
        <v>Smells Like Teen Spirit</v>
      </c>
      <c r="AK26" s="115">
        <f ca="1">IFERROR(VLOOKUP(SotY_2025_Results[[#This Row],[Song Title]], $AE$2:$AG$200, 3, FALSE)-SotY_2025_Results[[#This Row],[Result]], "TBD")</f>
        <v>48</v>
      </c>
      <c r="AL26" s="112" t="str">
        <f ca="1">IF(SotY_2025_Results[[#This Row],[Diff]]&lt;0,"↓",IF(SotY_2025_Results[[#This Row],[Diff]]=0,"-","↑"))</f>
        <v>↑</v>
      </c>
    </row>
    <row r="27" spans="1:38">
      <c r="A27" s="197" t="str">
        <f>_xlfn.CONCAT("Seed ", SotY_2025[[#This Row],[Top Seed]], " vs ", SotY_2025[[#This Row],[Low Seed]])</f>
        <v>Seed 7 vs 26</v>
      </c>
      <c r="B27" s="115">
        <v>25</v>
      </c>
      <c r="C27" s="115">
        <f>FLOOR(LOG(SotY_2025[[#This Row],[Num]], 2), 1)</f>
        <v>4</v>
      </c>
      <c r="D27" s="115">
        <f>2^(SotY_2025[[#This Row],[Round]]+1)</f>
        <v>32</v>
      </c>
      <c r="E27" s="115">
        <f>SotY_2025[[#This Row],[Max Seed]]-SotY_2025[[#This Row],[Num]]</f>
        <v>7</v>
      </c>
      <c r="F27" s="115">
        <f>SotY_2025[[#This Row],[Max Seed]]-SotY_2025[[#This Row],[Top Seed]]+1</f>
        <v>26</v>
      </c>
      <c r="G27" s="115" t="b">
        <f>IF(SotY_2025[[#This Row],[Round]]=$C$1, TRUE(), IF(SotY_2025[[#This Row],[Round]]=$B$1, SotY_2025[[#This Row],[Top Seed]]&lt;=2*SotY_2025[[#This Row],[Max Seed]]-$A$1, FALSE()))</f>
        <v>0</v>
      </c>
      <c r="H27" s="115" t="b">
        <f>IF(SotY_2025[[#This Row],[Round]]=$C$1, TRUE(), IF(SotY_2025[[#This Row],[Round]]=$B$1, SotY_2025[[#This Row],[Low Seed]]&lt;=2*SotY_2025[[#This Row],[Max Seed]]-$A$1, FALSE()))</f>
        <v>0</v>
      </c>
      <c r="I27" s="187"/>
      <c r="J27" s="188"/>
      <c r="K27" s="189" t="s">
        <v>4191</v>
      </c>
      <c r="L27" s="190"/>
      <c r="M27" s="191" t="s">
        <v>4191</v>
      </c>
      <c r="N2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Rather Be</v>
      </c>
      <c r="O27" s="105">
        <f>COUNTIF(SotY_2025[[#This Row],[J]:[H]],"x")</f>
        <v>2</v>
      </c>
      <c r="P27" s="115" t="str">
        <f ca="1">IF(SotY_2025[[#This Row],[Num]]&gt;=$A$1, "-", IF(SotY_2025[[#This Row],[Score 1]]&gt;=3, SotY_2025[[#This Row],[Song 1]], IF(SotY_2025[[#This Row],[Score 2]]&gt;=3, SotY_2025[[#This Row],[Song 2]], "TBD")))</f>
        <v>Ensalada</v>
      </c>
      <c r="Q27" s="193">
        <f>COUNTIF(SotY_2025[[#This Row],[H ]:[J ]],"x")</f>
        <v>3</v>
      </c>
      <c r="R2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Ensalada</v>
      </c>
      <c r="S27" s="191"/>
      <c r="T27" s="190" t="s">
        <v>4191</v>
      </c>
      <c r="U27" s="189"/>
      <c r="V27" s="188" t="s">
        <v>4191</v>
      </c>
      <c r="W27" s="198" t="s">
        <v>4191</v>
      </c>
      <c r="X2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27" s="109">
        <f t="shared" si="0"/>
        <v>33</v>
      </c>
      <c r="AA27" s="59">
        <v>45706</v>
      </c>
      <c r="AB27" t="str">
        <v>currydestroyer27</v>
      </c>
      <c r="AC27" s="3">
        <v>1.8</v>
      </c>
      <c r="AD27" s="3">
        <v>0.9797958971132712</v>
      </c>
      <c r="AE27" t="str">
        <v>Senorita</v>
      </c>
      <c r="AF27" t="str">
        <v>Hrithik Roshan, Maria Del Mar Fernandez, Farhan Akhtar, Abhay Deol</v>
      </c>
      <c r="AG27" s="100">
        <f t="shared" si="1"/>
        <v>33</v>
      </c>
      <c r="AI27" s="114">
        <f>SotY_2025[[#This Row],[Max Seed]]/2 + 1</f>
        <v>17</v>
      </c>
      <c r="AJ27" s="105" t="str">
        <f ca="1">IF(SotY_2025[[#This Row],[Num]]&gt;=$A$1, "-", IF(SotY_2025[[#This Row],[Score 1]]&gt;=3, SotY_2025[[#This Row],[Song 2]], IF(SotY_2025[[#This Row],[Score 2]]&gt;=3, SotY_2025[[#This Row],[Song 1]], "TBD")))</f>
        <v>Rather Be</v>
      </c>
      <c r="AK27" s="115">
        <f ca="1">IFERROR(VLOOKUP(SotY_2025_Results[[#This Row],[Song Title]], $AE$2:$AG$200, 3, FALSE)-SotY_2025_Results[[#This Row],[Result]], "TBD")</f>
        <v>48</v>
      </c>
      <c r="AL27" s="112" t="str">
        <f ca="1">IF(SotY_2025_Results[[#This Row],[Diff]]&lt;0,"↓",IF(SotY_2025_Results[[#This Row],[Diff]]=0,"-","↑"))</f>
        <v>↑</v>
      </c>
    </row>
    <row r="28" spans="1:38">
      <c r="A28" s="197" t="str">
        <f>_xlfn.CONCAT("Seed ", SotY_2025[[#This Row],[Top Seed]], " vs ", SotY_2025[[#This Row],[Low Seed]])</f>
        <v>Seed 6 vs 27</v>
      </c>
      <c r="B28" s="115">
        <v>26</v>
      </c>
      <c r="C28" s="115">
        <f>FLOOR(LOG(SotY_2025[[#This Row],[Num]], 2), 1)</f>
        <v>4</v>
      </c>
      <c r="D28" s="115">
        <f>2^(SotY_2025[[#This Row],[Round]]+1)</f>
        <v>32</v>
      </c>
      <c r="E28" s="115">
        <f>SotY_2025[[#This Row],[Max Seed]]-SotY_2025[[#This Row],[Num]]</f>
        <v>6</v>
      </c>
      <c r="F28" s="115">
        <f>SotY_2025[[#This Row],[Max Seed]]-SotY_2025[[#This Row],[Top Seed]]+1</f>
        <v>27</v>
      </c>
      <c r="G28" s="115" t="b">
        <f>IF(SotY_2025[[#This Row],[Round]]=$C$1, TRUE(), IF(SotY_2025[[#This Row],[Round]]=$B$1, SotY_2025[[#This Row],[Top Seed]]&lt;=2*SotY_2025[[#This Row],[Max Seed]]-$A$1, FALSE()))</f>
        <v>0</v>
      </c>
      <c r="H28" s="115" t="b">
        <f>IF(SotY_2025[[#This Row],[Round]]=$C$1, TRUE(), IF(SotY_2025[[#This Row],[Round]]=$B$1, SotY_2025[[#This Row],[Low Seed]]&lt;=2*SotY_2025[[#This Row],[Max Seed]]-$A$1, FALSE()))</f>
        <v>0</v>
      </c>
      <c r="I28" s="187" t="s">
        <v>4191</v>
      </c>
      <c r="J28" s="188"/>
      <c r="K28" s="189"/>
      <c r="L28" s="190"/>
      <c r="M28" s="191"/>
      <c r="N2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Cash In Cash Out</v>
      </c>
      <c r="O28" s="105">
        <f>COUNTIF(SotY_2025[[#This Row],[J]:[H]],"x")</f>
        <v>1</v>
      </c>
      <c r="P28" s="115" t="str">
        <f ca="1">IF(SotY_2025[[#This Row],[Num]]&gt;=$A$1, "-", IF(SotY_2025[[#This Row],[Score 1]]&gt;=3, SotY_2025[[#This Row],[Song 1]], IF(SotY_2025[[#This Row],[Score 2]]&gt;=3, SotY_2025[[#This Row],[Song 2]], "TBD")))</f>
        <v>Still into You</v>
      </c>
      <c r="Q28" s="193">
        <f>COUNTIF(SotY_2025[[#This Row],[H ]:[J ]],"x")</f>
        <v>4</v>
      </c>
      <c r="R2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Still into You</v>
      </c>
      <c r="S28" s="191" t="s">
        <v>4191</v>
      </c>
      <c r="T28" s="190" t="s">
        <v>4191</v>
      </c>
      <c r="U28" s="189" t="s">
        <v>4191</v>
      </c>
      <c r="V28" s="188" t="s">
        <v>4191</v>
      </c>
      <c r="W28" s="198"/>
      <c r="X2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28" s="109">
        <f t="shared" si="0"/>
        <v>34</v>
      </c>
      <c r="AA28" s="59">
        <v>45707</v>
      </c>
      <c r="AB28" t="str">
        <v>alappatjoe</v>
      </c>
      <c r="AC28" s="3">
        <v>1.8</v>
      </c>
      <c r="AD28" s="3">
        <v>0.9797958971132712</v>
      </c>
      <c r="AE28" t="str">
        <v>Supernova</v>
      </c>
      <c r="AF28" t="str">
        <v>WIM</v>
      </c>
      <c r="AG28" s="100">
        <f t="shared" si="1"/>
        <v>33</v>
      </c>
      <c r="AI28" s="114">
        <f>SotY_2025[[#This Row],[Max Seed]]/2 + 1</f>
        <v>17</v>
      </c>
      <c r="AJ28" s="105" t="str">
        <f ca="1">IF(SotY_2025[[#This Row],[Num]]&gt;=$A$1, "-", IF(SotY_2025[[#This Row],[Score 1]]&gt;=3, SotY_2025[[#This Row],[Song 2]], IF(SotY_2025[[#This Row],[Score 2]]&gt;=3, SotY_2025[[#This Row],[Song 1]], "TBD")))</f>
        <v>Cash In Cash Out</v>
      </c>
      <c r="AK28" s="115">
        <f ca="1">IFERROR(VLOOKUP(SotY_2025_Results[[#This Row],[Song Title]], $AE$2:$AG$200, 3, FALSE)-SotY_2025_Results[[#This Row],[Result]], "TBD")</f>
        <v>48</v>
      </c>
      <c r="AL28" s="112" t="str">
        <f ca="1">IF(SotY_2025_Results[[#This Row],[Diff]]&lt;0,"↓",IF(SotY_2025_Results[[#This Row],[Diff]]=0,"-","↑"))</f>
        <v>↑</v>
      </c>
    </row>
    <row r="29" spans="1:38">
      <c r="A29" s="197" t="str">
        <f>_xlfn.CONCAT("Seed ", SotY_2025[[#This Row],[Top Seed]], " vs ", SotY_2025[[#This Row],[Low Seed]])</f>
        <v>Seed 5 vs 28</v>
      </c>
      <c r="B29" s="115">
        <v>27</v>
      </c>
      <c r="C29" s="115">
        <f>FLOOR(LOG(SotY_2025[[#This Row],[Num]], 2), 1)</f>
        <v>4</v>
      </c>
      <c r="D29" s="115">
        <f>2^(SotY_2025[[#This Row],[Round]]+1)</f>
        <v>32</v>
      </c>
      <c r="E29" s="115">
        <f>SotY_2025[[#This Row],[Max Seed]]-SotY_2025[[#This Row],[Num]]</f>
        <v>5</v>
      </c>
      <c r="F29" s="115">
        <f>SotY_2025[[#This Row],[Max Seed]]-SotY_2025[[#This Row],[Top Seed]]+1</f>
        <v>28</v>
      </c>
      <c r="G29" s="115" t="b">
        <f>IF(SotY_2025[[#This Row],[Round]]=$C$1, TRUE(), IF(SotY_2025[[#This Row],[Round]]=$B$1, SotY_2025[[#This Row],[Top Seed]]&lt;=2*SotY_2025[[#This Row],[Max Seed]]-$A$1, FALSE()))</f>
        <v>0</v>
      </c>
      <c r="H29" s="115" t="b">
        <f>IF(SotY_2025[[#This Row],[Round]]=$C$1, TRUE(), IF(SotY_2025[[#This Row],[Round]]=$B$1, SotY_2025[[#This Row],[Low Seed]]&lt;=2*SotY_2025[[#This Row],[Max Seed]]-$A$1, FALSE()))</f>
        <v>0</v>
      </c>
      <c r="I29" s="187" t="s">
        <v>4191</v>
      </c>
      <c r="J29" s="188" t="s">
        <v>4191</v>
      </c>
      <c r="K29" s="189" t="s">
        <v>4191</v>
      </c>
      <c r="L29" s="190" t="s">
        <v>4191</v>
      </c>
      <c r="M29" s="191" t="s">
        <v>4191</v>
      </c>
      <c r="N2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Umbrella</v>
      </c>
      <c r="O29" s="105">
        <f>COUNTIF(SotY_2025[[#This Row],[J]:[H]],"x")</f>
        <v>5</v>
      </c>
      <c r="P29" s="115" t="str">
        <f ca="1">IF(SotY_2025[[#This Row],[Num]]&gt;=$A$1, "-", IF(SotY_2025[[#This Row],[Score 1]]&gt;=3, SotY_2025[[#This Row],[Song 1]], IF(SotY_2025[[#This Row],[Score 2]]&gt;=3, SotY_2025[[#This Row],[Song 2]], "TBD")))</f>
        <v>Umbrella</v>
      </c>
      <c r="Q29" s="193">
        <f>COUNTIF(SotY_2025[[#This Row],[H ]:[J ]],"x")</f>
        <v>0</v>
      </c>
      <c r="R2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Down Bad</v>
      </c>
      <c r="S29" s="191"/>
      <c r="T29" s="190"/>
      <c r="U29" s="189"/>
      <c r="V29" s="188"/>
      <c r="W29" s="198"/>
      <c r="X2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29" s="109">
        <f t="shared" si="0"/>
        <v>72</v>
      </c>
      <c r="AA29" s="59">
        <v>45708</v>
      </c>
      <c r="AB29" t="str">
        <v>currydestroyer27</v>
      </c>
      <c r="AC29" s="3">
        <v>2</v>
      </c>
      <c r="AD29" s="3">
        <v>1.2649110640673518</v>
      </c>
      <c r="AE29" t="str">
        <v>Smells Like Teen Spirit</v>
      </c>
      <c r="AF29" t="str">
        <v>Nirvana</v>
      </c>
      <c r="AG29" s="100">
        <f t="shared" si="1"/>
        <v>65</v>
      </c>
      <c r="AI29" s="114">
        <f>SotY_2025[[#This Row],[Max Seed]]/2 + 1</f>
        <v>17</v>
      </c>
      <c r="AJ29" s="105" t="str">
        <f ca="1">IF(SotY_2025[[#This Row],[Num]]&gt;=$A$1, "-", IF(SotY_2025[[#This Row],[Score 1]]&gt;=3, SotY_2025[[#This Row],[Song 2]], IF(SotY_2025[[#This Row],[Score 2]]&gt;=3, SotY_2025[[#This Row],[Song 1]], "TBD")))</f>
        <v>Down Bad</v>
      </c>
      <c r="AK29" s="115">
        <f ca="1">IFERROR(VLOOKUP(SotY_2025_Results[[#This Row],[Song Title]], $AE$2:$AG$200, 3, FALSE)-SotY_2025_Results[[#This Row],[Result]], "TBD")</f>
        <v>0</v>
      </c>
      <c r="AL29" s="112" t="str">
        <f ca="1">IF(SotY_2025_Results[[#This Row],[Diff]]&lt;0,"↓",IF(SotY_2025_Results[[#This Row],[Diff]]=0,"-","↑"))</f>
        <v>-</v>
      </c>
    </row>
    <row r="30" spans="1:38">
      <c r="A30" s="197" t="str">
        <f>_xlfn.CONCAT("Seed ", SotY_2025[[#This Row],[Top Seed]], " vs ", SotY_2025[[#This Row],[Low Seed]])</f>
        <v>Seed 4 vs 29</v>
      </c>
      <c r="B30" s="115">
        <v>28</v>
      </c>
      <c r="C30" s="115">
        <f>FLOOR(LOG(SotY_2025[[#This Row],[Num]], 2), 1)</f>
        <v>4</v>
      </c>
      <c r="D30" s="115">
        <f>2^(SotY_2025[[#This Row],[Round]]+1)</f>
        <v>32</v>
      </c>
      <c r="E30" s="115">
        <f>SotY_2025[[#This Row],[Max Seed]]-SotY_2025[[#This Row],[Num]]</f>
        <v>4</v>
      </c>
      <c r="F30" s="115">
        <f>SotY_2025[[#This Row],[Max Seed]]-SotY_2025[[#This Row],[Top Seed]]+1</f>
        <v>29</v>
      </c>
      <c r="G30" s="115" t="b">
        <f>IF(SotY_2025[[#This Row],[Round]]=$C$1, TRUE(), IF(SotY_2025[[#This Row],[Round]]=$B$1, SotY_2025[[#This Row],[Top Seed]]&lt;=2*SotY_2025[[#This Row],[Max Seed]]-$A$1, FALSE()))</f>
        <v>0</v>
      </c>
      <c r="H30" s="115" t="b">
        <f>IF(SotY_2025[[#This Row],[Round]]=$C$1, TRUE(), IF(SotY_2025[[#This Row],[Round]]=$B$1, SotY_2025[[#This Row],[Low Seed]]&lt;=2*SotY_2025[[#This Row],[Max Seed]]-$A$1, FALSE()))</f>
        <v>0</v>
      </c>
      <c r="I30" s="187"/>
      <c r="J30" s="188"/>
      <c r="K30" s="189" t="s">
        <v>4191</v>
      </c>
      <c r="L30" s="190"/>
      <c r="M30" s="191" t="s">
        <v>4191</v>
      </c>
      <c r="N3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Slowly</v>
      </c>
      <c r="O30" s="105">
        <f>COUNTIF(SotY_2025[[#This Row],[J]:[H]],"x")</f>
        <v>2</v>
      </c>
      <c r="P30" s="115" t="str">
        <f ca="1">IF(SotY_2025[[#This Row],[Num]]&gt;=$A$1, "-", IF(SotY_2025[[#This Row],[Score 1]]&gt;=3, SotY_2025[[#This Row],[Song 1]], IF(SotY_2025[[#This Row],[Score 2]]&gt;=3, SotY_2025[[#This Row],[Song 2]], "TBD")))</f>
        <v>Bottoms Up</v>
      </c>
      <c r="Q30" s="193">
        <f>COUNTIF(SotY_2025[[#This Row],[H ]:[J ]],"x")</f>
        <v>3</v>
      </c>
      <c r="R3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Bottoms Up</v>
      </c>
      <c r="S30" s="191"/>
      <c r="T30" s="190" t="s">
        <v>4191</v>
      </c>
      <c r="U30" s="189"/>
      <c r="V30" s="188" t="s">
        <v>4191</v>
      </c>
      <c r="W30" s="198" t="s">
        <v>4191</v>
      </c>
      <c r="X3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30" s="109">
        <f t="shared" si="0"/>
        <v>100</v>
      </c>
      <c r="AA30" s="59">
        <v>45712</v>
      </c>
      <c r="AB30" t="str">
        <v>samuelbattista</v>
      </c>
      <c r="AC30" s="3">
        <v>2.2000000000000002</v>
      </c>
      <c r="AD30" s="3">
        <v>0.9797958971132712</v>
      </c>
      <c r="AE30" t="str">
        <v>Busy Woman</v>
      </c>
      <c r="AF30" t="str">
        <v>Sabrina Carpenter</v>
      </c>
      <c r="AG30" s="100">
        <f t="shared" si="1"/>
        <v>65</v>
      </c>
      <c r="AI30" s="114">
        <f>SotY_2025[[#This Row],[Max Seed]]/2 + 1</f>
        <v>17</v>
      </c>
      <c r="AJ30" s="105" t="str">
        <f ca="1">IF(SotY_2025[[#This Row],[Num]]&gt;=$A$1, "-", IF(SotY_2025[[#This Row],[Score 1]]&gt;=3, SotY_2025[[#This Row],[Song 2]], IF(SotY_2025[[#This Row],[Score 2]]&gt;=3, SotY_2025[[#This Row],[Song 1]], "TBD")))</f>
        <v>Slowly</v>
      </c>
      <c r="AK30" s="115">
        <f ca="1">IFERROR(VLOOKUP(SotY_2025_Results[[#This Row],[Song Title]], $AE$2:$AG$200, 3, FALSE)-SotY_2025_Results[[#This Row],[Result]], "TBD")</f>
        <v>112</v>
      </c>
      <c r="AL30" s="112" t="str">
        <f ca="1">IF(SotY_2025_Results[[#This Row],[Diff]]&lt;0,"↓",IF(SotY_2025_Results[[#This Row],[Diff]]=0,"-","↑"))</f>
        <v>↑</v>
      </c>
    </row>
    <row r="31" spans="1:38">
      <c r="A31" s="197" t="str">
        <f>_xlfn.CONCAT("Seed ", SotY_2025[[#This Row],[Top Seed]], " vs ", SotY_2025[[#This Row],[Low Seed]])</f>
        <v>Seed 3 vs 30</v>
      </c>
      <c r="B31" s="115">
        <v>29</v>
      </c>
      <c r="C31" s="115">
        <f>FLOOR(LOG(SotY_2025[[#This Row],[Num]], 2), 1)</f>
        <v>4</v>
      </c>
      <c r="D31" s="115">
        <f>2^(SotY_2025[[#This Row],[Round]]+1)</f>
        <v>32</v>
      </c>
      <c r="E31" s="115">
        <f>SotY_2025[[#This Row],[Max Seed]]-SotY_2025[[#This Row],[Num]]</f>
        <v>3</v>
      </c>
      <c r="F31" s="115">
        <f>SotY_2025[[#This Row],[Max Seed]]-SotY_2025[[#This Row],[Top Seed]]+1</f>
        <v>30</v>
      </c>
      <c r="G31" s="115" t="b">
        <f>IF(SotY_2025[[#This Row],[Round]]=$C$1, TRUE(), IF(SotY_2025[[#This Row],[Round]]=$B$1, SotY_2025[[#This Row],[Top Seed]]&lt;=2*SotY_2025[[#This Row],[Max Seed]]-$A$1, FALSE()))</f>
        <v>0</v>
      </c>
      <c r="H31" s="115" t="b">
        <f>IF(SotY_2025[[#This Row],[Round]]=$C$1, TRUE(), IF(SotY_2025[[#This Row],[Round]]=$B$1, SotY_2025[[#This Row],[Low Seed]]&lt;=2*SotY_2025[[#This Row],[Max Seed]]-$A$1, FALSE()))</f>
        <v>0</v>
      </c>
      <c r="I31" s="187"/>
      <c r="J31" s="188"/>
      <c r="K31" s="189" t="s">
        <v>4191</v>
      </c>
      <c r="L31" s="190"/>
      <c r="M31" s="191"/>
      <c r="N3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Selfish</v>
      </c>
      <c r="O31" s="105">
        <f>COUNTIF(SotY_2025[[#This Row],[J]:[H]],"x")</f>
        <v>1</v>
      </c>
      <c r="P31" s="115" t="str">
        <f ca="1">IF(SotY_2025[[#This Row],[Num]]&gt;=$A$1, "-", IF(SotY_2025[[#This Row],[Score 1]]&gt;=3, SotY_2025[[#This Row],[Song 1]], IF(SotY_2025[[#This Row],[Score 2]]&gt;=3, SotY_2025[[#This Row],[Song 2]], "TBD")))</f>
        <v>Locked out of Heaven</v>
      </c>
      <c r="Q31" s="193">
        <f>COUNTIF(SotY_2025[[#This Row],[H ]:[J ]],"x")</f>
        <v>4</v>
      </c>
      <c r="R3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Locked out of Heaven</v>
      </c>
      <c r="S31" s="191" t="s">
        <v>4191</v>
      </c>
      <c r="T31" s="190" t="s">
        <v>4191</v>
      </c>
      <c r="U31" s="189"/>
      <c r="V31" s="188" t="s">
        <v>4191</v>
      </c>
      <c r="W31" s="198" t="s">
        <v>4191</v>
      </c>
      <c r="X3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31" s="109">
        <f t="shared" si="0"/>
        <v>82</v>
      </c>
      <c r="AA31" s="59">
        <v>45713</v>
      </c>
      <c r="AB31" t="str">
        <v>currydestroyer27</v>
      </c>
      <c r="AC31" s="3">
        <v>2.2000000000000002</v>
      </c>
      <c r="AD31" s="3">
        <v>0.74833147735478833</v>
      </c>
      <c r="AE31" t="str">
        <v>Fantasy</v>
      </c>
      <c r="AF31" t="str">
        <v>Bazzi</v>
      </c>
      <c r="AG31" s="100">
        <f t="shared" si="1"/>
        <v>65</v>
      </c>
      <c r="AI31" s="114">
        <f>SotY_2025[[#This Row],[Max Seed]]/2 + 1</f>
        <v>17</v>
      </c>
      <c r="AJ31" s="105" t="str">
        <f ca="1">IF(SotY_2025[[#This Row],[Num]]&gt;=$A$1, "-", IF(SotY_2025[[#This Row],[Score 1]]&gt;=3, SotY_2025[[#This Row],[Song 2]], IF(SotY_2025[[#This Row],[Score 2]]&gt;=3, SotY_2025[[#This Row],[Song 1]], "TBD")))</f>
        <v>Selfish</v>
      </c>
      <c r="AK31" s="115">
        <f ca="1">IFERROR(VLOOKUP(SotY_2025_Results[[#This Row],[Song Title]], $AE$2:$AG$200, 3, FALSE)-SotY_2025_Results[[#This Row],[Result]], "TBD")</f>
        <v>16</v>
      </c>
      <c r="AL31" s="112" t="str">
        <f ca="1">IF(SotY_2025_Results[[#This Row],[Diff]]&lt;0,"↓",IF(SotY_2025_Results[[#This Row],[Diff]]=0,"-","↑"))</f>
        <v>↑</v>
      </c>
    </row>
    <row r="32" spans="1:38">
      <c r="A32" s="197" t="str">
        <f>_xlfn.CONCAT("Seed ", SotY_2025[[#This Row],[Top Seed]], " vs ", SotY_2025[[#This Row],[Low Seed]])</f>
        <v>Seed 2 vs 31</v>
      </c>
      <c r="B32" s="115">
        <v>30</v>
      </c>
      <c r="C32" s="115">
        <f>FLOOR(LOG(SotY_2025[[#This Row],[Num]], 2), 1)</f>
        <v>4</v>
      </c>
      <c r="D32" s="115">
        <f>2^(SotY_2025[[#This Row],[Round]]+1)</f>
        <v>32</v>
      </c>
      <c r="E32" s="115">
        <f>SotY_2025[[#This Row],[Max Seed]]-SotY_2025[[#This Row],[Num]]</f>
        <v>2</v>
      </c>
      <c r="F32" s="115">
        <f>SotY_2025[[#This Row],[Max Seed]]-SotY_2025[[#This Row],[Top Seed]]+1</f>
        <v>31</v>
      </c>
      <c r="G32" s="115" t="b">
        <f>IF(SotY_2025[[#This Row],[Round]]=$C$1, TRUE(), IF(SotY_2025[[#This Row],[Round]]=$B$1, SotY_2025[[#This Row],[Top Seed]]&lt;=2*SotY_2025[[#This Row],[Max Seed]]-$A$1, FALSE()))</f>
        <v>0</v>
      </c>
      <c r="H32" s="115" t="b">
        <f>IF(SotY_2025[[#This Row],[Round]]=$C$1, TRUE(), IF(SotY_2025[[#This Row],[Round]]=$B$1, SotY_2025[[#This Row],[Low Seed]]&lt;=2*SotY_2025[[#This Row],[Max Seed]]-$A$1, FALSE()))</f>
        <v>0</v>
      </c>
      <c r="I32" s="187" t="s">
        <v>4191</v>
      </c>
      <c r="J32" s="188"/>
      <c r="K32" s="189"/>
      <c r="L32" s="190"/>
      <c r="M32" s="191" t="s">
        <v>4191</v>
      </c>
      <c r="N3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Simple And Clean</v>
      </c>
      <c r="O32" s="105">
        <f>COUNTIF(SotY_2025[[#This Row],[J]:[H]],"x")</f>
        <v>2</v>
      </c>
      <c r="P32" s="115" t="str">
        <f ca="1">IF(SotY_2025[[#This Row],[Num]]&gt;=$A$1, "-", IF(SotY_2025[[#This Row],[Score 1]]&gt;=3, SotY_2025[[#This Row],[Song 1]], IF(SotY_2025[[#This Row],[Score 2]]&gt;=3, SotY_2025[[#This Row],[Song 2]], "TBD")))</f>
        <v>el cielo</v>
      </c>
      <c r="Q32" s="193">
        <f>COUNTIF(SotY_2025[[#This Row],[H ]:[J ]],"x")</f>
        <v>3</v>
      </c>
      <c r="R3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el cielo</v>
      </c>
      <c r="S32" s="191"/>
      <c r="T32" s="190" t="s">
        <v>4191</v>
      </c>
      <c r="U32" s="189" t="s">
        <v>4191</v>
      </c>
      <c r="V32" s="188" t="s">
        <v>4191</v>
      </c>
      <c r="W32" s="198"/>
      <c r="X3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32" s="109">
        <f t="shared" si="0"/>
        <v>126</v>
      </c>
      <c r="AA32" s="59">
        <v>45714</v>
      </c>
      <c r="AB32" t="str">
        <v>alappatjoe</v>
      </c>
      <c r="AC32" s="3">
        <v>2.2000000000000002</v>
      </c>
      <c r="AD32" s="3">
        <v>1.6</v>
      </c>
      <c r="AE32" t="str">
        <v>BLOODY STREAM</v>
      </c>
      <c r="AF32" t="str">
        <v>Coda</v>
      </c>
      <c r="AG32" s="100">
        <f t="shared" si="1"/>
        <v>65</v>
      </c>
      <c r="AI32" s="114">
        <f>SotY_2025[[#This Row],[Max Seed]]/2 + 1</f>
        <v>17</v>
      </c>
      <c r="AJ32" s="105" t="str">
        <f ca="1">IF(SotY_2025[[#This Row],[Num]]&gt;=$A$1, "-", IF(SotY_2025[[#This Row],[Score 1]]&gt;=3, SotY_2025[[#This Row],[Song 2]], IF(SotY_2025[[#This Row],[Score 2]]&gt;=3, SotY_2025[[#This Row],[Song 1]], "TBD")))</f>
        <v>Simple And Clean</v>
      </c>
      <c r="AK32" s="115">
        <f ca="1">IFERROR(VLOOKUP(SotY_2025_Results[[#This Row],[Song Title]], $AE$2:$AG$200, 3, FALSE)-SotY_2025_Results[[#This Row],[Result]], "TBD")</f>
        <v>48</v>
      </c>
      <c r="AL32" s="112" t="str">
        <f ca="1">IF(SotY_2025_Results[[#This Row],[Diff]]&lt;0,"↓",IF(SotY_2025_Results[[#This Row],[Diff]]=0,"-","↑"))</f>
        <v>↑</v>
      </c>
    </row>
    <row r="33" spans="1:38">
      <c r="A33" s="197" t="str">
        <f>_xlfn.CONCAT("Seed ", SotY_2025[[#This Row],[Top Seed]], " vs ", SotY_2025[[#This Row],[Low Seed]])</f>
        <v>Seed 1 vs 32</v>
      </c>
      <c r="B33" s="115">
        <v>31</v>
      </c>
      <c r="C33" s="115">
        <f>FLOOR(LOG(SotY_2025[[#This Row],[Num]], 2), 1)</f>
        <v>4</v>
      </c>
      <c r="D33" s="115">
        <f>2^(SotY_2025[[#This Row],[Round]]+1)</f>
        <v>32</v>
      </c>
      <c r="E33" s="115">
        <f>SotY_2025[[#This Row],[Max Seed]]-SotY_2025[[#This Row],[Num]]</f>
        <v>1</v>
      </c>
      <c r="F33" s="115">
        <f>SotY_2025[[#This Row],[Max Seed]]-SotY_2025[[#This Row],[Top Seed]]+1</f>
        <v>32</v>
      </c>
      <c r="G33" s="115" t="b">
        <f>IF(SotY_2025[[#This Row],[Round]]=$C$1, TRUE(), IF(SotY_2025[[#This Row],[Round]]=$B$1, SotY_2025[[#This Row],[Top Seed]]&lt;=2*SotY_2025[[#This Row],[Max Seed]]-$A$1, FALSE()))</f>
        <v>0</v>
      </c>
      <c r="H33" s="115" t="b">
        <f>IF(SotY_2025[[#This Row],[Round]]=$C$1, TRUE(), IF(SotY_2025[[#This Row],[Round]]=$B$1, SotY_2025[[#This Row],[Low Seed]]&lt;=2*SotY_2025[[#This Row],[Max Seed]]-$A$1, FALSE()))</f>
        <v>0</v>
      </c>
      <c r="I33" s="187" t="s">
        <v>4191</v>
      </c>
      <c r="J33" s="188" t="s">
        <v>4191</v>
      </c>
      <c r="K33" s="189" t="s">
        <v>4191</v>
      </c>
      <c r="L33" s="190" t="s">
        <v>4191</v>
      </c>
      <c r="M33" s="191"/>
      <c r="N3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Billie Jean</v>
      </c>
      <c r="O33" s="105">
        <f>COUNTIF(SotY_2025[[#This Row],[J]:[H]],"x")</f>
        <v>4</v>
      </c>
      <c r="P33" s="115" t="str">
        <f ca="1">IF(SotY_2025[[#This Row],[Num]]&gt;=$A$1, "-", IF(SotY_2025[[#This Row],[Score 1]]&gt;=3, SotY_2025[[#This Row],[Song 1]], IF(SotY_2025[[#This Row],[Score 2]]&gt;=3, SotY_2025[[#This Row],[Song 2]], "TBD")))</f>
        <v>Billie Jean</v>
      </c>
      <c r="Q33" s="193">
        <f>COUNTIF(SotY_2025[[#This Row],[H ]:[J ]],"x")</f>
        <v>1</v>
      </c>
      <c r="R3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veil</v>
      </c>
      <c r="S33" s="191" t="s">
        <v>4191</v>
      </c>
      <c r="T33" s="190"/>
      <c r="U33" s="189"/>
      <c r="V33" s="188"/>
      <c r="W33" s="198"/>
      <c r="X3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33" s="109">
        <f t="shared" si="0"/>
        <v>101</v>
      </c>
      <c r="AA33" s="59">
        <v>45715</v>
      </c>
      <c r="AB33" t="str">
        <v>loganworsdell</v>
      </c>
      <c r="AC33" s="3">
        <v>2.2000000000000002</v>
      </c>
      <c r="AD33" s="3">
        <v>0.9797958971132712</v>
      </c>
      <c r="AE33" t="str">
        <v>Beep</v>
      </c>
      <c r="AF33" t="str">
        <v>flipturn</v>
      </c>
      <c r="AG33" s="100">
        <f t="shared" si="1"/>
        <v>65</v>
      </c>
      <c r="AI33" s="114">
        <f>SotY_2025[[#This Row],[Max Seed]]/2 + 1</f>
        <v>17</v>
      </c>
      <c r="AJ33" s="105" t="str">
        <f ca="1">IF(SotY_2025[[#This Row],[Num]]&gt;=$A$1, "-", IF(SotY_2025[[#This Row],[Score 1]]&gt;=3, SotY_2025[[#This Row],[Song 2]], IF(SotY_2025[[#This Row],[Score 2]]&gt;=3, SotY_2025[[#This Row],[Song 1]], "TBD")))</f>
        <v>veil</v>
      </c>
      <c r="AK33" s="115">
        <f ca="1">IFERROR(VLOOKUP(SotY_2025_Results[[#This Row],[Song Title]], $AE$2:$AG$200, 3, FALSE)-SotY_2025_Results[[#This Row],[Result]], "TBD")</f>
        <v>48</v>
      </c>
      <c r="AL33" s="112" t="str">
        <f ca="1">IF(SotY_2025_Results[[#This Row],[Diff]]&lt;0,"↓",IF(SotY_2025_Results[[#This Row],[Diff]]=0,"-","↑"))</f>
        <v>↑</v>
      </c>
    </row>
    <row r="34" spans="1:38">
      <c r="A34" s="197" t="str">
        <f>_xlfn.CONCAT("Seed ", SotY_2025[[#This Row],[Top Seed]], " vs ", SotY_2025[[#This Row],[Low Seed]])</f>
        <v>Seed 32 vs 33</v>
      </c>
      <c r="B34" s="115">
        <v>32</v>
      </c>
      <c r="C34" s="115">
        <f>FLOOR(LOG(SotY_2025[[#This Row],[Num]], 2), 1)</f>
        <v>5</v>
      </c>
      <c r="D34" s="115">
        <f>2^(SotY_2025[[#This Row],[Round]]+1)</f>
        <v>64</v>
      </c>
      <c r="E34" s="115">
        <f>SotY_2025[[#This Row],[Max Seed]]-SotY_2025[[#This Row],[Num]]</f>
        <v>32</v>
      </c>
      <c r="F34" s="115">
        <f>SotY_2025[[#This Row],[Max Seed]]-SotY_2025[[#This Row],[Top Seed]]+1</f>
        <v>33</v>
      </c>
      <c r="G34" s="115" t="b">
        <f>IF(SotY_2025[[#This Row],[Round]]=$C$1, TRUE(), IF(SotY_2025[[#This Row],[Round]]=$B$1, SotY_2025[[#This Row],[Top Seed]]&lt;=2*SotY_2025[[#This Row],[Max Seed]]-$A$1, FALSE()))</f>
        <v>0</v>
      </c>
      <c r="H34" s="115" t="b">
        <f>IF(SotY_2025[[#This Row],[Round]]=$C$1, TRUE(), IF(SotY_2025[[#This Row],[Round]]=$B$1, SotY_2025[[#This Row],[Low Seed]]&lt;=2*SotY_2025[[#This Row],[Max Seed]]-$A$1, FALSE()))</f>
        <v>0</v>
      </c>
      <c r="I34" s="187" t="s">
        <v>4191</v>
      </c>
      <c r="J34" s="188"/>
      <c r="K34" s="189" t="s">
        <v>4191</v>
      </c>
      <c r="L34" s="190"/>
      <c r="M34" s="191" t="s">
        <v>4191</v>
      </c>
      <c r="N3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veil</v>
      </c>
      <c r="O34" s="105">
        <f>COUNTIF(SotY_2025[[#This Row],[J]:[H]],"x")</f>
        <v>3</v>
      </c>
      <c r="P34" s="115" t="str">
        <f ca="1">IF(SotY_2025[[#This Row],[Num]]&gt;=$A$1, "-", IF(SotY_2025[[#This Row],[Score 1]]&gt;=3, SotY_2025[[#This Row],[Song 1]], IF(SotY_2025[[#This Row],[Score 2]]&gt;=3, SotY_2025[[#This Row],[Song 2]], "TBD")))</f>
        <v>veil</v>
      </c>
      <c r="Q34" s="193">
        <f>COUNTIF(SotY_2025[[#This Row],[H ]:[J ]],"x")</f>
        <v>2</v>
      </c>
      <c r="R3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Favourite</v>
      </c>
      <c r="S34" s="191"/>
      <c r="T34" s="190" t="s">
        <v>4191</v>
      </c>
      <c r="U34" s="189"/>
      <c r="V34" s="188" t="s">
        <v>4191</v>
      </c>
      <c r="W34" s="198"/>
      <c r="X3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34" s="109">
        <f t="shared" ref="Z34:Z65" si="2">IF(AC34&gt;0, COUNTIF(AC$2:AC$200, "&lt;"&amp;AC34) + COUNTIFS(AC$2:AC$200, AC34, AD$2:AD$200, "&lt;"&amp;AD34) + COUNTIFS(AC$2:AC$200, AC34, AD$2:AD$200, AD34, AA$2:AA$200, "&lt;"&amp;AA34) + 1, "TBD")</f>
        <v>168</v>
      </c>
      <c r="AA34" s="59">
        <v>45719</v>
      </c>
      <c r="AB34" t="str">
        <v>currydestroyer27</v>
      </c>
      <c r="AC34" s="3">
        <v>2.4</v>
      </c>
      <c r="AD34" s="3">
        <v>1.4966629547095767</v>
      </c>
      <c r="AE34" t="str">
        <v>Take Me Out</v>
      </c>
      <c r="AF34" t="str">
        <v>Franz Ferdinand</v>
      </c>
      <c r="AG34" s="100">
        <f t="shared" si="1"/>
        <v>129</v>
      </c>
      <c r="AI34" s="114">
        <f>SotY_2025[[#This Row],[Max Seed]]/2 + 1</f>
        <v>33</v>
      </c>
      <c r="AJ34" s="105" t="str">
        <f ca="1">IF(SotY_2025[[#This Row],[Num]]&gt;=$A$1, "-", IF(SotY_2025[[#This Row],[Score 1]]&gt;=3, SotY_2025[[#This Row],[Song 2]], IF(SotY_2025[[#This Row],[Score 2]]&gt;=3, SotY_2025[[#This Row],[Song 1]], "TBD")))</f>
        <v>Favourite</v>
      </c>
      <c r="AK34" s="115">
        <f ca="1">IFERROR(VLOOKUP(SotY_2025_Results[[#This Row],[Song Title]], $AE$2:$AG$200, 3, FALSE)-SotY_2025_Results[[#This Row],[Result]], "TBD")</f>
        <v>96</v>
      </c>
      <c r="AL34" s="112" t="str">
        <f ca="1">IF(SotY_2025_Results[[#This Row],[Diff]]&lt;0,"↓",IF(SotY_2025_Results[[#This Row],[Diff]]=0,"-","↑"))</f>
        <v>↑</v>
      </c>
    </row>
    <row r="35" spans="1:38">
      <c r="A35" s="197" t="str">
        <f>_xlfn.CONCAT("Seed ", SotY_2025[[#This Row],[Top Seed]], " vs ", SotY_2025[[#This Row],[Low Seed]])</f>
        <v>Seed 31 vs 34</v>
      </c>
      <c r="B35" s="115">
        <v>33</v>
      </c>
      <c r="C35" s="115">
        <f>FLOOR(LOG(SotY_2025[[#This Row],[Num]], 2), 1)</f>
        <v>5</v>
      </c>
      <c r="D35" s="115">
        <f>2^(SotY_2025[[#This Row],[Round]]+1)</f>
        <v>64</v>
      </c>
      <c r="E35" s="115">
        <f>SotY_2025[[#This Row],[Max Seed]]-SotY_2025[[#This Row],[Num]]</f>
        <v>31</v>
      </c>
      <c r="F35" s="115">
        <f>SotY_2025[[#This Row],[Max Seed]]-SotY_2025[[#This Row],[Top Seed]]+1</f>
        <v>34</v>
      </c>
      <c r="G35" s="115" t="b">
        <f>IF(SotY_2025[[#This Row],[Round]]=$C$1, TRUE(), IF(SotY_2025[[#This Row],[Round]]=$B$1, SotY_2025[[#This Row],[Top Seed]]&lt;=2*SotY_2025[[#This Row],[Max Seed]]-$A$1, FALSE()))</f>
        <v>0</v>
      </c>
      <c r="H35" s="115" t="b">
        <f>IF(SotY_2025[[#This Row],[Round]]=$C$1, TRUE(), IF(SotY_2025[[#This Row],[Round]]=$B$1, SotY_2025[[#This Row],[Low Seed]]&lt;=2*SotY_2025[[#This Row],[Max Seed]]-$A$1, FALSE()))</f>
        <v>0</v>
      </c>
      <c r="I35" s="187"/>
      <c r="J35" s="188" t="s">
        <v>4191</v>
      </c>
      <c r="K35" s="189" t="s">
        <v>4191</v>
      </c>
      <c r="L35" s="190" t="s">
        <v>4191</v>
      </c>
      <c r="M35" s="191"/>
      <c r="N3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el cielo</v>
      </c>
      <c r="O35" s="105">
        <f>COUNTIF(SotY_2025[[#This Row],[J]:[H]],"x")</f>
        <v>3</v>
      </c>
      <c r="P35" s="115" t="str">
        <f ca="1">IF(SotY_2025[[#This Row],[Num]]&gt;=$A$1, "-", IF(SotY_2025[[#This Row],[Score 1]]&gt;=3, SotY_2025[[#This Row],[Song 1]], IF(SotY_2025[[#This Row],[Score 2]]&gt;=3, SotY_2025[[#This Row],[Song 2]], "TBD")))</f>
        <v>el cielo</v>
      </c>
      <c r="Q35" s="193">
        <f>COUNTIF(SotY_2025[[#This Row],[H ]:[J ]],"x")</f>
        <v>2</v>
      </c>
      <c r="R3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Like That</v>
      </c>
      <c r="S35" s="191" t="s">
        <v>4191</v>
      </c>
      <c r="T35" s="190"/>
      <c r="U35" s="189"/>
      <c r="V35" s="188"/>
      <c r="W35" s="198" t="s">
        <v>4191</v>
      </c>
      <c r="X3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35" s="109">
        <f t="shared" si="2"/>
        <v>24</v>
      </c>
      <c r="AA35" s="59">
        <v>45720</v>
      </c>
      <c r="AB35" t="str">
        <v>currydestroyer27</v>
      </c>
      <c r="AC35" s="3">
        <v>1.8</v>
      </c>
      <c r="AD35" s="3">
        <v>0.74833147735478833</v>
      </c>
      <c r="AE35" t="str">
        <v>CHAINSAW BLOOD</v>
      </c>
      <c r="AF35" t="str">
        <v>Vaundy</v>
      </c>
      <c r="AG35" s="100">
        <f t="shared" si="1"/>
        <v>17</v>
      </c>
      <c r="AI35" s="114">
        <f>SotY_2025[[#This Row],[Max Seed]]/2 + 1</f>
        <v>33</v>
      </c>
      <c r="AJ35" s="105" t="str">
        <f ca="1">IF(SotY_2025[[#This Row],[Num]]&gt;=$A$1, "-", IF(SotY_2025[[#This Row],[Score 1]]&gt;=3, SotY_2025[[#This Row],[Song 2]], IF(SotY_2025[[#This Row],[Score 2]]&gt;=3, SotY_2025[[#This Row],[Song 1]], "TBD")))</f>
        <v>Like That</v>
      </c>
      <c r="AK35" s="115">
        <f ca="1">IFERROR(VLOOKUP(SotY_2025_Results[[#This Row],[Song Title]], $AE$2:$AG$200, 3, FALSE)-SotY_2025_Results[[#This Row],[Result]], "TBD")</f>
        <v>96</v>
      </c>
      <c r="AL35" s="112" t="str">
        <f ca="1">IF(SotY_2025_Results[[#This Row],[Diff]]&lt;0,"↓",IF(SotY_2025_Results[[#This Row],[Diff]]=0,"-","↑"))</f>
        <v>↑</v>
      </c>
    </row>
    <row r="36" spans="1:38">
      <c r="A36" s="197" t="str">
        <f>_xlfn.CONCAT("Seed ", SotY_2025[[#This Row],[Top Seed]], " vs ", SotY_2025[[#This Row],[Low Seed]])</f>
        <v>Seed 30 vs 35</v>
      </c>
      <c r="B36" s="115">
        <v>34</v>
      </c>
      <c r="C36" s="115">
        <f>FLOOR(LOG(SotY_2025[[#This Row],[Num]], 2), 1)</f>
        <v>5</v>
      </c>
      <c r="D36" s="115">
        <f>2^(SotY_2025[[#This Row],[Round]]+1)</f>
        <v>64</v>
      </c>
      <c r="E36" s="115">
        <f>SotY_2025[[#This Row],[Max Seed]]-SotY_2025[[#This Row],[Num]]</f>
        <v>30</v>
      </c>
      <c r="F36" s="115">
        <f>SotY_2025[[#This Row],[Max Seed]]-SotY_2025[[#This Row],[Top Seed]]+1</f>
        <v>35</v>
      </c>
      <c r="G36" s="115" t="b">
        <f>IF(SotY_2025[[#This Row],[Round]]=$C$1, TRUE(), IF(SotY_2025[[#This Row],[Round]]=$B$1, SotY_2025[[#This Row],[Top Seed]]&lt;=2*SotY_2025[[#This Row],[Max Seed]]-$A$1, FALSE()))</f>
        <v>0</v>
      </c>
      <c r="H36" s="115" t="b">
        <f>IF(SotY_2025[[#This Row],[Round]]=$C$1, TRUE(), IF(SotY_2025[[#This Row],[Round]]=$B$1, SotY_2025[[#This Row],[Low Seed]]&lt;=2*SotY_2025[[#This Row],[Max Seed]]-$A$1, FALSE()))</f>
        <v>0</v>
      </c>
      <c r="I36" s="187"/>
      <c r="J36" s="188"/>
      <c r="K36" s="189" t="s">
        <v>4191</v>
      </c>
      <c r="L36" s="190" t="s">
        <v>4191</v>
      </c>
      <c r="M36" s="191"/>
      <c r="N3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Tears On A Pretty Face</v>
      </c>
      <c r="O36" s="105">
        <f>COUNTIF(SotY_2025[[#This Row],[J]:[H]],"x")</f>
        <v>2</v>
      </c>
      <c r="P36" s="115" t="str">
        <f ca="1">IF(SotY_2025[[#This Row],[Num]]&gt;=$A$1, "-", IF(SotY_2025[[#This Row],[Score 1]]&gt;=3, SotY_2025[[#This Row],[Song 1]], IF(SotY_2025[[#This Row],[Score 2]]&gt;=3, SotY_2025[[#This Row],[Song 2]], "TBD")))</f>
        <v>Locked out of Heaven</v>
      </c>
      <c r="Q36" s="193">
        <f>COUNTIF(SotY_2025[[#This Row],[H ]:[J ]],"x")</f>
        <v>3</v>
      </c>
      <c r="R3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Locked out of Heaven</v>
      </c>
      <c r="S36" s="191" t="s">
        <v>4191</v>
      </c>
      <c r="T36" s="190"/>
      <c r="U36" s="189"/>
      <c r="V36" s="188" t="s">
        <v>4191</v>
      </c>
      <c r="W36" s="198" t="s">
        <v>4191</v>
      </c>
      <c r="X3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36" s="109">
        <f t="shared" si="2"/>
        <v>190</v>
      </c>
      <c r="AA36" s="59">
        <v>45721</v>
      </c>
      <c r="AB36" t="str">
        <v>danram</v>
      </c>
      <c r="AC36" s="3">
        <v>2.6</v>
      </c>
      <c r="AD36" s="3">
        <v>1.3564659966250536</v>
      </c>
      <c r="AE36" t="str">
        <v>Lithium</v>
      </c>
      <c r="AF36" t="str">
        <v>Nirvana</v>
      </c>
      <c r="AG36" s="100">
        <f t="shared" si="1"/>
        <v>129</v>
      </c>
      <c r="AI36" s="114">
        <f>SotY_2025[[#This Row],[Max Seed]]/2 + 1</f>
        <v>33</v>
      </c>
      <c r="AJ36" s="105" t="str">
        <f ca="1">IF(SotY_2025[[#This Row],[Num]]&gt;=$A$1, "-", IF(SotY_2025[[#This Row],[Score 1]]&gt;=3, SotY_2025[[#This Row],[Song 2]], IF(SotY_2025[[#This Row],[Score 2]]&gt;=3, SotY_2025[[#This Row],[Song 1]], "TBD")))</f>
        <v>Tears On A Pretty Face</v>
      </c>
      <c r="AK36" s="115">
        <f ca="1">IFERROR(VLOOKUP(SotY_2025_Results[[#This Row],[Song Title]], $AE$2:$AG$200, 3, FALSE)-SotY_2025_Results[[#This Row],[Result]], "TBD")</f>
        <v>32</v>
      </c>
      <c r="AL36" s="112" t="str">
        <f ca="1">IF(SotY_2025_Results[[#This Row],[Diff]]&lt;0,"↓",IF(SotY_2025_Results[[#This Row],[Diff]]=0,"-","↑"))</f>
        <v>↑</v>
      </c>
    </row>
    <row r="37" spans="1:38">
      <c r="A37" s="197" t="str">
        <f>_xlfn.CONCAT("Seed ", SotY_2025[[#This Row],[Top Seed]], " vs ", SotY_2025[[#This Row],[Low Seed]])</f>
        <v>Seed 29 vs 36</v>
      </c>
      <c r="B37" s="115">
        <v>35</v>
      </c>
      <c r="C37" s="115">
        <f>FLOOR(LOG(SotY_2025[[#This Row],[Num]], 2), 1)</f>
        <v>5</v>
      </c>
      <c r="D37" s="115">
        <f>2^(SotY_2025[[#This Row],[Round]]+1)</f>
        <v>64</v>
      </c>
      <c r="E37" s="115">
        <f>SotY_2025[[#This Row],[Max Seed]]-SotY_2025[[#This Row],[Num]]</f>
        <v>29</v>
      </c>
      <c r="F37" s="115">
        <f>SotY_2025[[#This Row],[Max Seed]]-SotY_2025[[#This Row],[Top Seed]]+1</f>
        <v>36</v>
      </c>
      <c r="G37" s="115" t="b">
        <f>IF(SotY_2025[[#This Row],[Round]]=$C$1, TRUE(), IF(SotY_2025[[#This Row],[Round]]=$B$1, SotY_2025[[#This Row],[Top Seed]]&lt;=2*SotY_2025[[#This Row],[Max Seed]]-$A$1, FALSE()))</f>
        <v>0</v>
      </c>
      <c r="H37" s="115" t="b">
        <f>IF(SotY_2025[[#This Row],[Round]]=$C$1, TRUE(), IF(SotY_2025[[#This Row],[Round]]=$B$1, SotY_2025[[#This Row],[Low Seed]]&lt;=2*SotY_2025[[#This Row],[Max Seed]]-$A$1, FALSE()))</f>
        <v>0</v>
      </c>
      <c r="I37" s="187" t="s">
        <v>4191</v>
      </c>
      <c r="J37" s="188" t="s">
        <v>4191</v>
      </c>
      <c r="K37" s="189"/>
      <c r="L37" s="190"/>
      <c r="M37" s="191" t="s">
        <v>4191</v>
      </c>
      <c r="N3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Bottoms Up</v>
      </c>
      <c r="O37" s="105">
        <f>COUNTIF(SotY_2025[[#This Row],[J]:[H]],"x")</f>
        <v>3</v>
      </c>
      <c r="P37" s="115" t="str">
        <f ca="1">IF(SotY_2025[[#This Row],[Num]]&gt;=$A$1, "-", IF(SotY_2025[[#This Row],[Score 1]]&gt;=3, SotY_2025[[#This Row],[Song 1]], IF(SotY_2025[[#This Row],[Score 2]]&gt;=3, SotY_2025[[#This Row],[Song 2]], "TBD")))</f>
        <v>Bottoms Up</v>
      </c>
      <c r="Q37" s="193">
        <f>COUNTIF(SotY_2025[[#This Row],[H ]:[J ]],"x")</f>
        <v>2</v>
      </c>
      <c r="R37" s="193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1979</v>
      </c>
      <c r="S37" s="191"/>
      <c r="T37" s="190" t="s">
        <v>4191</v>
      </c>
      <c r="U37" s="189" t="s">
        <v>4191</v>
      </c>
      <c r="V37" s="188"/>
      <c r="W37" s="198"/>
      <c r="X3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37" s="109">
        <f t="shared" si="2"/>
        <v>41</v>
      </c>
      <c r="AA37" s="59">
        <v>45722</v>
      </c>
      <c r="AB37" t="str">
        <v>samuelbattista</v>
      </c>
      <c r="AC37" s="3">
        <v>2</v>
      </c>
      <c r="AD37" s="3">
        <v>0.63245553203367588</v>
      </c>
      <c r="AE37" t="str">
        <v>RADA RADA</v>
      </c>
      <c r="AF37" t="str">
        <v>Baby Kia</v>
      </c>
      <c r="AG37" s="100">
        <f t="shared" si="1"/>
        <v>33</v>
      </c>
      <c r="AI37" s="114">
        <f>SotY_2025[[#This Row],[Max Seed]]/2 + 1</f>
        <v>33</v>
      </c>
      <c r="AJ37" s="105">
        <f ca="1">IF(SotY_2025[[#This Row],[Num]]&gt;=$A$1, "-", IF(SotY_2025[[#This Row],[Score 1]]&gt;=3, SotY_2025[[#This Row],[Song 2]], IF(SotY_2025[[#This Row],[Score 2]]&gt;=3, SotY_2025[[#This Row],[Song 1]], "TBD")))</f>
        <v>1979</v>
      </c>
      <c r="AK37" s="115">
        <f ca="1">IFERROR(VLOOKUP(SotY_2025_Results[[#This Row],[Song Title]], $AE$2:$AG$200, 3, FALSE)-SotY_2025_Results[[#This Row],[Result]], "TBD")</f>
        <v>0</v>
      </c>
      <c r="AL37" s="112" t="str">
        <f ca="1">IF(SotY_2025_Results[[#This Row],[Diff]]&lt;0,"↓",IF(SotY_2025_Results[[#This Row],[Diff]]=0,"-","↑"))</f>
        <v>-</v>
      </c>
    </row>
    <row r="38" spans="1:38">
      <c r="A38" s="197" t="str">
        <f>_xlfn.CONCAT("Seed ", SotY_2025[[#This Row],[Top Seed]], " vs ", SotY_2025[[#This Row],[Low Seed]])</f>
        <v>Seed 28 vs 37</v>
      </c>
      <c r="B38" s="115">
        <v>36</v>
      </c>
      <c r="C38" s="115">
        <f>FLOOR(LOG(SotY_2025[[#This Row],[Num]], 2), 1)</f>
        <v>5</v>
      </c>
      <c r="D38" s="115">
        <f>2^(SotY_2025[[#This Row],[Round]]+1)</f>
        <v>64</v>
      </c>
      <c r="E38" s="115">
        <f>SotY_2025[[#This Row],[Max Seed]]-SotY_2025[[#This Row],[Num]]</f>
        <v>28</v>
      </c>
      <c r="F38" s="115">
        <f>SotY_2025[[#This Row],[Max Seed]]-SotY_2025[[#This Row],[Top Seed]]+1</f>
        <v>37</v>
      </c>
      <c r="G38" s="115" t="b">
        <f>IF(SotY_2025[[#This Row],[Round]]=$C$1, TRUE(), IF(SotY_2025[[#This Row],[Round]]=$B$1, SotY_2025[[#This Row],[Top Seed]]&lt;=2*SotY_2025[[#This Row],[Max Seed]]-$A$1, FALSE()))</f>
        <v>0</v>
      </c>
      <c r="H38" s="115" t="b">
        <f>IF(SotY_2025[[#This Row],[Round]]=$C$1, TRUE(), IF(SotY_2025[[#This Row],[Round]]=$B$1, SotY_2025[[#This Row],[Low Seed]]&lt;=2*SotY_2025[[#This Row],[Max Seed]]-$A$1, FALSE()))</f>
        <v>0</v>
      </c>
      <c r="I38" s="187" t="s">
        <v>4191</v>
      </c>
      <c r="J38" s="188"/>
      <c r="K38" s="189"/>
      <c r="L38" s="190" t="s">
        <v>4191</v>
      </c>
      <c r="M38" s="191" t="s">
        <v>4191</v>
      </c>
      <c r="N3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Down Bad</v>
      </c>
      <c r="O38" s="105">
        <f>COUNTIF(SotY_2025[[#This Row],[J]:[H]],"x")</f>
        <v>3</v>
      </c>
      <c r="P38" s="115" t="str">
        <f ca="1">IF(SotY_2025[[#This Row],[Num]]&gt;=$A$1, "-", IF(SotY_2025[[#This Row],[Score 1]]&gt;=3, SotY_2025[[#This Row],[Song 1]], IF(SotY_2025[[#This Row],[Score 2]]&gt;=3, SotY_2025[[#This Row],[Song 2]], "TBD")))</f>
        <v>Down Bad</v>
      </c>
      <c r="Q38" s="193">
        <f>COUNTIF(SotY_2025[[#This Row],[H ]:[J ]],"x")</f>
        <v>2</v>
      </c>
      <c r="R3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Headlines</v>
      </c>
      <c r="S38" s="191"/>
      <c r="T38" s="190"/>
      <c r="U38" s="189" t="s">
        <v>4191</v>
      </c>
      <c r="V38" s="188" t="s">
        <v>4191</v>
      </c>
      <c r="W38" s="198"/>
      <c r="X3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38" s="109">
        <f t="shared" si="2"/>
        <v>25</v>
      </c>
      <c r="AA38" s="59">
        <v>45726</v>
      </c>
      <c r="AB38" t="str">
        <v>alappatjoe</v>
      </c>
      <c r="AC38" s="3">
        <v>1.8</v>
      </c>
      <c r="AD38" s="3">
        <v>0.74833147735478833</v>
      </c>
      <c r="AE38" t="str">
        <v>トドメの一撃</v>
      </c>
      <c r="AF38" t="str">
        <v>Vaundy, Cory Wong</v>
      </c>
      <c r="AG38" s="100">
        <f t="shared" si="1"/>
        <v>17</v>
      </c>
      <c r="AI38" s="114">
        <f>SotY_2025[[#This Row],[Max Seed]]/2 + 1</f>
        <v>33</v>
      </c>
      <c r="AJ38" s="105" t="str">
        <f ca="1">IF(SotY_2025[[#This Row],[Num]]&gt;=$A$1, "-", IF(SotY_2025[[#This Row],[Score 1]]&gt;=3, SotY_2025[[#This Row],[Song 2]], IF(SotY_2025[[#This Row],[Score 2]]&gt;=3, SotY_2025[[#This Row],[Song 1]], "TBD")))</f>
        <v>Headlines</v>
      </c>
      <c r="AK38" s="115">
        <f ca="1">IFERROR(VLOOKUP(SotY_2025_Results[[#This Row],[Song Title]], $AE$2:$AG$200, 3, FALSE)-SotY_2025_Results[[#This Row],[Result]], "TBD")</f>
        <v>32</v>
      </c>
      <c r="AL38" s="112" t="str">
        <f ca="1">IF(SotY_2025_Results[[#This Row],[Diff]]&lt;0,"↓",IF(SotY_2025_Results[[#This Row],[Diff]]=0,"-","↑"))</f>
        <v>↑</v>
      </c>
    </row>
    <row r="39" spans="1:38">
      <c r="A39" s="197" t="str">
        <f>_xlfn.CONCAT("Seed ", SotY_2025[[#This Row],[Top Seed]], " vs ", SotY_2025[[#This Row],[Low Seed]])</f>
        <v>Seed 27 vs 38</v>
      </c>
      <c r="B39" s="115">
        <v>37</v>
      </c>
      <c r="C39" s="115">
        <f>FLOOR(LOG(SotY_2025[[#This Row],[Num]], 2), 1)</f>
        <v>5</v>
      </c>
      <c r="D39" s="115">
        <f>2^(SotY_2025[[#This Row],[Round]]+1)</f>
        <v>64</v>
      </c>
      <c r="E39" s="115">
        <f>SotY_2025[[#This Row],[Max Seed]]-SotY_2025[[#This Row],[Num]]</f>
        <v>27</v>
      </c>
      <c r="F39" s="115">
        <f>SotY_2025[[#This Row],[Max Seed]]-SotY_2025[[#This Row],[Top Seed]]+1</f>
        <v>38</v>
      </c>
      <c r="G39" s="115" t="b">
        <f>IF(SotY_2025[[#This Row],[Round]]=$C$1, TRUE(), IF(SotY_2025[[#This Row],[Round]]=$B$1, SotY_2025[[#This Row],[Top Seed]]&lt;=2*SotY_2025[[#This Row],[Max Seed]]-$A$1, FALSE()))</f>
        <v>0</v>
      </c>
      <c r="H39" s="115" t="b">
        <f>IF(SotY_2025[[#This Row],[Round]]=$C$1, TRUE(), IF(SotY_2025[[#This Row],[Round]]=$B$1, SotY_2025[[#This Row],[Low Seed]]&lt;=2*SotY_2025[[#This Row],[Max Seed]]-$A$1, FALSE()))</f>
        <v>0</v>
      </c>
      <c r="I39" s="187" t="s">
        <v>4191</v>
      </c>
      <c r="J39" s="188"/>
      <c r="K39" s="189"/>
      <c r="L39" s="190"/>
      <c r="M39" s="191"/>
      <c r="N3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Drip Too Hard</v>
      </c>
      <c r="O39" s="105">
        <f>COUNTIF(SotY_2025[[#This Row],[J]:[H]],"x")</f>
        <v>1</v>
      </c>
      <c r="P39" s="115" t="str">
        <f ca="1">IF(SotY_2025[[#This Row],[Num]]&gt;=$A$1, "-", IF(SotY_2025[[#This Row],[Score 1]]&gt;=3, SotY_2025[[#This Row],[Song 1]], IF(SotY_2025[[#This Row],[Score 2]]&gt;=3, SotY_2025[[#This Row],[Song 2]], "TBD")))</f>
        <v>Still into You</v>
      </c>
      <c r="Q39" s="193">
        <f>COUNTIF(SotY_2025[[#This Row],[H ]:[J ]],"x")</f>
        <v>4</v>
      </c>
      <c r="R3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Still into You</v>
      </c>
      <c r="S39" s="191" t="s">
        <v>4191</v>
      </c>
      <c r="T39" s="190" t="s">
        <v>4191</v>
      </c>
      <c r="U39" s="189" t="s">
        <v>4191</v>
      </c>
      <c r="V39" s="188" t="s">
        <v>4191</v>
      </c>
      <c r="W39" s="198"/>
      <c r="X3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39" s="109">
        <f t="shared" si="2"/>
        <v>129</v>
      </c>
      <c r="AA39" s="59">
        <v>45727</v>
      </c>
      <c r="AB39" t="str">
        <v>currydestroyer27</v>
      </c>
      <c r="AC39" s="3">
        <v>2.4</v>
      </c>
      <c r="AD39" s="3">
        <v>0.8</v>
      </c>
      <c r="AE39" t="str">
        <v>Sun</v>
      </c>
      <c r="AF39" t="str">
        <v>Derik Fein</v>
      </c>
      <c r="AG39" s="100">
        <f t="shared" si="1"/>
        <v>129</v>
      </c>
      <c r="AI39" s="114">
        <f>SotY_2025[[#This Row],[Max Seed]]/2 + 1</f>
        <v>33</v>
      </c>
      <c r="AJ39" s="105" t="str">
        <f ca="1">IF(SotY_2025[[#This Row],[Num]]&gt;=$A$1, "-", IF(SotY_2025[[#This Row],[Score 1]]&gt;=3, SotY_2025[[#This Row],[Song 2]], IF(SotY_2025[[#This Row],[Score 2]]&gt;=3, SotY_2025[[#This Row],[Song 1]], "TBD")))</f>
        <v>Drip Too Hard</v>
      </c>
      <c r="AK39" s="115">
        <f ca="1">IFERROR(VLOOKUP(SotY_2025_Results[[#This Row],[Song Title]], $AE$2:$AG$200, 3, FALSE)-SotY_2025_Results[[#This Row],[Result]], "TBD")</f>
        <v>32</v>
      </c>
      <c r="AL39" s="112" t="str">
        <f ca="1">IF(SotY_2025_Results[[#This Row],[Diff]]&lt;0,"↓",IF(SotY_2025_Results[[#This Row],[Diff]]=0,"-","↑"))</f>
        <v>↑</v>
      </c>
    </row>
    <row r="40" spans="1:38">
      <c r="A40" s="197" t="str">
        <f>_xlfn.CONCAT("Seed ", SotY_2025[[#This Row],[Top Seed]], " vs ", SotY_2025[[#This Row],[Low Seed]])</f>
        <v>Seed 26 vs 39</v>
      </c>
      <c r="B40" s="115">
        <v>38</v>
      </c>
      <c r="C40" s="115">
        <f>FLOOR(LOG(SotY_2025[[#This Row],[Num]], 2), 1)</f>
        <v>5</v>
      </c>
      <c r="D40" s="115">
        <f>2^(SotY_2025[[#This Row],[Round]]+1)</f>
        <v>64</v>
      </c>
      <c r="E40" s="115">
        <f>SotY_2025[[#This Row],[Max Seed]]-SotY_2025[[#This Row],[Num]]</f>
        <v>26</v>
      </c>
      <c r="F40" s="115">
        <f>SotY_2025[[#This Row],[Max Seed]]-SotY_2025[[#This Row],[Top Seed]]+1</f>
        <v>39</v>
      </c>
      <c r="G40" s="115" t="b">
        <f>IF(SotY_2025[[#This Row],[Round]]=$C$1, TRUE(), IF(SotY_2025[[#This Row],[Round]]=$B$1, SotY_2025[[#This Row],[Top Seed]]&lt;=2*SotY_2025[[#This Row],[Max Seed]]-$A$1, FALSE()))</f>
        <v>0</v>
      </c>
      <c r="H40" s="115" t="b">
        <f>IF(SotY_2025[[#This Row],[Round]]=$C$1, TRUE(), IF(SotY_2025[[#This Row],[Round]]=$B$1, SotY_2025[[#This Row],[Low Seed]]&lt;=2*SotY_2025[[#This Row],[Max Seed]]-$A$1, FALSE()))</f>
        <v>0</v>
      </c>
      <c r="I40" s="187"/>
      <c r="J40" s="188"/>
      <c r="K40" s="189" t="s">
        <v>4191</v>
      </c>
      <c r="L40" s="190"/>
      <c r="M40" s="191" t="s">
        <v>4191</v>
      </c>
      <c r="N4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Temptation</v>
      </c>
      <c r="O40" s="105">
        <f>COUNTIF(SotY_2025[[#This Row],[J]:[H]],"x")</f>
        <v>2</v>
      </c>
      <c r="P40" s="115" t="str">
        <f ca="1">IF(SotY_2025[[#This Row],[Num]]&gt;=$A$1, "-", IF(SotY_2025[[#This Row],[Score 1]]&gt;=3, SotY_2025[[#This Row],[Song 1]], IF(SotY_2025[[#This Row],[Score 2]]&gt;=3, SotY_2025[[#This Row],[Song 2]], "TBD")))</f>
        <v>Ensalada</v>
      </c>
      <c r="Q40" s="193">
        <f>COUNTIF(SotY_2025[[#This Row],[H ]:[J ]],"x")</f>
        <v>3</v>
      </c>
      <c r="R4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Ensalada</v>
      </c>
      <c r="S40" s="191"/>
      <c r="T40" s="190" t="s">
        <v>4191</v>
      </c>
      <c r="U40" s="189"/>
      <c r="V40" s="188" t="s">
        <v>4191</v>
      </c>
      <c r="W40" s="198" t="s">
        <v>4191</v>
      </c>
      <c r="X4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40" s="109">
        <f t="shared" si="2"/>
        <v>102</v>
      </c>
      <c r="AA40" s="59">
        <v>45728</v>
      </c>
      <c r="AB40" t="str">
        <v>alappatjoe</v>
      </c>
      <c r="AC40" s="3">
        <v>2.2000000000000002</v>
      </c>
      <c r="AD40" s="3">
        <v>0.9797958971132712</v>
      </c>
      <c r="AE40" t="str">
        <v>Drip Too Hard</v>
      </c>
      <c r="AF40" t="str">
        <v>Lil Baby, Gunna</v>
      </c>
      <c r="AG40" s="100">
        <f t="shared" si="1"/>
        <v>65</v>
      </c>
      <c r="AI40" s="114">
        <f>SotY_2025[[#This Row],[Max Seed]]/2 + 1</f>
        <v>33</v>
      </c>
      <c r="AJ40" s="105" t="str">
        <f ca="1">IF(SotY_2025[[#This Row],[Num]]&gt;=$A$1, "-", IF(SotY_2025[[#This Row],[Score 1]]&gt;=3, SotY_2025[[#This Row],[Song 2]], IF(SotY_2025[[#This Row],[Score 2]]&gt;=3, SotY_2025[[#This Row],[Song 1]], "TBD")))</f>
        <v>Temptation</v>
      </c>
      <c r="AK40" s="115">
        <f ca="1">IFERROR(VLOOKUP(SotY_2025_Results[[#This Row],[Song Title]], $AE$2:$AG$200, 3, FALSE)-SotY_2025_Results[[#This Row],[Result]], "TBD")</f>
        <v>-16</v>
      </c>
      <c r="AL40" s="112" t="str">
        <f ca="1">IF(SotY_2025_Results[[#This Row],[Diff]]&lt;0,"↓",IF(SotY_2025_Results[[#This Row],[Diff]]=0,"-","↑"))</f>
        <v>↓</v>
      </c>
    </row>
    <row r="41" spans="1:38">
      <c r="A41" s="197" t="str">
        <f>_xlfn.CONCAT("Seed ", SotY_2025[[#This Row],[Top Seed]], " vs ", SotY_2025[[#This Row],[Low Seed]])</f>
        <v>Seed 25 vs 40</v>
      </c>
      <c r="B41" s="115">
        <v>39</v>
      </c>
      <c r="C41" s="115">
        <f>FLOOR(LOG(SotY_2025[[#This Row],[Num]], 2), 1)</f>
        <v>5</v>
      </c>
      <c r="D41" s="115">
        <f>2^(SotY_2025[[#This Row],[Round]]+1)</f>
        <v>64</v>
      </c>
      <c r="E41" s="115">
        <f>SotY_2025[[#This Row],[Max Seed]]-SotY_2025[[#This Row],[Num]]</f>
        <v>25</v>
      </c>
      <c r="F41" s="115">
        <f>SotY_2025[[#This Row],[Max Seed]]-SotY_2025[[#This Row],[Top Seed]]+1</f>
        <v>40</v>
      </c>
      <c r="G41" s="115" t="b">
        <f>IF(SotY_2025[[#This Row],[Round]]=$C$1, TRUE(), IF(SotY_2025[[#This Row],[Round]]=$B$1, SotY_2025[[#This Row],[Top Seed]]&lt;=2*SotY_2025[[#This Row],[Max Seed]]-$A$1, FALSE()))</f>
        <v>0</v>
      </c>
      <c r="H41" s="115" t="b">
        <f>IF(SotY_2025[[#This Row],[Round]]=$C$1, TRUE(), IF(SotY_2025[[#This Row],[Round]]=$B$1, SotY_2025[[#This Row],[Low Seed]]&lt;=2*SotY_2025[[#This Row],[Max Seed]]-$A$1, FALSE()))</f>
        <v>0</v>
      </c>
      <c r="I41" s="187"/>
      <c r="J41" s="188" t="s">
        <v>4191</v>
      </c>
      <c r="K41" s="189" t="s">
        <v>4191</v>
      </c>
      <c r="L41" s="190"/>
      <c r="M41" s="191"/>
      <c r="N4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Yo No Soy Celoso</v>
      </c>
      <c r="O41" s="105">
        <f>COUNTIF(SotY_2025[[#This Row],[J]:[H]],"x")</f>
        <v>2</v>
      </c>
      <c r="P41" s="115" t="str">
        <f ca="1">IF(SotY_2025[[#This Row],[Num]]&gt;=$A$1, "-", IF(SotY_2025[[#This Row],[Score 1]]&gt;=3, SotY_2025[[#This Row],[Song 1]], IF(SotY_2025[[#This Row],[Score 2]]&gt;=3, SotY_2025[[#This Row],[Song 2]], "TBD")))</f>
        <v>Take Me Out</v>
      </c>
      <c r="Q41" s="193">
        <f>COUNTIF(SotY_2025[[#This Row],[H ]:[J ]],"x")</f>
        <v>3</v>
      </c>
      <c r="R4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Take Me Out</v>
      </c>
      <c r="S41" s="191" t="s">
        <v>4191</v>
      </c>
      <c r="T41" s="190" t="s">
        <v>4191</v>
      </c>
      <c r="U41" s="189"/>
      <c r="V41" s="188"/>
      <c r="W41" s="198" t="s">
        <v>4191</v>
      </c>
      <c r="X4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41" s="109">
        <f t="shared" si="2"/>
        <v>83</v>
      </c>
      <c r="AA41" s="59">
        <v>45729</v>
      </c>
      <c r="AB41" t="str">
        <v>danram</v>
      </c>
      <c r="AC41" s="3">
        <v>2.2000000000000002</v>
      </c>
      <c r="AD41" s="3">
        <v>0.74833147735478833</v>
      </c>
      <c r="AE41" t="str">
        <v>Danza Kuduro</v>
      </c>
      <c r="AF41" t="str">
        <v>Don Omar, Lucenzo</v>
      </c>
      <c r="AG41" s="100">
        <f t="shared" si="1"/>
        <v>65</v>
      </c>
      <c r="AI41" s="114">
        <f>SotY_2025[[#This Row],[Max Seed]]/2 + 1</f>
        <v>33</v>
      </c>
      <c r="AJ41" s="105" t="str">
        <f ca="1">IF(SotY_2025[[#This Row],[Num]]&gt;=$A$1, "-", IF(SotY_2025[[#This Row],[Score 1]]&gt;=3, SotY_2025[[#This Row],[Song 2]], IF(SotY_2025[[#This Row],[Score 2]]&gt;=3, SotY_2025[[#This Row],[Song 1]], "TBD")))</f>
        <v>Yo No Soy Celoso</v>
      </c>
      <c r="AK41" s="115">
        <f ca="1">IFERROR(VLOOKUP(SotY_2025_Results[[#This Row],[Song Title]], $AE$2:$AG$200, 3, FALSE)-SotY_2025_Results[[#This Row],[Result]], "TBD")</f>
        <v>32</v>
      </c>
      <c r="AL41" s="112" t="str">
        <f ca="1">IF(SotY_2025_Results[[#This Row],[Diff]]&lt;0,"↓",IF(SotY_2025_Results[[#This Row],[Diff]]=0,"-","↑"))</f>
        <v>↑</v>
      </c>
    </row>
    <row r="42" spans="1:38">
      <c r="A42" s="197" t="str">
        <f>_xlfn.CONCAT("Seed ", SotY_2025[[#This Row],[Top Seed]], " vs ", SotY_2025[[#This Row],[Low Seed]])</f>
        <v>Seed 24 vs 41</v>
      </c>
      <c r="B42" s="115">
        <v>40</v>
      </c>
      <c r="C42" s="115">
        <f>FLOOR(LOG(SotY_2025[[#This Row],[Num]], 2), 1)</f>
        <v>5</v>
      </c>
      <c r="D42" s="115">
        <f>2^(SotY_2025[[#This Row],[Round]]+1)</f>
        <v>64</v>
      </c>
      <c r="E42" s="115">
        <f>SotY_2025[[#This Row],[Max Seed]]-SotY_2025[[#This Row],[Num]]</f>
        <v>24</v>
      </c>
      <c r="F42" s="115">
        <f>SotY_2025[[#This Row],[Max Seed]]-SotY_2025[[#This Row],[Top Seed]]+1</f>
        <v>41</v>
      </c>
      <c r="G42" s="115" t="b">
        <f>IF(SotY_2025[[#This Row],[Round]]=$C$1, TRUE(), IF(SotY_2025[[#This Row],[Round]]=$B$1, SotY_2025[[#This Row],[Top Seed]]&lt;=2*SotY_2025[[#This Row],[Max Seed]]-$A$1, FALSE()))</f>
        <v>0</v>
      </c>
      <c r="H42" s="115" t="b">
        <f>IF(SotY_2025[[#This Row],[Round]]=$C$1, TRUE(), IF(SotY_2025[[#This Row],[Round]]=$B$1, SotY_2025[[#This Row],[Low Seed]]&lt;=2*SotY_2025[[#This Row],[Max Seed]]-$A$1, FALSE()))</f>
        <v>0</v>
      </c>
      <c r="I42" s="187" t="s">
        <v>4191</v>
      </c>
      <c r="J42" s="188" t="s">
        <v>4191</v>
      </c>
      <c r="K42" s="189"/>
      <c r="L42" s="190"/>
      <c r="M42" s="191" t="s">
        <v>4191</v>
      </c>
      <c r="N4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CHAINSAW BLOOD</v>
      </c>
      <c r="O42" s="105">
        <f>COUNTIF(SotY_2025[[#This Row],[J]:[H]],"x")</f>
        <v>3</v>
      </c>
      <c r="P42" s="115" t="str">
        <f ca="1">IF(SotY_2025[[#This Row],[Num]]&gt;=$A$1, "-", IF(SotY_2025[[#This Row],[Score 1]]&gt;=3, SotY_2025[[#This Row],[Song 1]], IF(SotY_2025[[#This Row],[Score 2]]&gt;=3, SotY_2025[[#This Row],[Song 2]], "TBD")))</f>
        <v>CHAINSAW BLOOD</v>
      </c>
      <c r="Q42" s="193">
        <f>COUNTIF(SotY_2025[[#This Row],[H ]:[J ]],"x")</f>
        <v>2</v>
      </c>
      <c r="R4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Whateverrrr</v>
      </c>
      <c r="S42" s="191"/>
      <c r="T42" s="190" t="s">
        <v>4191</v>
      </c>
      <c r="U42" s="189" t="s">
        <v>4191</v>
      </c>
      <c r="V42" s="188"/>
      <c r="W42" s="198"/>
      <c r="X4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42" s="109">
        <f t="shared" si="2"/>
        <v>50</v>
      </c>
      <c r="AA42" s="59">
        <v>45733</v>
      </c>
      <c r="AB42" t="str">
        <v>danram</v>
      </c>
      <c r="AC42" s="3">
        <v>2</v>
      </c>
      <c r="AD42" s="3">
        <v>0.89442719099991586</v>
      </c>
      <c r="AE42" t="str">
        <v>Dead!</v>
      </c>
      <c r="AF42" t="str">
        <v>My Chemical Romance</v>
      </c>
      <c r="AG42" s="100">
        <f t="shared" si="1"/>
        <v>33</v>
      </c>
      <c r="AI42" s="114">
        <f>SotY_2025[[#This Row],[Max Seed]]/2 + 1</f>
        <v>33</v>
      </c>
      <c r="AJ42" s="105" t="str">
        <f ca="1">IF(SotY_2025[[#This Row],[Num]]&gt;=$A$1, "-", IF(SotY_2025[[#This Row],[Score 1]]&gt;=3, SotY_2025[[#This Row],[Song 2]], IF(SotY_2025[[#This Row],[Score 2]]&gt;=3, SotY_2025[[#This Row],[Song 1]], "TBD")))</f>
        <v>Whateverrrr</v>
      </c>
      <c r="AK42" s="115">
        <f ca="1">IFERROR(VLOOKUP(SotY_2025_Results[[#This Row],[Song Title]], $AE$2:$AG$200, 3, FALSE)-SotY_2025_Results[[#This Row],[Result]], "TBD")</f>
        <v>32</v>
      </c>
      <c r="AL42" s="112" t="str">
        <f ca="1">IF(SotY_2025_Results[[#This Row],[Diff]]&lt;0,"↓",IF(SotY_2025_Results[[#This Row],[Diff]]=0,"-","↑"))</f>
        <v>↑</v>
      </c>
    </row>
    <row r="43" spans="1:38">
      <c r="A43" s="197" t="str">
        <f>_xlfn.CONCAT("Seed ", SotY_2025[[#This Row],[Top Seed]], " vs ", SotY_2025[[#This Row],[Low Seed]])</f>
        <v>Seed 23 vs 42</v>
      </c>
      <c r="B43" s="115">
        <v>41</v>
      </c>
      <c r="C43" s="115">
        <f>FLOOR(LOG(SotY_2025[[#This Row],[Num]], 2), 1)</f>
        <v>5</v>
      </c>
      <c r="D43" s="115">
        <f>2^(SotY_2025[[#This Row],[Round]]+1)</f>
        <v>64</v>
      </c>
      <c r="E43" s="115">
        <f>SotY_2025[[#This Row],[Max Seed]]-SotY_2025[[#This Row],[Num]]</f>
        <v>23</v>
      </c>
      <c r="F43" s="115">
        <f>SotY_2025[[#This Row],[Max Seed]]-SotY_2025[[#This Row],[Top Seed]]+1</f>
        <v>42</v>
      </c>
      <c r="G43" s="115" t="b">
        <f>IF(SotY_2025[[#This Row],[Round]]=$C$1, TRUE(), IF(SotY_2025[[#This Row],[Round]]=$B$1, SotY_2025[[#This Row],[Top Seed]]&lt;=2*SotY_2025[[#This Row],[Max Seed]]-$A$1, FALSE()))</f>
        <v>0</v>
      </c>
      <c r="H43" s="115" t="b">
        <f>IF(SotY_2025[[#This Row],[Round]]=$C$1, TRUE(), IF(SotY_2025[[#This Row],[Round]]=$B$1, SotY_2025[[#This Row],[Low Seed]]&lt;=2*SotY_2025[[#This Row],[Max Seed]]-$A$1, FALSE()))</f>
        <v>0</v>
      </c>
      <c r="I43" s="187"/>
      <c r="J43" s="188"/>
      <c r="K43" s="189" t="s">
        <v>4191</v>
      </c>
      <c r="L43" s="190"/>
      <c r="M43" s="191"/>
      <c r="N4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Clarity</v>
      </c>
      <c r="O43" s="105">
        <f>COUNTIF(SotY_2025[[#This Row],[J]:[H]],"x")</f>
        <v>1</v>
      </c>
      <c r="P43" s="115" t="str">
        <f ca="1">IF(SotY_2025[[#This Row],[Num]]&gt;=$A$1, "-", IF(SotY_2025[[#This Row],[Score 1]]&gt;=3, SotY_2025[[#This Row],[Song 1]], IF(SotY_2025[[#This Row],[Score 2]]&gt;=3, SotY_2025[[#This Row],[Song 2]], "TBD")))</f>
        <v>Airplanes</v>
      </c>
      <c r="Q43" s="193">
        <f>COUNTIF(SotY_2025[[#This Row],[H ]:[J ]],"x")</f>
        <v>4</v>
      </c>
      <c r="R4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Airplanes</v>
      </c>
      <c r="S43" s="191" t="s">
        <v>4191</v>
      </c>
      <c r="T43" s="190" t="s">
        <v>4191</v>
      </c>
      <c r="U43" s="189"/>
      <c r="V43" s="188" t="s">
        <v>4191</v>
      </c>
      <c r="W43" s="198" t="s">
        <v>4191</v>
      </c>
      <c r="X4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43" s="109">
        <f t="shared" si="2"/>
        <v>142</v>
      </c>
      <c r="AA43" s="59">
        <v>45734</v>
      </c>
      <c r="AB43" t="str">
        <v>currydestroyer27</v>
      </c>
      <c r="AC43" s="3">
        <v>2.4</v>
      </c>
      <c r="AD43" s="3">
        <v>1.019803902718557</v>
      </c>
      <c r="AE43" t="str">
        <v>Fire in the belly</v>
      </c>
      <c r="AF43" t="str">
        <v>LE SSERAFIM</v>
      </c>
      <c r="AG43" s="100">
        <f t="shared" si="1"/>
        <v>129</v>
      </c>
      <c r="AI43" s="114">
        <f>SotY_2025[[#This Row],[Max Seed]]/2 + 1</f>
        <v>33</v>
      </c>
      <c r="AJ43" s="105" t="str">
        <f ca="1">IF(SotY_2025[[#This Row],[Num]]&gt;=$A$1, "-", IF(SotY_2025[[#This Row],[Score 1]]&gt;=3, SotY_2025[[#This Row],[Song 2]], IF(SotY_2025[[#This Row],[Score 2]]&gt;=3, SotY_2025[[#This Row],[Song 1]], "TBD")))</f>
        <v>Clarity</v>
      </c>
      <c r="AK43" s="115">
        <f ca="1">IFERROR(VLOOKUP(SotY_2025_Results[[#This Row],[Song Title]], $AE$2:$AG$200, 3, FALSE)-SotY_2025_Results[[#This Row],[Result]], "TBD")</f>
        <v>32</v>
      </c>
      <c r="AL43" s="112" t="str">
        <f ca="1">IF(SotY_2025_Results[[#This Row],[Diff]]&lt;0,"↓",IF(SotY_2025_Results[[#This Row],[Diff]]=0,"-","↑"))</f>
        <v>↑</v>
      </c>
    </row>
    <row r="44" spans="1:38">
      <c r="A44" s="197" t="str">
        <f>_xlfn.CONCAT("Seed ", SotY_2025[[#This Row],[Top Seed]], " vs ", SotY_2025[[#This Row],[Low Seed]])</f>
        <v>Seed 22 vs 43</v>
      </c>
      <c r="B44" s="115">
        <v>42</v>
      </c>
      <c r="C44" s="115">
        <f>FLOOR(LOG(SotY_2025[[#This Row],[Num]], 2), 1)</f>
        <v>5</v>
      </c>
      <c r="D44" s="115">
        <f>2^(SotY_2025[[#This Row],[Round]]+1)</f>
        <v>64</v>
      </c>
      <c r="E44" s="115">
        <f>SotY_2025[[#This Row],[Max Seed]]-SotY_2025[[#This Row],[Num]]</f>
        <v>22</v>
      </c>
      <c r="F44" s="115">
        <f>SotY_2025[[#This Row],[Max Seed]]-SotY_2025[[#This Row],[Top Seed]]+1</f>
        <v>43</v>
      </c>
      <c r="G44" s="115" t="b">
        <f>IF(SotY_2025[[#This Row],[Round]]=$C$1, TRUE(), IF(SotY_2025[[#This Row],[Round]]=$B$1, SotY_2025[[#This Row],[Top Seed]]&lt;=2*SotY_2025[[#This Row],[Max Seed]]-$A$1, FALSE()))</f>
        <v>0</v>
      </c>
      <c r="H44" s="115" t="b">
        <f>IF(SotY_2025[[#This Row],[Round]]=$C$1, TRUE(), IF(SotY_2025[[#This Row],[Round]]=$B$1, SotY_2025[[#This Row],[Low Seed]]&lt;=2*SotY_2025[[#This Row],[Max Seed]]-$A$1, FALSE()))</f>
        <v>0</v>
      </c>
      <c r="I44" s="187"/>
      <c r="J44" s="188"/>
      <c r="K44" s="189"/>
      <c r="L44" s="190"/>
      <c r="M44" s="191"/>
      <c r="N4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Friday I'm in Love</v>
      </c>
      <c r="O44" s="105">
        <f>COUNTIF(SotY_2025[[#This Row],[J]:[H]],"x")</f>
        <v>0</v>
      </c>
      <c r="P44" s="115" t="str">
        <f ca="1">IF(SotY_2025[[#This Row],[Num]]&gt;=$A$1, "-", IF(SotY_2025[[#This Row],[Score 1]]&gt;=3, SotY_2025[[#This Row],[Song 1]], IF(SotY_2025[[#This Row],[Score 2]]&gt;=3, SotY_2025[[#This Row],[Song 2]], "TBD")))</f>
        <v>SEE U DANCE</v>
      </c>
      <c r="Q44" s="193">
        <f>COUNTIF(SotY_2025[[#This Row],[H ]:[J ]],"x")</f>
        <v>5</v>
      </c>
      <c r="R4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SEE U DANCE</v>
      </c>
      <c r="S44" s="191" t="s">
        <v>4191</v>
      </c>
      <c r="T44" s="190" t="s">
        <v>4191</v>
      </c>
      <c r="U44" s="189" t="s">
        <v>4191</v>
      </c>
      <c r="V44" s="188" t="s">
        <v>4191</v>
      </c>
      <c r="W44" s="198" t="s">
        <v>4191</v>
      </c>
      <c r="X4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44" s="109">
        <f t="shared" si="2"/>
        <v>84</v>
      </c>
      <c r="AA44" s="59">
        <v>45735</v>
      </c>
      <c r="AB44" t="str">
        <v>currydestroyer27</v>
      </c>
      <c r="AC44" s="3">
        <v>2.2000000000000002</v>
      </c>
      <c r="AD44" s="3">
        <v>0.74833147735478833</v>
      </c>
      <c r="AE44" t="str">
        <v xml:space="preserve">where's the confetti </v>
      </c>
      <c r="AF44" t="str">
        <v>jev.</v>
      </c>
      <c r="AG44" s="100">
        <f t="shared" si="1"/>
        <v>65</v>
      </c>
      <c r="AI44" s="114">
        <f>SotY_2025[[#This Row],[Max Seed]]/2 + 1</f>
        <v>33</v>
      </c>
      <c r="AJ44" s="105" t="str">
        <f ca="1">IF(SotY_2025[[#This Row],[Num]]&gt;=$A$1, "-", IF(SotY_2025[[#This Row],[Score 1]]&gt;=3, SotY_2025[[#This Row],[Song 2]], IF(SotY_2025[[#This Row],[Score 2]]&gt;=3, SotY_2025[[#This Row],[Song 1]], "TBD")))</f>
        <v>Friday I'm in Love</v>
      </c>
      <c r="AK44" s="115">
        <f ca="1">IFERROR(VLOOKUP(SotY_2025_Results[[#This Row],[Song Title]], $AE$2:$AG$200, 3, FALSE)-SotY_2025_Results[[#This Row],[Result]], "TBD")</f>
        <v>32</v>
      </c>
      <c r="AL44" s="112" t="str">
        <f ca="1">IF(SotY_2025_Results[[#This Row],[Diff]]&lt;0,"↓",IF(SotY_2025_Results[[#This Row],[Diff]]=0,"-","↑"))</f>
        <v>↑</v>
      </c>
    </row>
    <row r="45" spans="1:38">
      <c r="A45" s="197" t="str">
        <f>_xlfn.CONCAT("Seed ", SotY_2025[[#This Row],[Top Seed]], " vs ", SotY_2025[[#This Row],[Low Seed]])</f>
        <v>Seed 21 vs 44</v>
      </c>
      <c r="B45" s="115">
        <v>43</v>
      </c>
      <c r="C45" s="115">
        <f>FLOOR(LOG(SotY_2025[[#This Row],[Num]], 2), 1)</f>
        <v>5</v>
      </c>
      <c r="D45" s="115">
        <f>2^(SotY_2025[[#This Row],[Round]]+1)</f>
        <v>64</v>
      </c>
      <c r="E45" s="115">
        <f>SotY_2025[[#This Row],[Max Seed]]-SotY_2025[[#This Row],[Num]]</f>
        <v>21</v>
      </c>
      <c r="F45" s="115">
        <f>SotY_2025[[#This Row],[Max Seed]]-SotY_2025[[#This Row],[Top Seed]]+1</f>
        <v>44</v>
      </c>
      <c r="G45" s="115" t="b">
        <f>IF(SotY_2025[[#This Row],[Round]]=$C$1, TRUE(), IF(SotY_2025[[#This Row],[Round]]=$B$1, SotY_2025[[#This Row],[Top Seed]]&lt;=2*SotY_2025[[#This Row],[Max Seed]]-$A$1, FALSE()))</f>
        <v>0</v>
      </c>
      <c r="H45" s="115" t="b">
        <f>IF(SotY_2025[[#This Row],[Round]]=$C$1, TRUE(), IF(SotY_2025[[#This Row],[Round]]=$B$1, SotY_2025[[#This Row],[Low Seed]]&lt;=2*SotY_2025[[#This Row],[Max Seed]]-$A$1, FALSE()))</f>
        <v>0</v>
      </c>
      <c r="I45" s="187" t="s">
        <v>4191</v>
      </c>
      <c r="J45" s="188" t="s">
        <v>4191</v>
      </c>
      <c r="K45" s="189"/>
      <c r="L45" s="190" t="s">
        <v>4191</v>
      </c>
      <c r="M45" s="191"/>
      <c r="N4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All Night Long</v>
      </c>
      <c r="O45" s="105">
        <f>COUNTIF(SotY_2025[[#This Row],[J]:[H]],"x")</f>
        <v>3</v>
      </c>
      <c r="P45" s="115" t="str">
        <f ca="1">IF(SotY_2025[[#This Row],[Num]]&gt;=$A$1, "-", IF(SotY_2025[[#This Row],[Score 1]]&gt;=3, SotY_2025[[#This Row],[Song 1]], IF(SotY_2025[[#This Row],[Score 2]]&gt;=3, SotY_2025[[#This Row],[Song 2]], "TBD")))</f>
        <v>All Night Long</v>
      </c>
      <c r="Q45" s="193">
        <f>COUNTIF(SotY_2025[[#This Row],[H ]:[J ]],"x")</f>
        <v>2</v>
      </c>
      <c r="R4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Flyers</v>
      </c>
      <c r="S45" s="191" t="s">
        <v>4191</v>
      </c>
      <c r="T45" s="190"/>
      <c r="U45" s="189" t="s">
        <v>4191</v>
      </c>
      <c r="V45" s="188"/>
      <c r="W45" s="198"/>
      <c r="X4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45" s="109">
        <f t="shared" si="2"/>
        <v>42</v>
      </c>
      <c r="AA45" s="59">
        <v>45736</v>
      </c>
      <c r="AB45" t="str">
        <v>currydestroyer27</v>
      </c>
      <c r="AC45" s="3">
        <v>2</v>
      </c>
      <c r="AD45" s="3">
        <v>0.63245553203367588</v>
      </c>
      <c r="AE45" t="str">
        <v>Airplanes</v>
      </c>
      <c r="AF45" t="str">
        <v>B.o.B, Hayley Williams</v>
      </c>
      <c r="AG45" s="100">
        <f t="shared" si="1"/>
        <v>33</v>
      </c>
      <c r="AI45" s="114">
        <f>SotY_2025[[#This Row],[Max Seed]]/2 + 1</f>
        <v>33</v>
      </c>
      <c r="AJ45" s="105" t="str">
        <f ca="1">IF(SotY_2025[[#This Row],[Num]]&gt;=$A$1, "-", IF(SotY_2025[[#This Row],[Score 1]]&gt;=3, SotY_2025[[#This Row],[Song 2]], IF(SotY_2025[[#This Row],[Score 2]]&gt;=3, SotY_2025[[#This Row],[Song 1]], "TBD")))</f>
        <v>Flyers</v>
      </c>
      <c r="AK45" s="115">
        <f ca="1">IFERROR(VLOOKUP(SotY_2025_Results[[#This Row],[Song Title]], $AE$2:$AG$200, 3, FALSE)-SotY_2025_Results[[#This Row],[Result]], "TBD")</f>
        <v>96</v>
      </c>
      <c r="AL45" s="112" t="str">
        <f ca="1">IF(SotY_2025_Results[[#This Row],[Diff]]&lt;0,"↓",IF(SotY_2025_Results[[#This Row],[Diff]]=0,"-","↑"))</f>
        <v>↑</v>
      </c>
    </row>
    <row r="46" spans="1:38">
      <c r="A46" s="197" t="str">
        <f>_xlfn.CONCAT("Seed ", SotY_2025[[#This Row],[Top Seed]], " vs ", SotY_2025[[#This Row],[Low Seed]])</f>
        <v>Seed 20 vs 45</v>
      </c>
      <c r="B46" s="115">
        <v>44</v>
      </c>
      <c r="C46" s="115">
        <f>FLOOR(LOG(SotY_2025[[#This Row],[Num]], 2), 1)</f>
        <v>5</v>
      </c>
      <c r="D46" s="115">
        <f>2^(SotY_2025[[#This Row],[Round]]+1)</f>
        <v>64</v>
      </c>
      <c r="E46" s="115">
        <f>SotY_2025[[#This Row],[Max Seed]]-SotY_2025[[#This Row],[Num]]</f>
        <v>20</v>
      </c>
      <c r="F46" s="115">
        <f>SotY_2025[[#This Row],[Max Seed]]-SotY_2025[[#This Row],[Top Seed]]+1</f>
        <v>45</v>
      </c>
      <c r="G46" s="115" t="b">
        <f>IF(SotY_2025[[#This Row],[Round]]=$C$1, TRUE(), IF(SotY_2025[[#This Row],[Round]]=$B$1, SotY_2025[[#This Row],[Top Seed]]&lt;=2*SotY_2025[[#This Row],[Max Seed]]-$A$1, FALSE()))</f>
        <v>0</v>
      </c>
      <c r="H46" s="115" t="b">
        <f>IF(SotY_2025[[#This Row],[Round]]=$C$1, TRUE(), IF(SotY_2025[[#This Row],[Round]]=$B$1, SotY_2025[[#This Row],[Low Seed]]&lt;=2*SotY_2025[[#This Row],[Max Seed]]-$A$1, FALSE()))</f>
        <v>0</v>
      </c>
      <c r="I46" s="187"/>
      <c r="J46" s="188"/>
      <c r="K46" s="189" t="s">
        <v>4191</v>
      </c>
      <c r="L46" s="190"/>
      <c r="M46" s="191"/>
      <c r="N4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Maps</v>
      </c>
      <c r="O46" s="105">
        <f>COUNTIF(SotY_2025[[#This Row],[J]:[H]],"x")</f>
        <v>1</v>
      </c>
      <c r="P46" s="115" t="str">
        <f ca="1">IF(SotY_2025[[#This Row],[Num]]&gt;=$A$1, "-", IF(SotY_2025[[#This Row],[Score 1]]&gt;=3, SotY_2025[[#This Row],[Song 1]], IF(SotY_2025[[#This Row],[Score 2]]&gt;=3, SotY_2025[[#This Row],[Song 2]], "TBD")))</f>
        <v>IRIS OUT</v>
      </c>
      <c r="Q46" s="193">
        <f>COUNTIF(SotY_2025[[#This Row],[H ]:[J ]],"x")</f>
        <v>4</v>
      </c>
      <c r="R4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IRIS OUT</v>
      </c>
      <c r="S46" s="191" t="s">
        <v>4191</v>
      </c>
      <c r="T46" s="190" t="s">
        <v>4191</v>
      </c>
      <c r="U46" s="189"/>
      <c r="V46" s="188" t="s">
        <v>4191</v>
      </c>
      <c r="W46" s="198" t="s">
        <v>4191</v>
      </c>
      <c r="X4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46" s="109">
        <f t="shared" si="2"/>
        <v>164</v>
      </c>
      <c r="AA46" s="59">
        <v>45740</v>
      </c>
      <c r="AB46" t="str">
        <v>alappatjoe</v>
      </c>
      <c r="AC46" s="3">
        <v>2.4</v>
      </c>
      <c r="AD46" s="3">
        <v>1.3564659966250536</v>
      </c>
      <c r="AE46" t="str">
        <v>A Lonely Night</v>
      </c>
      <c r="AF46" t="str">
        <v>The Weeknd</v>
      </c>
      <c r="AG46" s="100">
        <f t="shared" si="1"/>
        <v>129</v>
      </c>
      <c r="AI46" s="114">
        <f>SotY_2025[[#This Row],[Max Seed]]/2 + 1</f>
        <v>33</v>
      </c>
      <c r="AJ46" s="105" t="str">
        <f ca="1">IF(SotY_2025[[#This Row],[Num]]&gt;=$A$1, "-", IF(SotY_2025[[#This Row],[Score 1]]&gt;=3, SotY_2025[[#This Row],[Song 2]], IF(SotY_2025[[#This Row],[Score 2]]&gt;=3, SotY_2025[[#This Row],[Song 1]], "TBD")))</f>
        <v>Maps</v>
      </c>
      <c r="AK46" s="115">
        <f ca="1">IFERROR(VLOOKUP(SotY_2025_Results[[#This Row],[Song Title]], $AE$2:$AG$200, 3, FALSE)-SotY_2025_Results[[#This Row],[Result]], "TBD")</f>
        <v>-16</v>
      </c>
      <c r="AL46" s="112" t="str">
        <f ca="1">IF(SotY_2025_Results[[#This Row],[Diff]]&lt;0,"↓",IF(SotY_2025_Results[[#This Row],[Diff]]=0,"-","↑"))</f>
        <v>↓</v>
      </c>
    </row>
    <row r="47" spans="1:38">
      <c r="A47" s="197" t="str">
        <f>_xlfn.CONCAT("Seed ", SotY_2025[[#This Row],[Top Seed]], " vs ", SotY_2025[[#This Row],[Low Seed]])</f>
        <v>Seed 19 vs 46</v>
      </c>
      <c r="B47" s="115">
        <v>45</v>
      </c>
      <c r="C47" s="115">
        <f>FLOOR(LOG(SotY_2025[[#This Row],[Num]], 2), 1)</f>
        <v>5</v>
      </c>
      <c r="D47" s="115">
        <f>2^(SotY_2025[[#This Row],[Round]]+1)</f>
        <v>64</v>
      </c>
      <c r="E47" s="115">
        <f>SotY_2025[[#This Row],[Max Seed]]-SotY_2025[[#This Row],[Num]]</f>
        <v>19</v>
      </c>
      <c r="F47" s="115">
        <f>SotY_2025[[#This Row],[Max Seed]]-SotY_2025[[#This Row],[Top Seed]]+1</f>
        <v>46</v>
      </c>
      <c r="G47" s="115" t="b">
        <f>IF(SotY_2025[[#This Row],[Round]]=$C$1, TRUE(), IF(SotY_2025[[#This Row],[Round]]=$B$1, SotY_2025[[#This Row],[Top Seed]]&lt;=2*SotY_2025[[#This Row],[Max Seed]]-$A$1, FALSE()))</f>
        <v>0</v>
      </c>
      <c r="H47" s="115" t="b">
        <f>IF(SotY_2025[[#This Row],[Round]]=$C$1, TRUE(), IF(SotY_2025[[#This Row],[Round]]=$B$1, SotY_2025[[#This Row],[Low Seed]]&lt;=2*SotY_2025[[#This Row],[Max Seed]]-$A$1, FALSE()))</f>
        <v>0</v>
      </c>
      <c r="I47" s="187" t="s">
        <v>4191</v>
      </c>
      <c r="J47" s="188"/>
      <c r="K47" s="189" t="s">
        <v>4191</v>
      </c>
      <c r="L47" s="190"/>
      <c r="M47" s="191"/>
      <c r="N4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CUFF IT</v>
      </c>
      <c r="O47" s="105">
        <f>COUNTIF(SotY_2025[[#This Row],[J]:[H]],"x")</f>
        <v>2</v>
      </c>
      <c r="P47" s="115" t="str">
        <f ca="1">IF(SotY_2025[[#This Row],[Num]]&gt;=$A$1, "-", IF(SotY_2025[[#This Row],[Score 1]]&gt;=3, SotY_2025[[#This Row],[Song 1]], IF(SotY_2025[[#This Row],[Score 2]]&gt;=3, SotY_2025[[#This Row],[Song 2]], "TBD")))</f>
        <v>Danza Kuduro</v>
      </c>
      <c r="Q47" s="193">
        <f>COUNTIF(SotY_2025[[#This Row],[H ]:[J ]],"x")</f>
        <v>3</v>
      </c>
      <c r="R4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Danza Kuduro</v>
      </c>
      <c r="S47" s="191" t="s">
        <v>4191</v>
      </c>
      <c r="T47" s="190" t="s">
        <v>4191</v>
      </c>
      <c r="U47" s="189"/>
      <c r="V47" s="188" t="s">
        <v>4191</v>
      </c>
      <c r="W47" s="198"/>
      <c r="X4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47" s="109">
        <f t="shared" si="2"/>
        <v>111</v>
      </c>
      <c r="AA47" s="59">
        <v>45741</v>
      </c>
      <c r="AB47" t="str">
        <v>loganworsdell</v>
      </c>
      <c r="AC47" s="3">
        <v>2.2000000000000002</v>
      </c>
      <c r="AD47" s="3">
        <v>1.1661903789690602</v>
      </c>
      <c r="AE47" t="str">
        <v>roleplay</v>
      </c>
      <c r="AF47" t="str">
        <v>thủy</v>
      </c>
      <c r="AG47" s="100">
        <f t="shared" si="1"/>
        <v>65</v>
      </c>
      <c r="AI47" s="114">
        <f>SotY_2025[[#This Row],[Max Seed]]/2 + 1</f>
        <v>33</v>
      </c>
      <c r="AJ47" s="105" t="str">
        <f ca="1">IF(SotY_2025[[#This Row],[Num]]&gt;=$A$1, "-", IF(SotY_2025[[#This Row],[Score 1]]&gt;=3, SotY_2025[[#This Row],[Song 2]], IF(SotY_2025[[#This Row],[Score 2]]&gt;=3, SotY_2025[[#This Row],[Song 1]], "TBD")))</f>
        <v>CUFF IT</v>
      </c>
      <c r="AK47" s="115">
        <f ca="1">IFERROR(VLOOKUP(SotY_2025_Results[[#This Row],[Song Title]], $AE$2:$AG$200, 3, FALSE)-SotY_2025_Results[[#This Row],[Result]], "TBD")</f>
        <v>96</v>
      </c>
      <c r="AL47" s="112" t="str">
        <f ca="1">IF(SotY_2025_Results[[#This Row],[Diff]]&lt;0,"↓",IF(SotY_2025_Results[[#This Row],[Diff]]=0,"-","↑"))</f>
        <v>↑</v>
      </c>
    </row>
    <row r="48" spans="1:38">
      <c r="A48" s="197" t="str">
        <f>_xlfn.CONCAT("Seed ", SotY_2025[[#This Row],[Top Seed]], " vs ", SotY_2025[[#This Row],[Low Seed]])</f>
        <v>Seed 18 vs 47</v>
      </c>
      <c r="B48" s="115">
        <v>46</v>
      </c>
      <c r="C48" s="115">
        <f>FLOOR(LOG(SotY_2025[[#This Row],[Num]], 2), 1)</f>
        <v>5</v>
      </c>
      <c r="D48" s="115">
        <f>2^(SotY_2025[[#This Row],[Round]]+1)</f>
        <v>64</v>
      </c>
      <c r="E48" s="115">
        <f>SotY_2025[[#This Row],[Max Seed]]-SotY_2025[[#This Row],[Num]]</f>
        <v>18</v>
      </c>
      <c r="F48" s="115">
        <f>SotY_2025[[#This Row],[Max Seed]]-SotY_2025[[#This Row],[Top Seed]]+1</f>
        <v>47</v>
      </c>
      <c r="G48" s="115" t="b">
        <f>IF(SotY_2025[[#This Row],[Round]]=$C$1, TRUE(), IF(SotY_2025[[#This Row],[Round]]=$B$1, SotY_2025[[#This Row],[Top Seed]]&lt;=2*SotY_2025[[#This Row],[Max Seed]]-$A$1, FALSE()))</f>
        <v>0</v>
      </c>
      <c r="H48" s="115" t="b">
        <f>IF(SotY_2025[[#This Row],[Round]]=$C$1, TRUE(), IF(SotY_2025[[#This Row],[Round]]=$B$1, SotY_2025[[#This Row],[Low Seed]]&lt;=2*SotY_2025[[#This Row],[Max Seed]]-$A$1, FALSE()))</f>
        <v>0</v>
      </c>
      <c r="I48" s="187"/>
      <c r="J48" s="188" t="s">
        <v>4191</v>
      </c>
      <c r="K48" s="189" t="s">
        <v>4191</v>
      </c>
      <c r="L48" s="190"/>
      <c r="M48" s="191" t="s">
        <v>4191</v>
      </c>
      <c r="N4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WASSUP</v>
      </c>
      <c r="O48" s="105">
        <f>COUNTIF(SotY_2025[[#This Row],[J]:[H]],"x")</f>
        <v>3</v>
      </c>
      <c r="P48" s="115" t="str">
        <f ca="1">IF(SotY_2025[[#This Row],[Num]]&gt;=$A$1, "-", IF(SotY_2025[[#This Row],[Score 1]]&gt;=3, SotY_2025[[#This Row],[Song 1]], IF(SotY_2025[[#This Row],[Score 2]]&gt;=3, SotY_2025[[#This Row],[Song 2]], "TBD")))</f>
        <v>WASSUP</v>
      </c>
      <c r="Q48" s="193">
        <f>COUNTIF(SotY_2025[[#This Row],[H ]:[J ]],"x")</f>
        <v>2</v>
      </c>
      <c r="R4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Today</v>
      </c>
      <c r="S48" s="191"/>
      <c r="T48" s="190" t="s">
        <v>4191</v>
      </c>
      <c r="U48" s="189"/>
      <c r="V48" s="188"/>
      <c r="W48" s="198" t="s">
        <v>4191</v>
      </c>
      <c r="X4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48" s="109">
        <f t="shared" si="2"/>
        <v>10</v>
      </c>
      <c r="AA48" s="59">
        <v>45742</v>
      </c>
      <c r="AB48" t="str">
        <v>samuelbattista</v>
      </c>
      <c r="AC48" s="3">
        <v>1.6</v>
      </c>
      <c r="AD48" s="3">
        <v>0.4898979485566356</v>
      </c>
      <c r="AE48" t="str">
        <v>CLOVER</v>
      </c>
      <c r="AF48" t="str">
        <v>IDK, Joey Valence &amp; Brae</v>
      </c>
      <c r="AG48" s="100">
        <f t="shared" si="1"/>
        <v>9</v>
      </c>
      <c r="AI48" s="114">
        <f>SotY_2025[[#This Row],[Max Seed]]/2 + 1</f>
        <v>33</v>
      </c>
      <c r="AJ48" s="105" t="str">
        <f ca="1">IF(SotY_2025[[#This Row],[Num]]&gt;=$A$1, "-", IF(SotY_2025[[#This Row],[Score 1]]&gt;=3, SotY_2025[[#This Row],[Song 2]], IF(SotY_2025[[#This Row],[Score 2]]&gt;=3, SotY_2025[[#This Row],[Song 1]], "TBD")))</f>
        <v>Today</v>
      </c>
      <c r="AK48" s="115">
        <f ca="1">IFERROR(VLOOKUP(SotY_2025_Results[[#This Row],[Song Title]], $AE$2:$AG$200, 3, FALSE)-SotY_2025_Results[[#This Row],[Result]], "TBD")</f>
        <v>96</v>
      </c>
      <c r="AL48" s="112" t="str">
        <f ca="1">IF(SotY_2025_Results[[#This Row],[Diff]]&lt;0,"↓",IF(SotY_2025_Results[[#This Row],[Diff]]=0,"-","↑"))</f>
        <v>↑</v>
      </c>
    </row>
    <row r="49" spans="1:38">
      <c r="A49" s="197" t="str">
        <f>_xlfn.CONCAT("Seed ", SotY_2025[[#This Row],[Top Seed]], " vs ", SotY_2025[[#This Row],[Low Seed]])</f>
        <v>Seed 17 vs 48</v>
      </c>
      <c r="B49" s="115">
        <v>47</v>
      </c>
      <c r="C49" s="115">
        <f>FLOOR(LOG(SotY_2025[[#This Row],[Num]], 2), 1)</f>
        <v>5</v>
      </c>
      <c r="D49" s="115">
        <f>2^(SotY_2025[[#This Row],[Round]]+1)</f>
        <v>64</v>
      </c>
      <c r="E49" s="115">
        <f>SotY_2025[[#This Row],[Max Seed]]-SotY_2025[[#This Row],[Num]]</f>
        <v>17</v>
      </c>
      <c r="F49" s="115">
        <f>SotY_2025[[#This Row],[Max Seed]]-SotY_2025[[#This Row],[Top Seed]]+1</f>
        <v>48</v>
      </c>
      <c r="G49" s="115" t="b">
        <f>IF(SotY_2025[[#This Row],[Round]]=$C$1, TRUE(), IF(SotY_2025[[#This Row],[Round]]=$B$1, SotY_2025[[#This Row],[Top Seed]]&lt;=2*SotY_2025[[#This Row],[Max Seed]]-$A$1, FALSE()))</f>
        <v>0</v>
      </c>
      <c r="H49" s="115" t="b">
        <f>IF(SotY_2025[[#This Row],[Round]]=$C$1, TRUE(), IF(SotY_2025[[#This Row],[Round]]=$B$1, SotY_2025[[#This Row],[Low Seed]]&lt;=2*SotY_2025[[#This Row],[Max Seed]]-$A$1, FALSE()))</f>
        <v>0</v>
      </c>
      <c r="I49" s="187"/>
      <c r="J49" s="188" t="s">
        <v>4191</v>
      </c>
      <c r="K49" s="189" t="s">
        <v>4191</v>
      </c>
      <c r="L49" s="190" t="s">
        <v>4191</v>
      </c>
      <c r="M49" s="191" t="s">
        <v>4191</v>
      </c>
      <c r="N4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can't slow down</v>
      </c>
      <c r="O49" s="105">
        <f>COUNTIF(SotY_2025[[#This Row],[J]:[H]],"x")</f>
        <v>4</v>
      </c>
      <c r="P49" s="115" t="str">
        <f ca="1">IF(SotY_2025[[#This Row],[Num]]&gt;=$A$1, "-", IF(SotY_2025[[#This Row],[Score 1]]&gt;=3, SotY_2025[[#This Row],[Song 1]], IF(SotY_2025[[#This Row],[Score 2]]&gt;=3, SotY_2025[[#This Row],[Song 2]], "TBD")))</f>
        <v>can't slow down</v>
      </c>
      <c r="Q49" s="193">
        <f>COUNTIF(SotY_2025[[#This Row],[H ]:[J ]],"x")</f>
        <v>1</v>
      </c>
      <c r="R4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OVR</v>
      </c>
      <c r="S49" s="191"/>
      <c r="T49" s="190"/>
      <c r="U49" s="189"/>
      <c r="V49" s="188"/>
      <c r="W49" s="198" t="s">
        <v>4191</v>
      </c>
      <c r="X4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49" s="109">
        <f t="shared" si="2"/>
        <v>51</v>
      </c>
      <c r="AA49" s="59">
        <v>45743</v>
      </c>
      <c r="AB49" t="str">
        <v>alappatjoe</v>
      </c>
      <c r="AC49" s="3">
        <v>2</v>
      </c>
      <c r="AD49" s="3">
        <v>0.89442719099991586</v>
      </c>
      <c r="AE49" t="str">
        <v>Not Letting Go</v>
      </c>
      <c r="AF49" t="str">
        <v>Tinie Tempah, Jess Glynne</v>
      </c>
      <c r="AG49" s="100">
        <f t="shared" si="1"/>
        <v>33</v>
      </c>
      <c r="AI49" s="114">
        <f>SotY_2025[[#This Row],[Max Seed]]/2 + 1</f>
        <v>33</v>
      </c>
      <c r="AJ49" s="105" t="str">
        <f ca="1">IF(SotY_2025[[#This Row],[Num]]&gt;=$A$1, "-", IF(SotY_2025[[#This Row],[Score 1]]&gt;=3, SotY_2025[[#This Row],[Song 2]], IF(SotY_2025[[#This Row],[Score 2]]&gt;=3, SotY_2025[[#This Row],[Song 1]], "TBD")))</f>
        <v>OVR</v>
      </c>
      <c r="AK49" s="115">
        <f ca="1">IFERROR(VLOOKUP(SotY_2025_Results[[#This Row],[Song Title]], $AE$2:$AG$200, 3, FALSE)-SotY_2025_Results[[#This Row],[Result]], "TBD")</f>
        <v>96</v>
      </c>
      <c r="AL49" s="112" t="str">
        <f ca="1">IF(SotY_2025_Results[[#This Row],[Diff]]&lt;0,"↓",IF(SotY_2025_Results[[#This Row],[Diff]]=0,"-","↑"))</f>
        <v>↑</v>
      </c>
    </row>
    <row r="50" spans="1:38">
      <c r="A50" s="197" t="str">
        <f>_xlfn.CONCAT("Seed ", SotY_2025[[#This Row],[Top Seed]], " vs ", SotY_2025[[#This Row],[Low Seed]])</f>
        <v>Seed 16 vs 49</v>
      </c>
      <c r="B50" s="115">
        <v>48</v>
      </c>
      <c r="C50" s="115">
        <f>FLOOR(LOG(SotY_2025[[#This Row],[Num]], 2), 1)</f>
        <v>5</v>
      </c>
      <c r="D50" s="115">
        <f>2^(SotY_2025[[#This Row],[Round]]+1)</f>
        <v>64</v>
      </c>
      <c r="E50" s="115">
        <f>SotY_2025[[#This Row],[Max Seed]]-SotY_2025[[#This Row],[Num]]</f>
        <v>16</v>
      </c>
      <c r="F50" s="115">
        <f>SotY_2025[[#This Row],[Max Seed]]-SotY_2025[[#This Row],[Top Seed]]+1</f>
        <v>49</v>
      </c>
      <c r="G50" s="115" t="b">
        <f>IF(SotY_2025[[#This Row],[Round]]=$C$1, TRUE(), IF(SotY_2025[[#This Row],[Round]]=$B$1, SotY_2025[[#This Row],[Top Seed]]&lt;=2*SotY_2025[[#This Row],[Max Seed]]-$A$1, FALSE()))</f>
        <v>0</v>
      </c>
      <c r="H50" s="115" t="b">
        <f>IF(SotY_2025[[#This Row],[Round]]=$C$1, TRUE(), IF(SotY_2025[[#This Row],[Round]]=$B$1, SotY_2025[[#This Row],[Low Seed]]&lt;=2*SotY_2025[[#This Row],[Max Seed]]-$A$1, FALSE()))</f>
        <v>0</v>
      </c>
      <c r="I50" s="187"/>
      <c r="J50" s="188"/>
      <c r="K50" s="189"/>
      <c r="L50" s="190" t="s">
        <v>4191</v>
      </c>
      <c r="M50" s="191"/>
      <c r="N5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Crazy Train</v>
      </c>
      <c r="O50" s="105">
        <f>COUNTIF(SotY_2025[[#This Row],[J]:[H]],"x")</f>
        <v>1</v>
      </c>
      <c r="P50" s="115" t="str">
        <f ca="1">IF(SotY_2025[[#This Row],[Num]]&gt;=$A$1, "-", IF(SotY_2025[[#This Row],[Score 1]]&gt;=3, SotY_2025[[#This Row],[Song 1]], IF(SotY_2025[[#This Row],[Score 2]]&gt;=3, SotY_2025[[#This Row],[Song 2]], "TBD")))</f>
        <v>CRAZY</v>
      </c>
      <c r="Q50" s="193">
        <f>COUNTIF(SotY_2025[[#This Row],[H ]:[J ]],"x")</f>
        <v>4</v>
      </c>
      <c r="R5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CRAZY</v>
      </c>
      <c r="S50" s="191" t="s">
        <v>4191</v>
      </c>
      <c r="T50" s="190"/>
      <c r="U50" s="189" t="s">
        <v>4191</v>
      </c>
      <c r="V50" s="188" t="s">
        <v>4191</v>
      </c>
      <c r="W50" s="198" t="s">
        <v>4191</v>
      </c>
      <c r="X5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50" s="109">
        <f t="shared" si="2"/>
        <v>73</v>
      </c>
      <c r="AA50" s="59">
        <v>45747</v>
      </c>
      <c r="AB50" t="str">
        <v>alappatjoe</v>
      </c>
      <c r="AC50" s="3">
        <v>2</v>
      </c>
      <c r="AD50" s="3">
        <v>1.2649110640673518</v>
      </c>
      <c r="AE50" t="str">
        <v>the boy is mine</v>
      </c>
      <c r="AF50" t="str">
        <v>Ariana Grande</v>
      </c>
      <c r="AG50" s="100">
        <f t="shared" si="1"/>
        <v>65</v>
      </c>
      <c r="AI50" s="114">
        <f>SotY_2025[[#This Row],[Max Seed]]/2 + 1</f>
        <v>33</v>
      </c>
      <c r="AJ50" s="105" t="str">
        <f ca="1">IF(SotY_2025[[#This Row],[Num]]&gt;=$A$1, "-", IF(SotY_2025[[#This Row],[Score 1]]&gt;=3, SotY_2025[[#This Row],[Song 2]], IF(SotY_2025[[#This Row],[Score 2]]&gt;=3, SotY_2025[[#This Row],[Song 1]], "TBD")))</f>
        <v>Crazy Train</v>
      </c>
      <c r="AK50" s="115">
        <f ca="1">IFERROR(VLOOKUP(SotY_2025_Results[[#This Row],[Song Title]], $AE$2:$AG$200, 3, FALSE)-SotY_2025_Results[[#This Row],[Result]], "TBD")</f>
        <v>-24</v>
      </c>
      <c r="AL50" s="112" t="str">
        <f ca="1">IF(SotY_2025_Results[[#This Row],[Diff]]&lt;0,"↓",IF(SotY_2025_Results[[#This Row],[Diff]]=0,"-","↑"))</f>
        <v>↓</v>
      </c>
    </row>
    <row r="51" spans="1:38">
      <c r="A51" s="197" t="str">
        <f>_xlfn.CONCAT("Seed ", SotY_2025[[#This Row],[Top Seed]], " vs ", SotY_2025[[#This Row],[Low Seed]])</f>
        <v>Seed 15 vs 50</v>
      </c>
      <c r="B51" s="115">
        <v>49</v>
      </c>
      <c r="C51" s="115">
        <f>FLOOR(LOG(SotY_2025[[#This Row],[Num]], 2), 1)</f>
        <v>5</v>
      </c>
      <c r="D51" s="115">
        <f>2^(SotY_2025[[#This Row],[Round]]+1)</f>
        <v>64</v>
      </c>
      <c r="E51" s="115">
        <f>SotY_2025[[#This Row],[Max Seed]]-SotY_2025[[#This Row],[Num]]</f>
        <v>15</v>
      </c>
      <c r="F51" s="115">
        <f>SotY_2025[[#This Row],[Max Seed]]-SotY_2025[[#This Row],[Top Seed]]+1</f>
        <v>50</v>
      </c>
      <c r="G51" s="115" t="b">
        <f>IF(SotY_2025[[#This Row],[Round]]=$C$1, TRUE(), IF(SotY_2025[[#This Row],[Round]]=$B$1, SotY_2025[[#This Row],[Top Seed]]&lt;=2*SotY_2025[[#This Row],[Max Seed]]-$A$1, FALSE()))</f>
        <v>0</v>
      </c>
      <c r="H51" s="115" t="b">
        <f>IF(SotY_2025[[#This Row],[Round]]=$C$1, TRUE(), IF(SotY_2025[[#This Row],[Round]]=$B$1, SotY_2025[[#This Row],[Low Seed]]&lt;=2*SotY_2025[[#This Row],[Max Seed]]-$A$1, FALSE()))</f>
        <v>0</v>
      </c>
      <c r="I51" s="187" t="s">
        <v>4191</v>
      </c>
      <c r="J51" s="188" t="s">
        <v>4191</v>
      </c>
      <c r="K51" s="189" t="s">
        <v>4191</v>
      </c>
      <c r="L51" s="190"/>
      <c r="M51" s="191" t="s">
        <v>4191</v>
      </c>
      <c r="N5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Float On</v>
      </c>
      <c r="O51" s="105">
        <f>COUNTIF(SotY_2025[[#This Row],[J]:[H]],"x")</f>
        <v>4</v>
      </c>
      <c r="P51" s="115" t="str">
        <f ca="1">IF(SotY_2025[[#This Row],[Num]]&gt;=$A$1, "-", IF(SotY_2025[[#This Row],[Score 1]]&gt;=3, SotY_2025[[#This Row],[Song 1]], IF(SotY_2025[[#This Row],[Score 2]]&gt;=3, SotY_2025[[#This Row],[Song 2]], "TBD")))</f>
        <v>Float On</v>
      </c>
      <c r="Q51" s="193">
        <f>COUNTIF(SotY_2025[[#This Row],[H ]:[J ]],"x")</f>
        <v>1</v>
      </c>
      <c r="R5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selfdestruct</v>
      </c>
      <c r="S51" s="191"/>
      <c r="T51" s="190" t="s">
        <v>4191</v>
      </c>
      <c r="U51" s="189"/>
      <c r="V51" s="188"/>
      <c r="W51" s="198"/>
      <c r="X5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51" s="109">
        <f t="shared" si="2"/>
        <v>85</v>
      </c>
      <c r="AA51" s="59">
        <v>45748</v>
      </c>
      <c r="AB51" t="str">
        <v>alappatjoe</v>
      </c>
      <c r="AC51" s="3">
        <v>2.2000000000000002</v>
      </c>
      <c r="AD51" s="3">
        <v>0.74833147735478833</v>
      </c>
      <c r="AE51" t="str">
        <v>National Park</v>
      </c>
      <c r="AF51" t="str">
        <v>The Consouls</v>
      </c>
      <c r="AG51" s="100">
        <f t="shared" si="1"/>
        <v>65</v>
      </c>
      <c r="AI51" s="114">
        <f>SotY_2025[[#This Row],[Max Seed]]/2 + 1</f>
        <v>33</v>
      </c>
      <c r="AJ51" s="105" t="str">
        <f ca="1">IF(SotY_2025[[#This Row],[Num]]&gt;=$A$1, "-", IF(SotY_2025[[#This Row],[Score 1]]&gt;=3, SotY_2025[[#This Row],[Song 2]], IF(SotY_2025[[#This Row],[Score 2]]&gt;=3, SotY_2025[[#This Row],[Song 1]], "TBD")))</f>
        <v>selfdestruct</v>
      </c>
      <c r="AK51" s="115">
        <f ca="1">IFERROR(VLOOKUP(SotY_2025_Results[[#This Row],[Song Title]], $AE$2:$AG$200, 3, FALSE)-SotY_2025_Results[[#This Row],[Result]], "TBD")</f>
        <v>96</v>
      </c>
      <c r="AL51" s="112" t="str">
        <f ca="1">IF(SotY_2025_Results[[#This Row],[Diff]]&lt;0,"↓",IF(SotY_2025_Results[[#This Row],[Diff]]=0,"-","↑"))</f>
        <v>↑</v>
      </c>
    </row>
    <row r="52" spans="1:38">
      <c r="A52" s="197" t="str">
        <f>_xlfn.CONCAT("Seed ", SotY_2025[[#This Row],[Top Seed]], " vs ", SotY_2025[[#This Row],[Low Seed]])</f>
        <v>Seed 14 vs 51</v>
      </c>
      <c r="B52" s="115">
        <v>50</v>
      </c>
      <c r="C52" s="115">
        <f>FLOOR(LOG(SotY_2025[[#This Row],[Num]], 2), 1)</f>
        <v>5</v>
      </c>
      <c r="D52" s="115">
        <f>2^(SotY_2025[[#This Row],[Round]]+1)</f>
        <v>64</v>
      </c>
      <c r="E52" s="115">
        <f>SotY_2025[[#This Row],[Max Seed]]-SotY_2025[[#This Row],[Num]]</f>
        <v>14</v>
      </c>
      <c r="F52" s="115">
        <f>SotY_2025[[#This Row],[Max Seed]]-SotY_2025[[#This Row],[Top Seed]]+1</f>
        <v>51</v>
      </c>
      <c r="G52" s="115" t="b">
        <f>IF(SotY_2025[[#This Row],[Round]]=$C$1, TRUE(), IF(SotY_2025[[#This Row],[Round]]=$B$1, SotY_2025[[#This Row],[Top Seed]]&lt;=2*SotY_2025[[#This Row],[Max Seed]]-$A$1, FALSE()))</f>
        <v>0</v>
      </c>
      <c r="H52" s="115" t="b">
        <f>IF(SotY_2025[[#This Row],[Round]]=$C$1, TRUE(), IF(SotY_2025[[#This Row],[Round]]=$B$1, SotY_2025[[#This Row],[Low Seed]]&lt;=2*SotY_2025[[#This Row],[Max Seed]]-$A$1, FALSE()))</f>
        <v>0</v>
      </c>
      <c r="I52" s="187" t="s">
        <v>4191</v>
      </c>
      <c r="J52" s="188"/>
      <c r="K52" s="189" t="s">
        <v>4191</v>
      </c>
      <c r="L52" s="190"/>
      <c r="M52" s="191"/>
      <c r="N5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nah</v>
      </c>
      <c r="O52" s="105">
        <f>COUNTIF(SotY_2025[[#This Row],[J]:[H]],"x")</f>
        <v>2</v>
      </c>
      <c r="P52" s="115" t="str">
        <f ca="1">IF(SotY_2025[[#This Row],[Num]]&gt;=$A$1, "-", IF(SotY_2025[[#This Row],[Score 1]]&gt;=3, SotY_2025[[#This Row],[Song 1]], IF(SotY_2025[[#This Row],[Score 2]]&gt;=3, SotY_2025[[#This Row],[Song 2]], "TBD")))</f>
        <v>(Don't Fear) The Reaper</v>
      </c>
      <c r="Q52" s="193">
        <f>COUNTIF(SotY_2025[[#This Row],[H ]:[J ]],"x")</f>
        <v>3</v>
      </c>
      <c r="R5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(Don't Fear) The Reaper</v>
      </c>
      <c r="S52" s="191" t="s">
        <v>4191</v>
      </c>
      <c r="T52" s="190" t="s">
        <v>4191</v>
      </c>
      <c r="U52" s="189"/>
      <c r="V52" s="188" t="s">
        <v>4191</v>
      </c>
      <c r="W52" s="198"/>
      <c r="X5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52" s="109">
        <f t="shared" si="2"/>
        <v>112</v>
      </c>
      <c r="AA52" s="59">
        <v>45749</v>
      </c>
      <c r="AB52" t="str">
        <v>currydestroyer27</v>
      </c>
      <c r="AC52" s="3">
        <v>2.2000000000000002</v>
      </c>
      <c r="AD52" s="3">
        <v>1.1661903789690602</v>
      </c>
      <c r="AE52" t="str">
        <v>Dance Now</v>
      </c>
      <c r="AF52" t="str">
        <v>JID, Kenny Mason</v>
      </c>
      <c r="AG52" s="100">
        <f t="shared" si="1"/>
        <v>65</v>
      </c>
      <c r="AI52" s="114">
        <f>SotY_2025[[#This Row],[Max Seed]]/2 + 1</f>
        <v>33</v>
      </c>
      <c r="AJ52" s="105" t="str">
        <f ca="1">IF(SotY_2025[[#This Row],[Num]]&gt;=$A$1, "-", IF(SotY_2025[[#This Row],[Score 1]]&gt;=3, SotY_2025[[#This Row],[Song 2]], IF(SotY_2025[[#This Row],[Score 2]]&gt;=3, SotY_2025[[#This Row],[Song 1]], "TBD")))</f>
        <v>nah</v>
      </c>
      <c r="AK52" s="115">
        <f ca="1">IFERROR(VLOOKUP(SotY_2025_Results[[#This Row],[Song Title]], $AE$2:$AG$200, 3, FALSE)-SotY_2025_Results[[#This Row],[Result]], "TBD")</f>
        <v>-24</v>
      </c>
      <c r="AL52" s="112" t="str">
        <f ca="1">IF(SotY_2025_Results[[#This Row],[Diff]]&lt;0,"↓",IF(SotY_2025_Results[[#This Row],[Diff]]=0,"-","↑"))</f>
        <v>↓</v>
      </c>
    </row>
    <row r="53" spans="1:38">
      <c r="A53" s="197" t="str">
        <f>_xlfn.CONCAT("Seed ", SotY_2025[[#This Row],[Top Seed]], " vs ", SotY_2025[[#This Row],[Low Seed]])</f>
        <v>Seed 13 vs 52</v>
      </c>
      <c r="B53" s="115">
        <v>51</v>
      </c>
      <c r="C53" s="115">
        <f>FLOOR(LOG(SotY_2025[[#This Row],[Num]], 2), 1)</f>
        <v>5</v>
      </c>
      <c r="D53" s="115">
        <f>2^(SotY_2025[[#This Row],[Round]]+1)</f>
        <v>64</v>
      </c>
      <c r="E53" s="115">
        <f>SotY_2025[[#This Row],[Max Seed]]-SotY_2025[[#This Row],[Num]]</f>
        <v>13</v>
      </c>
      <c r="F53" s="115">
        <f>SotY_2025[[#This Row],[Max Seed]]-SotY_2025[[#This Row],[Top Seed]]+1</f>
        <v>52</v>
      </c>
      <c r="G53" s="115" t="b">
        <f>IF(SotY_2025[[#This Row],[Round]]=$C$1, TRUE(), IF(SotY_2025[[#This Row],[Round]]=$B$1, SotY_2025[[#This Row],[Top Seed]]&lt;=2*SotY_2025[[#This Row],[Max Seed]]-$A$1, FALSE()))</f>
        <v>0</v>
      </c>
      <c r="H53" s="115" t="b">
        <f>IF(SotY_2025[[#This Row],[Round]]=$C$1, TRUE(), IF(SotY_2025[[#This Row],[Round]]=$B$1, SotY_2025[[#This Row],[Low Seed]]&lt;=2*SotY_2025[[#This Row],[Max Seed]]-$A$1, FALSE()))</f>
        <v>0</v>
      </c>
      <c r="I53" s="187" t="s">
        <v>4191</v>
      </c>
      <c r="J53" s="188" t="s">
        <v>4191</v>
      </c>
      <c r="K53" s="189"/>
      <c r="L53" s="190"/>
      <c r="M53" s="191" t="s">
        <v>4191</v>
      </c>
      <c r="N5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Buy U a Drank</v>
      </c>
      <c r="O53" s="105">
        <f>COUNTIF(SotY_2025[[#This Row],[J]:[H]],"x")</f>
        <v>3</v>
      </c>
      <c r="P53" s="115" t="str">
        <f ca="1">IF(SotY_2025[[#This Row],[Num]]&gt;=$A$1, "-", IF(SotY_2025[[#This Row],[Score 1]]&gt;=3, SotY_2025[[#This Row],[Song 1]], IF(SotY_2025[[#This Row],[Score 2]]&gt;=3, SotY_2025[[#This Row],[Song 2]], "TBD")))</f>
        <v>Buy U a Drank</v>
      </c>
      <c r="Q53" s="193">
        <f>COUNTIF(SotY_2025[[#This Row],[H ]:[J ]],"x")</f>
        <v>2</v>
      </c>
      <c r="R5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Your Direction</v>
      </c>
      <c r="S53" s="191"/>
      <c r="T53" s="190" t="s">
        <v>4191</v>
      </c>
      <c r="U53" s="189" t="s">
        <v>4191</v>
      </c>
      <c r="V53" s="188"/>
      <c r="W53" s="198"/>
      <c r="X5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53" s="109">
        <f t="shared" si="2"/>
        <v>169</v>
      </c>
      <c r="AA53" s="59">
        <v>45750</v>
      </c>
      <c r="AB53" t="str">
        <v>danram</v>
      </c>
      <c r="AC53" s="3">
        <v>2.4</v>
      </c>
      <c r="AD53" s="3">
        <v>1.4966629547095767</v>
      </c>
      <c r="AE53" t="str">
        <v>Tom Sawyer</v>
      </c>
      <c r="AF53" t="str">
        <v>Rush</v>
      </c>
      <c r="AG53" s="100">
        <f t="shared" si="1"/>
        <v>129</v>
      </c>
      <c r="AI53" s="114">
        <f>SotY_2025[[#This Row],[Max Seed]]/2 + 1</f>
        <v>33</v>
      </c>
      <c r="AJ53" s="105" t="str">
        <f ca="1">IF(SotY_2025[[#This Row],[Num]]&gt;=$A$1, "-", IF(SotY_2025[[#This Row],[Score 1]]&gt;=3, SotY_2025[[#This Row],[Song 2]], IF(SotY_2025[[#This Row],[Score 2]]&gt;=3, SotY_2025[[#This Row],[Song 1]], "TBD")))</f>
        <v>Your Direction</v>
      </c>
      <c r="AK53" s="115">
        <f ca="1">IFERROR(VLOOKUP(SotY_2025_Results[[#This Row],[Song Title]], $AE$2:$AG$200, 3, FALSE)-SotY_2025_Results[[#This Row],[Result]], "TBD")</f>
        <v>96</v>
      </c>
      <c r="AL53" s="112" t="str">
        <f ca="1">IF(SotY_2025_Results[[#This Row],[Diff]]&lt;0,"↓",IF(SotY_2025_Results[[#This Row],[Diff]]=0,"-","↑"))</f>
        <v>↑</v>
      </c>
    </row>
    <row r="54" spans="1:38">
      <c r="A54" s="197" t="str">
        <f>_xlfn.CONCAT("Seed ", SotY_2025[[#This Row],[Top Seed]], " vs ", SotY_2025[[#This Row],[Low Seed]])</f>
        <v>Seed 12 vs 53</v>
      </c>
      <c r="B54" s="115">
        <v>52</v>
      </c>
      <c r="C54" s="115">
        <f>FLOOR(LOG(SotY_2025[[#This Row],[Num]], 2), 1)</f>
        <v>5</v>
      </c>
      <c r="D54" s="115">
        <f>2^(SotY_2025[[#This Row],[Round]]+1)</f>
        <v>64</v>
      </c>
      <c r="E54" s="115">
        <f>SotY_2025[[#This Row],[Max Seed]]-SotY_2025[[#This Row],[Num]]</f>
        <v>12</v>
      </c>
      <c r="F54" s="115">
        <f>SotY_2025[[#This Row],[Max Seed]]-SotY_2025[[#This Row],[Top Seed]]+1</f>
        <v>53</v>
      </c>
      <c r="G54" s="115" t="b">
        <f>IF(SotY_2025[[#This Row],[Round]]=$C$1, TRUE(), IF(SotY_2025[[#This Row],[Round]]=$B$1, SotY_2025[[#This Row],[Top Seed]]&lt;=2*SotY_2025[[#This Row],[Max Seed]]-$A$1, FALSE()))</f>
        <v>0</v>
      </c>
      <c r="H54" s="115" t="b">
        <f>IF(SotY_2025[[#This Row],[Round]]=$C$1, TRUE(), IF(SotY_2025[[#This Row],[Round]]=$B$1, SotY_2025[[#This Row],[Low Seed]]&lt;=2*SotY_2025[[#This Row],[Max Seed]]-$A$1, FALSE()))</f>
        <v>0</v>
      </c>
      <c r="I54" s="187" t="s">
        <v>4191</v>
      </c>
      <c r="J54" s="188"/>
      <c r="K54" s="189"/>
      <c r="L54" s="190"/>
      <c r="M54" s="191" t="s">
        <v>4191</v>
      </c>
      <c r="N5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Born Again</v>
      </c>
      <c r="O54" s="105">
        <f>COUNTIF(SotY_2025[[#This Row],[J]:[H]],"x")</f>
        <v>2</v>
      </c>
      <c r="P54" s="115" t="str">
        <f ca="1">IF(SotY_2025[[#This Row],[Num]]&gt;=$A$1, "-", IF(SotY_2025[[#This Row],[Score 1]]&gt;=3, SotY_2025[[#This Row],[Song 1]], IF(SotY_2025[[#This Row],[Score 2]]&gt;=3, SotY_2025[[#This Row],[Song 2]], "TBD")))</f>
        <v>Three Man Weave</v>
      </c>
      <c r="Q54" s="193">
        <f>COUNTIF(SotY_2025[[#This Row],[H ]:[J ]],"x")</f>
        <v>3</v>
      </c>
      <c r="R5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Three Man Weave</v>
      </c>
      <c r="S54" s="191"/>
      <c r="T54" s="190" t="s">
        <v>4191</v>
      </c>
      <c r="U54" s="189" t="s">
        <v>4191</v>
      </c>
      <c r="V54" s="188" t="s">
        <v>4191</v>
      </c>
      <c r="W54" s="198"/>
      <c r="X5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54" s="109">
        <f t="shared" si="2"/>
        <v>178</v>
      </c>
      <c r="AA54" s="59">
        <v>45754</v>
      </c>
      <c r="AB54" t="str">
        <v>samuelbattista</v>
      </c>
      <c r="AC54" s="3">
        <v>2.6</v>
      </c>
      <c r="AD54" s="3">
        <v>1.019803902718557</v>
      </c>
      <c r="AE54" t="str">
        <v>selfdestruct</v>
      </c>
      <c r="AF54" t="str">
        <v>torr</v>
      </c>
      <c r="AG54" s="100">
        <f t="shared" si="1"/>
        <v>129</v>
      </c>
      <c r="AI54" s="114">
        <f>SotY_2025[[#This Row],[Max Seed]]/2 + 1</f>
        <v>33</v>
      </c>
      <c r="AJ54" s="105" t="str">
        <f ca="1">IF(SotY_2025[[#This Row],[Num]]&gt;=$A$1, "-", IF(SotY_2025[[#This Row],[Score 1]]&gt;=3, SotY_2025[[#This Row],[Song 2]], IF(SotY_2025[[#This Row],[Score 2]]&gt;=3, SotY_2025[[#This Row],[Song 1]], "TBD")))</f>
        <v>Born Again</v>
      </c>
      <c r="AK54" s="115">
        <f ca="1">IFERROR(VLOOKUP(SotY_2025_Results[[#This Row],[Song Title]], $AE$2:$AG$200, 3, FALSE)-SotY_2025_Results[[#This Row],[Result]], "TBD")</f>
        <v>96</v>
      </c>
      <c r="AL54" s="112" t="str">
        <f ca="1">IF(SotY_2025_Results[[#This Row],[Diff]]&lt;0,"↓",IF(SotY_2025_Results[[#This Row],[Diff]]=0,"-","↑"))</f>
        <v>↑</v>
      </c>
    </row>
    <row r="55" spans="1:38">
      <c r="A55" s="197" t="str">
        <f>_xlfn.CONCAT("Seed ", SotY_2025[[#This Row],[Top Seed]], " vs ", SotY_2025[[#This Row],[Low Seed]])</f>
        <v>Seed 11 vs 54</v>
      </c>
      <c r="B55" s="115">
        <v>53</v>
      </c>
      <c r="C55" s="115">
        <f>FLOOR(LOG(SotY_2025[[#This Row],[Num]], 2), 1)</f>
        <v>5</v>
      </c>
      <c r="D55" s="115">
        <f>2^(SotY_2025[[#This Row],[Round]]+1)</f>
        <v>64</v>
      </c>
      <c r="E55" s="115">
        <f>SotY_2025[[#This Row],[Max Seed]]-SotY_2025[[#This Row],[Num]]</f>
        <v>11</v>
      </c>
      <c r="F55" s="115">
        <f>SotY_2025[[#This Row],[Max Seed]]-SotY_2025[[#This Row],[Top Seed]]+1</f>
        <v>54</v>
      </c>
      <c r="G55" s="115" t="b">
        <f>IF(SotY_2025[[#This Row],[Round]]=$C$1, TRUE(), IF(SotY_2025[[#This Row],[Round]]=$B$1, SotY_2025[[#This Row],[Top Seed]]&lt;=2*SotY_2025[[#This Row],[Max Seed]]-$A$1, FALSE()))</f>
        <v>0</v>
      </c>
      <c r="H55" s="115" t="b">
        <f>IF(SotY_2025[[#This Row],[Round]]=$C$1, TRUE(), IF(SotY_2025[[#This Row],[Round]]=$B$1, SotY_2025[[#This Row],[Low Seed]]&lt;=2*SotY_2025[[#This Row],[Max Seed]]-$A$1, FALSE()))</f>
        <v>0</v>
      </c>
      <c r="I55" s="187"/>
      <c r="J55" s="188" t="s">
        <v>4191</v>
      </c>
      <c r="K55" s="189"/>
      <c r="L55" s="190" t="s">
        <v>4191</v>
      </c>
      <c r="M55" s="191"/>
      <c r="N5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Helena</v>
      </c>
      <c r="O55" s="105">
        <f>COUNTIF(SotY_2025[[#This Row],[J]:[H]],"x")</f>
        <v>2</v>
      </c>
      <c r="P55" s="115" t="str">
        <f ca="1">IF(SotY_2025[[#This Row],[Num]]&gt;=$A$1, "-", IF(SotY_2025[[#This Row],[Score 1]]&gt;=3, SotY_2025[[#This Row],[Song 1]], IF(SotY_2025[[#This Row],[Score 2]]&gt;=3, SotY_2025[[#This Row],[Song 2]], "TBD")))</f>
        <v>Animal</v>
      </c>
      <c r="Q55" s="193">
        <f>COUNTIF(SotY_2025[[#This Row],[H ]:[J ]],"x")</f>
        <v>3</v>
      </c>
      <c r="R5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Animal</v>
      </c>
      <c r="S55" s="191" t="s">
        <v>4191</v>
      </c>
      <c r="T55" s="190"/>
      <c r="U55" s="189" t="s">
        <v>4191</v>
      </c>
      <c r="V55" s="188"/>
      <c r="W55" s="198" t="s">
        <v>4191</v>
      </c>
      <c r="X5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55" s="109">
        <f t="shared" si="2"/>
        <v>143</v>
      </c>
      <c r="AA55" s="59">
        <v>45755</v>
      </c>
      <c r="AB55" t="str">
        <v>alappatjoe</v>
      </c>
      <c r="AC55" s="3">
        <v>2.4</v>
      </c>
      <c r="AD55" s="3">
        <v>1.019803902718557</v>
      </c>
      <c r="AE55" t="str">
        <v>Lady</v>
      </c>
      <c r="AF55" t="str">
        <v>Modjo</v>
      </c>
      <c r="AG55" s="100">
        <f t="shared" si="1"/>
        <v>129</v>
      </c>
      <c r="AI55" s="114">
        <f>SotY_2025[[#This Row],[Max Seed]]/2 + 1</f>
        <v>33</v>
      </c>
      <c r="AJ55" s="105" t="str">
        <f ca="1">IF(SotY_2025[[#This Row],[Num]]&gt;=$A$1, "-", IF(SotY_2025[[#This Row],[Score 1]]&gt;=3, SotY_2025[[#This Row],[Song 2]], IF(SotY_2025[[#This Row],[Score 2]]&gt;=3, SotY_2025[[#This Row],[Song 1]], "TBD")))</f>
        <v>Helena</v>
      </c>
      <c r="AK55" s="115">
        <f ca="1">IFERROR(VLOOKUP(SotY_2025_Results[[#This Row],[Song Title]], $AE$2:$AG$200, 3, FALSE)-SotY_2025_Results[[#This Row],[Result]], "TBD")</f>
        <v>-24</v>
      </c>
      <c r="AL55" s="112" t="str">
        <f ca="1">IF(SotY_2025_Results[[#This Row],[Diff]]&lt;0,"↓",IF(SotY_2025_Results[[#This Row],[Diff]]=0,"-","↑"))</f>
        <v>↓</v>
      </c>
    </row>
    <row r="56" spans="1:38">
      <c r="A56" s="197" t="str">
        <f>_xlfn.CONCAT("Seed ", SotY_2025[[#This Row],[Top Seed]], " vs ", SotY_2025[[#This Row],[Low Seed]])</f>
        <v>Seed 10 vs 55</v>
      </c>
      <c r="B56" s="115">
        <v>54</v>
      </c>
      <c r="C56" s="115">
        <f>FLOOR(LOG(SotY_2025[[#This Row],[Num]], 2), 1)</f>
        <v>5</v>
      </c>
      <c r="D56" s="115">
        <f>2^(SotY_2025[[#This Row],[Round]]+1)</f>
        <v>64</v>
      </c>
      <c r="E56" s="115">
        <f>SotY_2025[[#This Row],[Max Seed]]-SotY_2025[[#This Row],[Num]]</f>
        <v>10</v>
      </c>
      <c r="F56" s="115">
        <f>SotY_2025[[#This Row],[Max Seed]]-SotY_2025[[#This Row],[Top Seed]]+1</f>
        <v>55</v>
      </c>
      <c r="G56" s="115" t="b">
        <f>IF(SotY_2025[[#This Row],[Round]]=$C$1, TRUE(), IF(SotY_2025[[#This Row],[Round]]=$B$1, SotY_2025[[#This Row],[Top Seed]]&lt;=2*SotY_2025[[#This Row],[Max Seed]]-$A$1, FALSE()))</f>
        <v>0</v>
      </c>
      <c r="H56" s="115" t="b">
        <f>IF(SotY_2025[[#This Row],[Round]]=$C$1, TRUE(), IF(SotY_2025[[#This Row],[Round]]=$B$1, SotY_2025[[#This Row],[Low Seed]]&lt;=2*SotY_2025[[#This Row],[Max Seed]]-$A$1, FALSE()))</f>
        <v>0</v>
      </c>
      <c r="I56" s="187"/>
      <c r="J56" s="188"/>
      <c r="K56" s="189" t="s">
        <v>4191</v>
      </c>
      <c r="L56" s="190" t="s">
        <v>4191</v>
      </c>
      <c r="M56" s="191"/>
      <c r="N5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CLOVER</v>
      </c>
      <c r="O56" s="105">
        <f>COUNTIF(SotY_2025[[#This Row],[J]:[H]],"x")</f>
        <v>2</v>
      </c>
      <c r="P56" s="115" t="str">
        <f ca="1">IF(SotY_2025[[#This Row],[Num]]&gt;=$A$1, "-", IF(SotY_2025[[#This Row],[Score 1]]&gt;=3, SotY_2025[[#This Row],[Song 1]], IF(SotY_2025[[#This Row],[Score 2]]&gt;=3, SotY_2025[[#This Row],[Song 2]], "TBD")))</f>
        <v>on one tonight</v>
      </c>
      <c r="Q56" s="193">
        <f>COUNTIF(SotY_2025[[#This Row],[H ]:[J ]],"x")</f>
        <v>3</v>
      </c>
      <c r="R5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on one tonight</v>
      </c>
      <c r="S56" s="191" t="s">
        <v>4191</v>
      </c>
      <c r="T56" s="190"/>
      <c r="U56" s="189"/>
      <c r="V56" s="188" t="s">
        <v>4191</v>
      </c>
      <c r="W56" s="198" t="s">
        <v>4191</v>
      </c>
      <c r="X5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56" s="109">
        <f t="shared" si="2"/>
        <v>43</v>
      </c>
      <c r="AA56" s="59">
        <v>45756</v>
      </c>
      <c r="AB56" t="str">
        <v>danram</v>
      </c>
      <c r="AC56" s="3">
        <v>2</v>
      </c>
      <c r="AD56" s="3">
        <v>0.63245553203367588</v>
      </c>
      <c r="AE56" t="str">
        <v>Movin' Out (Anthony's Song)</v>
      </c>
      <c r="AF56" t="str">
        <v>Billy Joel</v>
      </c>
      <c r="AG56" s="100">
        <f t="shared" si="1"/>
        <v>33</v>
      </c>
      <c r="AI56" s="114">
        <f>SotY_2025[[#This Row],[Max Seed]]/2 + 1</f>
        <v>33</v>
      </c>
      <c r="AJ56" s="105" t="str">
        <f ca="1">IF(SotY_2025[[#This Row],[Num]]&gt;=$A$1, "-", IF(SotY_2025[[#This Row],[Score 1]]&gt;=3, SotY_2025[[#This Row],[Song 2]], IF(SotY_2025[[#This Row],[Score 2]]&gt;=3, SotY_2025[[#This Row],[Song 1]], "TBD")))</f>
        <v>CLOVER</v>
      </c>
      <c r="AK56" s="115">
        <f ca="1">IFERROR(VLOOKUP(SotY_2025_Results[[#This Row],[Song Title]], $AE$2:$AG$200, 3, FALSE)-SotY_2025_Results[[#This Row],[Result]], "TBD")</f>
        <v>-24</v>
      </c>
      <c r="AL56" s="112" t="str">
        <f ca="1">IF(SotY_2025_Results[[#This Row],[Diff]]&lt;0,"↓",IF(SotY_2025_Results[[#This Row],[Diff]]=0,"-","↑"))</f>
        <v>↓</v>
      </c>
    </row>
    <row r="57" spans="1:38">
      <c r="A57" s="197" t="str">
        <f>_xlfn.CONCAT("Seed ", SotY_2025[[#This Row],[Top Seed]], " vs ", SotY_2025[[#This Row],[Low Seed]])</f>
        <v>Seed 9 vs 56</v>
      </c>
      <c r="B57" s="115">
        <v>55</v>
      </c>
      <c r="C57" s="115">
        <f>FLOOR(LOG(SotY_2025[[#This Row],[Num]], 2), 1)</f>
        <v>5</v>
      </c>
      <c r="D57" s="115">
        <f>2^(SotY_2025[[#This Row],[Round]]+1)</f>
        <v>64</v>
      </c>
      <c r="E57" s="115">
        <f>SotY_2025[[#This Row],[Max Seed]]-SotY_2025[[#This Row],[Num]]</f>
        <v>9</v>
      </c>
      <c r="F57" s="115">
        <f>SotY_2025[[#This Row],[Max Seed]]-SotY_2025[[#This Row],[Top Seed]]+1</f>
        <v>56</v>
      </c>
      <c r="G57" s="115" t="b">
        <f>IF(SotY_2025[[#This Row],[Round]]=$C$1, TRUE(), IF(SotY_2025[[#This Row],[Round]]=$B$1, SotY_2025[[#This Row],[Top Seed]]&lt;=2*SotY_2025[[#This Row],[Max Seed]]-$A$1, FALSE()))</f>
        <v>0</v>
      </c>
      <c r="H57" s="115" t="b">
        <f>IF(SotY_2025[[#This Row],[Round]]=$C$1, TRUE(), IF(SotY_2025[[#This Row],[Round]]=$B$1, SotY_2025[[#This Row],[Low Seed]]&lt;=2*SotY_2025[[#This Row],[Max Seed]]-$A$1, FALSE()))</f>
        <v>0</v>
      </c>
      <c r="I57" s="187"/>
      <c r="J57" s="188" t="s">
        <v>4191</v>
      </c>
      <c r="K57" s="189" t="s">
        <v>4191</v>
      </c>
      <c r="L57" s="190" t="s">
        <v>4191</v>
      </c>
      <c r="M57" s="191"/>
      <c r="N5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KLOuFRENS</v>
      </c>
      <c r="O57" s="105">
        <f>COUNTIF(SotY_2025[[#This Row],[J]:[H]],"x")</f>
        <v>3</v>
      </c>
      <c r="P57" s="115" t="str">
        <f ca="1">IF(SotY_2025[[#This Row],[Num]]&gt;=$A$1, "-", IF(SotY_2025[[#This Row],[Score 1]]&gt;=3, SotY_2025[[#This Row],[Song 1]], IF(SotY_2025[[#This Row],[Score 2]]&gt;=3, SotY_2025[[#This Row],[Song 2]], "TBD")))</f>
        <v>KLOuFRENS</v>
      </c>
      <c r="Q57" s="193">
        <f>COUNTIF(SotY_2025[[#This Row],[H ]:[J ]],"x")</f>
        <v>2</v>
      </c>
      <c r="R5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endlessly</v>
      </c>
      <c r="S57" s="191" t="s">
        <v>4191</v>
      </c>
      <c r="T57" s="190"/>
      <c r="U57" s="189"/>
      <c r="V57" s="188"/>
      <c r="W57" s="198" t="s">
        <v>4191</v>
      </c>
      <c r="X5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57" s="109">
        <f t="shared" si="2"/>
        <v>179</v>
      </c>
      <c r="AA57" s="59">
        <v>45757</v>
      </c>
      <c r="AB57" t="str">
        <v>loganworsdell</v>
      </c>
      <c r="AC57" s="3">
        <v>2.6</v>
      </c>
      <c r="AD57" s="3">
        <v>1.019803902718557</v>
      </c>
      <c r="AE57" t="str">
        <v>Clocks</v>
      </c>
      <c r="AF57" t="str">
        <v>Coldplay</v>
      </c>
      <c r="AG57" s="100">
        <f t="shared" si="1"/>
        <v>129</v>
      </c>
      <c r="AI57" s="114">
        <f>SotY_2025[[#This Row],[Max Seed]]/2 + 1</f>
        <v>33</v>
      </c>
      <c r="AJ57" s="105" t="str">
        <f ca="1">IF(SotY_2025[[#This Row],[Num]]&gt;=$A$1, "-", IF(SotY_2025[[#This Row],[Score 1]]&gt;=3, SotY_2025[[#This Row],[Song 2]], IF(SotY_2025[[#This Row],[Score 2]]&gt;=3, SotY_2025[[#This Row],[Song 1]], "TBD")))</f>
        <v>endlessly</v>
      </c>
      <c r="AK57" s="115">
        <f ca="1">IFERROR(VLOOKUP(SotY_2025_Results[[#This Row],[Song Title]], $AE$2:$AG$200, 3, FALSE)-SotY_2025_Results[[#This Row],[Result]], "TBD")</f>
        <v>0</v>
      </c>
      <c r="AL57" s="112" t="str">
        <f ca="1">IF(SotY_2025_Results[[#This Row],[Diff]]&lt;0,"↓",IF(SotY_2025_Results[[#This Row],[Diff]]=0,"-","↑"))</f>
        <v>-</v>
      </c>
    </row>
    <row r="58" spans="1:38">
      <c r="A58" s="197" t="str">
        <f>_xlfn.CONCAT("Seed ", SotY_2025[[#This Row],[Top Seed]], " vs ", SotY_2025[[#This Row],[Low Seed]])</f>
        <v>Seed 8 vs 57</v>
      </c>
      <c r="B58" s="115">
        <v>56</v>
      </c>
      <c r="C58" s="115">
        <f>FLOOR(LOG(SotY_2025[[#This Row],[Num]], 2), 1)</f>
        <v>5</v>
      </c>
      <c r="D58" s="115">
        <f>2^(SotY_2025[[#This Row],[Round]]+1)</f>
        <v>64</v>
      </c>
      <c r="E58" s="115">
        <f>SotY_2025[[#This Row],[Max Seed]]-SotY_2025[[#This Row],[Num]]</f>
        <v>8</v>
      </c>
      <c r="F58" s="115">
        <f>SotY_2025[[#This Row],[Max Seed]]-SotY_2025[[#This Row],[Top Seed]]+1</f>
        <v>57</v>
      </c>
      <c r="G58" s="115" t="b">
        <f>IF(SotY_2025[[#This Row],[Round]]=$C$1, TRUE(), IF(SotY_2025[[#This Row],[Round]]=$B$1, SotY_2025[[#This Row],[Top Seed]]&lt;=2*SotY_2025[[#This Row],[Max Seed]]-$A$1, FALSE()))</f>
        <v>0</v>
      </c>
      <c r="H58" s="115" t="b">
        <f>IF(SotY_2025[[#This Row],[Round]]=$C$1, TRUE(), IF(SotY_2025[[#This Row],[Round]]=$B$1, SotY_2025[[#This Row],[Low Seed]]&lt;=2*SotY_2025[[#This Row],[Max Seed]]-$A$1, FALSE()))</f>
        <v>0</v>
      </c>
      <c r="I58" s="187" t="s">
        <v>4191</v>
      </c>
      <c r="J58" s="188"/>
      <c r="K58" s="189" t="s">
        <v>4191</v>
      </c>
      <c r="L58" s="190"/>
      <c r="M58" s="191"/>
      <c r="N5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PASAJERO</v>
      </c>
      <c r="O58" s="105">
        <f>COUNTIF(SotY_2025[[#This Row],[J]:[H]],"x")</f>
        <v>2</v>
      </c>
      <c r="P58" s="115" t="str">
        <f ca="1">IF(SotY_2025[[#This Row],[Num]]&gt;=$A$1, "-", IF(SotY_2025[[#This Row],[Score 1]]&gt;=3, SotY_2025[[#This Row],[Song 1]], IF(SotY_2025[[#This Row],[Score 2]]&gt;=3, SotY_2025[[#This Row],[Song 2]], "TBD")))</f>
        <v>Smells Like Teen Spirit</v>
      </c>
      <c r="Q58" s="193">
        <f>COUNTIF(SotY_2025[[#This Row],[H ]:[J ]],"x")</f>
        <v>3</v>
      </c>
      <c r="R5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Smells Like Teen Spirit</v>
      </c>
      <c r="S58" s="191" t="s">
        <v>4191</v>
      </c>
      <c r="T58" s="190" t="s">
        <v>4191</v>
      </c>
      <c r="U58" s="189"/>
      <c r="V58" s="188" t="s">
        <v>4191</v>
      </c>
      <c r="W58" s="198"/>
      <c r="X5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58" s="109">
        <f t="shared" si="2"/>
        <v>11</v>
      </c>
      <c r="AA58" s="59">
        <v>45761</v>
      </c>
      <c r="AB58" t="str">
        <v>danram</v>
      </c>
      <c r="AC58" s="3">
        <v>1.6</v>
      </c>
      <c r="AD58" s="3">
        <v>0.4898979485566356</v>
      </c>
      <c r="AE58" t="str">
        <v>Helena</v>
      </c>
      <c r="AF58" t="str">
        <v>My Chemical Romance</v>
      </c>
      <c r="AG58" s="100">
        <f t="shared" si="1"/>
        <v>9</v>
      </c>
      <c r="AI58" s="114">
        <f>SotY_2025[[#This Row],[Max Seed]]/2 + 1</f>
        <v>33</v>
      </c>
      <c r="AJ58" s="105" t="str">
        <f ca="1">IF(SotY_2025[[#This Row],[Num]]&gt;=$A$1, "-", IF(SotY_2025[[#This Row],[Score 1]]&gt;=3, SotY_2025[[#This Row],[Song 2]], IF(SotY_2025[[#This Row],[Score 2]]&gt;=3, SotY_2025[[#This Row],[Song 1]], "TBD")))</f>
        <v>PASAJERO</v>
      </c>
      <c r="AK58" s="115">
        <f ca="1">IFERROR(VLOOKUP(SotY_2025_Results[[#This Row],[Song Title]], $AE$2:$AG$200, 3, FALSE)-SotY_2025_Results[[#This Row],[Result]], "TBD")</f>
        <v>96</v>
      </c>
      <c r="AL58" s="112" t="str">
        <f ca="1">IF(SotY_2025_Results[[#This Row],[Diff]]&lt;0,"↓",IF(SotY_2025_Results[[#This Row],[Diff]]=0,"-","↑"))</f>
        <v>↑</v>
      </c>
    </row>
    <row r="59" spans="1:38">
      <c r="A59" s="197" t="str">
        <f>_xlfn.CONCAT("Seed ", SotY_2025[[#This Row],[Top Seed]], " vs ", SotY_2025[[#This Row],[Low Seed]])</f>
        <v>Seed 7 vs 58</v>
      </c>
      <c r="B59" s="115">
        <v>57</v>
      </c>
      <c r="C59" s="115">
        <f>FLOOR(LOG(SotY_2025[[#This Row],[Num]], 2), 1)</f>
        <v>5</v>
      </c>
      <c r="D59" s="115">
        <f>2^(SotY_2025[[#This Row],[Round]]+1)</f>
        <v>64</v>
      </c>
      <c r="E59" s="115">
        <f>SotY_2025[[#This Row],[Max Seed]]-SotY_2025[[#This Row],[Num]]</f>
        <v>7</v>
      </c>
      <c r="F59" s="115">
        <f>SotY_2025[[#This Row],[Max Seed]]-SotY_2025[[#This Row],[Top Seed]]+1</f>
        <v>58</v>
      </c>
      <c r="G59" s="115" t="b">
        <f>IF(SotY_2025[[#This Row],[Round]]=$C$1, TRUE(), IF(SotY_2025[[#This Row],[Round]]=$B$1, SotY_2025[[#This Row],[Top Seed]]&lt;=2*SotY_2025[[#This Row],[Max Seed]]-$A$1, FALSE()))</f>
        <v>0</v>
      </c>
      <c r="H59" s="115" t="b">
        <f>IF(SotY_2025[[#This Row],[Round]]=$C$1, TRUE(), IF(SotY_2025[[#This Row],[Round]]=$B$1, SotY_2025[[#This Row],[Low Seed]]&lt;=2*SotY_2025[[#This Row],[Max Seed]]-$A$1, FALSE()))</f>
        <v>0</v>
      </c>
      <c r="I59" s="187" t="s">
        <v>4191</v>
      </c>
      <c r="J59" s="188"/>
      <c r="K59" s="189" t="s">
        <v>4191</v>
      </c>
      <c r="L59" s="190"/>
      <c r="M59" s="191" t="s">
        <v>4191</v>
      </c>
      <c r="N5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Rather Be</v>
      </c>
      <c r="O59" s="105">
        <f>COUNTIF(SotY_2025[[#This Row],[J]:[H]],"x")</f>
        <v>3</v>
      </c>
      <c r="P59" s="115" t="str">
        <f ca="1">IF(SotY_2025[[#This Row],[Num]]&gt;=$A$1, "-", IF(SotY_2025[[#This Row],[Score 1]]&gt;=3, SotY_2025[[#This Row],[Song 1]], IF(SotY_2025[[#This Row],[Score 2]]&gt;=3, SotY_2025[[#This Row],[Song 2]], "TBD")))</f>
        <v>Rather Be</v>
      </c>
      <c r="Q59" s="193">
        <f>COUNTIF(SotY_2025[[#This Row],[H ]:[J ]],"x")</f>
        <v>2</v>
      </c>
      <c r="R5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bitter</v>
      </c>
      <c r="S59" s="191"/>
      <c r="T59" s="190" t="s">
        <v>4191</v>
      </c>
      <c r="U59" s="189"/>
      <c r="V59" s="188" t="s">
        <v>4191</v>
      </c>
      <c r="W59" s="198"/>
      <c r="X5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59" s="109">
        <f t="shared" si="2"/>
        <v>78</v>
      </c>
      <c r="AA59" s="59">
        <v>45762</v>
      </c>
      <c r="AB59" t="str">
        <v>danram</v>
      </c>
      <c r="AC59" s="3">
        <v>2.2000000000000002</v>
      </c>
      <c r="AD59" s="3">
        <v>0.4</v>
      </c>
      <c r="AE59" t="str">
        <v>(Don't Fear) The Reaper</v>
      </c>
      <c r="AF59" t="str">
        <v>Blue Oyster Cult</v>
      </c>
      <c r="AG59" s="100">
        <f t="shared" si="1"/>
        <v>65</v>
      </c>
      <c r="AI59" s="114">
        <f>SotY_2025[[#This Row],[Max Seed]]/2 + 1</f>
        <v>33</v>
      </c>
      <c r="AJ59" s="105" t="str">
        <f ca="1">IF(SotY_2025[[#This Row],[Num]]&gt;=$A$1, "-", IF(SotY_2025[[#This Row],[Score 1]]&gt;=3, SotY_2025[[#This Row],[Song 2]], IF(SotY_2025[[#This Row],[Score 2]]&gt;=3, SotY_2025[[#This Row],[Song 1]], "TBD")))</f>
        <v>bitter</v>
      </c>
      <c r="AK59" s="115">
        <f ca="1">IFERROR(VLOOKUP(SotY_2025_Results[[#This Row],[Song Title]], $AE$2:$AG$200, 3, FALSE)-SotY_2025_Results[[#This Row],[Result]], "TBD")</f>
        <v>32</v>
      </c>
      <c r="AL59" s="112" t="str">
        <f ca="1">IF(SotY_2025_Results[[#This Row],[Diff]]&lt;0,"↓",IF(SotY_2025_Results[[#This Row],[Diff]]=0,"-","↑"))</f>
        <v>↑</v>
      </c>
    </row>
    <row r="60" spans="1:38">
      <c r="A60" s="197" t="str">
        <f>_xlfn.CONCAT("Seed ", SotY_2025[[#This Row],[Top Seed]], " vs ", SotY_2025[[#This Row],[Low Seed]])</f>
        <v>Seed 6 vs 59</v>
      </c>
      <c r="B60" s="115">
        <v>58</v>
      </c>
      <c r="C60" s="115">
        <f>FLOOR(LOG(SotY_2025[[#This Row],[Num]], 2), 1)</f>
        <v>5</v>
      </c>
      <c r="D60" s="115">
        <f>2^(SotY_2025[[#This Row],[Round]]+1)</f>
        <v>64</v>
      </c>
      <c r="E60" s="115">
        <f>SotY_2025[[#This Row],[Max Seed]]-SotY_2025[[#This Row],[Num]]</f>
        <v>6</v>
      </c>
      <c r="F60" s="115">
        <f>SotY_2025[[#This Row],[Max Seed]]-SotY_2025[[#This Row],[Top Seed]]+1</f>
        <v>59</v>
      </c>
      <c r="G60" s="115" t="b">
        <f>IF(SotY_2025[[#This Row],[Round]]=$C$1, TRUE(), IF(SotY_2025[[#This Row],[Round]]=$B$1, SotY_2025[[#This Row],[Top Seed]]&lt;=2*SotY_2025[[#This Row],[Max Seed]]-$A$1, FALSE()))</f>
        <v>0</v>
      </c>
      <c r="H60" s="115" t="b">
        <f>IF(SotY_2025[[#This Row],[Round]]=$C$1, TRUE(), IF(SotY_2025[[#This Row],[Round]]=$B$1, SotY_2025[[#This Row],[Low Seed]]&lt;=2*SotY_2025[[#This Row],[Max Seed]]-$A$1, FALSE()))</f>
        <v>0</v>
      </c>
      <c r="I60" s="187" t="s">
        <v>4191</v>
      </c>
      <c r="J60" s="188" t="s">
        <v>4191</v>
      </c>
      <c r="K60" s="189"/>
      <c r="L60" s="190"/>
      <c r="M60" s="191" t="s">
        <v>4191</v>
      </c>
      <c r="N6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Cash In Cash Out</v>
      </c>
      <c r="O60" s="105">
        <f>COUNTIF(SotY_2025[[#This Row],[J]:[H]],"x")</f>
        <v>3</v>
      </c>
      <c r="P60" s="115" t="str">
        <f ca="1">IF(SotY_2025[[#This Row],[Num]]&gt;=$A$1, "-", IF(SotY_2025[[#This Row],[Score 1]]&gt;=3, SotY_2025[[#This Row],[Song 1]], IF(SotY_2025[[#This Row],[Score 2]]&gt;=3, SotY_2025[[#This Row],[Song 2]], "TBD")))</f>
        <v>Cash In Cash Out</v>
      </c>
      <c r="Q60" s="193">
        <f>COUNTIF(SotY_2025[[#This Row],[H ]:[J ]],"x")</f>
        <v>2</v>
      </c>
      <c r="R6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don't wanna break up again</v>
      </c>
      <c r="S60" s="191"/>
      <c r="T60" s="190" t="s">
        <v>4191</v>
      </c>
      <c r="U60" s="189" t="s">
        <v>4191</v>
      </c>
      <c r="V60" s="188"/>
      <c r="W60" s="198"/>
      <c r="X6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60" s="109">
        <f t="shared" si="2"/>
        <v>26</v>
      </c>
      <c r="AA60" s="59">
        <v>45763</v>
      </c>
      <c r="AB60" t="str">
        <v>currydestroyer27</v>
      </c>
      <c r="AC60" s="3">
        <v>1.8</v>
      </c>
      <c r="AD60" s="3">
        <v>0.74833147735478833</v>
      </c>
      <c r="AE60" t="str">
        <v>Temptation</v>
      </c>
      <c r="AF60" t="str">
        <v>Joey Bada$$</v>
      </c>
      <c r="AG60" s="100">
        <f t="shared" si="1"/>
        <v>17</v>
      </c>
      <c r="AI60" s="114">
        <f>SotY_2025[[#This Row],[Max Seed]]/2 + 1</f>
        <v>33</v>
      </c>
      <c r="AJ60" s="105" t="str">
        <f ca="1">IF(SotY_2025[[#This Row],[Num]]&gt;=$A$1, "-", IF(SotY_2025[[#This Row],[Score 1]]&gt;=3, SotY_2025[[#This Row],[Song 2]], IF(SotY_2025[[#This Row],[Score 2]]&gt;=3, SotY_2025[[#This Row],[Song 1]], "TBD")))</f>
        <v>don't wanna break up again</v>
      </c>
      <c r="AK60" s="115">
        <f ca="1">IFERROR(VLOOKUP(SotY_2025_Results[[#This Row],[Song Title]], $AE$2:$AG$200, 3, FALSE)-SotY_2025_Results[[#This Row],[Result]], "TBD")</f>
        <v>0</v>
      </c>
      <c r="AL60" s="112" t="str">
        <f ca="1">IF(SotY_2025_Results[[#This Row],[Diff]]&lt;0,"↓",IF(SotY_2025_Results[[#This Row],[Diff]]=0,"-","↑"))</f>
        <v>-</v>
      </c>
    </row>
    <row r="61" spans="1:38">
      <c r="A61" s="197" t="str">
        <f>_xlfn.CONCAT("Seed ", SotY_2025[[#This Row],[Top Seed]], " vs ", SotY_2025[[#This Row],[Low Seed]])</f>
        <v>Seed 5 vs 60</v>
      </c>
      <c r="B61" s="115">
        <v>59</v>
      </c>
      <c r="C61" s="115">
        <f>FLOOR(LOG(SotY_2025[[#This Row],[Num]], 2), 1)</f>
        <v>5</v>
      </c>
      <c r="D61" s="115">
        <f>2^(SotY_2025[[#This Row],[Round]]+1)</f>
        <v>64</v>
      </c>
      <c r="E61" s="115">
        <f>SotY_2025[[#This Row],[Max Seed]]-SotY_2025[[#This Row],[Num]]</f>
        <v>5</v>
      </c>
      <c r="F61" s="115">
        <f>SotY_2025[[#This Row],[Max Seed]]-SotY_2025[[#This Row],[Top Seed]]+1</f>
        <v>60</v>
      </c>
      <c r="G61" s="115" t="b">
        <f>IF(SotY_2025[[#This Row],[Round]]=$C$1, TRUE(), IF(SotY_2025[[#This Row],[Round]]=$B$1, SotY_2025[[#This Row],[Top Seed]]&lt;=2*SotY_2025[[#This Row],[Max Seed]]-$A$1, FALSE()))</f>
        <v>0</v>
      </c>
      <c r="H61" s="115" t="b">
        <f>IF(SotY_2025[[#This Row],[Round]]=$C$1, TRUE(), IF(SotY_2025[[#This Row],[Round]]=$B$1, SotY_2025[[#This Row],[Low Seed]]&lt;=2*SotY_2025[[#This Row],[Max Seed]]-$A$1, FALSE()))</f>
        <v>0</v>
      </c>
      <c r="I61" s="187" t="s">
        <v>4191</v>
      </c>
      <c r="J61" s="188" t="s">
        <v>4191</v>
      </c>
      <c r="K61" s="189" t="s">
        <v>4191</v>
      </c>
      <c r="L61" s="190" t="s">
        <v>4191</v>
      </c>
      <c r="M61" s="191" t="s">
        <v>4191</v>
      </c>
      <c r="N6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Umbrella</v>
      </c>
      <c r="O61" s="105">
        <f>COUNTIF(SotY_2025[[#This Row],[J]:[H]],"x")</f>
        <v>5</v>
      </c>
      <c r="P61" s="115" t="str">
        <f ca="1">IF(SotY_2025[[#This Row],[Num]]&gt;=$A$1, "-", IF(SotY_2025[[#This Row],[Score 1]]&gt;=3, SotY_2025[[#This Row],[Song 1]], IF(SotY_2025[[#This Row],[Score 2]]&gt;=3, SotY_2025[[#This Row],[Song 2]], "TBD")))</f>
        <v>Umbrella</v>
      </c>
      <c r="Q61" s="193">
        <f>COUNTIF(SotY_2025[[#This Row],[H ]:[J ]],"x")</f>
        <v>0</v>
      </c>
      <c r="R6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I Can't Win</v>
      </c>
      <c r="S61" s="191"/>
      <c r="T61" s="190"/>
      <c r="U61" s="189"/>
      <c r="V61" s="188"/>
      <c r="W61" s="198"/>
      <c r="X6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61" s="109">
        <f t="shared" si="2"/>
        <v>170</v>
      </c>
      <c r="AA61" s="59">
        <v>45764</v>
      </c>
      <c r="AB61" t="str">
        <v>alappatjoe</v>
      </c>
      <c r="AC61" s="3">
        <v>2.4</v>
      </c>
      <c r="AD61" s="3">
        <v>1.4966629547095767</v>
      </c>
      <c r="AE61" t="str">
        <v>Isis</v>
      </c>
      <c r="AF61" t="str">
        <v>Joyner Lucas, Logic</v>
      </c>
      <c r="AG61" s="100">
        <f t="shared" si="1"/>
        <v>129</v>
      </c>
      <c r="AI61" s="114">
        <f>SotY_2025[[#This Row],[Max Seed]]/2 + 1</f>
        <v>33</v>
      </c>
      <c r="AJ61" s="105" t="str">
        <f ca="1">IF(SotY_2025[[#This Row],[Num]]&gt;=$A$1, "-", IF(SotY_2025[[#This Row],[Score 1]]&gt;=3, SotY_2025[[#This Row],[Song 2]], IF(SotY_2025[[#This Row],[Score 2]]&gt;=3, SotY_2025[[#This Row],[Song 1]], "TBD")))</f>
        <v>I Can't Win</v>
      </c>
      <c r="AK61" s="115">
        <f ca="1">IFERROR(VLOOKUP(SotY_2025_Results[[#This Row],[Song Title]], $AE$2:$AG$200, 3, FALSE)-SotY_2025_Results[[#This Row],[Result]], "TBD")</f>
        <v>96</v>
      </c>
      <c r="AL61" s="112" t="str">
        <f ca="1">IF(SotY_2025_Results[[#This Row],[Diff]]&lt;0,"↓",IF(SotY_2025_Results[[#This Row],[Diff]]=0,"-","↑"))</f>
        <v>↑</v>
      </c>
    </row>
    <row r="62" spans="1:38">
      <c r="A62" s="197" t="str">
        <f>_xlfn.CONCAT("Seed ", SotY_2025[[#This Row],[Top Seed]], " vs ", SotY_2025[[#This Row],[Low Seed]])</f>
        <v>Seed 4 vs 61</v>
      </c>
      <c r="B62" s="115">
        <v>60</v>
      </c>
      <c r="C62" s="115">
        <f>FLOOR(LOG(SotY_2025[[#This Row],[Num]], 2), 1)</f>
        <v>5</v>
      </c>
      <c r="D62" s="115">
        <f>2^(SotY_2025[[#This Row],[Round]]+1)</f>
        <v>64</v>
      </c>
      <c r="E62" s="115">
        <f>SotY_2025[[#This Row],[Max Seed]]-SotY_2025[[#This Row],[Num]]</f>
        <v>4</v>
      </c>
      <c r="F62" s="115">
        <f>SotY_2025[[#This Row],[Max Seed]]-SotY_2025[[#This Row],[Top Seed]]+1</f>
        <v>61</v>
      </c>
      <c r="G62" s="115" t="b">
        <f>IF(SotY_2025[[#This Row],[Round]]=$C$1, TRUE(), IF(SotY_2025[[#This Row],[Round]]=$B$1, SotY_2025[[#This Row],[Top Seed]]&lt;=2*SotY_2025[[#This Row],[Max Seed]]-$A$1, FALSE()))</f>
        <v>0</v>
      </c>
      <c r="H62" s="115" t="b">
        <f>IF(SotY_2025[[#This Row],[Round]]=$C$1, TRUE(), IF(SotY_2025[[#This Row],[Round]]=$B$1, SotY_2025[[#This Row],[Low Seed]]&lt;=2*SotY_2025[[#This Row],[Max Seed]]-$A$1, FALSE()))</f>
        <v>0</v>
      </c>
      <c r="I62" s="187" t="s">
        <v>4191</v>
      </c>
      <c r="J62" s="188"/>
      <c r="K62" s="189"/>
      <c r="L62" s="190" t="s">
        <v>4191</v>
      </c>
      <c r="M62" s="191"/>
      <c r="N6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星屑のパイプライン</v>
      </c>
      <c r="O62" s="105">
        <f>COUNTIF(SotY_2025[[#This Row],[J]:[H]],"x")</f>
        <v>2</v>
      </c>
      <c r="P62" s="115" t="str">
        <f ca="1">IF(SotY_2025[[#This Row],[Num]]&gt;=$A$1, "-", IF(SotY_2025[[#This Row],[Score 1]]&gt;=3, SotY_2025[[#This Row],[Song 1]], IF(SotY_2025[[#This Row],[Score 2]]&gt;=3, SotY_2025[[#This Row],[Song 2]], "TBD")))</f>
        <v>Slowly</v>
      </c>
      <c r="Q62" s="193">
        <f>COUNTIF(SotY_2025[[#This Row],[H ]:[J ]],"x")</f>
        <v>3</v>
      </c>
      <c r="R6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Slowly</v>
      </c>
      <c r="S62" s="191" t="s">
        <v>4191</v>
      </c>
      <c r="T62" s="190"/>
      <c r="U62" s="189" t="s">
        <v>4191</v>
      </c>
      <c r="V62" s="188" t="s">
        <v>4191</v>
      </c>
      <c r="W62" s="198"/>
      <c r="X6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62" s="109">
        <f t="shared" si="2"/>
        <v>180</v>
      </c>
      <c r="AA62" s="59">
        <v>45768</v>
      </c>
      <c r="AB62" t="str">
        <v>samuelbattista</v>
      </c>
      <c r="AC62" s="3">
        <v>2.6</v>
      </c>
      <c r="AD62" s="3">
        <v>1.019803902718557</v>
      </c>
      <c r="AE62" t="str">
        <v>Your Direction</v>
      </c>
      <c r="AF62" t="str">
        <v>Goose</v>
      </c>
      <c r="AG62" s="100">
        <f t="shared" si="1"/>
        <v>129</v>
      </c>
      <c r="AI62" s="114">
        <f>SotY_2025[[#This Row],[Max Seed]]/2 + 1</f>
        <v>33</v>
      </c>
      <c r="AJ62" s="105" t="str">
        <f ca="1">IF(SotY_2025[[#This Row],[Num]]&gt;=$A$1, "-", IF(SotY_2025[[#This Row],[Score 1]]&gt;=3, SotY_2025[[#This Row],[Song 2]], IF(SotY_2025[[#This Row],[Score 2]]&gt;=3, SotY_2025[[#This Row],[Song 1]], "TBD")))</f>
        <v>星屑のパイプライン</v>
      </c>
      <c r="AK62" s="115">
        <f ca="1">IFERROR(VLOOKUP(SotY_2025_Results[[#This Row],[Song Title]], $AE$2:$AG$200, 3, FALSE)-SotY_2025_Results[[#This Row],[Result]], "TBD")</f>
        <v>-30</v>
      </c>
      <c r="AL62" s="112" t="str">
        <f ca="1">IF(SotY_2025_Results[[#This Row],[Diff]]&lt;0,"↓",IF(SotY_2025_Results[[#This Row],[Diff]]=0,"-","↑"))</f>
        <v>↓</v>
      </c>
    </row>
    <row r="63" spans="1:38">
      <c r="A63" s="197" t="str">
        <f>_xlfn.CONCAT("Seed ", SotY_2025[[#This Row],[Top Seed]], " vs ", SotY_2025[[#This Row],[Low Seed]])</f>
        <v>Seed 3 vs 62</v>
      </c>
      <c r="B63" s="115">
        <v>61</v>
      </c>
      <c r="C63" s="115">
        <f>FLOOR(LOG(SotY_2025[[#This Row],[Num]], 2), 1)</f>
        <v>5</v>
      </c>
      <c r="D63" s="115">
        <f>2^(SotY_2025[[#This Row],[Round]]+1)</f>
        <v>64</v>
      </c>
      <c r="E63" s="115">
        <f>SotY_2025[[#This Row],[Max Seed]]-SotY_2025[[#This Row],[Num]]</f>
        <v>3</v>
      </c>
      <c r="F63" s="115">
        <f>SotY_2025[[#This Row],[Max Seed]]-SotY_2025[[#This Row],[Top Seed]]+1</f>
        <v>62</v>
      </c>
      <c r="G63" s="115" t="b">
        <f>IF(SotY_2025[[#This Row],[Round]]=$C$1, TRUE(), IF(SotY_2025[[#This Row],[Round]]=$B$1, SotY_2025[[#This Row],[Top Seed]]&lt;=2*SotY_2025[[#This Row],[Max Seed]]-$A$1, FALSE()))</f>
        <v>0</v>
      </c>
      <c r="H63" s="115" t="b">
        <f>IF(SotY_2025[[#This Row],[Round]]=$C$1, TRUE(), IF(SotY_2025[[#This Row],[Round]]=$B$1, SotY_2025[[#This Row],[Low Seed]]&lt;=2*SotY_2025[[#This Row],[Max Seed]]-$A$1, FALSE()))</f>
        <v>0</v>
      </c>
      <c r="I63" s="187" t="s">
        <v>4191</v>
      </c>
      <c r="J63" s="188"/>
      <c r="K63" s="189"/>
      <c r="L63" s="190" t="s">
        <v>4191</v>
      </c>
      <c r="M63" s="191"/>
      <c r="N6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Money for Nothing</v>
      </c>
      <c r="O63" s="105">
        <f>COUNTIF(SotY_2025[[#This Row],[J]:[H]],"x")</f>
        <v>2</v>
      </c>
      <c r="P63" s="115" t="str">
        <f ca="1">IF(SotY_2025[[#This Row],[Num]]&gt;=$A$1, "-", IF(SotY_2025[[#This Row],[Score 1]]&gt;=3, SotY_2025[[#This Row],[Song 1]], IF(SotY_2025[[#This Row],[Score 2]]&gt;=3, SotY_2025[[#This Row],[Song 2]], "TBD")))</f>
        <v>Selfish</v>
      </c>
      <c r="Q63" s="193">
        <f>COUNTIF(SotY_2025[[#This Row],[H ]:[J ]],"x")</f>
        <v>3</v>
      </c>
      <c r="R6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Selfish</v>
      </c>
      <c r="S63" s="191" t="s">
        <v>4191</v>
      </c>
      <c r="T63" s="190"/>
      <c r="U63" s="189" t="s">
        <v>4191</v>
      </c>
      <c r="V63" s="188" t="s">
        <v>4191</v>
      </c>
      <c r="W63" s="198"/>
      <c r="X6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63" s="109">
        <f t="shared" si="2"/>
        <v>144</v>
      </c>
      <c r="AA63" s="59">
        <v>45769</v>
      </c>
      <c r="AB63" t="str">
        <v>loganworsdell</v>
      </c>
      <c r="AC63" s="3">
        <v>2.4</v>
      </c>
      <c r="AD63" s="3">
        <v>1.019803902718557</v>
      </c>
      <c r="AE63" t="str">
        <v>Dramaturgy</v>
      </c>
      <c r="AF63" t="str">
        <v>Eve</v>
      </c>
      <c r="AG63" s="100">
        <f t="shared" si="1"/>
        <v>129</v>
      </c>
      <c r="AI63" s="114">
        <f>SotY_2025[[#This Row],[Max Seed]]/2 + 1</f>
        <v>33</v>
      </c>
      <c r="AJ63" s="105" t="str">
        <f ca="1">IF(SotY_2025[[#This Row],[Num]]&gt;=$A$1, "-", IF(SotY_2025[[#This Row],[Score 1]]&gt;=3, SotY_2025[[#This Row],[Song 2]], IF(SotY_2025[[#This Row],[Score 2]]&gt;=3, SotY_2025[[#This Row],[Song 1]], "TBD")))</f>
        <v>Money for Nothing</v>
      </c>
      <c r="AK63" s="115">
        <f ca="1">IFERROR(VLOOKUP(SotY_2025_Results[[#This Row],[Song Title]], $AE$2:$AG$200, 3, FALSE)-SotY_2025_Results[[#This Row],[Result]], "TBD")</f>
        <v>-30</v>
      </c>
      <c r="AL63" s="112" t="str">
        <f ca="1">IF(SotY_2025_Results[[#This Row],[Diff]]&lt;0,"↓",IF(SotY_2025_Results[[#This Row],[Diff]]=0,"-","↑"))</f>
        <v>↓</v>
      </c>
    </row>
    <row r="64" spans="1:38">
      <c r="A64" s="197" t="str">
        <f>_xlfn.CONCAT("Seed ", SotY_2025[[#This Row],[Top Seed]], " vs ", SotY_2025[[#This Row],[Low Seed]])</f>
        <v>Seed 2 vs 63</v>
      </c>
      <c r="B64" s="115">
        <v>62</v>
      </c>
      <c r="C64" s="115">
        <f>FLOOR(LOG(SotY_2025[[#This Row],[Num]], 2), 1)</f>
        <v>5</v>
      </c>
      <c r="D64" s="115">
        <f>2^(SotY_2025[[#This Row],[Round]]+1)</f>
        <v>64</v>
      </c>
      <c r="E64" s="115">
        <f>SotY_2025[[#This Row],[Max Seed]]-SotY_2025[[#This Row],[Num]]</f>
        <v>2</v>
      </c>
      <c r="F64" s="115">
        <f>SotY_2025[[#This Row],[Max Seed]]-SotY_2025[[#This Row],[Top Seed]]+1</f>
        <v>63</v>
      </c>
      <c r="G64" s="115" t="b">
        <f>IF(SotY_2025[[#This Row],[Round]]=$C$1, TRUE(), IF(SotY_2025[[#This Row],[Round]]=$B$1, SotY_2025[[#This Row],[Top Seed]]&lt;=2*SotY_2025[[#This Row],[Max Seed]]-$A$1, FALSE()))</f>
        <v>0</v>
      </c>
      <c r="H64" s="115" t="b">
        <f>IF(SotY_2025[[#This Row],[Round]]=$C$1, TRUE(), IF(SotY_2025[[#This Row],[Round]]=$B$1, SotY_2025[[#This Row],[Low Seed]]&lt;=2*SotY_2025[[#This Row],[Max Seed]]-$A$1, FALSE()))</f>
        <v>0</v>
      </c>
      <c r="I64" s="187"/>
      <c r="J64" s="188" t="s">
        <v>4191</v>
      </c>
      <c r="K64" s="189" t="s">
        <v>4191</v>
      </c>
      <c r="L64" s="190"/>
      <c r="M64" s="191" t="s">
        <v>4191</v>
      </c>
      <c r="N6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Simple And Clean</v>
      </c>
      <c r="O64" s="105">
        <f>COUNTIF(SotY_2025[[#This Row],[J]:[H]],"x")</f>
        <v>3</v>
      </c>
      <c r="P64" s="115" t="str">
        <f ca="1">IF(SotY_2025[[#This Row],[Num]]&gt;=$A$1, "-", IF(SotY_2025[[#This Row],[Score 1]]&gt;=3, SotY_2025[[#This Row],[Song 1]], IF(SotY_2025[[#This Row],[Score 2]]&gt;=3, SotY_2025[[#This Row],[Song 2]], "TBD")))</f>
        <v>Simple And Clean</v>
      </c>
      <c r="Q64" s="193">
        <f>COUNTIF(SotY_2025[[#This Row],[H ]:[J ]],"x")</f>
        <v>2</v>
      </c>
      <c r="R6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SOUVENIR</v>
      </c>
      <c r="S64" s="191"/>
      <c r="T64" s="190" t="s">
        <v>4191</v>
      </c>
      <c r="U64" s="189"/>
      <c r="V64" s="188"/>
      <c r="W64" s="198" t="s">
        <v>4191</v>
      </c>
      <c r="X6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64" s="109">
        <f t="shared" si="2"/>
        <v>145</v>
      </c>
      <c r="AA64" s="59">
        <v>45770</v>
      </c>
      <c r="AB64" t="str">
        <v>currydestroyer27</v>
      </c>
      <c r="AC64" s="3">
        <v>2.4</v>
      </c>
      <c r="AD64" s="3">
        <v>1.019803902718557</v>
      </c>
      <c r="AE64" t="str">
        <v>I Think I Left the Stove On</v>
      </c>
      <c r="AF64" t="str">
        <v>Hotel Ugly</v>
      </c>
      <c r="AG64" s="100">
        <f t="shared" si="1"/>
        <v>129</v>
      </c>
      <c r="AI64" s="114">
        <f>SotY_2025[[#This Row],[Max Seed]]/2 + 1</f>
        <v>33</v>
      </c>
      <c r="AJ64" s="105" t="str">
        <f ca="1">IF(SotY_2025[[#This Row],[Num]]&gt;=$A$1, "-", IF(SotY_2025[[#This Row],[Score 1]]&gt;=3, SotY_2025[[#This Row],[Song 2]], IF(SotY_2025[[#This Row],[Score 2]]&gt;=3, SotY_2025[[#This Row],[Song 1]], "TBD")))</f>
        <v>SOUVENIR</v>
      </c>
      <c r="AK64" s="115">
        <f ca="1">IFERROR(VLOOKUP(SotY_2025_Results[[#This Row],[Song Title]], $AE$2:$AG$200, 3, FALSE)-SotY_2025_Results[[#This Row],[Result]], "TBD")</f>
        <v>0</v>
      </c>
      <c r="AL64" s="112" t="str">
        <f ca="1">IF(SotY_2025_Results[[#This Row],[Diff]]&lt;0,"↓",IF(SotY_2025_Results[[#This Row],[Diff]]=0,"-","↑"))</f>
        <v>-</v>
      </c>
    </row>
    <row r="65" spans="1:38">
      <c r="A65" s="197" t="str">
        <f>_xlfn.CONCAT("Seed ", SotY_2025[[#This Row],[Top Seed]], " vs ", SotY_2025[[#This Row],[Low Seed]])</f>
        <v>Seed 1 vs 64</v>
      </c>
      <c r="B65" s="115">
        <v>63</v>
      </c>
      <c r="C65" s="115">
        <f>FLOOR(LOG(SotY_2025[[#This Row],[Num]], 2), 1)</f>
        <v>5</v>
      </c>
      <c r="D65" s="115">
        <f>2^(SotY_2025[[#This Row],[Round]]+1)</f>
        <v>64</v>
      </c>
      <c r="E65" s="115">
        <f>SotY_2025[[#This Row],[Max Seed]]-SotY_2025[[#This Row],[Num]]</f>
        <v>1</v>
      </c>
      <c r="F65" s="115">
        <f>SotY_2025[[#This Row],[Max Seed]]-SotY_2025[[#This Row],[Top Seed]]+1</f>
        <v>64</v>
      </c>
      <c r="G65" s="115" t="b">
        <f>IF(SotY_2025[[#This Row],[Round]]=$C$1, TRUE(), IF(SotY_2025[[#This Row],[Round]]=$B$1, SotY_2025[[#This Row],[Top Seed]]&lt;=2*SotY_2025[[#This Row],[Max Seed]]-$A$1, FALSE()))</f>
        <v>0</v>
      </c>
      <c r="H65" s="115" t="b">
        <f>IF(SotY_2025[[#This Row],[Round]]=$C$1, TRUE(), IF(SotY_2025[[#This Row],[Round]]=$B$1, SotY_2025[[#This Row],[Low Seed]]&lt;=2*SotY_2025[[#This Row],[Max Seed]]-$A$1, FALSE()))</f>
        <v>0</v>
      </c>
      <c r="I65" s="187" t="s">
        <v>4191</v>
      </c>
      <c r="J65" s="188" t="s">
        <v>4191</v>
      </c>
      <c r="K65" s="189" t="s">
        <v>4191</v>
      </c>
      <c r="L65" s="190"/>
      <c r="M65" s="191" t="s">
        <v>4191</v>
      </c>
      <c r="N6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Billie Jean</v>
      </c>
      <c r="O65" s="105">
        <f>COUNTIF(SotY_2025[[#This Row],[J]:[H]],"x")</f>
        <v>4</v>
      </c>
      <c r="P65" s="115" t="str">
        <f ca="1">IF(SotY_2025[[#This Row],[Num]]&gt;=$A$1, "-", IF(SotY_2025[[#This Row],[Score 1]]&gt;=3, SotY_2025[[#This Row],[Song 1]], IF(SotY_2025[[#This Row],[Score 2]]&gt;=3, SotY_2025[[#This Row],[Song 2]], "TBD")))</f>
        <v>Billie Jean</v>
      </c>
      <c r="Q65" s="193">
        <f>COUNTIF(SotY_2025[[#This Row],[H ]:[J ]],"x")</f>
        <v>1</v>
      </c>
      <c r="R6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Ain't It Fun</v>
      </c>
      <c r="S65" s="191"/>
      <c r="T65" s="190" t="s">
        <v>4191</v>
      </c>
      <c r="U65" s="189"/>
      <c r="V65" s="188"/>
      <c r="W65" s="198"/>
      <c r="X6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65" s="109">
        <f t="shared" si="2"/>
        <v>12</v>
      </c>
      <c r="AA65" s="59">
        <v>45771</v>
      </c>
      <c r="AB65" t="str">
        <v>samuelbattista</v>
      </c>
      <c r="AC65" s="3">
        <v>1.6</v>
      </c>
      <c r="AD65" s="3">
        <v>0.4898979485566356</v>
      </c>
      <c r="AE65" t="str">
        <v>Never</v>
      </c>
      <c r="AF65" t="str">
        <v>Moving Pictures</v>
      </c>
      <c r="AG65" s="100">
        <f t="shared" si="1"/>
        <v>9</v>
      </c>
      <c r="AI65" s="114">
        <f>SotY_2025[[#This Row],[Max Seed]]/2 + 1</f>
        <v>33</v>
      </c>
      <c r="AJ65" s="105" t="str">
        <f ca="1">IF(SotY_2025[[#This Row],[Num]]&gt;=$A$1, "-", IF(SotY_2025[[#This Row],[Score 1]]&gt;=3, SotY_2025[[#This Row],[Song 2]], IF(SotY_2025[[#This Row],[Score 2]]&gt;=3, SotY_2025[[#This Row],[Song 1]], "TBD")))</f>
        <v>Ain't It Fun</v>
      </c>
      <c r="AK65" s="115">
        <f ca="1">IFERROR(VLOOKUP(SotY_2025_Results[[#This Row],[Song Title]], $AE$2:$AG$200, 3, FALSE)-SotY_2025_Results[[#This Row],[Result]], "TBD")</f>
        <v>0</v>
      </c>
      <c r="AL65" s="112" t="str">
        <f ca="1">IF(SotY_2025_Results[[#This Row],[Diff]]&lt;0,"↓",IF(SotY_2025_Results[[#This Row],[Diff]]=0,"-","↑"))</f>
        <v>-</v>
      </c>
    </row>
    <row r="66" spans="1:38">
      <c r="A66" s="197" t="str">
        <f>_xlfn.CONCAT("Seed ", SotY_2025[[#This Row],[Top Seed]], " vs ", SotY_2025[[#This Row],[Low Seed]])</f>
        <v>Seed 64 vs 65</v>
      </c>
      <c r="B66" s="115">
        <v>64</v>
      </c>
      <c r="C66" s="115">
        <f>FLOOR(LOG(SotY_2025[[#This Row],[Num]], 2), 1)</f>
        <v>6</v>
      </c>
      <c r="D66" s="115">
        <f>2^(SotY_2025[[#This Row],[Round]]+1)</f>
        <v>128</v>
      </c>
      <c r="E66" s="115">
        <f>SotY_2025[[#This Row],[Max Seed]]-SotY_2025[[#This Row],[Num]]</f>
        <v>64</v>
      </c>
      <c r="F66" s="115">
        <f>SotY_2025[[#This Row],[Max Seed]]-SotY_2025[[#This Row],[Top Seed]]+1</f>
        <v>65</v>
      </c>
      <c r="G66" s="115" t="b">
        <f>IF(SotY_2025[[#This Row],[Round]]=$C$1, TRUE(), IF(SotY_2025[[#This Row],[Round]]=$B$1, SotY_2025[[#This Row],[Top Seed]]&lt;=2*SotY_2025[[#This Row],[Max Seed]]-$A$1, FALSE()))</f>
        <v>0</v>
      </c>
      <c r="H66" s="115" t="b">
        <f>IF(SotY_2025[[#This Row],[Round]]=$C$1, TRUE(), IF(SotY_2025[[#This Row],[Round]]=$B$1, SotY_2025[[#This Row],[Low Seed]]&lt;=2*SotY_2025[[#This Row],[Max Seed]]-$A$1, FALSE()))</f>
        <v>0</v>
      </c>
      <c r="I66" s="187" t="s">
        <v>4191</v>
      </c>
      <c r="J66" s="188" t="s">
        <v>4191</v>
      </c>
      <c r="K66" s="189" t="s">
        <v>4191</v>
      </c>
      <c r="L66" s="190" t="s">
        <v>4191</v>
      </c>
      <c r="M66" s="191" t="s">
        <v>4191</v>
      </c>
      <c r="N6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Ain't It Fun</v>
      </c>
      <c r="O66" s="105">
        <f>COUNTIF(SotY_2025[[#This Row],[J]:[H]],"x")</f>
        <v>5</v>
      </c>
      <c r="P66" s="115" t="str">
        <f ca="1">IF(SotY_2025[[#This Row],[Num]]&gt;=$A$1, "-", IF(SotY_2025[[#This Row],[Score 1]]&gt;=3, SotY_2025[[#This Row],[Song 1]], IF(SotY_2025[[#This Row],[Score 2]]&gt;=3, SotY_2025[[#This Row],[Song 2]], "TBD")))</f>
        <v>Ain't It Fun</v>
      </c>
      <c r="Q66" s="193">
        <f>COUNTIF(SotY_2025[[#This Row],[H ]:[J ]],"x")</f>
        <v>0</v>
      </c>
      <c r="R6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Flagpole Sitta</v>
      </c>
      <c r="S66" s="191"/>
      <c r="T66" s="190"/>
      <c r="U66" s="189"/>
      <c r="V66" s="188"/>
      <c r="W66" s="198"/>
      <c r="X6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66" s="109">
        <f t="shared" ref="Z66:Z97" si="3">IF(AC66&gt;0, COUNTIF(AC$2:AC$200, "&lt;"&amp;AC66) + COUNTIFS(AC$2:AC$200, AC66, AD$2:AD$200, "&lt;"&amp;AD66) + COUNTIFS(AC$2:AC$200, AC66, AD$2:AD$200, AD66, AA$2:AA$200, "&lt;"&amp;AA66) + 1, "TBD")</f>
        <v>187</v>
      </c>
      <c r="AA66" s="59">
        <v>45775</v>
      </c>
      <c r="AB66" t="str">
        <v>currydestroyer27</v>
      </c>
      <c r="AC66" s="3">
        <v>2.6</v>
      </c>
      <c r="AD66" s="3">
        <v>1.2</v>
      </c>
      <c r="AE66" t="str">
        <v>Kizukeyo Baby</v>
      </c>
      <c r="AF66" t="str">
        <v>THE ORAL CIGARETTES</v>
      </c>
      <c r="AG66" s="100">
        <f t="shared" si="1"/>
        <v>129</v>
      </c>
      <c r="AI66" s="114">
        <f>SotY_2025[[#This Row],[Max Seed]]/2 + 1</f>
        <v>65</v>
      </c>
      <c r="AJ66" s="105" t="str">
        <f ca="1">IF(SotY_2025[[#This Row],[Num]]&gt;=$A$1, "-", IF(SotY_2025[[#This Row],[Score 1]]&gt;=3, SotY_2025[[#This Row],[Song 2]], IF(SotY_2025[[#This Row],[Score 2]]&gt;=3, SotY_2025[[#This Row],[Song 1]], "TBD")))</f>
        <v>Flagpole Sitta</v>
      </c>
      <c r="AK66" s="115">
        <f ca="1">IFERROR(VLOOKUP(SotY_2025_Results[[#This Row],[Song Title]], $AE$2:$AG$200, 3, FALSE)-SotY_2025_Results[[#This Row],[Result]], "TBD")</f>
        <v>0</v>
      </c>
      <c r="AL66" s="112" t="str">
        <f ca="1">IF(SotY_2025_Results[[#This Row],[Diff]]&lt;0,"↓",IF(SotY_2025_Results[[#This Row],[Diff]]=0,"-","↑"))</f>
        <v>-</v>
      </c>
    </row>
    <row r="67" spans="1:38">
      <c r="A67" s="197" t="str">
        <f>_xlfn.CONCAT("Seed ", SotY_2025[[#This Row],[Top Seed]], " vs ", SotY_2025[[#This Row],[Low Seed]])</f>
        <v>Seed 63 vs 66</v>
      </c>
      <c r="B67" s="115">
        <v>65</v>
      </c>
      <c r="C67" s="115">
        <f>FLOOR(LOG(SotY_2025[[#This Row],[Num]], 2), 1)</f>
        <v>6</v>
      </c>
      <c r="D67" s="115">
        <f>2^(SotY_2025[[#This Row],[Round]]+1)</f>
        <v>128</v>
      </c>
      <c r="E67" s="115">
        <f>SotY_2025[[#This Row],[Max Seed]]-SotY_2025[[#This Row],[Num]]</f>
        <v>63</v>
      </c>
      <c r="F67" s="115">
        <f>SotY_2025[[#This Row],[Max Seed]]-SotY_2025[[#This Row],[Top Seed]]+1</f>
        <v>66</v>
      </c>
      <c r="G67" s="115" t="b">
        <f>IF(SotY_2025[[#This Row],[Round]]=$C$1, TRUE(), IF(SotY_2025[[#This Row],[Round]]=$B$1, SotY_2025[[#This Row],[Top Seed]]&lt;=2*SotY_2025[[#This Row],[Max Seed]]-$A$1, FALSE()))</f>
        <v>0</v>
      </c>
      <c r="H67" s="115" t="b">
        <f>IF(SotY_2025[[#This Row],[Round]]=$C$1, TRUE(), IF(SotY_2025[[#This Row],[Round]]=$B$1, SotY_2025[[#This Row],[Low Seed]]&lt;=2*SotY_2025[[#This Row],[Max Seed]]-$A$1, FALSE()))</f>
        <v>0</v>
      </c>
      <c r="I67" s="187" t="s">
        <v>4191</v>
      </c>
      <c r="J67" s="188" t="s">
        <v>4191</v>
      </c>
      <c r="K67" s="189"/>
      <c r="L67" s="190" t="s">
        <v>4191</v>
      </c>
      <c r="M67" s="191" t="s">
        <v>4191</v>
      </c>
      <c r="N6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SOUVENIR</v>
      </c>
      <c r="O67" s="105">
        <f>COUNTIF(SotY_2025[[#This Row],[J]:[H]],"x")</f>
        <v>4</v>
      </c>
      <c r="P67" s="115" t="str">
        <f ca="1">IF(SotY_2025[[#This Row],[Num]]&gt;=$A$1, "-", IF(SotY_2025[[#This Row],[Score 1]]&gt;=3, SotY_2025[[#This Row],[Song 1]], IF(SotY_2025[[#This Row],[Score 2]]&gt;=3, SotY_2025[[#This Row],[Song 2]], "TBD")))</f>
        <v>SOUVENIR</v>
      </c>
      <c r="Q67" s="193">
        <f>COUNTIF(SotY_2025[[#This Row],[H ]:[J ]],"x")</f>
        <v>1</v>
      </c>
      <c r="R6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Long Beach</v>
      </c>
      <c r="S67" s="191"/>
      <c r="T67" s="190"/>
      <c r="U67" s="189" t="s">
        <v>4191</v>
      </c>
      <c r="V67" s="188"/>
      <c r="W67" s="198"/>
      <c r="X6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67" s="109">
        <f t="shared" si="3"/>
        <v>146</v>
      </c>
      <c r="AA67" s="59">
        <v>45776</v>
      </c>
      <c r="AB67" t="str">
        <v>loganworsdell</v>
      </c>
      <c r="AC67" s="3">
        <v>2.4</v>
      </c>
      <c r="AD67" s="3">
        <v>1.019803902718557</v>
      </c>
      <c r="AE67" t="str">
        <v>WASSUP</v>
      </c>
      <c r="AF67" t="str">
        <v>Young Miko</v>
      </c>
      <c r="AG67" s="100">
        <f t="shared" ref="AG67:AG130" si="4">IFERROR(IF(Z67&gt;1, 2^(FLOOR(LOG(Z67-1,2),1))+1, 1), "TBD")</f>
        <v>129</v>
      </c>
      <c r="AI67" s="114">
        <f>SotY_2025[[#This Row],[Max Seed]]/2 + 1</f>
        <v>65</v>
      </c>
      <c r="AJ67" s="105" t="str">
        <f ca="1">IF(SotY_2025[[#This Row],[Num]]&gt;=$A$1, "-", IF(SotY_2025[[#This Row],[Score 1]]&gt;=3, SotY_2025[[#This Row],[Song 2]], IF(SotY_2025[[#This Row],[Score 2]]&gt;=3, SotY_2025[[#This Row],[Song 1]], "TBD")))</f>
        <v>Long Beach</v>
      </c>
      <c r="AK67" s="115">
        <f ca="1">IFERROR(VLOOKUP(SotY_2025_Results[[#This Row],[Song Title]], $AE$2:$AG$200, 3, FALSE)-SotY_2025_Results[[#This Row],[Result]], "TBD")</f>
        <v>64</v>
      </c>
      <c r="AL67" s="112" t="str">
        <f ca="1">IF(SotY_2025_Results[[#This Row],[Diff]]&lt;0,"↓",IF(SotY_2025_Results[[#This Row],[Diff]]=0,"-","↑"))</f>
        <v>↑</v>
      </c>
    </row>
    <row r="68" spans="1:38">
      <c r="A68" s="197" t="str">
        <f>_xlfn.CONCAT("Seed ", SotY_2025[[#This Row],[Top Seed]], " vs ", SotY_2025[[#This Row],[Low Seed]])</f>
        <v>Seed 62 vs 67</v>
      </c>
      <c r="B68" s="115">
        <v>66</v>
      </c>
      <c r="C68" s="115">
        <f>FLOOR(LOG(SotY_2025[[#This Row],[Num]], 2), 1)</f>
        <v>6</v>
      </c>
      <c r="D68" s="115">
        <f>2^(SotY_2025[[#This Row],[Round]]+1)</f>
        <v>128</v>
      </c>
      <c r="E68" s="115">
        <f>SotY_2025[[#This Row],[Max Seed]]-SotY_2025[[#This Row],[Num]]</f>
        <v>62</v>
      </c>
      <c r="F68" s="115">
        <f>SotY_2025[[#This Row],[Max Seed]]-SotY_2025[[#This Row],[Top Seed]]+1</f>
        <v>67</v>
      </c>
      <c r="G68" s="115" t="b">
        <f>IF(SotY_2025[[#This Row],[Round]]=$C$1, TRUE(), IF(SotY_2025[[#This Row],[Round]]=$B$1, SotY_2025[[#This Row],[Top Seed]]&lt;=2*SotY_2025[[#This Row],[Max Seed]]-$A$1, FALSE()))</f>
        <v>0</v>
      </c>
      <c r="H68" s="115" t="b">
        <f>IF(SotY_2025[[#This Row],[Round]]=$C$1, TRUE(), IF(SotY_2025[[#This Row],[Round]]=$B$1, SotY_2025[[#This Row],[Low Seed]]&lt;=2*SotY_2025[[#This Row],[Max Seed]]-$A$1, FALSE()))</f>
        <v>0</v>
      </c>
      <c r="I68" s="187" t="s">
        <v>4191</v>
      </c>
      <c r="J68" s="188" t="s">
        <v>4191</v>
      </c>
      <c r="K68" s="189" t="s">
        <v>4191</v>
      </c>
      <c r="L68" s="190"/>
      <c r="M68" s="191" t="s">
        <v>4191</v>
      </c>
      <c r="N6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Selfish</v>
      </c>
      <c r="O68" s="105">
        <f>COUNTIF(SotY_2025[[#This Row],[J]:[H]],"x")</f>
        <v>4</v>
      </c>
      <c r="P68" s="115" t="str">
        <f ca="1">IF(SotY_2025[[#This Row],[Num]]&gt;=$A$1, "-", IF(SotY_2025[[#This Row],[Score 1]]&gt;=3, SotY_2025[[#This Row],[Song 1]], IF(SotY_2025[[#This Row],[Score 2]]&gt;=3, SotY_2025[[#This Row],[Song 2]], "TBD")))</f>
        <v>Selfish</v>
      </c>
      <c r="Q68" s="193">
        <f>COUNTIF(SotY_2025[[#This Row],[H ]:[J ]],"x")</f>
        <v>1</v>
      </c>
      <c r="R6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Lithium</v>
      </c>
      <c r="S68" s="191"/>
      <c r="T68" s="190" t="s">
        <v>4191</v>
      </c>
      <c r="U68" s="189"/>
      <c r="V68" s="188"/>
      <c r="W68" s="198"/>
      <c r="X6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68" s="109">
        <f t="shared" si="3"/>
        <v>44</v>
      </c>
      <c r="AA68" s="59">
        <v>45777</v>
      </c>
      <c r="AB68" t="str">
        <v>currydestroyer27</v>
      </c>
      <c r="AC68" s="3">
        <v>2</v>
      </c>
      <c r="AD68" s="3">
        <v>0.63245553203367588</v>
      </c>
      <c r="AE68" t="str">
        <v>光るなら</v>
      </c>
      <c r="AF68" t="str">
        <v>Goose House</v>
      </c>
      <c r="AG68" s="100">
        <f t="shared" si="4"/>
        <v>33</v>
      </c>
      <c r="AI68" s="114">
        <f>SotY_2025[[#This Row],[Max Seed]]/2 + 1</f>
        <v>65</v>
      </c>
      <c r="AJ68" s="105" t="str">
        <f ca="1">IF(SotY_2025[[#This Row],[Num]]&gt;=$A$1, "-", IF(SotY_2025[[#This Row],[Score 1]]&gt;=3, SotY_2025[[#This Row],[Song 2]], IF(SotY_2025[[#This Row],[Score 2]]&gt;=3, SotY_2025[[#This Row],[Song 1]], "TBD")))</f>
        <v>Lithium</v>
      </c>
      <c r="AK68" s="115">
        <f ca="1">IFERROR(VLOOKUP(SotY_2025_Results[[#This Row],[Song Title]], $AE$2:$AG$200, 3, FALSE)-SotY_2025_Results[[#This Row],[Result]], "TBD")</f>
        <v>64</v>
      </c>
      <c r="AL68" s="112" t="str">
        <f ca="1">IF(SotY_2025_Results[[#This Row],[Diff]]&lt;0,"↓",IF(SotY_2025_Results[[#This Row],[Diff]]=0,"-","↑"))</f>
        <v>↑</v>
      </c>
    </row>
    <row r="69" spans="1:38">
      <c r="A69" s="197" t="str">
        <f>_xlfn.CONCAT("Seed ", SotY_2025[[#This Row],[Top Seed]], " vs ", SotY_2025[[#This Row],[Low Seed]])</f>
        <v>Seed 61 vs 68</v>
      </c>
      <c r="B69" s="115">
        <v>67</v>
      </c>
      <c r="C69" s="115">
        <f>FLOOR(LOG(SotY_2025[[#This Row],[Num]], 2), 1)</f>
        <v>6</v>
      </c>
      <c r="D69" s="115">
        <f>2^(SotY_2025[[#This Row],[Round]]+1)</f>
        <v>128</v>
      </c>
      <c r="E69" s="115">
        <f>SotY_2025[[#This Row],[Max Seed]]-SotY_2025[[#This Row],[Num]]</f>
        <v>61</v>
      </c>
      <c r="F69" s="115">
        <f>SotY_2025[[#This Row],[Max Seed]]-SotY_2025[[#This Row],[Top Seed]]+1</f>
        <v>68</v>
      </c>
      <c r="G69" s="115" t="b">
        <f>IF(SotY_2025[[#This Row],[Round]]=$C$1, TRUE(), IF(SotY_2025[[#This Row],[Round]]=$B$1, SotY_2025[[#This Row],[Top Seed]]&lt;=2*SotY_2025[[#This Row],[Max Seed]]-$A$1, FALSE()))</f>
        <v>0</v>
      </c>
      <c r="H69" s="115" t="b">
        <f>IF(SotY_2025[[#This Row],[Round]]=$C$1, TRUE(), IF(SotY_2025[[#This Row],[Round]]=$B$1, SotY_2025[[#This Row],[Low Seed]]&lt;=2*SotY_2025[[#This Row],[Max Seed]]-$A$1, FALSE()))</f>
        <v>0</v>
      </c>
      <c r="I69" s="187" t="s">
        <v>4191</v>
      </c>
      <c r="J69" s="188"/>
      <c r="K69" s="189"/>
      <c r="L69" s="190"/>
      <c r="M69" s="191"/>
      <c r="N6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The Less I Know The Better</v>
      </c>
      <c r="O69" s="105">
        <f>COUNTIF(SotY_2025[[#This Row],[J]:[H]],"x")</f>
        <v>1</v>
      </c>
      <c r="P69" s="115" t="str">
        <f ca="1">IF(SotY_2025[[#This Row],[Num]]&gt;=$A$1, "-", IF(SotY_2025[[#This Row],[Score 1]]&gt;=3, SotY_2025[[#This Row],[Song 1]], IF(SotY_2025[[#This Row],[Score 2]]&gt;=3, SotY_2025[[#This Row],[Song 2]], "TBD")))</f>
        <v>Slowly</v>
      </c>
      <c r="Q69" s="193">
        <f>COUNTIF(SotY_2025[[#This Row],[H ]:[J ]],"x")</f>
        <v>4</v>
      </c>
      <c r="R6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Slowly</v>
      </c>
      <c r="S69" s="191" t="s">
        <v>4191</v>
      </c>
      <c r="T69" s="190" t="s">
        <v>4191</v>
      </c>
      <c r="U69" s="189" t="s">
        <v>4191</v>
      </c>
      <c r="V69" s="188" t="s">
        <v>4191</v>
      </c>
      <c r="W69" s="198"/>
      <c r="X6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69" s="109">
        <f t="shared" si="3"/>
        <v>130</v>
      </c>
      <c r="AA69" s="59">
        <v>45778</v>
      </c>
      <c r="AB69" t="str">
        <v>samuelbattista</v>
      </c>
      <c r="AC69" s="3">
        <v>2.4</v>
      </c>
      <c r="AD69" s="3">
        <v>0.8</v>
      </c>
      <c r="AE69" t="str">
        <v>15 Minutes</v>
      </c>
      <c r="AF69" t="str">
        <v>Sabrina Carpenter</v>
      </c>
      <c r="AG69" s="100">
        <f t="shared" si="4"/>
        <v>129</v>
      </c>
      <c r="AI69" s="114">
        <f>SotY_2025[[#This Row],[Max Seed]]/2 + 1</f>
        <v>65</v>
      </c>
      <c r="AJ69" s="105" t="str">
        <f ca="1">IF(SotY_2025[[#This Row],[Num]]&gt;=$A$1, "-", IF(SotY_2025[[#This Row],[Score 1]]&gt;=3, SotY_2025[[#This Row],[Song 2]], IF(SotY_2025[[#This Row],[Score 2]]&gt;=3, SotY_2025[[#This Row],[Song 1]], "TBD")))</f>
        <v>The Less I Know The Better</v>
      </c>
      <c r="AK69" s="115">
        <f ca="1">IFERROR(VLOOKUP(SotY_2025_Results[[#This Row],[Song Title]], $AE$2:$AG$200, 3, FALSE)-SotY_2025_Results[[#This Row],[Result]], "TBD")</f>
        <v>64</v>
      </c>
      <c r="AL69" s="112" t="str">
        <f ca="1">IF(SotY_2025_Results[[#This Row],[Diff]]&lt;0,"↓",IF(SotY_2025_Results[[#This Row],[Diff]]=0,"-","↑"))</f>
        <v>↑</v>
      </c>
    </row>
    <row r="70" spans="1:38">
      <c r="A70" s="197" t="str">
        <f>_xlfn.CONCAT("Seed ", SotY_2025[[#This Row],[Top Seed]], " vs ", SotY_2025[[#This Row],[Low Seed]])</f>
        <v>Seed 60 vs 69</v>
      </c>
      <c r="B70" s="115">
        <v>68</v>
      </c>
      <c r="C70" s="115">
        <f>FLOOR(LOG(SotY_2025[[#This Row],[Num]], 2), 1)</f>
        <v>6</v>
      </c>
      <c r="D70" s="115">
        <f>2^(SotY_2025[[#This Row],[Round]]+1)</f>
        <v>128</v>
      </c>
      <c r="E70" s="115">
        <f>SotY_2025[[#This Row],[Max Seed]]-SotY_2025[[#This Row],[Num]]</f>
        <v>60</v>
      </c>
      <c r="F70" s="115">
        <f>SotY_2025[[#This Row],[Max Seed]]-SotY_2025[[#This Row],[Top Seed]]+1</f>
        <v>69</v>
      </c>
      <c r="G70" s="115" t="b">
        <f>IF(SotY_2025[[#This Row],[Round]]=$C$1, TRUE(), IF(SotY_2025[[#This Row],[Round]]=$B$1, SotY_2025[[#This Row],[Top Seed]]&lt;=2*SotY_2025[[#This Row],[Max Seed]]-$A$1, FALSE()))</f>
        <v>0</v>
      </c>
      <c r="H70" s="115" t="b">
        <f>IF(SotY_2025[[#This Row],[Round]]=$C$1, TRUE(), IF(SotY_2025[[#This Row],[Round]]=$B$1, SotY_2025[[#This Row],[Low Seed]]&lt;=2*SotY_2025[[#This Row],[Max Seed]]-$A$1, FALSE()))</f>
        <v>0</v>
      </c>
      <c r="I70" s="187"/>
      <c r="J70" s="188"/>
      <c r="K70" s="189"/>
      <c r="L70" s="190" t="s">
        <v>4191</v>
      </c>
      <c r="M70" s="191"/>
      <c r="N7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Setting Sun</v>
      </c>
      <c r="O70" s="105">
        <f>COUNTIF(SotY_2025[[#This Row],[J]:[H]],"x")</f>
        <v>1</v>
      </c>
      <c r="P70" s="115" t="str">
        <f ca="1">IF(SotY_2025[[#This Row],[Num]]&gt;=$A$1, "-", IF(SotY_2025[[#This Row],[Score 1]]&gt;=3, SotY_2025[[#This Row],[Song 1]], IF(SotY_2025[[#This Row],[Score 2]]&gt;=3, SotY_2025[[#This Row],[Song 2]], "TBD")))</f>
        <v>I Can't Win</v>
      </c>
      <c r="Q70" s="193">
        <f>COUNTIF(SotY_2025[[#This Row],[H ]:[J ]],"x")</f>
        <v>4</v>
      </c>
      <c r="R7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I Can't Win</v>
      </c>
      <c r="S70" s="191" t="s">
        <v>4191</v>
      </c>
      <c r="T70" s="190"/>
      <c r="U70" s="189" t="s">
        <v>4191</v>
      </c>
      <c r="V70" s="188" t="s">
        <v>4191</v>
      </c>
      <c r="W70" s="198" t="s">
        <v>4191</v>
      </c>
      <c r="X7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70" s="109">
        <f t="shared" si="3"/>
        <v>113</v>
      </c>
      <c r="AA70" s="59">
        <v>45782</v>
      </c>
      <c r="AB70" t="str">
        <v>alappatjoe</v>
      </c>
      <c r="AC70" s="3">
        <v>2.2000000000000002</v>
      </c>
      <c r="AD70" s="3">
        <v>1.1661903789690602</v>
      </c>
      <c r="AE70" t="str">
        <v>After Midnight</v>
      </c>
      <c r="AF70" t="str">
        <v>Jordan Astra, Misha, Jussi Halme</v>
      </c>
      <c r="AG70" s="100">
        <f t="shared" si="4"/>
        <v>65</v>
      </c>
      <c r="AI70" s="114">
        <f>SotY_2025[[#This Row],[Max Seed]]/2 + 1</f>
        <v>65</v>
      </c>
      <c r="AJ70" s="105" t="str">
        <f ca="1">IF(SotY_2025[[#This Row],[Num]]&gt;=$A$1, "-", IF(SotY_2025[[#This Row],[Score 1]]&gt;=3, SotY_2025[[#This Row],[Song 2]], IF(SotY_2025[[#This Row],[Score 2]]&gt;=3, SotY_2025[[#This Row],[Song 1]], "TBD")))</f>
        <v>Setting Sun</v>
      </c>
      <c r="AK70" s="115">
        <f ca="1">IFERROR(VLOOKUP(SotY_2025_Results[[#This Row],[Song Title]], $AE$2:$AG$200, 3, FALSE)-SotY_2025_Results[[#This Row],[Result]], "TBD")</f>
        <v>64</v>
      </c>
      <c r="AL70" s="112" t="str">
        <f ca="1">IF(SotY_2025_Results[[#This Row],[Diff]]&lt;0,"↓",IF(SotY_2025_Results[[#This Row],[Diff]]=0,"-","↑"))</f>
        <v>↑</v>
      </c>
    </row>
    <row r="71" spans="1:38">
      <c r="A71" s="197" t="str">
        <f>_xlfn.CONCAT("Seed ", SotY_2025[[#This Row],[Top Seed]], " vs ", SotY_2025[[#This Row],[Low Seed]])</f>
        <v>Seed 59 vs 70</v>
      </c>
      <c r="B71" s="115">
        <v>69</v>
      </c>
      <c r="C71" s="115">
        <f>FLOOR(LOG(SotY_2025[[#This Row],[Num]], 2), 1)</f>
        <v>6</v>
      </c>
      <c r="D71" s="115">
        <f>2^(SotY_2025[[#This Row],[Round]]+1)</f>
        <v>128</v>
      </c>
      <c r="E71" s="115">
        <f>SotY_2025[[#This Row],[Max Seed]]-SotY_2025[[#This Row],[Num]]</f>
        <v>59</v>
      </c>
      <c r="F71" s="115">
        <f>SotY_2025[[#This Row],[Max Seed]]-SotY_2025[[#This Row],[Top Seed]]+1</f>
        <v>70</v>
      </c>
      <c r="G71" s="115" t="b">
        <f>IF(SotY_2025[[#This Row],[Round]]=$C$1, TRUE(), IF(SotY_2025[[#This Row],[Round]]=$B$1, SotY_2025[[#This Row],[Top Seed]]&lt;=2*SotY_2025[[#This Row],[Max Seed]]-$A$1, FALSE()))</f>
        <v>0</v>
      </c>
      <c r="H71" s="115" t="b">
        <f>IF(SotY_2025[[#This Row],[Round]]=$C$1, TRUE(), IF(SotY_2025[[#This Row],[Round]]=$B$1, SotY_2025[[#This Row],[Low Seed]]&lt;=2*SotY_2025[[#This Row],[Max Seed]]-$A$1, FALSE()))</f>
        <v>0</v>
      </c>
      <c r="I71" s="187" t="s">
        <v>4191</v>
      </c>
      <c r="J71" s="188" t="s">
        <v>4191</v>
      </c>
      <c r="K71" s="189" t="s">
        <v>4191</v>
      </c>
      <c r="L71" s="190" t="s">
        <v>4191</v>
      </c>
      <c r="M71" s="191"/>
      <c r="N7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don't wanna break up again</v>
      </c>
      <c r="O71" s="105">
        <f>COUNTIF(SotY_2025[[#This Row],[J]:[H]],"x")</f>
        <v>4</v>
      </c>
      <c r="P71" s="115" t="str">
        <f ca="1">IF(SotY_2025[[#This Row],[Num]]&gt;=$A$1, "-", IF(SotY_2025[[#This Row],[Score 1]]&gt;=3, SotY_2025[[#This Row],[Song 1]], IF(SotY_2025[[#This Row],[Score 2]]&gt;=3, SotY_2025[[#This Row],[Song 2]], "TBD")))</f>
        <v>don't wanna break up again</v>
      </c>
      <c r="Q71" s="193">
        <f>COUNTIF(SotY_2025[[#This Row],[H ]:[J ]],"x")</f>
        <v>1</v>
      </c>
      <c r="R7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Kizukeyo Baby</v>
      </c>
      <c r="S71" s="191" t="s">
        <v>4191</v>
      </c>
      <c r="T71" s="190"/>
      <c r="U71" s="189"/>
      <c r="V71" s="188"/>
      <c r="W71" s="198"/>
      <c r="X7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71" s="109">
        <f t="shared" si="3"/>
        <v>86</v>
      </c>
      <c r="AA71" s="59">
        <v>45783</v>
      </c>
      <c r="AB71" t="str">
        <v>loganworsdell</v>
      </c>
      <c r="AC71" s="3">
        <v>2.2000000000000002</v>
      </c>
      <c r="AD71" s="3">
        <v>0.74833147735478833</v>
      </c>
      <c r="AE71" t="str">
        <v>venus fly trap</v>
      </c>
      <c r="AF71" t="str">
        <v>brakence</v>
      </c>
      <c r="AG71" s="100">
        <f t="shared" si="4"/>
        <v>65</v>
      </c>
      <c r="AI71" s="114">
        <f>SotY_2025[[#This Row],[Max Seed]]/2 + 1</f>
        <v>65</v>
      </c>
      <c r="AJ71" s="105" t="str">
        <f ca="1">IF(SotY_2025[[#This Row],[Num]]&gt;=$A$1, "-", IF(SotY_2025[[#This Row],[Score 1]]&gt;=3, SotY_2025[[#This Row],[Song 2]], IF(SotY_2025[[#This Row],[Score 2]]&gt;=3, SotY_2025[[#This Row],[Song 1]], "TBD")))</f>
        <v>Kizukeyo Baby</v>
      </c>
      <c r="AK71" s="115">
        <f ca="1">IFERROR(VLOOKUP(SotY_2025_Results[[#This Row],[Song Title]], $AE$2:$AG$200, 3, FALSE)-SotY_2025_Results[[#This Row],[Result]], "TBD")</f>
        <v>64</v>
      </c>
      <c r="AL71" s="112" t="str">
        <f ca="1">IF(SotY_2025_Results[[#This Row],[Diff]]&lt;0,"↓",IF(SotY_2025_Results[[#This Row],[Diff]]=0,"-","↑"))</f>
        <v>↑</v>
      </c>
    </row>
    <row r="72" spans="1:38">
      <c r="A72" s="197" t="str">
        <f>_xlfn.CONCAT("Seed ", SotY_2025[[#This Row],[Top Seed]], " vs ", SotY_2025[[#This Row],[Low Seed]])</f>
        <v>Seed 58 vs 71</v>
      </c>
      <c r="B72" s="115">
        <v>70</v>
      </c>
      <c r="C72" s="115">
        <f>FLOOR(LOG(SotY_2025[[#This Row],[Num]], 2), 1)</f>
        <v>6</v>
      </c>
      <c r="D72" s="115">
        <f>2^(SotY_2025[[#This Row],[Round]]+1)</f>
        <v>128</v>
      </c>
      <c r="E72" s="115">
        <f>SotY_2025[[#This Row],[Max Seed]]-SotY_2025[[#This Row],[Num]]</f>
        <v>58</v>
      </c>
      <c r="F72" s="115">
        <f>SotY_2025[[#This Row],[Max Seed]]-SotY_2025[[#This Row],[Top Seed]]+1</f>
        <v>71</v>
      </c>
      <c r="G72" s="115" t="b">
        <f>IF(SotY_2025[[#This Row],[Round]]=$C$1, TRUE(), IF(SotY_2025[[#This Row],[Round]]=$B$1, SotY_2025[[#This Row],[Top Seed]]&lt;=2*SotY_2025[[#This Row],[Max Seed]]-$A$1, FALSE()))</f>
        <v>0</v>
      </c>
      <c r="H72" s="115" t="b">
        <f>IF(SotY_2025[[#This Row],[Round]]=$C$1, TRUE(), IF(SotY_2025[[#This Row],[Round]]=$B$1, SotY_2025[[#This Row],[Low Seed]]&lt;=2*SotY_2025[[#This Row],[Max Seed]]-$A$1, FALSE()))</f>
        <v>0</v>
      </c>
      <c r="I72" s="187" t="s">
        <v>4191</v>
      </c>
      <c r="J72" s="188"/>
      <c r="K72" s="189" t="s">
        <v>4191</v>
      </c>
      <c r="L72" s="190"/>
      <c r="M72" s="191"/>
      <c r="N7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i</v>
      </c>
      <c r="O72" s="105">
        <f>COUNTIF(SotY_2025[[#This Row],[J]:[H]],"x")</f>
        <v>2</v>
      </c>
      <c r="P72" s="115" t="str">
        <f ca="1">IF(SotY_2025[[#This Row],[Num]]&gt;=$A$1, "-", IF(SotY_2025[[#This Row],[Score 1]]&gt;=3, SotY_2025[[#This Row],[Song 1]], IF(SotY_2025[[#This Row],[Score 2]]&gt;=3, SotY_2025[[#This Row],[Song 2]], "TBD")))</f>
        <v>bitter</v>
      </c>
      <c r="Q72" s="193">
        <f>COUNTIF(SotY_2025[[#This Row],[H ]:[J ]],"x")</f>
        <v>3</v>
      </c>
      <c r="R7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bitter</v>
      </c>
      <c r="S72" s="191" t="s">
        <v>4191</v>
      </c>
      <c r="T72" s="190" t="s">
        <v>4191</v>
      </c>
      <c r="U72" s="189"/>
      <c r="V72" s="188" t="s">
        <v>4191</v>
      </c>
      <c r="W72" s="198"/>
      <c r="X7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72" s="109">
        <f t="shared" si="3"/>
        <v>188</v>
      </c>
      <c r="AA72" s="59">
        <v>45784</v>
      </c>
      <c r="AB72" t="str">
        <v>danram</v>
      </c>
      <c r="AC72" s="3">
        <v>2.6</v>
      </c>
      <c r="AD72" s="3">
        <v>1.2</v>
      </c>
      <c r="AE72" t="str">
        <v>I Can't Win</v>
      </c>
      <c r="AF72" t="str">
        <v>The Strokes</v>
      </c>
      <c r="AG72" s="100">
        <f t="shared" si="4"/>
        <v>129</v>
      </c>
      <c r="AI72" s="114">
        <f>SotY_2025[[#This Row],[Max Seed]]/2 + 1</f>
        <v>65</v>
      </c>
      <c r="AJ72" s="105" t="str">
        <f ca="1">IF(SotY_2025[[#This Row],[Num]]&gt;=$A$1, "-", IF(SotY_2025[[#This Row],[Score 1]]&gt;=3, SotY_2025[[#This Row],[Song 2]], IF(SotY_2025[[#This Row],[Score 2]]&gt;=3, SotY_2025[[#This Row],[Song 1]], "TBD")))</f>
        <v>i</v>
      </c>
      <c r="AK72" s="115">
        <f ca="1">IFERROR(VLOOKUP(SotY_2025_Results[[#This Row],[Song Title]], $AE$2:$AG$200, 3, FALSE)-SotY_2025_Results[[#This Row],[Result]], "TBD")</f>
        <v>-32</v>
      </c>
      <c r="AL72" s="112" t="str">
        <f ca="1">IF(SotY_2025_Results[[#This Row],[Diff]]&lt;0,"↓",IF(SotY_2025_Results[[#This Row],[Diff]]=0,"-","↑"))</f>
        <v>↓</v>
      </c>
    </row>
    <row r="73" spans="1:38">
      <c r="A73" s="197" t="str">
        <f>_xlfn.CONCAT("Seed ", SotY_2025[[#This Row],[Top Seed]], " vs ", SotY_2025[[#This Row],[Low Seed]])</f>
        <v>Seed 57 vs 72</v>
      </c>
      <c r="B73" s="115">
        <v>71</v>
      </c>
      <c r="C73" s="115">
        <f>FLOOR(LOG(SotY_2025[[#This Row],[Num]], 2), 1)</f>
        <v>6</v>
      </c>
      <c r="D73" s="115">
        <f>2^(SotY_2025[[#This Row],[Round]]+1)</f>
        <v>128</v>
      </c>
      <c r="E73" s="115">
        <f>SotY_2025[[#This Row],[Max Seed]]-SotY_2025[[#This Row],[Num]]</f>
        <v>57</v>
      </c>
      <c r="F73" s="115">
        <f>SotY_2025[[#This Row],[Max Seed]]-SotY_2025[[#This Row],[Top Seed]]+1</f>
        <v>72</v>
      </c>
      <c r="G73" s="115" t="b">
        <f>IF(SotY_2025[[#This Row],[Round]]=$C$1, TRUE(), IF(SotY_2025[[#This Row],[Round]]=$B$1, SotY_2025[[#This Row],[Top Seed]]&lt;=2*SotY_2025[[#This Row],[Max Seed]]-$A$1, FALSE()))</f>
        <v>1</v>
      </c>
      <c r="H73" s="115" t="b">
        <f>IF(SotY_2025[[#This Row],[Round]]=$C$1, TRUE(), IF(SotY_2025[[#This Row],[Round]]=$B$1, SotY_2025[[#This Row],[Low Seed]]&lt;=2*SotY_2025[[#This Row],[Max Seed]]-$A$1, FALSE()))</f>
        <v>0</v>
      </c>
      <c r="I73" s="187" t="s">
        <v>4191</v>
      </c>
      <c r="J73" s="188"/>
      <c r="K73" s="189"/>
      <c r="L73" s="190"/>
      <c r="M73" s="191"/>
      <c r="N7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Like I Do</v>
      </c>
      <c r="O73" s="105">
        <f>COUNTIF(SotY_2025[[#This Row],[J]:[H]],"x")</f>
        <v>1</v>
      </c>
      <c r="P73" s="115" t="str">
        <f ca="1">IF(SotY_2025[[#This Row],[Num]]&gt;=$A$1, "-", IF(SotY_2025[[#This Row],[Score 1]]&gt;=3, SotY_2025[[#This Row],[Song 1]], IF(SotY_2025[[#This Row],[Score 2]]&gt;=3, SotY_2025[[#This Row],[Song 2]], "TBD")))</f>
        <v>Smells Like Teen Spirit</v>
      </c>
      <c r="Q73" s="193">
        <f>COUNTIF(SotY_2025[[#This Row],[H ]:[J ]],"x")</f>
        <v>4</v>
      </c>
      <c r="R7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Smells Like Teen Spirit</v>
      </c>
      <c r="S73" s="191" t="s">
        <v>4191</v>
      </c>
      <c r="T73" s="190" t="s">
        <v>4191</v>
      </c>
      <c r="U73" s="189" t="s">
        <v>4191</v>
      </c>
      <c r="V73" s="188" t="s">
        <v>4191</v>
      </c>
      <c r="W73" s="198"/>
      <c r="X7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73" s="109">
        <f t="shared" si="3"/>
        <v>160</v>
      </c>
      <c r="AA73" s="59">
        <v>45785</v>
      </c>
      <c r="AB73" t="str">
        <v>alappatjoe</v>
      </c>
      <c r="AC73" s="3">
        <v>2.4</v>
      </c>
      <c r="AD73" s="3">
        <v>1.2</v>
      </c>
      <c r="AE73" t="str">
        <v>Right Round</v>
      </c>
      <c r="AF73" t="str">
        <v>Flo Rida, Kesha</v>
      </c>
      <c r="AG73" s="100">
        <f t="shared" si="4"/>
        <v>129</v>
      </c>
      <c r="AI73" s="114">
        <f>SotY_2025[[#This Row],[Max Seed]]/2 + 1</f>
        <v>65</v>
      </c>
      <c r="AJ73" s="105" t="str">
        <f ca="1">IF(SotY_2025[[#This Row],[Num]]&gt;=$A$1, "-", IF(SotY_2025[[#This Row],[Score 1]]&gt;=3, SotY_2025[[#This Row],[Song 2]], IF(SotY_2025[[#This Row],[Score 2]]&gt;=3, SotY_2025[[#This Row],[Song 1]], "TBD")))</f>
        <v>Like I Do</v>
      </c>
      <c r="AK73" s="115">
        <f ca="1">IFERROR(VLOOKUP(SotY_2025_Results[[#This Row],[Song Title]], $AE$2:$AG$200, 3, FALSE)-SotY_2025_Results[[#This Row],[Result]], "TBD")</f>
        <v>-32</v>
      </c>
      <c r="AL73" s="112" t="str">
        <f ca="1">IF(SotY_2025_Results[[#This Row],[Diff]]&lt;0,"↓",IF(SotY_2025_Results[[#This Row],[Diff]]=0,"-","↑"))</f>
        <v>↓</v>
      </c>
    </row>
    <row r="74" spans="1:38">
      <c r="A74" s="197" t="str">
        <f>_xlfn.CONCAT("Seed ", SotY_2025[[#This Row],[Top Seed]], " vs ", SotY_2025[[#This Row],[Low Seed]])</f>
        <v>Seed 56 vs 73</v>
      </c>
      <c r="B74" s="115">
        <v>72</v>
      </c>
      <c r="C74" s="115">
        <f>FLOOR(LOG(SotY_2025[[#This Row],[Num]], 2), 1)</f>
        <v>6</v>
      </c>
      <c r="D74" s="115">
        <f>2^(SotY_2025[[#This Row],[Round]]+1)</f>
        <v>128</v>
      </c>
      <c r="E74" s="115">
        <f>SotY_2025[[#This Row],[Max Seed]]-SotY_2025[[#This Row],[Num]]</f>
        <v>56</v>
      </c>
      <c r="F74" s="115">
        <f>SotY_2025[[#This Row],[Max Seed]]-SotY_2025[[#This Row],[Top Seed]]+1</f>
        <v>73</v>
      </c>
      <c r="G74" s="115" t="b">
        <f>IF(SotY_2025[[#This Row],[Round]]=$C$1, TRUE(), IF(SotY_2025[[#This Row],[Round]]=$B$1, SotY_2025[[#This Row],[Top Seed]]&lt;=2*SotY_2025[[#This Row],[Max Seed]]-$A$1, FALSE()))</f>
        <v>1</v>
      </c>
      <c r="H74" s="115" t="b">
        <f>IF(SotY_2025[[#This Row],[Round]]=$C$1, TRUE(), IF(SotY_2025[[#This Row],[Round]]=$B$1, SotY_2025[[#This Row],[Low Seed]]&lt;=2*SotY_2025[[#This Row],[Max Seed]]-$A$1, FALSE()))</f>
        <v>0</v>
      </c>
      <c r="I74" s="187"/>
      <c r="J74" s="188"/>
      <c r="K74" s="189" t="s">
        <v>4191</v>
      </c>
      <c r="L74" s="190" t="s">
        <v>4191</v>
      </c>
      <c r="M74" s="191" t="s">
        <v>4191</v>
      </c>
      <c r="N7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endlessly</v>
      </c>
      <c r="O74" s="105">
        <f>COUNTIF(SotY_2025[[#This Row],[J]:[H]],"x")</f>
        <v>3</v>
      </c>
      <c r="P74" s="115" t="str">
        <f ca="1">IF(SotY_2025[[#This Row],[Num]]&gt;=$A$1, "-", IF(SotY_2025[[#This Row],[Score 1]]&gt;=3, SotY_2025[[#This Row],[Song 1]], IF(SotY_2025[[#This Row],[Score 2]]&gt;=3, SotY_2025[[#This Row],[Song 2]], "TBD")))</f>
        <v>endlessly</v>
      </c>
      <c r="Q74" s="193">
        <f>COUNTIF(SotY_2025[[#This Row],[H ]:[J ]],"x")</f>
        <v>2</v>
      </c>
      <c r="R7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the boy is mine</v>
      </c>
      <c r="S74" s="191"/>
      <c r="T74" s="190"/>
      <c r="U74" s="189"/>
      <c r="V74" s="188" t="s">
        <v>4191</v>
      </c>
      <c r="W74" s="198" t="s">
        <v>4191</v>
      </c>
      <c r="X7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74" s="109">
        <f t="shared" si="3"/>
        <v>177</v>
      </c>
      <c r="AA74" s="59">
        <v>45789</v>
      </c>
      <c r="AB74" t="str">
        <v>samuelbattista</v>
      </c>
      <c r="AC74" s="3">
        <v>2.6</v>
      </c>
      <c r="AD74" s="3">
        <v>0.8</v>
      </c>
      <c r="AE74" t="str">
        <v>Fire Escape</v>
      </c>
      <c r="AF74" t="str">
        <v>Tyson Motsenbocker</v>
      </c>
      <c r="AG74" s="100">
        <f t="shared" si="4"/>
        <v>129</v>
      </c>
      <c r="AI74" s="114">
        <f>SotY_2025[[#This Row],[Max Seed]]/2 + 1</f>
        <v>65</v>
      </c>
      <c r="AJ74" s="105" t="str">
        <f ca="1">IF(SotY_2025[[#This Row],[Num]]&gt;=$A$1, "-", IF(SotY_2025[[#This Row],[Score 1]]&gt;=3, SotY_2025[[#This Row],[Song 2]], IF(SotY_2025[[#This Row],[Score 2]]&gt;=3, SotY_2025[[#This Row],[Song 1]], "TBD")))</f>
        <v>the boy is mine</v>
      </c>
      <c r="AK74" s="115">
        <f ca="1">IFERROR(VLOOKUP(SotY_2025_Results[[#This Row],[Song Title]], $AE$2:$AG$200, 3, FALSE)-SotY_2025_Results[[#This Row],[Result]], "TBD")</f>
        <v>0</v>
      </c>
      <c r="AL74" s="112" t="str">
        <f ca="1">IF(SotY_2025_Results[[#This Row],[Diff]]&lt;0,"↓",IF(SotY_2025_Results[[#This Row],[Diff]]=0,"-","↑"))</f>
        <v>-</v>
      </c>
    </row>
    <row r="75" spans="1:38">
      <c r="A75" s="197" t="str">
        <f>_xlfn.CONCAT("Seed ", SotY_2025[[#This Row],[Top Seed]], " vs ", SotY_2025[[#This Row],[Low Seed]])</f>
        <v>Seed 55 vs 74</v>
      </c>
      <c r="B75" s="115">
        <v>73</v>
      </c>
      <c r="C75" s="115">
        <f>FLOOR(LOG(SotY_2025[[#This Row],[Num]], 2), 1)</f>
        <v>6</v>
      </c>
      <c r="D75" s="115">
        <f>2^(SotY_2025[[#This Row],[Round]]+1)</f>
        <v>128</v>
      </c>
      <c r="E75" s="115">
        <f>SotY_2025[[#This Row],[Max Seed]]-SotY_2025[[#This Row],[Num]]</f>
        <v>55</v>
      </c>
      <c r="F75" s="115">
        <f>SotY_2025[[#This Row],[Max Seed]]-SotY_2025[[#This Row],[Top Seed]]+1</f>
        <v>74</v>
      </c>
      <c r="G75" s="115" t="b">
        <f>IF(SotY_2025[[#This Row],[Round]]=$C$1, TRUE(), IF(SotY_2025[[#This Row],[Round]]=$B$1, SotY_2025[[#This Row],[Top Seed]]&lt;=2*SotY_2025[[#This Row],[Max Seed]]-$A$1, FALSE()))</f>
        <v>1</v>
      </c>
      <c r="H75" s="115" t="b">
        <f>IF(SotY_2025[[#This Row],[Round]]=$C$1, TRUE(), IF(SotY_2025[[#This Row],[Round]]=$B$1, SotY_2025[[#This Row],[Low Seed]]&lt;=2*SotY_2025[[#This Row],[Max Seed]]-$A$1, FALSE()))</f>
        <v>0</v>
      </c>
      <c r="I75" s="187" t="s">
        <v>4191</v>
      </c>
      <c r="J75" s="188"/>
      <c r="K75" s="189"/>
      <c r="L75" s="190" t="s">
        <v>4191</v>
      </c>
      <c r="M75" s="191"/>
      <c r="N7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Hollow Tips</v>
      </c>
      <c r="O75" s="105">
        <f>COUNTIF(SotY_2025[[#This Row],[J]:[H]],"x")</f>
        <v>2</v>
      </c>
      <c r="P75" s="115" t="str">
        <f ca="1">IF(SotY_2025[[#This Row],[Num]]&gt;=$A$1, "-", IF(SotY_2025[[#This Row],[Score 1]]&gt;=3, SotY_2025[[#This Row],[Song 1]], IF(SotY_2025[[#This Row],[Score 2]]&gt;=3, SotY_2025[[#This Row],[Song 2]], "TBD")))</f>
        <v>on one tonight</v>
      </c>
      <c r="Q75" s="193">
        <f>COUNTIF(SotY_2025[[#This Row],[H ]:[J ]],"x")</f>
        <v>3</v>
      </c>
      <c r="R7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on one tonight</v>
      </c>
      <c r="S75" s="191" t="s">
        <v>4191</v>
      </c>
      <c r="T75" s="190"/>
      <c r="U75" s="189" t="s">
        <v>4191</v>
      </c>
      <c r="V75" s="188" t="s">
        <v>4191</v>
      </c>
      <c r="W75" s="198"/>
      <c r="X7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75" s="109">
        <f t="shared" si="3"/>
        <v>87</v>
      </c>
      <c r="AA75" s="59">
        <v>45790</v>
      </c>
      <c r="AB75" t="str">
        <v>loganworsdell</v>
      </c>
      <c r="AC75" s="3">
        <v>2.2000000000000002</v>
      </c>
      <c r="AD75" s="3">
        <v>0.74833147735478833</v>
      </c>
      <c r="AE75" t="str">
        <v>So Good</v>
      </c>
      <c r="AF75" t="str">
        <v>Weston Estate</v>
      </c>
      <c r="AG75" s="100">
        <f t="shared" si="4"/>
        <v>65</v>
      </c>
      <c r="AI75" s="114">
        <f>SotY_2025[[#This Row],[Max Seed]]/2 + 1</f>
        <v>65</v>
      </c>
      <c r="AJ75" s="105" t="str">
        <f ca="1">IF(SotY_2025[[#This Row],[Num]]&gt;=$A$1, "-", IF(SotY_2025[[#This Row],[Score 1]]&gt;=3, SotY_2025[[#This Row],[Song 2]], IF(SotY_2025[[#This Row],[Score 2]]&gt;=3, SotY_2025[[#This Row],[Song 1]], "TBD")))</f>
        <v>Hollow Tips</v>
      </c>
      <c r="AK75" s="115">
        <f ca="1">IFERROR(VLOOKUP(SotY_2025_Results[[#This Row],[Song Title]], $AE$2:$AG$200, 3, FALSE)-SotY_2025_Results[[#This Row],[Result]], "TBD")</f>
        <v>-32</v>
      </c>
      <c r="AL75" s="112" t="str">
        <f ca="1">IF(SotY_2025_Results[[#This Row],[Diff]]&lt;0,"↓",IF(SotY_2025_Results[[#This Row],[Diff]]=0,"-","↑"))</f>
        <v>↓</v>
      </c>
    </row>
    <row r="76" spans="1:38">
      <c r="A76" s="197" t="str">
        <f>_xlfn.CONCAT("Seed ", SotY_2025[[#This Row],[Top Seed]], " vs ", SotY_2025[[#This Row],[Low Seed]])</f>
        <v>Seed 54 vs 75</v>
      </c>
      <c r="B76" s="115">
        <v>74</v>
      </c>
      <c r="C76" s="115">
        <f>FLOOR(LOG(SotY_2025[[#This Row],[Num]], 2), 1)</f>
        <v>6</v>
      </c>
      <c r="D76" s="115">
        <f>2^(SotY_2025[[#This Row],[Round]]+1)</f>
        <v>128</v>
      </c>
      <c r="E76" s="115">
        <f>SotY_2025[[#This Row],[Max Seed]]-SotY_2025[[#This Row],[Num]]</f>
        <v>54</v>
      </c>
      <c r="F76" s="115">
        <f>SotY_2025[[#This Row],[Max Seed]]-SotY_2025[[#This Row],[Top Seed]]+1</f>
        <v>75</v>
      </c>
      <c r="G76" s="115" t="b">
        <f>IF(SotY_2025[[#This Row],[Round]]=$C$1, TRUE(), IF(SotY_2025[[#This Row],[Round]]=$B$1, SotY_2025[[#This Row],[Top Seed]]&lt;=2*SotY_2025[[#This Row],[Max Seed]]-$A$1, FALSE()))</f>
        <v>1</v>
      </c>
      <c r="H76" s="115" t="b">
        <f>IF(SotY_2025[[#This Row],[Round]]=$C$1, TRUE(), IF(SotY_2025[[#This Row],[Round]]=$B$1, SotY_2025[[#This Row],[Low Seed]]&lt;=2*SotY_2025[[#This Row],[Max Seed]]-$A$1, FALSE()))</f>
        <v>0</v>
      </c>
      <c r="I76" s="187" t="s">
        <v>4191</v>
      </c>
      <c r="J76" s="188"/>
      <c r="K76" s="189"/>
      <c r="L76" s="190"/>
      <c r="M76" s="191"/>
      <c r="N7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Renegade</v>
      </c>
      <c r="O76" s="105">
        <f>COUNTIF(SotY_2025[[#This Row],[J]:[H]],"x")</f>
        <v>1</v>
      </c>
      <c r="P76" s="115" t="str">
        <f ca="1">IF(SotY_2025[[#This Row],[Num]]&gt;=$A$1, "-", IF(SotY_2025[[#This Row],[Score 1]]&gt;=3, SotY_2025[[#This Row],[Song 1]], IF(SotY_2025[[#This Row],[Score 2]]&gt;=3, SotY_2025[[#This Row],[Song 2]], "TBD")))</f>
        <v>Animal</v>
      </c>
      <c r="Q76" s="193">
        <f>COUNTIF(SotY_2025[[#This Row],[H ]:[J ]],"x")</f>
        <v>4</v>
      </c>
      <c r="R7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Animal</v>
      </c>
      <c r="S76" s="191" t="s">
        <v>4191</v>
      </c>
      <c r="T76" s="190" t="s">
        <v>4191</v>
      </c>
      <c r="U76" s="189" t="s">
        <v>4191</v>
      </c>
      <c r="V76" s="188" t="s">
        <v>4191</v>
      </c>
      <c r="W76" s="198"/>
      <c r="X7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76" s="109">
        <f t="shared" si="3"/>
        <v>131</v>
      </c>
      <c r="AA76" s="59">
        <v>45791</v>
      </c>
      <c r="AB76" t="str">
        <v>loganworsdell</v>
      </c>
      <c r="AC76" s="3">
        <v>2.4</v>
      </c>
      <c r="AD76" s="3">
        <v>0.8</v>
      </c>
      <c r="AE76" t="str">
        <v>Houston</v>
      </c>
      <c r="AF76" t="str">
        <v>Jean Dawson</v>
      </c>
      <c r="AG76" s="100">
        <f t="shared" si="4"/>
        <v>129</v>
      </c>
      <c r="AI76" s="114">
        <f>SotY_2025[[#This Row],[Max Seed]]/2 + 1</f>
        <v>65</v>
      </c>
      <c r="AJ76" s="105" t="str">
        <f ca="1">IF(SotY_2025[[#This Row],[Num]]&gt;=$A$1, "-", IF(SotY_2025[[#This Row],[Score 1]]&gt;=3, SotY_2025[[#This Row],[Song 2]], IF(SotY_2025[[#This Row],[Score 2]]&gt;=3, SotY_2025[[#This Row],[Song 1]], "TBD")))</f>
        <v>Renegade</v>
      </c>
      <c r="AK76" s="115">
        <f ca="1">IFERROR(VLOOKUP(SotY_2025_Results[[#This Row],[Song Title]], $AE$2:$AG$200, 3, FALSE)-SotY_2025_Results[[#This Row],[Result]], "TBD")</f>
        <v>-32</v>
      </c>
      <c r="AL76" s="112" t="str">
        <f ca="1">IF(SotY_2025_Results[[#This Row],[Diff]]&lt;0,"↓",IF(SotY_2025_Results[[#This Row],[Diff]]=0,"-","↑"))</f>
        <v>↓</v>
      </c>
    </row>
    <row r="77" spans="1:38">
      <c r="A77" s="197" t="str">
        <f>_xlfn.CONCAT("Seed ", SotY_2025[[#This Row],[Top Seed]], " vs ", SotY_2025[[#This Row],[Low Seed]])</f>
        <v>Seed 53 vs 76</v>
      </c>
      <c r="B77" s="115">
        <v>75</v>
      </c>
      <c r="C77" s="115">
        <f>FLOOR(LOG(SotY_2025[[#This Row],[Num]], 2), 1)</f>
        <v>6</v>
      </c>
      <c r="D77" s="115">
        <f>2^(SotY_2025[[#This Row],[Round]]+1)</f>
        <v>128</v>
      </c>
      <c r="E77" s="115">
        <f>SotY_2025[[#This Row],[Max Seed]]-SotY_2025[[#This Row],[Num]]</f>
        <v>53</v>
      </c>
      <c r="F77" s="115">
        <f>SotY_2025[[#This Row],[Max Seed]]-SotY_2025[[#This Row],[Top Seed]]+1</f>
        <v>76</v>
      </c>
      <c r="G77" s="115" t="b">
        <f>IF(SotY_2025[[#This Row],[Round]]=$C$1, TRUE(), IF(SotY_2025[[#This Row],[Round]]=$B$1, SotY_2025[[#This Row],[Top Seed]]&lt;=2*SotY_2025[[#This Row],[Max Seed]]-$A$1, FALSE()))</f>
        <v>1</v>
      </c>
      <c r="H77" s="115" t="b">
        <f>IF(SotY_2025[[#This Row],[Round]]=$C$1, TRUE(), IF(SotY_2025[[#This Row],[Round]]=$B$1, SotY_2025[[#This Row],[Low Seed]]&lt;=2*SotY_2025[[#This Row],[Max Seed]]-$A$1, FALSE()))</f>
        <v>0</v>
      </c>
      <c r="I77" s="187"/>
      <c r="J77" s="188"/>
      <c r="K77" s="189" t="s">
        <v>4191</v>
      </c>
      <c r="L77" s="190"/>
      <c r="M77" s="191" t="s">
        <v>4191</v>
      </c>
      <c r="N7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It's Not Design</v>
      </c>
      <c r="O77" s="105">
        <f>COUNTIF(SotY_2025[[#This Row],[J]:[H]],"x")</f>
        <v>2</v>
      </c>
      <c r="P77" s="115" t="str">
        <f ca="1">IF(SotY_2025[[#This Row],[Num]]&gt;=$A$1, "-", IF(SotY_2025[[#This Row],[Score 1]]&gt;=3, SotY_2025[[#This Row],[Song 1]], IF(SotY_2025[[#This Row],[Score 2]]&gt;=3, SotY_2025[[#This Row],[Song 2]], "TBD")))</f>
        <v>Three Man Weave</v>
      </c>
      <c r="Q77" s="193">
        <f>COUNTIF(SotY_2025[[#This Row],[H ]:[J ]],"x")</f>
        <v>3</v>
      </c>
      <c r="R7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Three Man Weave</v>
      </c>
      <c r="S77" s="191"/>
      <c r="T77" s="190" t="s">
        <v>4191</v>
      </c>
      <c r="U77" s="189"/>
      <c r="V77" s="188" t="s">
        <v>4191</v>
      </c>
      <c r="W77" s="198" t="s">
        <v>4191</v>
      </c>
      <c r="X7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77" s="109">
        <f t="shared" si="3"/>
        <v>147</v>
      </c>
      <c r="AA77" s="59">
        <v>45792</v>
      </c>
      <c r="AB77" t="str">
        <v>alappatjoe</v>
      </c>
      <c r="AC77" s="3">
        <v>2.4</v>
      </c>
      <c r="AD77" s="3">
        <v>1.019803902718557</v>
      </c>
      <c r="AE77" t="str">
        <v>CUFF IT</v>
      </c>
      <c r="AF77" t="str">
        <v>Beyoncé</v>
      </c>
      <c r="AG77" s="100">
        <f t="shared" si="4"/>
        <v>129</v>
      </c>
      <c r="AI77" s="114">
        <f>SotY_2025[[#This Row],[Max Seed]]/2 + 1</f>
        <v>65</v>
      </c>
      <c r="AJ77" s="105" t="str">
        <f ca="1">IF(SotY_2025[[#This Row],[Num]]&gt;=$A$1, "-", IF(SotY_2025[[#This Row],[Score 1]]&gt;=3, SotY_2025[[#This Row],[Song 2]], IF(SotY_2025[[#This Row],[Score 2]]&gt;=3, SotY_2025[[#This Row],[Song 1]], "TBD")))</f>
        <v>It's Not Design</v>
      </c>
      <c r="AK77" s="115">
        <f ca="1">IFERROR(VLOOKUP(SotY_2025_Results[[#This Row],[Song Title]], $AE$2:$AG$200, 3, FALSE)-SotY_2025_Results[[#This Row],[Result]], "TBD")</f>
        <v>-32</v>
      </c>
      <c r="AL77" s="112" t="str">
        <f ca="1">IF(SotY_2025_Results[[#This Row],[Diff]]&lt;0,"↓",IF(SotY_2025_Results[[#This Row],[Diff]]=0,"-","↑"))</f>
        <v>↓</v>
      </c>
    </row>
    <row r="78" spans="1:38">
      <c r="A78" s="197" t="str">
        <f>_xlfn.CONCAT("Seed ", SotY_2025[[#This Row],[Top Seed]], " vs ", SotY_2025[[#This Row],[Low Seed]])</f>
        <v>Seed 52 vs 77</v>
      </c>
      <c r="B78" s="115">
        <v>76</v>
      </c>
      <c r="C78" s="115">
        <f>FLOOR(LOG(SotY_2025[[#This Row],[Num]], 2), 1)</f>
        <v>6</v>
      </c>
      <c r="D78" s="115">
        <f>2^(SotY_2025[[#This Row],[Round]]+1)</f>
        <v>128</v>
      </c>
      <c r="E78" s="115">
        <f>SotY_2025[[#This Row],[Max Seed]]-SotY_2025[[#This Row],[Num]]</f>
        <v>52</v>
      </c>
      <c r="F78" s="115">
        <f>SotY_2025[[#This Row],[Max Seed]]-SotY_2025[[#This Row],[Top Seed]]+1</f>
        <v>77</v>
      </c>
      <c r="G78" s="115" t="b">
        <f>IF(SotY_2025[[#This Row],[Round]]=$C$1, TRUE(), IF(SotY_2025[[#This Row],[Round]]=$B$1, SotY_2025[[#This Row],[Top Seed]]&lt;=2*SotY_2025[[#This Row],[Max Seed]]-$A$1, FALSE()))</f>
        <v>1</v>
      </c>
      <c r="H78" s="115" t="b">
        <f>IF(SotY_2025[[#This Row],[Round]]=$C$1, TRUE(), IF(SotY_2025[[#This Row],[Round]]=$B$1, SotY_2025[[#This Row],[Low Seed]]&lt;=2*SotY_2025[[#This Row],[Max Seed]]-$A$1, FALSE()))</f>
        <v>0</v>
      </c>
      <c r="I78" s="187"/>
      <c r="J78" s="188"/>
      <c r="K78" s="189"/>
      <c r="L78" s="190"/>
      <c r="M78" s="191" t="s">
        <v>4191</v>
      </c>
      <c r="N7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Thru These Tears</v>
      </c>
      <c r="O78" s="105">
        <f>COUNTIF(SotY_2025[[#This Row],[J]:[H]],"x")</f>
        <v>1</v>
      </c>
      <c r="P78" s="115" t="str">
        <f ca="1">IF(SotY_2025[[#This Row],[Num]]&gt;=$A$1, "-", IF(SotY_2025[[#This Row],[Score 1]]&gt;=3, SotY_2025[[#This Row],[Song 1]], IF(SotY_2025[[#This Row],[Score 2]]&gt;=3, SotY_2025[[#This Row],[Song 2]], "TBD")))</f>
        <v>Your Direction</v>
      </c>
      <c r="Q78" s="193">
        <f>COUNTIF(SotY_2025[[#This Row],[H ]:[J ]],"x")</f>
        <v>4</v>
      </c>
      <c r="R7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Your Direction</v>
      </c>
      <c r="S78" s="191"/>
      <c r="T78" s="190" t="s">
        <v>4191</v>
      </c>
      <c r="U78" s="189" t="s">
        <v>4191</v>
      </c>
      <c r="V78" s="188" t="s">
        <v>4191</v>
      </c>
      <c r="W78" s="198" t="s">
        <v>4191</v>
      </c>
      <c r="X7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78" s="109">
        <f t="shared" si="3"/>
        <v>18</v>
      </c>
      <c r="AA78" s="59">
        <v>45796</v>
      </c>
      <c r="AB78" t="str">
        <v>currydestroyer27</v>
      </c>
      <c r="AC78" s="3">
        <v>1.8</v>
      </c>
      <c r="AD78" s="3">
        <v>0.4</v>
      </c>
      <c r="AE78" t="str">
        <v>BLACK MEMORY</v>
      </c>
      <c r="AF78" t="str">
        <v>THE ORAL CIGARETTES</v>
      </c>
      <c r="AG78" s="100">
        <f t="shared" si="4"/>
        <v>17</v>
      </c>
      <c r="AI78" s="114">
        <f>SotY_2025[[#This Row],[Max Seed]]/2 + 1</f>
        <v>65</v>
      </c>
      <c r="AJ78" s="105" t="str">
        <f ca="1">IF(SotY_2025[[#This Row],[Num]]&gt;=$A$1, "-", IF(SotY_2025[[#This Row],[Score 1]]&gt;=3, SotY_2025[[#This Row],[Song 2]], IF(SotY_2025[[#This Row],[Score 2]]&gt;=3, SotY_2025[[#This Row],[Song 1]], "TBD")))</f>
        <v>Thru These Tears</v>
      </c>
      <c r="AK78" s="115">
        <f ca="1">IFERROR(VLOOKUP(SotY_2025_Results[[#This Row],[Song Title]], $AE$2:$AG$200, 3, FALSE)-SotY_2025_Results[[#This Row],[Result]], "TBD")</f>
        <v>-32</v>
      </c>
      <c r="AL78" s="112" t="str">
        <f ca="1">IF(SotY_2025_Results[[#This Row],[Diff]]&lt;0,"↓",IF(SotY_2025_Results[[#This Row],[Diff]]=0,"-","↑"))</f>
        <v>↓</v>
      </c>
    </row>
    <row r="79" spans="1:38">
      <c r="A79" s="197" t="str">
        <f>_xlfn.CONCAT("Seed ", SotY_2025[[#This Row],[Top Seed]], " vs ", SotY_2025[[#This Row],[Low Seed]])</f>
        <v>Seed 51 vs 78</v>
      </c>
      <c r="B79" s="115">
        <v>77</v>
      </c>
      <c r="C79" s="115">
        <f>FLOOR(LOG(SotY_2025[[#This Row],[Num]], 2), 1)</f>
        <v>6</v>
      </c>
      <c r="D79" s="115">
        <f>2^(SotY_2025[[#This Row],[Round]]+1)</f>
        <v>128</v>
      </c>
      <c r="E79" s="115">
        <f>SotY_2025[[#This Row],[Max Seed]]-SotY_2025[[#This Row],[Num]]</f>
        <v>51</v>
      </c>
      <c r="F79" s="115">
        <f>SotY_2025[[#This Row],[Max Seed]]-SotY_2025[[#This Row],[Top Seed]]+1</f>
        <v>78</v>
      </c>
      <c r="G79" s="115" t="b">
        <f>IF(SotY_2025[[#This Row],[Round]]=$C$1, TRUE(), IF(SotY_2025[[#This Row],[Round]]=$B$1, SotY_2025[[#This Row],[Top Seed]]&lt;=2*SotY_2025[[#This Row],[Max Seed]]-$A$1, FALSE()))</f>
        <v>1</v>
      </c>
      <c r="H79" s="115" t="b">
        <f>IF(SotY_2025[[#This Row],[Round]]=$C$1, TRUE(), IF(SotY_2025[[#This Row],[Round]]=$B$1, SotY_2025[[#This Row],[Low Seed]]&lt;=2*SotY_2025[[#This Row],[Max Seed]]-$A$1, FALSE()))</f>
        <v>0</v>
      </c>
      <c r="I79" s="187" t="s">
        <v>4191</v>
      </c>
      <c r="J79" s="188"/>
      <c r="K79" s="189" t="s">
        <v>4191</v>
      </c>
      <c r="L79" s="190"/>
      <c r="M79" s="191"/>
      <c r="N7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Not Letting Go</v>
      </c>
      <c r="O79" s="105">
        <f>COUNTIF(SotY_2025[[#This Row],[J]:[H]],"x")</f>
        <v>2</v>
      </c>
      <c r="P79" s="115" t="str">
        <f ca="1">IF(SotY_2025[[#This Row],[Num]]&gt;=$A$1, "-", IF(SotY_2025[[#This Row],[Score 1]]&gt;=3, SotY_2025[[#This Row],[Song 1]], IF(SotY_2025[[#This Row],[Score 2]]&gt;=3, SotY_2025[[#This Row],[Song 2]], "TBD")))</f>
        <v>(Don't Fear) The Reaper</v>
      </c>
      <c r="Q79" s="193">
        <f>COUNTIF(SotY_2025[[#This Row],[H ]:[J ]],"x")</f>
        <v>3</v>
      </c>
      <c r="R7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(Don't Fear) The Reaper</v>
      </c>
      <c r="S79" s="191" t="s">
        <v>4191</v>
      </c>
      <c r="T79" s="190" t="s">
        <v>4191</v>
      </c>
      <c r="U79" s="189"/>
      <c r="V79" s="188" t="s">
        <v>4191</v>
      </c>
      <c r="W79" s="198"/>
      <c r="X7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79" s="109">
        <f t="shared" si="3"/>
        <v>198</v>
      </c>
      <c r="AA79" s="59">
        <v>45797</v>
      </c>
      <c r="AB79" t="str">
        <v>alappatjoe</v>
      </c>
      <c r="AC79" s="3">
        <v>2.8</v>
      </c>
      <c r="AD79" s="3">
        <v>1.1661903789690602</v>
      </c>
      <c r="AE79" t="str">
        <v>Kid Charlemagne</v>
      </c>
      <c r="AF79" t="str">
        <v>Steely Dan</v>
      </c>
      <c r="AG79" s="100">
        <f t="shared" si="4"/>
        <v>129</v>
      </c>
      <c r="AI79" s="114">
        <f>SotY_2025[[#This Row],[Max Seed]]/2 + 1</f>
        <v>65</v>
      </c>
      <c r="AJ79" s="105" t="str">
        <f ca="1">IF(SotY_2025[[#This Row],[Num]]&gt;=$A$1, "-", IF(SotY_2025[[#This Row],[Score 1]]&gt;=3, SotY_2025[[#This Row],[Song 2]], IF(SotY_2025[[#This Row],[Score 2]]&gt;=3, SotY_2025[[#This Row],[Song 1]], "TBD")))</f>
        <v>Not Letting Go</v>
      </c>
      <c r="AK79" s="115">
        <f ca="1">IFERROR(VLOOKUP(SotY_2025_Results[[#This Row],[Song Title]], $AE$2:$AG$200, 3, FALSE)-SotY_2025_Results[[#This Row],[Result]], "TBD")</f>
        <v>-32</v>
      </c>
      <c r="AL79" s="112" t="str">
        <f ca="1">IF(SotY_2025_Results[[#This Row],[Diff]]&lt;0,"↓",IF(SotY_2025_Results[[#This Row],[Diff]]=0,"-","↑"))</f>
        <v>↓</v>
      </c>
    </row>
    <row r="80" spans="1:38">
      <c r="A80" s="197" t="str">
        <f>_xlfn.CONCAT("Seed ", SotY_2025[[#This Row],[Top Seed]], " vs ", SotY_2025[[#This Row],[Low Seed]])</f>
        <v>Seed 50 vs 79</v>
      </c>
      <c r="B80" s="115">
        <v>78</v>
      </c>
      <c r="C80" s="115">
        <f>FLOOR(LOG(SotY_2025[[#This Row],[Num]], 2), 1)</f>
        <v>6</v>
      </c>
      <c r="D80" s="115">
        <f>2^(SotY_2025[[#This Row],[Round]]+1)</f>
        <v>128</v>
      </c>
      <c r="E80" s="115">
        <f>SotY_2025[[#This Row],[Max Seed]]-SotY_2025[[#This Row],[Num]]</f>
        <v>50</v>
      </c>
      <c r="F80" s="115">
        <f>SotY_2025[[#This Row],[Max Seed]]-SotY_2025[[#This Row],[Top Seed]]+1</f>
        <v>79</v>
      </c>
      <c r="G80" s="115" t="b">
        <f>IF(SotY_2025[[#This Row],[Round]]=$C$1, TRUE(), IF(SotY_2025[[#This Row],[Round]]=$B$1, SotY_2025[[#This Row],[Top Seed]]&lt;=2*SotY_2025[[#This Row],[Max Seed]]-$A$1, FALSE()))</f>
        <v>1</v>
      </c>
      <c r="H80" s="115" t="b">
        <f>IF(SotY_2025[[#This Row],[Round]]=$C$1, TRUE(), IF(SotY_2025[[#This Row],[Round]]=$B$1, SotY_2025[[#This Row],[Low Seed]]&lt;=2*SotY_2025[[#This Row],[Max Seed]]-$A$1, FALSE()))</f>
        <v>0</v>
      </c>
      <c r="I80" s="187"/>
      <c r="J80" s="188" t="s">
        <v>4191</v>
      </c>
      <c r="K80" s="189"/>
      <c r="L80" s="190" t="s">
        <v>4191</v>
      </c>
      <c r="M80" s="191"/>
      <c r="N8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Dead!</v>
      </c>
      <c r="O80" s="105">
        <f>COUNTIF(SotY_2025[[#This Row],[J]:[H]],"x")</f>
        <v>2</v>
      </c>
      <c r="P80" s="115" t="str">
        <f ca="1">IF(SotY_2025[[#This Row],[Num]]&gt;=$A$1, "-", IF(SotY_2025[[#This Row],[Score 1]]&gt;=3, SotY_2025[[#This Row],[Song 1]], IF(SotY_2025[[#This Row],[Score 2]]&gt;=3, SotY_2025[[#This Row],[Song 2]], "TBD")))</f>
        <v>selfdestruct</v>
      </c>
      <c r="Q80" s="193">
        <f>COUNTIF(SotY_2025[[#This Row],[H ]:[J ]],"x")</f>
        <v>3</v>
      </c>
      <c r="R8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selfdestruct</v>
      </c>
      <c r="S80" s="191" t="s">
        <v>4191</v>
      </c>
      <c r="T80" s="190"/>
      <c r="U80" s="189" t="s">
        <v>4191</v>
      </c>
      <c r="V80" s="188"/>
      <c r="W80" s="198" t="s">
        <v>4191</v>
      </c>
      <c r="X8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80" s="109">
        <f t="shared" si="3"/>
        <v>114</v>
      </c>
      <c r="AA80" s="59">
        <v>45798</v>
      </c>
      <c r="AB80" t="str">
        <v>currydestroyer27</v>
      </c>
      <c r="AC80" s="3">
        <v>2.2000000000000002</v>
      </c>
      <c r="AD80" s="3">
        <v>1.1661903789690602</v>
      </c>
      <c r="AE80" t="str">
        <v>Hard Times</v>
      </c>
      <c r="AF80" t="str">
        <v>Paramore</v>
      </c>
      <c r="AG80" s="100">
        <f t="shared" si="4"/>
        <v>65</v>
      </c>
      <c r="AI80" s="114">
        <f>SotY_2025[[#This Row],[Max Seed]]/2 + 1</f>
        <v>65</v>
      </c>
      <c r="AJ80" s="105" t="str">
        <f ca="1">IF(SotY_2025[[#This Row],[Num]]&gt;=$A$1, "-", IF(SotY_2025[[#This Row],[Score 1]]&gt;=3, SotY_2025[[#This Row],[Song 2]], IF(SotY_2025[[#This Row],[Score 2]]&gt;=3, SotY_2025[[#This Row],[Song 1]], "TBD")))</f>
        <v>Dead!</v>
      </c>
      <c r="AK80" s="115">
        <f ca="1">IFERROR(VLOOKUP(SotY_2025_Results[[#This Row],[Song Title]], $AE$2:$AG$200, 3, FALSE)-SotY_2025_Results[[#This Row],[Result]], "TBD")</f>
        <v>-32</v>
      </c>
      <c r="AL80" s="112" t="str">
        <f ca="1">IF(SotY_2025_Results[[#This Row],[Diff]]&lt;0,"↓",IF(SotY_2025_Results[[#This Row],[Diff]]=0,"-","↑"))</f>
        <v>↓</v>
      </c>
    </row>
    <row r="81" spans="1:38">
      <c r="A81" s="197" t="str">
        <f>_xlfn.CONCAT("Seed ", SotY_2025[[#This Row],[Top Seed]], " vs ", SotY_2025[[#This Row],[Low Seed]])</f>
        <v>Seed 49 vs 80</v>
      </c>
      <c r="B81" s="115">
        <v>79</v>
      </c>
      <c r="C81" s="115">
        <f>FLOOR(LOG(SotY_2025[[#This Row],[Num]], 2), 1)</f>
        <v>6</v>
      </c>
      <c r="D81" s="115">
        <f>2^(SotY_2025[[#This Row],[Round]]+1)</f>
        <v>128</v>
      </c>
      <c r="E81" s="115">
        <f>SotY_2025[[#This Row],[Max Seed]]-SotY_2025[[#This Row],[Num]]</f>
        <v>49</v>
      </c>
      <c r="F81" s="115">
        <f>SotY_2025[[#This Row],[Max Seed]]-SotY_2025[[#This Row],[Top Seed]]+1</f>
        <v>80</v>
      </c>
      <c r="G81" s="115" t="b">
        <f>IF(SotY_2025[[#This Row],[Round]]=$C$1, TRUE(), IF(SotY_2025[[#This Row],[Round]]=$B$1, SotY_2025[[#This Row],[Top Seed]]&lt;=2*SotY_2025[[#This Row],[Max Seed]]-$A$1, FALSE()))</f>
        <v>1</v>
      </c>
      <c r="H81" s="115" t="b">
        <f>IF(SotY_2025[[#This Row],[Round]]=$C$1, TRUE(), IF(SotY_2025[[#This Row],[Round]]=$B$1, SotY_2025[[#This Row],[Low Seed]]&lt;=2*SotY_2025[[#This Row],[Max Seed]]-$A$1, FALSE()))</f>
        <v>0</v>
      </c>
      <c r="I81" s="187" t="s">
        <v>4191</v>
      </c>
      <c r="J81" s="188"/>
      <c r="K81" s="189"/>
      <c r="L81" s="190"/>
      <c r="M81" s="191" t="s">
        <v>4191</v>
      </c>
      <c r="N8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Carol of the Bells</v>
      </c>
      <c r="O81" s="105">
        <f>COUNTIF(SotY_2025[[#This Row],[J]:[H]],"x")</f>
        <v>2</v>
      </c>
      <c r="P81" s="115" t="str">
        <f ca="1">IF(SotY_2025[[#This Row],[Num]]&gt;=$A$1, "-", IF(SotY_2025[[#This Row],[Score 1]]&gt;=3, SotY_2025[[#This Row],[Song 1]], IF(SotY_2025[[#This Row],[Score 2]]&gt;=3, SotY_2025[[#This Row],[Song 2]], "TBD")))</f>
        <v>CRAZY</v>
      </c>
      <c r="Q81" s="193">
        <f>COUNTIF(SotY_2025[[#This Row],[H ]:[J ]],"x")</f>
        <v>3</v>
      </c>
      <c r="R8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CRAZY</v>
      </c>
      <c r="S81" s="191"/>
      <c r="T81" s="190" t="s">
        <v>4191</v>
      </c>
      <c r="U81" s="189" t="s">
        <v>4191</v>
      </c>
      <c r="V81" s="188" t="s">
        <v>4191</v>
      </c>
      <c r="W81" s="198"/>
      <c r="X8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81" s="109">
        <f t="shared" si="3"/>
        <v>181</v>
      </c>
      <c r="AA81" s="59">
        <v>45799</v>
      </c>
      <c r="AB81" t="str">
        <v>danram</v>
      </c>
      <c r="AC81" s="3">
        <v>2.6</v>
      </c>
      <c r="AD81" s="3">
        <v>1.019803902718557</v>
      </c>
      <c r="AE81" t="str">
        <v>Open Arms (Feat. Travis Scott)</v>
      </c>
      <c r="AF81" t="str">
        <v>SZA, Travis Scott</v>
      </c>
      <c r="AG81" s="100">
        <f t="shared" si="4"/>
        <v>129</v>
      </c>
      <c r="AI81" s="114">
        <f>SotY_2025[[#This Row],[Max Seed]]/2 + 1</f>
        <v>65</v>
      </c>
      <c r="AJ81" s="105" t="str">
        <f ca="1">IF(SotY_2025[[#This Row],[Num]]&gt;=$A$1, "-", IF(SotY_2025[[#This Row],[Score 1]]&gt;=3, SotY_2025[[#This Row],[Song 2]], IF(SotY_2025[[#This Row],[Score 2]]&gt;=3, SotY_2025[[#This Row],[Song 1]], "TBD")))</f>
        <v>Carol of the Bells</v>
      </c>
      <c r="AK81" s="115">
        <f ca="1">IFERROR(VLOOKUP(SotY_2025_Results[[#This Row],[Song Title]], $AE$2:$AG$200, 3, FALSE)-SotY_2025_Results[[#This Row],[Result]], "TBD")</f>
        <v>-32</v>
      </c>
      <c r="AL81" s="112" t="str">
        <f ca="1">IF(SotY_2025_Results[[#This Row],[Diff]]&lt;0,"↓",IF(SotY_2025_Results[[#This Row],[Diff]]=0,"-","↑"))</f>
        <v>↓</v>
      </c>
    </row>
    <row r="82" spans="1:38">
      <c r="A82" s="197" t="str">
        <f>_xlfn.CONCAT("Seed ", SotY_2025[[#This Row],[Top Seed]], " vs ", SotY_2025[[#This Row],[Low Seed]])</f>
        <v>Seed 48 vs 81</v>
      </c>
      <c r="B82" s="115">
        <v>80</v>
      </c>
      <c r="C82" s="115">
        <f>FLOOR(LOG(SotY_2025[[#This Row],[Num]], 2), 1)</f>
        <v>6</v>
      </c>
      <c r="D82" s="115">
        <f>2^(SotY_2025[[#This Row],[Round]]+1)</f>
        <v>128</v>
      </c>
      <c r="E82" s="115">
        <f>SotY_2025[[#This Row],[Max Seed]]-SotY_2025[[#This Row],[Num]]</f>
        <v>48</v>
      </c>
      <c r="F82" s="115">
        <f>SotY_2025[[#This Row],[Max Seed]]-SotY_2025[[#This Row],[Top Seed]]+1</f>
        <v>81</v>
      </c>
      <c r="G82" s="115" t="b">
        <f>IF(SotY_2025[[#This Row],[Round]]=$C$1, TRUE(), IF(SotY_2025[[#This Row],[Round]]=$B$1, SotY_2025[[#This Row],[Top Seed]]&lt;=2*SotY_2025[[#This Row],[Max Seed]]-$A$1, FALSE()))</f>
        <v>1</v>
      </c>
      <c r="H82" s="115" t="b">
        <f>IF(SotY_2025[[#This Row],[Round]]=$C$1, TRUE(), IF(SotY_2025[[#This Row],[Round]]=$B$1, SotY_2025[[#This Row],[Low Seed]]&lt;=2*SotY_2025[[#This Row],[Max Seed]]-$A$1, FALSE()))</f>
        <v>0</v>
      </c>
      <c r="I82" s="187"/>
      <c r="J82" s="188" t="s">
        <v>4191</v>
      </c>
      <c r="K82" s="189"/>
      <c r="L82" s="190"/>
      <c r="M82" s="191" t="s">
        <v>4191</v>
      </c>
      <c r="N8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You Say Run</v>
      </c>
      <c r="O82" s="105">
        <f>COUNTIF(SotY_2025[[#This Row],[J]:[H]],"x")</f>
        <v>2</v>
      </c>
      <c r="P82" s="115" t="str">
        <f ca="1">IF(SotY_2025[[#This Row],[Num]]&gt;=$A$1, "-", IF(SotY_2025[[#This Row],[Score 1]]&gt;=3, SotY_2025[[#This Row],[Song 1]], IF(SotY_2025[[#This Row],[Score 2]]&gt;=3, SotY_2025[[#This Row],[Song 2]], "TBD")))</f>
        <v>OVR</v>
      </c>
      <c r="Q82" s="193">
        <f>COUNTIF(SotY_2025[[#This Row],[H ]:[J ]],"x")</f>
        <v>3</v>
      </c>
      <c r="R8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OVR</v>
      </c>
      <c r="S82" s="191"/>
      <c r="T82" s="190" t="s">
        <v>4191</v>
      </c>
      <c r="U82" s="189" t="s">
        <v>4191</v>
      </c>
      <c r="V82" s="188"/>
      <c r="W82" s="198" t="s">
        <v>4191</v>
      </c>
      <c r="X8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82" s="109">
        <f t="shared" si="3"/>
        <v>52</v>
      </c>
      <c r="AA82" s="59">
        <v>45803</v>
      </c>
      <c r="AB82" t="str">
        <v>loganworsdell</v>
      </c>
      <c r="AC82" s="3">
        <v>2</v>
      </c>
      <c r="AD82" s="3">
        <v>0.89442719099991586</v>
      </c>
      <c r="AE82" t="str">
        <v>Thru These Tears</v>
      </c>
      <c r="AF82" t="str">
        <v>LANY</v>
      </c>
      <c r="AG82" s="100">
        <f t="shared" si="4"/>
        <v>33</v>
      </c>
      <c r="AI82" s="114">
        <f>SotY_2025[[#This Row],[Max Seed]]/2 + 1</f>
        <v>65</v>
      </c>
      <c r="AJ82" s="105" t="str">
        <f ca="1">IF(SotY_2025[[#This Row],[Num]]&gt;=$A$1, "-", IF(SotY_2025[[#This Row],[Score 1]]&gt;=3, SotY_2025[[#This Row],[Song 2]], IF(SotY_2025[[#This Row],[Score 2]]&gt;=3, SotY_2025[[#This Row],[Song 1]], "TBD")))</f>
        <v>You Say Run</v>
      </c>
      <c r="AK82" s="115">
        <f ca="1">IFERROR(VLOOKUP(SotY_2025_Results[[#This Row],[Song Title]], $AE$2:$AG$200, 3, FALSE)-SotY_2025_Results[[#This Row],[Result]], "TBD")</f>
        <v>-32</v>
      </c>
      <c r="AL82" s="112" t="str">
        <f ca="1">IF(SotY_2025_Results[[#This Row],[Diff]]&lt;0,"↓",IF(SotY_2025_Results[[#This Row],[Diff]]=0,"-","↑"))</f>
        <v>↓</v>
      </c>
    </row>
    <row r="83" spans="1:38">
      <c r="A83" s="197" t="str">
        <f>_xlfn.CONCAT("Seed ", SotY_2025[[#This Row],[Top Seed]], " vs ", SotY_2025[[#This Row],[Low Seed]])</f>
        <v>Seed 47 vs 82</v>
      </c>
      <c r="B83" s="115">
        <v>81</v>
      </c>
      <c r="C83" s="115">
        <f>FLOOR(LOG(SotY_2025[[#This Row],[Num]], 2), 1)</f>
        <v>6</v>
      </c>
      <c r="D83" s="115">
        <f>2^(SotY_2025[[#This Row],[Round]]+1)</f>
        <v>128</v>
      </c>
      <c r="E83" s="115">
        <f>SotY_2025[[#This Row],[Max Seed]]-SotY_2025[[#This Row],[Num]]</f>
        <v>47</v>
      </c>
      <c r="F83" s="115">
        <f>SotY_2025[[#This Row],[Max Seed]]-SotY_2025[[#This Row],[Top Seed]]+1</f>
        <v>82</v>
      </c>
      <c r="G83" s="115" t="b">
        <f>IF(SotY_2025[[#This Row],[Round]]=$C$1, TRUE(), IF(SotY_2025[[#This Row],[Round]]=$B$1, SotY_2025[[#This Row],[Top Seed]]&lt;=2*SotY_2025[[#This Row],[Max Seed]]-$A$1, FALSE()))</f>
        <v>1</v>
      </c>
      <c r="H83" s="115" t="b">
        <f>IF(SotY_2025[[#This Row],[Round]]=$C$1, TRUE(), IF(SotY_2025[[#This Row],[Round]]=$B$1, SotY_2025[[#This Row],[Low Seed]]&lt;=2*SotY_2025[[#This Row],[Max Seed]]-$A$1, FALSE()))</f>
        <v>0</v>
      </c>
      <c r="I83" s="187" t="s">
        <v>4191</v>
      </c>
      <c r="J83" s="188"/>
      <c r="K83" s="189"/>
      <c r="L83" s="190"/>
      <c r="M83" s="191" t="s">
        <v>4191</v>
      </c>
      <c r="N8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That Girl</v>
      </c>
      <c r="O83" s="105">
        <f>COUNTIF(SotY_2025[[#This Row],[J]:[H]],"x")</f>
        <v>2</v>
      </c>
      <c r="P83" s="115" t="str">
        <f ca="1">IF(SotY_2025[[#This Row],[Num]]&gt;=$A$1, "-", IF(SotY_2025[[#This Row],[Score 1]]&gt;=3, SotY_2025[[#This Row],[Song 1]], IF(SotY_2025[[#This Row],[Score 2]]&gt;=3, SotY_2025[[#This Row],[Song 2]], "TBD")))</f>
        <v>Today</v>
      </c>
      <c r="Q83" s="193">
        <f>COUNTIF(SotY_2025[[#This Row],[H ]:[J ]],"x")</f>
        <v>3</v>
      </c>
      <c r="R8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Today</v>
      </c>
      <c r="S83" s="191"/>
      <c r="T83" s="190" t="s">
        <v>4191</v>
      </c>
      <c r="U83" s="189" t="s">
        <v>4191</v>
      </c>
      <c r="V83" s="188" t="s">
        <v>4191</v>
      </c>
      <c r="W83" s="198"/>
      <c r="X8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83" s="109">
        <f t="shared" si="3"/>
        <v>53</v>
      </c>
      <c r="AA83" s="59">
        <v>45804</v>
      </c>
      <c r="AB83" t="str">
        <v>loganworsdell</v>
      </c>
      <c r="AC83" s="3">
        <v>2</v>
      </c>
      <c r="AD83" s="3">
        <v>0.89442719099991586</v>
      </c>
      <c r="AE83" t="str">
        <v>It's Not Design</v>
      </c>
      <c r="AF83" t="str">
        <v>Lupe Fiasco, Salim</v>
      </c>
      <c r="AG83" s="100">
        <f t="shared" si="4"/>
        <v>33</v>
      </c>
      <c r="AI83" s="114">
        <f>SotY_2025[[#This Row],[Max Seed]]/2 + 1</f>
        <v>65</v>
      </c>
      <c r="AJ83" s="105" t="str">
        <f ca="1">IF(SotY_2025[[#This Row],[Num]]&gt;=$A$1, "-", IF(SotY_2025[[#This Row],[Score 1]]&gt;=3, SotY_2025[[#This Row],[Song 2]], IF(SotY_2025[[#This Row],[Score 2]]&gt;=3, SotY_2025[[#This Row],[Song 1]], "TBD")))</f>
        <v>That Girl</v>
      </c>
      <c r="AK83" s="115">
        <f ca="1">IFERROR(VLOOKUP(SotY_2025_Results[[#This Row],[Song Title]], $AE$2:$AG$200, 3, FALSE)-SotY_2025_Results[[#This Row],[Result]], "TBD")</f>
        <v>-32</v>
      </c>
      <c r="AL83" s="112" t="str">
        <f ca="1">IF(SotY_2025_Results[[#This Row],[Diff]]&lt;0,"↓",IF(SotY_2025_Results[[#This Row],[Diff]]=0,"-","↑"))</f>
        <v>↓</v>
      </c>
    </row>
    <row r="84" spans="1:38">
      <c r="A84" s="197" t="str">
        <f>_xlfn.CONCAT("Seed ", SotY_2025[[#This Row],[Top Seed]], " vs ", SotY_2025[[#This Row],[Low Seed]])</f>
        <v>Seed 46 vs 83</v>
      </c>
      <c r="B84" s="115">
        <v>82</v>
      </c>
      <c r="C84" s="115">
        <f>FLOOR(LOG(SotY_2025[[#This Row],[Num]], 2), 1)</f>
        <v>6</v>
      </c>
      <c r="D84" s="115">
        <f>2^(SotY_2025[[#This Row],[Round]]+1)</f>
        <v>128</v>
      </c>
      <c r="E84" s="115">
        <f>SotY_2025[[#This Row],[Max Seed]]-SotY_2025[[#This Row],[Num]]</f>
        <v>46</v>
      </c>
      <c r="F84" s="115">
        <f>SotY_2025[[#This Row],[Max Seed]]-SotY_2025[[#This Row],[Top Seed]]+1</f>
        <v>83</v>
      </c>
      <c r="G84" s="115" t="b">
        <f>IF(SotY_2025[[#This Row],[Round]]=$C$1, TRUE(), IF(SotY_2025[[#This Row],[Round]]=$B$1, SotY_2025[[#This Row],[Top Seed]]&lt;=2*SotY_2025[[#This Row],[Max Seed]]-$A$1, FALSE()))</f>
        <v>1</v>
      </c>
      <c r="H84" s="115" t="b">
        <f>IF(SotY_2025[[#This Row],[Round]]=$C$1, TRUE(), IF(SotY_2025[[#This Row],[Round]]=$B$1, SotY_2025[[#This Row],[Low Seed]]&lt;=2*SotY_2025[[#This Row],[Max Seed]]-$A$1, FALSE()))</f>
        <v>0</v>
      </c>
      <c r="I84" s="187" t="s">
        <v>4191</v>
      </c>
      <c r="J84" s="188"/>
      <c r="K84" s="189"/>
      <c r="L84" s="190"/>
      <c r="M84" s="191"/>
      <c r="N8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Chammak Challo</v>
      </c>
      <c r="O84" s="105">
        <f>COUNTIF(SotY_2025[[#This Row],[J]:[H]],"x")</f>
        <v>1</v>
      </c>
      <c r="P84" s="115" t="str">
        <f ca="1">IF(SotY_2025[[#This Row],[Num]]&gt;=$A$1, "-", IF(SotY_2025[[#This Row],[Score 1]]&gt;=3, SotY_2025[[#This Row],[Song 1]], IF(SotY_2025[[#This Row],[Score 2]]&gt;=3, SotY_2025[[#This Row],[Song 2]], "TBD")))</f>
        <v>Danza Kuduro</v>
      </c>
      <c r="Q84" s="193">
        <f>COUNTIF(SotY_2025[[#This Row],[H ]:[J ]],"x")</f>
        <v>4</v>
      </c>
      <c r="R8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Danza Kuduro</v>
      </c>
      <c r="S84" s="191" t="s">
        <v>4191</v>
      </c>
      <c r="T84" s="190" t="s">
        <v>4191</v>
      </c>
      <c r="U84" s="189" t="s">
        <v>4191</v>
      </c>
      <c r="V84" s="188" t="s">
        <v>4191</v>
      </c>
      <c r="W84" s="198"/>
      <c r="X8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84" s="109">
        <f t="shared" si="3"/>
        <v>115</v>
      </c>
      <c r="AA84" s="59">
        <v>45805</v>
      </c>
      <c r="AB84" t="str">
        <v>samuelbattista</v>
      </c>
      <c r="AC84" s="3">
        <v>2.2000000000000002</v>
      </c>
      <c r="AD84" s="3">
        <v>1.1661903789690602</v>
      </c>
      <c r="AE84" t="str">
        <v>No Rain, No Flowers</v>
      </c>
      <c r="AF84" t="str">
        <v>The Black Keys</v>
      </c>
      <c r="AG84" s="100">
        <f t="shared" si="4"/>
        <v>65</v>
      </c>
      <c r="AI84" s="114">
        <f>SotY_2025[[#This Row],[Max Seed]]/2 + 1</f>
        <v>65</v>
      </c>
      <c r="AJ84" s="105" t="str">
        <f ca="1">IF(SotY_2025[[#This Row],[Num]]&gt;=$A$1, "-", IF(SotY_2025[[#This Row],[Score 1]]&gt;=3, SotY_2025[[#This Row],[Song 2]], IF(SotY_2025[[#This Row],[Score 2]]&gt;=3, SotY_2025[[#This Row],[Song 1]], "TBD")))</f>
        <v>Chammak Challo</v>
      </c>
      <c r="AK84" s="115">
        <f ca="1">IFERROR(VLOOKUP(SotY_2025_Results[[#This Row],[Song Title]], $AE$2:$AG$200, 3, FALSE)-SotY_2025_Results[[#This Row],[Result]], "TBD")</f>
        <v>-32</v>
      </c>
      <c r="AL84" s="112" t="str">
        <f ca="1">IF(SotY_2025_Results[[#This Row],[Diff]]&lt;0,"↓",IF(SotY_2025_Results[[#This Row],[Diff]]=0,"-","↑"))</f>
        <v>↓</v>
      </c>
    </row>
    <row r="85" spans="1:38">
      <c r="A85" s="197" t="str">
        <f>_xlfn.CONCAT("Seed ", SotY_2025[[#This Row],[Top Seed]], " vs ", SotY_2025[[#This Row],[Low Seed]])</f>
        <v>Seed 45 vs 84</v>
      </c>
      <c r="B85" s="115">
        <v>83</v>
      </c>
      <c r="C85" s="115">
        <f>FLOOR(LOG(SotY_2025[[#This Row],[Num]], 2), 1)</f>
        <v>6</v>
      </c>
      <c r="D85" s="115">
        <f>2^(SotY_2025[[#This Row],[Round]]+1)</f>
        <v>128</v>
      </c>
      <c r="E85" s="115">
        <f>SotY_2025[[#This Row],[Max Seed]]-SotY_2025[[#This Row],[Num]]</f>
        <v>45</v>
      </c>
      <c r="F85" s="115">
        <f>SotY_2025[[#This Row],[Max Seed]]-SotY_2025[[#This Row],[Top Seed]]+1</f>
        <v>84</v>
      </c>
      <c r="G85" s="115" t="b">
        <f>IF(SotY_2025[[#This Row],[Round]]=$C$1, TRUE(), IF(SotY_2025[[#This Row],[Round]]=$B$1, SotY_2025[[#This Row],[Top Seed]]&lt;=2*SotY_2025[[#This Row],[Max Seed]]-$A$1, FALSE()))</f>
        <v>1</v>
      </c>
      <c r="H85" s="115" t="b">
        <f>IF(SotY_2025[[#This Row],[Round]]=$C$1, TRUE(), IF(SotY_2025[[#This Row],[Round]]=$B$1, SotY_2025[[#This Row],[Low Seed]]&lt;=2*SotY_2025[[#This Row],[Max Seed]]-$A$1, FALSE()))</f>
        <v>0</v>
      </c>
      <c r="I85" s="187"/>
      <c r="J85" s="188"/>
      <c r="K85" s="189"/>
      <c r="L85" s="190"/>
      <c r="M85" s="191"/>
      <c r="N8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Morioucho Radio</v>
      </c>
      <c r="O85" s="105">
        <f>COUNTIF(SotY_2025[[#This Row],[J]:[H]],"x")</f>
        <v>0</v>
      </c>
      <c r="P85" s="115" t="str">
        <f ca="1">IF(SotY_2025[[#This Row],[Num]]&gt;=$A$1, "-", IF(SotY_2025[[#This Row],[Score 1]]&gt;=3, SotY_2025[[#This Row],[Song 1]], IF(SotY_2025[[#This Row],[Score 2]]&gt;=3, SotY_2025[[#This Row],[Song 2]], "TBD")))</f>
        <v>IRIS OUT</v>
      </c>
      <c r="Q85" s="193">
        <f>COUNTIF(SotY_2025[[#This Row],[H ]:[J ]],"x")</f>
        <v>5</v>
      </c>
      <c r="R8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IRIS OUT</v>
      </c>
      <c r="S85" s="191" t="s">
        <v>4191</v>
      </c>
      <c r="T85" s="190" t="s">
        <v>4191</v>
      </c>
      <c r="U85" s="189" t="s">
        <v>4191</v>
      </c>
      <c r="V85" s="188" t="s">
        <v>4191</v>
      </c>
      <c r="W85" s="198" t="s">
        <v>4191</v>
      </c>
      <c r="X8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85" s="109">
        <f t="shared" si="3"/>
        <v>63</v>
      </c>
      <c r="AA85" s="59">
        <v>45806</v>
      </c>
      <c r="AB85" t="str">
        <v>alappatjoe</v>
      </c>
      <c r="AC85" s="3">
        <v>2</v>
      </c>
      <c r="AD85" s="3">
        <v>1.0954451150103321</v>
      </c>
      <c r="AE85" t="str">
        <v>SOUVENIR</v>
      </c>
      <c r="AF85" t="str">
        <v>BUMP OF CHICKEN</v>
      </c>
      <c r="AG85" s="100">
        <f t="shared" si="4"/>
        <v>33</v>
      </c>
      <c r="AI85" s="114">
        <f>SotY_2025[[#This Row],[Max Seed]]/2 + 1</f>
        <v>65</v>
      </c>
      <c r="AJ85" s="105" t="str">
        <f ca="1">IF(SotY_2025[[#This Row],[Num]]&gt;=$A$1, "-", IF(SotY_2025[[#This Row],[Score 1]]&gt;=3, SotY_2025[[#This Row],[Song 2]], IF(SotY_2025[[#This Row],[Score 2]]&gt;=3, SotY_2025[[#This Row],[Song 1]], "TBD")))</f>
        <v>Morioucho Radio</v>
      </c>
      <c r="AK85" s="115">
        <f ca="1">IFERROR(VLOOKUP(SotY_2025_Results[[#This Row],[Song Title]], $AE$2:$AG$200, 3, FALSE)-SotY_2025_Results[[#This Row],[Result]], "TBD")</f>
        <v>-32</v>
      </c>
      <c r="AL85" s="112" t="str">
        <f ca="1">IF(SotY_2025_Results[[#This Row],[Diff]]&lt;0,"↓",IF(SotY_2025_Results[[#This Row],[Diff]]=0,"-","↑"))</f>
        <v>↓</v>
      </c>
    </row>
    <row r="86" spans="1:38">
      <c r="A86" s="197" t="str">
        <f>_xlfn.CONCAT("Seed ", SotY_2025[[#This Row],[Top Seed]], " vs ", SotY_2025[[#This Row],[Low Seed]])</f>
        <v>Seed 44 vs 85</v>
      </c>
      <c r="B86" s="115">
        <v>84</v>
      </c>
      <c r="C86" s="115">
        <f>FLOOR(LOG(SotY_2025[[#This Row],[Num]], 2), 1)</f>
        <v>6</v>
      </c>
      <c r="D86" s="115">
        <f>2^(SotY_2025[[#This Row],[Round]]+1)</f>
        <v>128</v>
      </c>
      <c r="E86" s="115">
        <f>SotY_2025[[#This Row],[Max Seed]]-SotY_2025[[#This Row],[Num]]</f>
        <v>44</v>
      </c>
      <c r="F86" s="115">
        <f>SotY_2025[[#This Row],[Max Seed]]-SotY_2025[[#This Row],[Top Seed]]+1</f>
        <v>85</v>
      </c>
      <c r="G86" s="115" t="b">
        <f>IF(SotY_2025[[#This Row],[Round]]=$C$1, TRUE(), IF(SotY_2025[[#This Row],[Round]]=$B$1, SotY_2025[[#This Row],[Top Seed]]&lt;=2*SotY_2025[[#This Row],[Max Seed]]-$A$1, FALSE()))</f>
        <v>1</v>
      </c>
      <c r="H86" s="115" t="b">
        <f>IF(SotY_2025[[#This Row],[Round]]=$C$1, TRUE(), IF(SotY_2025[[#This Row],[Round]]=$B$1, SotY_2025[[#This Row],[Low Seed]]&lt;=2*SotY_2025[[#This Row],[Max Seed]]-$A$1, FALSE()))</f>
        <v>0</v>
      </c>
      <c r="I86" s="187"/>
      <c r="J86" s="188" t="s">
        <v>4191</v>
      </c>
      <c r="K86" s="189"/>
      <c r="L86" s="190"/>
      <c r="M86" s="191" t="s">
        <v>4191</v>
      </c>
      <c r="N8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光るなら</v>
      </c>
      <c r="O86" s="105">
        <f>COUNTIF(SotY_2025[[#This Row],[J]:[H]],"x")</f>
        <v>2</v>
      </c>
      <c r="P86" s="115" t="str">
        <f ca="1">IF(SotY_2025[[#This Row],[Num]]&gt;=$A$1, "-", IF(SotY_2025[[#This Row],[Score 1]]&gt;=3, SotY_2025[[#This Row],[Song 1]], IF(SotY_2025[[#This Row],[Score 2]]&gt;=3, SotY_2025[[#This Row],[Song 2]], "TBD")))</f>
        <v>Flyers</v>
      </c>
      <c r="Q86" s="193">
        <f>COUNTIF(SotY_2025[[#This Row],[H ]:[J ]],"x")</f>
        <v>3</v>
      </c>
      <c r="R8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Flyers</v>
      </c>
      <c r="S86" s="191"/>
      <c r="T86" s="190" t="s">
        <v>4191</v>
      </c>
      <c r="U86" s="189" t="s">
        <v>4191</v>
      </c>
      <c r="V86" s="188"/>
      <c r="W86" s="198" t="s">
        <v>4191</v>
      </c>
      <c r="X8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86" s="109">
        <f t="shared" si="3"/>
        <v>88</v>
      </c>
      <c r="AA86" s="59">
        <v>45810</v>
      </c>
      <c r="AB86" t="str">
        <v>samuelbattista</v>
      </c>
      <c r="AC86" s="3">
        <v>2.2000000000000002</v>
      </c>
      <c r="AD86" s="3">
        <v>0.74833147735478833</v>
      </c>
      <c r="AE86" t="str">
        <v>Whateverrrr</v>
      </c>
      <c r="AF86" t="str">
        <v>Spacey Jane</v>
      </c>
      <c r="AG86" s="100">
        <f t="shared" si="4"/>
        <v>65</v>
      </c>
      <c r="AI86" s="114">
        <f>SotY_2025[[#This Row],[Max Seed]]/2 + 1</f>
        <v>65</v>
      </c>
      <c r="AJ86" s="105" t="str">
        <f ca="1">IF(SotY_2025[[#This Row],[Num]]&gt;=$A$1, "-", IF(SotY_2025[[#This Row],[Score 1]]&gt;=3, SotY_2025[[#This Row],[Song 2]], IF(SotY_2025[[#This Row],[Score 2]]&gt;=3, SotY_2025[[#This Row],[Song 1]], "TBD")))</f>
        <v>光るなら</v>
      </c>
      <c r="AK86" s="115">
        <f ca="1">IFERROR(VLOOKUP(SotY_2025_Results[[#This Row],[Song Title]], $AE$2:$AG$200, 3, FALSE)-SotY_2025_Results[[#This Row],[Result]], "TBD")</f>
        <v>-32</v>
      </c>
      <c r="AL86" s="112" t="str">
        <f ca="1">IF(SotY_2025_Results[[#This Row],[Diff]]&lt;0,"↓",IF(SotY_2025_Results[[#This Row],[Diff]]=0,"-","↑"))</f>
        <v>↓</v>
      </c>
    </row>
    <row r="87" spans="1:38">
      <c r="A87" s="197" t="str">
        <f>_xlfn.CONCAT("Seed ", SotY_2025[[#This Row],[Top Seed]], " vs ", SotY_2025[[#This Row],[Low Seed]])</f>
        <v>Seed 43 vs 86</v>
      </c>
      <c r="B87" s="115">
        <v>85</v>
      </c>
      <c r="C87" s="115">
        <f>FLOOR(LOG(SotY_2025[[#This Row],[Num]], 2), 1)</f>
        <v>6</v>
      </c>
      <c r="D87" s="115">
        <f>2^(SotY_2025[[#This Row],[Round]]+1)</f>
        <v>128</v>
      </c>
      <c r="E87" s="115">
        <f>SotY_2025[[#This Row],[Max Seed]]-SotY_2025[[#This Row],[Num]]</f>
        <v>43</v>
      </c>
      <c r="F87" s="115">
        <f>SotY_2025[[#This Row],[Max Seed]]-SotY_2025[[#This Row],[Top Seed]]+1</f>
        <v>86</v>
      </c>
      <c r="G87" s="115" t="b">
        <f>IF(SotY_2025[[#This Row],[Round]]=$C$1, TRUE(), IF(SotY_2025[[#This Row],[Round]]=$B$1, SotY_2025[[#This Row],[Top Seed]]&lt;=2*SotY_2025[[#This Row],[Max Seed]]-$A$1, FALSE()))</f>
        <v>1</v>
      </c>
      <c r="H87" s="115" t="b">
        <f>IF(SotY_2025[[#This Row],[Round]]=$C$1, TRUE(), IF(SotY_2025[[#This Row],[Round]]=$B$1, SotY_2025[[#This Row],[Low Seed]]&lt;=2*SotY_2025[[#This Row],[Max Seed]]-$A$1, FALSE()))</f>
        <v>0</v>
      </c>
      <c r="I87" s="187" t="s">
        <v>4191</v>
      </c>
      <c r="J87" s="188" t="s">
        <v>4191</v>
      </c>
      <c r="K87" s="189"/>
      <c r="L87" s="190"/>
      <c r="M87" s="191"/>
      <c r="N8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Movin' Out (Anthony's Song)</v>
      </c>
      <c r="O87" s="105">
        <f>COUNTIF(SotY_2025[[#This Row],[J]:[H]],"x")</f>
        <v>2</v>
      </c>
      <c r="P87" s="115" t="str">
        <f ca="1">IF(SotY_2025[[#This Row],[Num]]&gt;=$A$1, "-", IF(SotY_2025[[#This Row],[Score 1]]&gt;=3, SotY_2025[[#This Row],[Song 1]], IF(SotY_2025[[#This Row],[Score 2]]&gt;=3, SotY_2025[[#This Row],[Song 2]], "TBD")))</f>
        <v>SEE U DANCE</v>
      </c>
      <c r="Q87" s="193">
        <f>COUNTIF(SotY_2025[[#This Row],[H ]:[J ]],"x")</f>
        <v>3</v>
      </c>
      <c r="R8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SEE U DANCE</v>
      </c>
      <c r="S87" s="191" t="s">
        <v>4191</v>
      </c>
      <c r="T87" s="190" t="s">
        <v>4191</v>
      </c>
      <c r="U87" s="189" t="s">
        <v>4191</v>
      </c>
      <c r="V87" s="188"/>
      <c r="W87" s="198"/>
      <c r="X8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87" s="109">
        <f t="shared" si="3"/>
        <v>122</v>
      </c>
      <c r="AA87" s="59">
        <v>45811</v>
      </c>
      <c r="AB87" t="str">
        <v>currydestroyer27</v>
      </c>
      <c r="AC87" s="3">
        <v>2.2000000000000002</v>
      </c>
      <c r="AD87" s="3">
        <v>1.4696938456699069</v>
      </c>
      <c r="AE87" t="str">
        <v>Rather Be</v>
      </c>
      <c r="AF87" t="str">
        <v>Clean Bandit, Jess Glynne</v>
      </c>
      <c r="AG87" s="100">
        <f t="shared" si="4"/>
        <v>65</v>
      </c>
      <c r="AI87" s="114">
        <f>SotY_2025[[#This Row],[Max Seed]]/2 + 1</f>
        <v>65</v>
      </c>
      <c r="AJ87" s="105" t="str">
        <f ca="1">IF(SotY_2025[[#This Row],[Num]]&gt;=$A$1, "-", IF(SotY_2025[[#This Row],[Score 1]]&gt;=3, SotY_2025[[#This Row],[Song 2]], IF(SotY_2025[[#This Row],[Score 2]]&gt;=3, SotY_2025[[#This Row],[Song 1]], "TBD")))</f>
        <v>Movin' Out (Anthony's Song)</v>
      </c>
      <c r="AK87" s="115">
        <f ca="1">IFERROR(VLOOKUP(SotY_2025_Results[[#This Row],[Song Title]], $AE$2:$AG$200, 3, FALSE)-SotY_2025_Results[[#This Row],[Result]], "TBD")</f>
        <v>-32</v>
      </c>
      <c r="AL87" s="112" t="str">
        <f ca="1">IF(SotY_2025_Results[[#This Row],[Diff]]&lt;0,"↓",IF(SotY_2025_Results[[#This Row],[Diff]]=0,"-","↑"))</f>
        <v>↓</v>
      </c>
    </row>
    <row r="88" spans="1:38">
      <c r="A88" s="197" t="str">
        <f>_xlfn.CONCAT("Seed ", SotY_2025[[#This Row],[Top Seed]], " vs ", SotY_2025[[#This Row],[Low Seed]])</f>
        <v>Seed 42 vs 87</v>
      </c>
      <c r="B88" s="115">
        <v>86</v>
      </c>
      <c r="C88" s="115">
        <f>FLOOR(LOG(SotY_2025[[#This Row],[Num]], 2), 1)</f>
        <v>6</v>
      </c>
      <c r="D88" s="115">
        <f>2^(SotY_2025[[#This Row],[Round]]+1)</f>
        <v>128</v>
      </c>
      <c r="E88" s="115">
        <f>SotY_2025[[#This Row],[Max Seed]]-SotY_2025[[#This Row],[Num]]</f>
        <v>42</v>
      </c>
      <c r="F88" s="115">
        <f>SotY_2025[[#This Row],[Max Seed]]-SotY_2025[[#This Row],[Top Seed]]+1</f>
        <v>87</v>
      </c>
      <c r="G88" s="115" t="b">
        <f>IF(SotY_2025[[#This Row],[Round]]=$C$1, TRUE(), IF(SotY_2025[[#This Row],[Round]]=$B$1, SotY_2025[[#This Row],[Top Seed]]&lt;=2*SotY_2025[[#This Row],[Max Seed]]-$A$1, FALSE()))</f>
        <v>1</v>
      </c>
      <c r="H88" s="115" t="b">
        <f>IF(SotY_2025[[#This Row],[Round]]=$C$1, TRUE(), IF(SotY_2025[[#This Row],[Round]]=$B$1, SotY_2025[[#This Row],[Low Seed]]&lt;=2*SotY_2025[[#This Row],[Max Seed]]-$A$1, FALSE()))</f>
        <v>0</v>
      </c>
      <c r="I88" s="187"/>
      <c r="J88" s="188" t="s">
        <v>4191</v>
      </c>
      <c r="K88" s="189"/>
      <c r="L88" s="190" t="s">
        <v>4191</v>
      </c>
      <c r="M88" s="191" t="s">
        <v>4191</v>
      </c>
      <c r="N8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Airplanes</v>
      </c>
      <c r="O88" s="105">
        <f>COUNTIF(SotY_2025[[#This Row],[J]:[H]],"x")</f>
        <v>3</v>
      </c>
      <c r="P88" s="115" t="str">
        <f ca="1">IF(SotY_2025[[#This Row],[Num]]&gt;=$A$1, "-", IF(SotY_2025[[#This Row],[Score 1]]&gt;=3, SotY_2025[[#This Row],[Song 1]], IF(SotY_2025[[#This Row],[Score 2]]&gt;=3, SotY_2025[[#This Row],[Song 2]], "TBD")))</f>
        <v>Airplanes</v>
      </c>
      <c r="Q88" s="193">
        <f>COUNTIF(SotY_2025[[#This Row],[H ]:[J ]],"x")</f>
        <v>2</v>
      </c>
      <c r="R8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So Good</v>
      </c>
      <c r="S88" s="191"/>
      <c r="T88" s="190"/>
      <c r="U88" s="189" t="s">
        <v>4191</v>
      </c>
      <c r="V88" s="188"/>
      <c r="W88" s="198" t="s">
        <v>4191</v>
      </c>
      <c r="X8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88" s="109">
        <f t="shared" si="3"/>
        <v>165</v>
      </c>
      <c r="AA88" s="59">
        <v>45812</v>
      </c>
      <c r="AB88" t="str">
        <v>samuelbattista</v>
      </c>
      <c r="AC88" s="3">
        <v>2.4</v>
      </c>
      <c r="AD88" s="3">
        <v>1.3564659966250536</v>
      </c>
      <c r="AE88" t="str">
        <v>The Void</v>
      </c>
      <c r="AF88" t="str">
        <v>Spiritbox</v>
      </c>
      <c r="AG88" s="100">
        <f t="shared" si="4"/>
        <v>129</v>
      </c>
      <c r="AI88" s="114">
        <f>SotY_2025[[#This Row],[Max Seed]]/2 + 1</f>
        <v>65</v>
      </c>
      <c r="AJ88" s="105" t="str">
        <f ca="1">IF(SotY_2025[[#This Row],[Num]]&gt;=$A$1, "-", IF(SotY_2025[[#This Row],[Score 1]]&gt;=3, SotY_2025[[#This Row],[Song 2]], IF(SotY_2025[[#This Row],[Score 2]]&gt;=3, SotY_2025[[#This Row],[Song 1]], "TBD")))</f>
        <v>So Good</v>
      </c>
      <c r="AK88" s="115">
        <f ca="1">IFERROR(VLOOKUP(SotY_2025_Results[[#This Row],[Song Title]], $AE$2:$AG$200, 3, FALSE)-SotY_2025_Results[[#This Row],[Result]], "TBD")</f>
        <v>0</v>
      </c>
      <c r="AL88" s="112" t="str">
        <f ca="1">IF(SotY_2025_Results[[#This Row],[Diff]]&lt;0,"↓",IF(SotY_2025_Results[[#This Row],[Diff]]=0,"-","↑"))</f>
        <v>-</v>
      </c>
    </row>
    <row r="89" spans="1:38">
      <c r="A89" s="197" t="str">
        <f>_xlfn.CONCAT("Seed ", SotY_2025[[#This Row],[Top Seed]], " vs ", SotY_2025[[#This Row],[Low Seed]])</f>
        <v>Seed 41 vs 88</v>
      </c>
      <c r="B89" s="115">
        <v>87</v>
      </c>
      <c r="C89" s="115">
        <f>FLOOR(LOG(SotY_2025[[#This Row],[Num]], 2), 1)</f>
        <v>6</v>
      </c>
      <c r="D89" s="115">
        <f>2^(SotY_2025[[#This Row],[Round]]+1)</f>
        <v>128</v>
      </c>
      <c r="E89" s="115">
        <f>SotY_2025[[#This Row],[Max Seed]]-SotY_2025[[#This Row],[Num]]</f>
        <v>41</v>
      </c>
      <c r="F89" s="115">
        <f>SotY_2025[[#This Row],[Max Seed]]-SotY_2025[[#This Row],[Top Seed]]+1</f>
        <v>88</v>
      </c>
      <c r="G89" s="115" t="b">
        <f>IF(SotY_2025[[#This Row],[Round]]=$C$1, TRUE(), IF(SotY_2025[[#This Row],[Round]]=$B$1, SotY_2025[[#This Row],[Top Seed]]&lt;=2*SotY_2025[[#This Row],[Max Seed]]-$A$1, FALSE()))</f>
        <v>1</v>
      </c>
      <c r="H89" s="115" t="b">
        <f>IF(SotY_2025[[#This Row],[Round]]=$C$1, TRUE(), IF(SotY_2025[[#This Row],[Round]]=$B$1, SotY_2025[[#This Row],[Low Seed]]&lt;=2*SotY_2025[[#This Row],[Max Seed]]-$A$1, FALSE()))</f>
        <v>0</v>
      </c>
      <c r="I89" s="187"/>
      <c r="J89" s="188"/>
      <c r="K89" s="189"/>
      <c r="L89" s="190"/>
      <c r="M89" s="191"/>
      <c r="N8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RADA RADA</v>
      </c>
      <c r="O89" s="105">
        <f>COUNTIF(SotY_2025[[#This Row],[J]:[H]],"x")</f>
        <v>0</v>
      </c>
      <c r="P89" s="115" t="str">
        <f ca="1">IF(SotY_2025[[#This Row],[Num]]&gt;=$A$1, "-", IF(SotY_2025[[#This Row],[Score 1]]&gt;=3, SotY_2025[[#This Row],[Song 1]], IF(SotY_2025[[#This Row],[Score 2]]&gt;=3, SotY_2025[[#This Row],[Song 2]], "TBD")))</f>
        <v>Whateverrrr</v>
      </c>
      <c r="Q89" s="193">
        <f>COUNTIF(SotY_2025[[#This Row],[H ]:[J ]],"x")</f>
        <v>5</v>
      </c>
      <c r="R8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Whateverrrr</v>
      </c>
      <c r="S89" s="191" t="s">
        <v>4191</v>
      </c>
      <c r="T89" s="190" t="s">
        <v>4191</v>
      </c>
      <c r="U89" s="189" t="s">
        <v>4191</v>
      </c>
      <c r="V89" s="188" t="s">
        <v>4191</v>
      </c>
      <c r="W89" s="198" t="s">
        <v>4191</v>
      </c>
      <c r="X8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89" s="109">
        <f t="shared" si="3"/>
        <v>79</v>
      </c>
      <c r="AA89" s="59">
        <v>45813</v>
      </c>
      <c r="AB89" t="str">
        <v>loganworsdell</v>
      </c>
      <c r="AC89" s="3">
        <v>2.2000000000000002</v>
      </c>
      <c r="AD89" s="3">
        <v>0.4</v>
      </c>
      <c r="AE89" t="str">
        <v>Rat A Tat</v>
      </c>
      <c r="AF89" t="str">
        <v>Fall Out Boy, Courtney Love</v>
      </c>
      <c r="AG89" s="100">
        <f t="shared" si="4"/>
        <v>65</v>
      </c>
      <c r="AI89" s="114">
        <f>SotY_2025[[#This Row],[Max Seed]]/2 + 1</f>
        <v>65</v>
      </c>
      <c r="AJ89" s="105" t="str">
        <f ca="1">IF(SotY_2025[[#This Row],[Num]]&gt;=$A$1, "-", IF(SotY_2025[[#This Row],[Score 1]]&gt;=3, SotY_2025[[#This Row],[Song 2]], IF(SotY_2025[[#This Row],[Score 2]]&gt;=3, SotY_2025[[#This Row],[Song 1]], "TBD")))</f>
        <v>RADA RADA</v>
      </c>
      <c r="AK89" s="115">
        <f ca="1">IFERROR(VLOOKUP(SotY_2025_Results[[#This Row],[Song Title]], $AE$2:$AG$200, 3, FALSE)-SotY_2025_Results[[#This Row],[Result]], "TBD")</f>
        <v>-32</v>
      </c>
      <c r="AL89" s="112" t="str">
        <f ca="1">IF(SotY_2025_Results[[#This Row],[Diff]]&lt;0,"↓",IF(SotY_2025_Results[[#This Row],[Diff]]=0,"-","↑"))</f>
        <v>↓</v>
      </c>
    </row>
    <row r="90" spans="1:38">
      <c r="A90" s="197" t="str">
        <f>_xlfn.CONCAT("Seed ", SotY_2025[[#This Row],[Top Seed]], " vs ", SotY_2025[[#This Row],[Low Seed]])</f>
        <v>Seed 40 vs 89</v>
      </c>
      <c r="B90" s="115">
        <v>88</v>
      </c>
      <c r="C90" s="115">
        <f>FLOOR(LOG(SotY_2025[[#This Row],[Num]], 2), 1)</f>
        <v>6</v>
      </c>
      <c r="D90" s="115">
        <f>2^(SotY_2025[[#This Row],[Round]]+1)</f>
        <v>128</v>
      </c>
      <c r="E90" s="115">
        <f>SotY_2025[[#This Row],[Max Seed]]-SotY_2025[[#This Row],[Num]]</f>
        <v>40</v>
      </c>
      <c r="F90" s="115">
        <f>SotY_2025[[#This Row],[Max Seed]]-SotY_2025[[#This Row],[Top Seed]]+1</f>
        <v>89</v>
      </c>
      <c r="G90" s="115" t="b">
        <f>IF(SotY_2025[[#This Row],[Round]]=$C$1, TRUE(), IF(SotY_2025[[#This Row],[Round]]=$B$1, SotY_2025[[#This Row],[Top Seed]]&lt;=2*SotY_2025[[#This Row],[Max Seed]]-$A$1, FALSE()))</f>
        <v>1</v>
      </c>
      <c r="H90" s="115" t="b">
        <f>IF(SotY_2025[[#This Row],[Round]]=$C$1, TRUE(), IF(SotY_2025[[#This Row],[Round]]=$B$1, SotY_2025[[#This Row],[Low Seed]]&lt;=2*SotY_2025[[#This Row],[Max Seed]]-$A$1, FALSE()))</f>
        <v>0</v>
      </c>
      <c r="I90" s="187"/>
      <c r="J90" s="188"/>
      <c r="K90" s="189"/>
      <c r="L90" s="190" t="s">
        <v>4191</v>
      </c>
      <c r="M90" s="191"/>
      <c r="N9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How You Remind Me</v>
      </c>
      <c r="O90" s="105">
        <f>COUNTIF(SotY_2025[[#This Row],[J]:[H]],"x")</f>
        <v>1</v>
      </c>
      <c r="P90" s="115" t="str">
        <f ca="1">IF(SotY_2025[[#This Row],[Num]]&gt;=$A$1, "-", IF(SotY_2025[[#This Row],[Score 1]]&gt;=3, SotY_2025[[#This Row],[Song 1]], IF(SotY_2025[[#This Row],[Score 2]]&gt;=3, SotY_2025[[#This Row],[Song 2]], "TBD")))</f>
        <v>Take Me Out</v>
      </c>
      <c r="Q90" s="193">
        <f>COUNTIF(SotY_2025[[#This Row],[H ]:[J ]],"x")</f>
        <v>4</v>
      </c>
      <c r="R9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Take Me Out</v>
      </c>
      <c r="S90" s="191" t="s">
        <v>4191</v>
      </c>
      <c r="T90" s="190"/>
      <c r="U90" s="189" t="s">
        <v>4191</v>
      </c>
      <c r="V90" s="188" t="s">
        <v>4191</v>
      </c>
      <c r="W90" s="198" t="s">
        <v>4191</v>
      </c>
      <c r="X9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90" s="109">
        <f t="shared" si="3"/>
        <v>5</v>
      </c>
      <c r="AA90" s="59">
        <v>45817</v>
      </c>
      <c r="AB90" t="str">
        <v>danram</v>
      </c>
      <c r="AC90" s="3">
        <v>1.4</v>
      </c>
      <c r="AD90" s="3">
        <v>0.4898979485566356</v>
      </c>
      <c r="AE90" t="str">
        <v>Umbrella</v>
      </c>
      <c r="AF90" t="str">
        <v>Rihanna, JAY-Z</v>
      </c>
      <c r="AG90" s="100">
        <f t="shared" si="4"/>
        <v>5</v>
      </c>
      <c r="AI90" s="114">
        <f>SotY_2025[[#This Row],[Max Seed]]/2 + 1</f>
        <v>65</v>
      </c>
      <c r="AJ90" s="105" t="str">
        <f ca="1">IF(SotY_2025[[#This Row],[Num]]&gt;=$A$1, "-", IF(SotY_2025[[#This Row],[Score 1]]&gt;=3, SotY_2025[[#This Row],[Song 2]], IF(SotY_2025[[#This Row],[Score 2]]&gt;=3, SotY_2025[[#This Row],[Song 1]], "TBD")))</f>
        <v>How You Remind Me</v>
      </c>
      <c r="AK90" s="115">
        <f ca="1">IFERROR(VLOOKUP(SotY_2025_Results[[#This Row],[Song Title]], $AE$2:$AG$200, 3, FALSE)-SotY_2025_Results[[#This Row],[Result]], "TBD")</f>
        <v>-32</v>
      </c>
      <c r="AL90" s="112" t="str">
        <f ca="1">IF(SotY_2025_Results[[#This Row],[Diff]]&lt;0,"↓",IF(SotY_2025_Results[[#This Row],[Diff]]=0,"-","↑"))</f>
        <v>↓</v>
      </c>
    </row>
    <row r="91" spans="1:38">
      <c r="A91" s="197" t="str">
        <f>_xlfn.CONCAT("Seed ", SotY_2025[[#This Row],[Top Seed]], " vs ", SotY_2025[[#This Row],[Low Seed]])</f>
        <v>Seed 39 vs 90</v>
      </c>
      <c r="B91" s="115">
        <v>89</v>
      </c>
      <c r="C91" s="115">
        <f>FLOOR(LOG(SotY_2025[[#This Row],[Num]], 2), 1)</f>
        <v>6</v>
      </c>
      <c r="D91" s="115">
        <f>2^(SotY_2025[[#This Row],[Round]]+1)</f>
        <v>128</v>
      </c>
      <c r="E91" s="115">
        <f>SotY_2025[[#This Row],[Max Seed]]-SotY_2025[[#This Row],[Num]]</f>
        <v>39</v>
      </c>
      <c r="F91" s="115">
        <f>SotY_2025[[#This Row],[Max Seed]]-SotY_2025[[#This Row],[Top Seed]]+1</f>
        <v>90</v>
      </c>
      <c r="G91" s="115" t="b">
        <f>IF(SotY_2025[[#This Row],[Round]]=$C$1, TRUE(), IF(SotY_2025[[#This Row],[Round]]=$B$1, SotY_2025[[#This Row],[Top Seed]]&lt;=2*SotY_2025[[#This Row],[Max Seed]]-$A$1, FALSE()))</f>
        <v>1</v>
      </c>
      <c r="H91" s="115" t="b">
        <f>IF(SotY_2025[[#This Row],[Round]]=$C$1, TRUE(), IF(SotY_2025[[#This Row],[Round]]=$B$1, SotY_2025[[#This Row],[Low Seed]]&lt;=2*SotY_2025[[#This Row],[Max Seed]]-$A$1, FALSE()))</f>
        <v>0</v>
      </c>
      <c r="I91" s="187"/>
      <c r="J91" s="188"/>
      <c r="K91" s="189" t="s">
        <v>4191</v>
      </c>
      <c r="L91" s="190"/>
      <c r="M91" s="191" t="s">
        <v>4191</v>
      </c>
      <c r="N9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crossing field</v>
      </c>
      <c r="O91" s="105">
        <f>COUNTIF(SotY_2025[[#This Row],[J]:[H]],"x")</f>
        <v>2</v>
      </c>
      <c r="P91" s="115" t="str">
        <f ca="1">IF(SotY_2025[[#This Row],[Num]]&gt;=$A$1, "-", IF(SotY_2025[[#This Row],[Score 1]]&gt;=3, SotY_2025[[#This Row],[Song 1]], IF(SotY_2025[[#This Row],[Score 2]]&gt;=3, SotY_2025[[#This Row],[Song 2]], "TBD")))</f>
        <v>Ensalada</v>
      </c>
      <c r="Q91" s="193">
        <f>COUNTIF(SotY_2025[[#This Row],[H ]:[J ]],"x")</f>
        <v>3</v>
      </c>
      <c r="R9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Ensalada</v>
      </c>
      <c r="S91" s="191"/>
      <c r="T91" s="190" t="s">
        <v>4191</v>
      </c>
      <c r="U91" s="189"/>
      <c r="V91" s="188" t="s">
        <v>4191</v>
      </c>
      <c r="W91" s="198" t="s">
        <v>4191</v>
      </c>
      <c r="X9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91" s="109">
        <f t="shared" si="3"/>
        <v>123</v>
      </c>
      <c r="AA91" s="59">
        <v>45818</v>
      </c>
      <c r="AB91" t="str">
        <v>alappatjoe</v>
      </c>
      <c r="AC91" s="3">
        <v>2.2000000000000002</v>
      </c>
      <c r="AD91" s="3">
        <v>1.4696938456699069</v>
      </c>
      <c r="AE91" t="str">
        <v>Cash In Cash Out</v>
      </c>
      <c r="AF91" t="str">
        <v>Pharrell Williams, 21 Savage, Tyler The Creator</v>
      </c>
      <c r="AG91" s="100">
        <f t="shared" si="4"/>
        <v>65</v>
      </c>
      <c r="AI91" s="114">
        <f>SotY_2025[[#This Row],[Max Seed]]/2 + 1</f>
        <v>65</v>
      </c>
      <c r="AJ91" s="105" t="str">
        <f ca="1">IF(SotY_2025[[#This Row],[Num]]&gt;=$A$1, "-", IF(SotY_2025[[#This Row],[Score 1]]&gt;=3, SotY_2025[[#This Row],[Song 2]], IF(SotY_2025[[#This Row],[Score 2]]&gt;=3, SotY_2025[[#This Row],[Song 1]], "TBD")))</f>
        <v>crossing field</v>
      </c>
      <c r="AK91" s="115">
        <f ca="1">IFERROR(VLOOKUP(SotY_2025_Results[[#This Row],[Song Title]], $AE$2:$AG$200, 3, FALSE)-SotY_2025_Results[[#This Row],[Result]], "TBD")</f>
        <v>-32</v>
      </c>
      <c r="AL91" s="112" t="str">
        <f ca="1">IF(SotY_2025_Results[[#This Row],[Diff]]&lt;0,"↓",IF(SotY_2025_Results[[#This Row],[Diff]]=0,"-","↑"))</f>
        <v>↓</v>
      </c>
    </row>
    <row r="92" spans="1:38">
      <c r="A92" s="197" t="str">
        <f>_xlfn.CONCAT("Seed ", SotY_2025[[#This Row],[Top Seed]], " vs ", SotY_2025[[#This Row],[Low Seed]])</f>
        <v>Seed 38 vs 91</v>
      </c>
      <c r="B92" s="115">
        <v>90</v>
      </c>
      <c r="C92" s="115">
        <f>FLOOR(LOG(SotY_2025[[#This Row],[Num]], 2), 1)</f>
        <v>6</v>
      </c>
      <c r="D92" s="115">
        <f>2^(SotY_2025[[#This Row],[Round]]+1)</f>
        <v>128</v>
      </c>
      <c r="E92" s="115">
        <f>SotY_2025[[#This Row],[Max Seed]]-SotY_2025[[#This Row],[Num]]</f>
        <v>38</v>
      </c>
      <c r="F92" s="115">
        <f>SotY_2025[[#This Row],[Max Seed]]-SotY_2025[[#This Row],[Top Seed]]+1</f>
        <v>91</v>
      </c>
      <c r="G92" s="115" t="b">
        <f>IF(SotY_2025[[#This Row],[Round]]=$C$1, TRUE(), IF(SotY_2025[[#This Row],[Round]]=$B$1, SotY_2025[[#This Row],[Top Seed]]&lt;=2*SotY_2025[[#This Row],[Max Seed]]-$A$1, FALSE()))</f>
        <v>1</v>
      </c>
      <c r="H92" s="115" t="b">
        <f>IF(SotY_2025[[#This Row],[Round]]=$C$1, TRUE(), IF(SotY_2025[[#This Row],[Round]]=$B$1, SotY_2025[[#This Row],[Low Seed]]&lt;=2*SotY_2025[[#This Row],[Max Seed]]-$A$1, FALSE()))</f>
        <v>0</v>
      </c>
      <c r="I92" s="187" t="s">
        <v>4191</v>
      </c>
      <c r="J92" s="188" t="s">
        <v>4191</v>
      </c>
      <c r="K92" s="189"/>
      <c r="L92" s="190" t="s">
        <v>4191</v>
      </c>
      <c r="M92" s="191" t="s">
        <v>4191</v>
      </c>
      <c r="N9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Still into You</v>
      </c>
      <c r="O92" s="105">
        <f>COUNTIF(SotY_2025[[#This Row],[J]:[H]],"x")</f>
        <v>4</v>
      </c>
      <c r="P92" s="115" t="str">
        <f ca="1">IF(SotY_2025[[#This Row],[Num]]&gt;=$A$1, "-", IF(SotY_2025[[#This Row],[Score 1]]&gt;=3, SotY_2025[[#This Row],[Song 1]], IF(SotY_2025[[#This Row],[Score 2]]&gt;=3, SotY_2025[[#This Row],[Song 2]], "TBD")))</f>
        <v>Still into You</v>
      </c>
      <c r="Q92" s="193">
        <f>COUNTIF(SotY_2025[[#This Row],[H ]:[J ]],"x")</f>
        <v>1</v>
      </c>
      <c r="R9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Calling After Me</v>
      </c>
      <c r="S92" s="191"/>
      <c r="T92" s="190"/>
      <c r="U92" s="189" t="s">
        <v>4191</v>
      </c>
      <c r="V92" s="188"/>
      <c r="W92" s="198"/>
      <c r="X9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92" s="109">
        <f t="shared" si="3"/>
        <v>54</v>
      </c>
      <c r="AA92" s="59">
        <v>45819</v>
      </c>
      <c r="AB92" t="str">
        <v>samuelbattista</v>
      </c>
      <c r="AC92" s="3">
        <v>2</v>
      </c>
      <c r="AD92" s="3">
        <v>0.89442719099991586</v>
      </c>
      <c r="AE92" t="str">
        <v>Renegade</v>
      </c>
      <c r="AF92" t="str">
        <v>Styx</v>
      </c>
      <c r="AG92" s="100">
        <f t="shared" si="4"/>
        <v>33</v>
      </c>
      <c r="AI92" s="114">
        <f>SotY_2025[[#This Row],[Max Seed]]/2 + 1</f>
        <v>65</v>
      </c>
      <c r="AJ92" s="105" t="str">
        <f ca="1">IF(SotY_2025[[#This Row],[Num]]&gt;=$A$1, "-", IF(SotY_2025[[#This Row],[Score 1]]&gt;=3, SotY_2025[[#This Row],[Song 2]], IF(SotY_2025[[#This Row],[Score 2]]&gt;=3, SotY_2025[[#This Row],[Song 1]], "TBD")))</f>
        <v>Calling After Me</v>
      </c>
      <c r="AK92" s="115">
        <f ca="1">IFERROR(VLOOKUP(SotY_2025_Results[[#This Row],[Song Title]], $AE$2:$AG$200, 3, FALSE)-SotY_2025_Results[[#This Row],[Result]], "TBD")</f>
        <v>0</v>
      </c>
      <c r="AL92" s="112" t="str">
        <f ca="1">IF(SotY_2025_Results[[#This Row],[Diff]]&lt;0,"↓",IF(SotY_2025_Results[[#This Row],[Diff]]=0,"-","↑"))</f>
        <v>-</v>
      </c>
    </row>
    <row r="93" spans="1:38">
      <c r="A93" s="197" t="str">
        <f>_xlfn.CONCAT("Seed ", SotY_2025[[#This Row],[Top Seed]], " vs ", SotY_2025[[#This Row],[Low Seed]])</f>
        <v>Seed 37 vs 92</v>
      </c>
      <c r="B93" s="115">
        <v>91</v>
      </c>
      <c r="C93" s="115">
        <f>FLOOR(LOG(SotY_2025[[#This Row],[Num]], 2), 1)</f>
        <v>6</v>
      </c>
      <c r="D93" s="115">
        <f>2^(SotY_2025[[#This Row],[Round]]+1)</f>
        <v>128</v>
      </c>
      <c r="E93" s="115">
        <f>SotY_2025[[#This Row],[Max Seed]]-SotY_2025[[#This Row],[Num]]</f>
        <v>37</v>
      </c>
      <c r="F93" s="115">
        <f>SotY_2025[[#This Row],[Max Seed]]-SotY_2025[[#This Row],[Top Seed]]+1</f>
        <v>92</v>
      </c>
      <c r="G93" s="115" t="b">
        <f>IF(SotY_2025[[#This Row],[Round]]=$C$1, TRUE(), IF(SotY_2025[[#This Row],[Round]]=$B$1, SotY_2025[[#This Row],[Top Seed]]&lt;=2*SotY_2025[[#This Row],[Max Seed]]-$A$1, FALSE()))</f>
        <v>1</v>
      </c>
      <c r="H93" s="115" t="b">
        <f>IF(SotY_2025[[#This Row],[Round]]=$C$1, TRUE(), IF(SotY_2025[[#This Row],[Round]]=$B$1, SotY_2025[[#This Row],[Low Seed]]&lt;=2*SotY_2025[[#This Row],[Max Seed]]-$A$1, FALSE()))</f>
        <v>0</v>
      </c>
      <c r="I93" s="187" t="s">
        <v>4191</v>
      </c>
      <c r="J93" s="188"/>
      <c r="K93" s="189"/>
      <c r="L93" s="190"/>
      <c r="M93" s="191" t="s">
        <v>4191</v>
      </c>
      <c r="N9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ブルーバード</v>
      </c>
      <c r="O93" s="105">
        <f>COUNTIF(SotY_2025[[#This Row],[J]:[H]],"x")</f>
        <v>2</v>
      </c>
      <c r="P93" s="115" t="str">
        <f ca="1">IF(SotY_2025[[#This Row],[Num]]&gt;=$A$1, "-", IF(SotY_2025[[#This Row],[Score 1]]&gt;=3, SotY_2025[[#This Row],[Song 1]], IF(SotY_2025[[#This Row],[Score 2]]&gt;=3, SotY_2025[[#This Row],[Song 2]], "TBD")))</f>
        <v>Headlines</v>
      </c>
      <c r="Q93" s="193">
        <f>COUNTIF(SotY_2025[[#This Row],[H ]:[J ]],"x")</f>
        <v>3</v>
      </c>
      <c r="R9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Headlines</v>
      </c>
      <c r="S93" s="191"/>
      <c r="T93" s="190" t="s">
        <v>4191</v>
      </c>
      <c r="U93" s="189" t="s">
        <v>4191</v>
      </c>
      <c r="V93" s="188" t="s">
        <v>4191</v>
      </c>
      <c r="W93" s="198"/>
      <c r="X9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93" s="109">
        <f t="shared" si="3"/>
        <v>64</v>
      </c>
      <c r="AA93" s="59">
        <v>45820</v>
      </c>
      <c r="AB93" t="str">
        <v>currydestroyer27</v>
      </c>
      <c r="AC93" s="3">
        <v>2</v>
      </c>
      <c r="AD93" s="3">
        <v>1.0954451150103321</v>
      </c>
      <c r="AE93" t="str">
        <v>Ain't It Fun</v>
      </c>
      <c r="AF93" t="str">
        <v>Paramore</v>
      </c>
      <c r="AG93" s="100">
        <f t="shared" si="4"/>
        <v>33</v>
      </c>
      <c r="AI93" s="114">
        <f>SotY_2025[[#This Row],[Max Seed]]/2 + 1</f>
        <v>65</v>
      </c>
      <c r="AJ93" s="105" t="str">
        <f ca="1">IF(SotY_2025[[#This Row],[Num]]&gt;=$A$1, "-", IF(SotY_2025[[#This Row],[Score 1]]&gt;=3, SotY_2025[[#This Row],[Song 2]], IF(SotY_2025[[#This Row],[Score 2]]&gt;=3, SotY_2025[[#This Row],[Song 1]], "TBD")))</f>
        <v>ブルーバード</v>
      </c>
      <c r="AK93" s="115">
        <f ca="1">IFERROR(VLOOKUP(SotY_2025_Results[[#This Row],[Song Title]], $AE$2:$AG$200, 3, FALSE)-SotY_2025_Results[[#This Row],[Result]], "TBD")</f>
        <v>-32</v>
      </c>
      <c r="AL93" s="112" t="str">
        <f ca="1">IF(SotY_2025_Results[[#This Row],[Diff]]&lt;0,"↓",IF(SotY_2025_Results[[#This Row],[Diff]]=0,"-","↑"))</f>
        <v>↓</v>
      </c>
    </row>
    <row r="94" spans="1:38">
      <c r="A94" s="197" t="str">
        <f>_xlfn.CONCAT("Seed ", SotY_2025[[#This Row],[Top Seed]], " vs ", SotY_2025[[#This Row],[Low Seed]])</f>
        <v>Seed 36 vs 93</v>
      </c>
      <c r="B94" s="115">
        <v>92</v>
      </c>
      <c r="C94" s="115">
        <f>FLOOR(LOG(SotY_2025[[#This Row],[Num]], 2), 1)</f>
        <v>6</v>
      </c>
      <c r="D94" s="115">
        <f>2^(SotY_2025[[#This Row],[Round]]+1)</f>
        <v>128</v>
      </c>
      <c r="E94" s="115">
        <f>SotY_2025[[#This Row],[Max Seed]]-SotY_2025[[#This Row],[Num]]</f>
        <v>36</v>
      </c>
      <c r="F94" s="115">
        <f>SotY_2025[[#This Row],[Max Seed]]-SotY_2025[[#This Row],[Top Seed]]+1</f>
        <v>93</v>
      </c>
      <c r="G94" s="115" t="b">
        <f>IF(SotY_2025[[#This Row],[Round]]=$C$1, TRUE(), IF(SotY_2025[[#This Row],[Round]]=$B$1, SotY_2025[[#This Row],[Top Seed]]&lt;=2*SotY_2025[[#This Row],[Max Seed]]-$A$1, FALSE()))</f>
        <v>1</v>
      </c>
      <c r="H94" s="115" t="b">
        <f>IF(SotY_2025[[#This Row],[Round]]=$C$1, TRUE(), IF(SotY_2025[[#This Row],[Round]]=$B$1, SotY_2025[[#This Row],[Low Seed]]&lt;=2*SotY_2025[[#This Row],[Max Seed]]-$A$1, FALSE()))</f>
        <v>0</v>
      </c>
      <c r="I94" s="187"/>
      <c r="J94" s="188" t="s">
        <v>4191</v>
      </c>
      <c r="K94" s="189" t="s">
        <v>4191</v>
      </c>
      <c r="L94" s="190" t="s">
        <v>4191</v>
      </c>
      <c r="M94" s="191"/>
      <c r="N94" s="192">
        <f ca="1">IF(SotY_2025[[#This Row],[Num]]&gt;=$A$1, "-", IF(SotY_2025[[#This Row],[Initial 1]], VLOOKUP(SotY_2025[[#This Row],[Top Seed]], $Z$2:$AE$200, 6, FALSE), OFFSET(SotY_2025[[#This Row],[Winner]], SotY_2025[[#This Row],[Max Seed]], 0)))</f>
        <v>1979</v>
      </c>
      <c r="O94" s="105">
        <f>COUNTIF(SotY_2025[[#This Row],[J]:[H]],"x")</f>
        <v>3</v>
      </c>
      <c r="P94" s="115">
        <f ca="1">IF(SotY_2025[[#This Row],[Num]]&gt;=$A$1, "-", IF(SotY_2025[[#This Row],[Score 1]]&gt;=3, SotY_2025[[#This Row],[Song 1]], IF(SotY_2025[[#This Row],[Score 2]]&gt;=3, SotY_2025[[#This Row],[Song 2]], "TBD")))</f>
        <v>1979</v>
      </c>
      <c r="Q94" s="193">
        <f>COUNTIF(SotY_2025[[#This Row],[H ]:[J ]],"x")</f>
        <v>2</v>
      </c>
      <c r="R9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Dj Got Us Fallin' In Love Again</v>
      </c>
      <c r="S94" s="191" t="s">
        <v>4191</v>
      </c>
      <c r="T94" s="190"/>
      <c r="U94" s="189"/>
      <c r="V94" s="188"/>
      <c r="W94" s="198" t="s">
        <v>4191</v>
      </c>
      <c r="X9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94" s="109">
        <f t="shared" si="3"/>
        <v>27</v>
      </c>
      <c r="AA94" s="59">
        <v>45824</v>
      </c>
      <c r="AB94" t="str">
        <v>alappatjoe</v>
      </c>
      <c r="AC94" s="3">
        <v>1.8</v>
      </c>
      <c r="AD94" s="3">
        <v>0.74833147735478833</v>
      </c>
      <c r="AE94" t="str">
        <v>Lucky (Song 7)</v>
      </c>
      <c r="AF94" t="str">
        <v>Busty and the Bass</v>
      </c>
      <c r="AG94" s="100">
        <f t="shared" si="4"/>
        <v>17</v>
      </c>
      <c r="AI94" s="114">
        <f>SotY_2025[[#This Row],[Max Seed]]/2 + 1</f>
        <v>65</v>
      </c>
      <c r="AJ94" s="105" t="str">
        <f ca="1">IF(SotY_2025[[#This Row],[Num]]&gt;=$A$1, "-", IF(SotY_2025[[#This Row],[Score 1]]&gt;=3, SotY_2025[[#This Row],[Song 2]], IF(SotY_2025[[#This Row],[Score 2]]&gt;=3, SotY_2025[[#This Row],[Song 1]], "TBD")))</f>
        <v>Dj Got Us Fallin' In Love Again</v>
      </c>
      <c r="AK94" s="115">
        <f ca="1">IFERROR(VLOOKUP(SotY_2025_Results[[#This Row],[Song Title]], $AE$2:$AG$200, 3, FALSE)-SotY_2025_Results[[#This Row],[Result]], "TBD")</f>
        <v>0</v>
      </c>
      <c r="AL94" s="112" t="str">
        <f ca="1">IF(SotY_2025_Results[[#This Row],[Diff]]&lt;0,"↓",IF(SotY_2025_Results[[#This Row],[Diff]]=0,"-","↑"))</f>
        <v>-</v>
      </c>
    </row>
    <row r="95" spans="1:38">
      <c r="A95" s="197" t="str">
        <f>_xlfn.CONCAT("Seed ", SotY_2025[[#This Row],[Top Seed]], " vs ", SotY_2025[[#This Row],[Low Seed]])</f>
        <v>Seed 35 vs 94</v>
      </c>
      <c r="B95" s="115">
        <v>93</v>
      </c>
      <c r="C95" s="115">
        <f>FLOOR(LOG(SotY_2025[[#This Row],[Num]], 2), 1)</f>
        <v>6</v>
      </c>
      <c r="D95" s="115">
        <f>2^(SotY_2025[[#This Row],[Round]]+1)</f>
        <v>128</v>
      </c>
      <c r="E95" s="115">
        <f>SotY_2025[[#This Row],[Max Seed]]-SotY_2025[[#This Row],[Num]]</f>
        <v>35</v>
      </c>
      <c r="F95" s="115">
        <f>SotY_2025[[#This Row],[Max Seed]]-SotY_2025[[#This Row],[Top Seed]]+1</f>
        <v>94</v>
      </c>
      <c r="G95" s="115" t="b">
        <f>IF(SotY_2025[[#This Row],[Round]]=$C$1, TRUE(), IF(SotY_2025[[#This Row],[Round]]=$B$1, SotY_2025[[#This Row],[Top Seed]]&lt;=2*SotY_2025[[#This Row],[Max Seed]]-$A$1, FALSE()))</f>
        <v>1</v>
      </c>
      <c r="H95" s="115" t="b">
        <f>IF(SotY_2025[[#This Row],[Round]]=$C$1, TRUE(), IF(SotY_2025[[#This Row],[Round]]=$B$1, SotY_2025[[#This Row],[Low Seed]]&lt;=2*SotY_2025[[#This Row],[Max Seed]]-$A$1, FALSE()))</f>
        <v>0</v>
      </c>
      <c r="I95" s="187"/>
      <c r="J95" s="188"/>
      <c r="K95" s="189" t="s">
        <v>4191</v>
      </c>
      <c r="L95" s="190" t="s">
        <v>4191</v>
      </c>
      <c r="M95" s="191"/>
      <c r="N9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Politix</v>
      </c>
      <c r="O95" s="105">
        <f>COUNTIF(SotY_2025[[#This Row],[J]:[H]],"x")</f>
        <v>2</v>
      </c>
      <c r="P95" s="115" t="str">
        <f ca="1">IF(SotY_2025[[#This Row],[Num]]&gt;=$A$1, "-", IF(SotY_2025[[#This Row],[Score 1]]&gt;=3, SotY_2025[[#This Row],[Song 1]], IF(SotY_2025[[#This Row],[Score 2]]&gt;=3, SotY_2025[[#This Row],[Song 2]], "TBD")))</f>
        <v>Locked out of Heaven</v>
      </c>
      <c r="Q95" s="193">
        <f>COUNTIF(SotY_2025[[#This Row],[H ]:[J ]],"x")</f>
        <v>3</v>
      </c>
      <c r="R9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Locked out of Heaven</v>
      </c>
      <c r="S95" s="191" t="s">
        <v>4191</v>
      </c>
      <c r="T95" s="190"/>
      <c r="U95" s="189"/>
      <c r="V95" s="188" t="s">
        <v>4191</v>
      </c>
      <c r="W95" s="198" t="s">
        <v>4191</v>
      </c>
      <c r="X9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95" s="109">
        <f t="shared" si="3"/>
        <v>148</v>
      </c>
      <c r="AA95" s="59">
        <v>45825</v>
      </c>
      <c r="AB95" t="str">
        <v>alappatjoe</v>
      </c>
      <c r="AC95" s="3">
        <v>2.4</v>
      </c>
      <c r="AD95" s="3">
        <v>1.019803902718557</v>
      </c>
      <c r="AE95" t="str">
        <v>Look At Me</v>
      </c>
      <c r="AF95" t="str">
        <v>Cory Wong, Allen Stone</v>
      </c>
      <c r="AG95" s="100">
        <f t="shared" si="4"/>
        <v>129</v>
      </c>
      <c r="AI95" s="114">
        <f>SotY_2025[[#This Row],[Max Seed]]/2 + 1</f>
        <v>65</v>
      </c>
      <c r="AJ95" s="105" t="str">
        <f ca="1">IF(SotY_2025[[#This Row],[Num]]&gt;=$A$1, "-", IF(SotY_2025[[#This Row],[Score 1]]&gt;=3, SotY_2025[[#This Row],[Song 2]], IF(SotY_2025[[#This Row],[Score 2]]&gt;=3, SotY_2025[[#This Row],[Song 1]], "TBD")))</f>
        <v>Politix</v>
      </c>
      <c r="AK95" s="115">
        <f ca="1">IFERROR(VLOOKUP(SotY_2025_Results[[#This Row],[Song Title]], $AE$2:$AG$200, 3, FALSE)-SotY_2025_Results[[#This Row],[Result]], "TBD")</f>
        <v>-32</v>
      </c>
      <c r="AL95" s="112" t="str">
        <f ca="1">IF(SotY_2025_Results[[#This Row],[Diff]]&lt;0,"↓",IF(SotY_2025_Results[[#This Row],[Diff]]=0,"-","↑"))</f>
        <v>↓</v>
      </c>
    </row>
    <row r="96" spans="1:38">
      <c r="A96" s="197" t="str">
        <f>_xlfn.CONCAT("Seed ", SotY_2025[[#This Row],[Top Seed]], " vs ", SotY_2025[[#This Row],[Low Seed]])</f>
        <v>Seed 34 vs 95</v>
      </c>
      <c r="B96" s="115">
        <v>94</v>
      </c>
      <c r="C96" s="115">
        <f>FLOOR(LOG(SotY_2025[[#This Row],[Num]], 2), 1)</f>
        <v>6</v>
      </c>
      <c r="D96" s="115">
        <f>2^(SotY_2025[[#This Row],[Round]]+1)</f>
        <v>128</v>
      </c>
      <c r="E96" s="115">
        <f>SotY_2025[[#This Row],[Max Seed]]-SotY_2025[[#This Row],[Num]]</f>
        <v>34</v>
      </c>
      <c r="F96" s="115">
        <f>SotY_2025[[#This Row],[Max Seed]]-SotY_2025[[#This Row],[Top Seed]]+1</f>
        <v>95</v>
      </c>
      <c r="G96" s="115" t="b">
        <f>IF(SotY_2025[[#This Row],[Round]]=$C$1, TRUE(), IF(SotY_2025[[#This Row],[Round]]=$B$1, SotY_2025[[#This Row],[Top Seed]]&lt;=2*SotY_2025[[#This Row],[Max Seed]]-$A$1, FALSE()))</f>
        <v>1</v>
      </c>
      <c r="H96" s="115" t="b">
        <f>IF(SotY_2025[[#This Row],[Round]]=$C$1, TRUE(), IF(SotY_2025[[#This Row],[Round]]=$B$1, SotY_2025[[#This Row],[Low Seed]]&lt;=2*SotY_2025[[#This Row],[Max Seed]]-$A$1, FALSE()))</f>
        <v>0</v>
      </c>
      <c r="I96" s="187" t="s">
        <v>4191</v>
      </c>
      <c r="J96" s="188"/>
      <c r="K96" s="189"/>
      <c r="L96" s="190"/>
      <c r="M96" s="191"/>
      <c r="N9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Supernova</v>
      </c>
      <c r="O96" s="105">
        <f>COUNTIF(SotY_2025[[#This Row],[J]:[H]],"x")</f>
        <v>1</v>
      </c>
      <c r="P96" s="115" t="str">
        <f ca="1">IF(SotY_2025[[#This Row],[Num]]&gt;=$A$1, "-", IF(SotY_2025[[#This Row],[Score 1]]&gt;=3, SotY_2025[[#This Row],[Song 1]], IF(SotY_2025[[#This Row],[Score 2]]&gt;=3, SotY_2025[[#This Row],[Song 2]], "TBD")))</f>
        <v>Like That</v>
      </c>
      <c r="Q96" s="193">
        <f>COUNTIF(SotY_2025[[#This Row],[H ]:[J ]],"x")</f>
        <v>4</v>
      </c>
      <c r="R9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Like That</v>
      </c>
      <c r="S96" s="191" t="s">
        <v>4191</v>
      </c>
      <c r="T96" s="190" t="s">
        <v>4191</v>
      </c>
      <c r="U96" s="189" t="s">
        <v>4191</v>
      </c>
      <c r="V96" s="188" t="s">
        <v>4191</v>
      </c>
      <c r="W96" s="198"/>
      <c r="X9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96" s="109">
        <f t="shared" si="3"/>
        <v>37</v>
      </c>
      <c r="AA96" s="59">
        <v>45826</v>
      </c>
      <c r="AB96" t="str">
        <v>currydestroyer27</v>
      </c>
      <c r="AC96" s="3">
        <v>1.8</v>
      </c>
      <c r="AD96" s="3">
        <v>1.1661903789690602</v>
      </c>
      <c r="AE96" t="str">
        <v>ブルーバード</v>
      </c>
      <c r="AF96" t="str">
        <v>Ikimonogakari</v>
      </c>
      <c r="AG96" s="100">
        <f t="shared" si="4"/>
        <v>33</v>
      </c>
      <c r="AI96" s="114">
        <f>SotY_2025[[#This Row],[Max Seed]]/2 + 1</f>
        <v>65</v>
      </c>
      <c r="AJ96" s="105" t="str">
        <f ca="1">IF(SotY_2025[[#This Row],[Num]]&gt;=$A$1, "-", IF(SotY_2025[[#This Row],[Score 1]]&gt;=3, SotY_2025[[#This Row],[Song 2]], IF(SotY_2025[[#This Row],[Score 2]]&gt;=3, SotY_2025[[#This Row],[Song 1]], "TBD")))</f>
        <v>Supernova</v>
      </c>
      <c r="AK96" s="115">
        <f ca="1">IFERROR(VLOOKUP(SotY_2025_Results[[#This Row],[Song Title]], $AE$2:$AG$200, 3, FALSE)-SotY_2025_Results[[#This Row],[Result]], "TBD")</f>
        <v>-32</v>
      </c>
      <c r="AL96" s="112" t="str">
        <f ca="1">IF(SotY_2025_Results[[#This Row],[Diff]]&lt;0,"↓",IF(SotY_2025_Results[[#This Row],[Diff]]=0,"-","↑"))</f>
        <v>↓</v>
      </c>
    </row>
    <row r="97" spans="1:38">
      <c r="A97" s="197" t="str">
        <f>_xlfn.CONCAT("Seed ", SotY_2025[[#This Row],[Top Seed]], " vs ", SotY_2025[[#This Row],[Low Seed]])</f>
        <v>Seed 33 vs 96</v>
      </c>
      <c r="B97" s="115">
        <v>95</v>
      </c>
      <c r="C97" s="115">
        <f>FLOOR(LOG(SotY_2025[[#This Row],[Num]], 2), 1)</f>
        <v>6</v>
      </c>
      <c r="D97" s="115">
        <f>2^(SotY_2025[[#This Row],[Round]]+1)</f>
        <v>128</v>
      </c>
      <c r="E97" s="115">
        <f>SotY_2025[[#This Row],[Max Seed]]-SotY_2025[[#This Row],[Num]]</f>
        <v>33</v>
      </c>
      <c r="F97" s="115">
        <f>SotY_2025[[#This Row],[Max Seed]]-SotY_2025[[#This Row],[Top Seed]]+1</f>
        <v>96</v>
      </c>
      <c r="G97" s="115" t="b">
        <f>IF(SotY_2025[[#This Row],[Round]]=$C$1, TRUE(), IF(SotY_2025[[#This Row],[Round]]=$B$1, SotY_2025[[#This Row],[Top Seed]]&lt;=2*SotY_2025[[#This Row],[Max Seed]]-$A$1, FALSE()))</f>
        <v>1</v>
      </c>
      <c r="H97" s="115" t="b">
        <f>IF(SotY_2025[[#This Row],[Round]]=$C$1, TRUE(), IF(SotY_2025[[#This Row],[Round]]=$B$1, SotY_2025[[#This Row],[Low Seed]]&lt;=2*SotY_2025[[#This Row],[Max Seed]]-$A$1, FALSE()))</f>
        <v>0</v>
      </c>
      <c r="I97" s="187" t="s">
        <v>4191</v>
      </c>
      <c r="J97" s="188"/>
      <c r="K97" s="189"/>
      <c r="L97" s="190"/>
      <c r="M97" s="191" t="s">
        <v>4191</v>
      </c>
      <c r="N9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Senorita</v>
      </c>
      <c r="O97" s="105">
        <f>COUNTIF(SotY_2025[[#This Row],[J]:[H]],"x")</f>
        <v>2</v>
      </c>
      <c r="P97" s="115" t="str">
        <f ca="1">IF(SotY_2025[[#This Row],[Num]]&gt;=$A$1, "-", IF(SotY_2025[[#This Row],[Score 1]]&gt;=3, SotY_2025[[#This Row],[Song 1]], IF(SotY_2025[[#This Row],[Score 2]]&gt;=3, SotY_2025[[#This Row],[Song 2]], "TBD")))</f>
        <v>Favourite</v>
      </c>
      <c r="Q97" s="193">
        <f>COUNTIF(SotY_2025[[#This Row],[H ]:[J ]],"x")</f>
        <v>3</v>
      </c>
      <c r="R9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Favourite</v>
      </c>
      <c r="S97" s="191"/>
      <c r="T97" s="190" t="s">
        <v>4191</v>
      </c>
      <c r="U97" s="189" t="s">
        <v>4191</v>
      </c>
      <c r="V97" s="188" t="s">
        <v>4191</v>
      </c>
      <c r="W97" s="198"/>
      <c r="X9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97" s="109">
        <f t="shared" si="3"/>
        <v>28</v>
      </c>
      <c r="AA97" s="59">
        <v>45827</v>
      </c>
      <c r="AB97" t="str">
        <v>currydestroyer27</v>
      </c>
      <c r="AC97" s="3">
        <v>1.8</v>
      </c>
      <c r="AD97" s="3">
        <v>0.74833147735478833</v>
      </c>
      <c r="AE97" t="str">
        <v>Down Bad</v>
      </c>
      <c r="AF97" t="str">
        <v>Dreamville, JID, Bas, J. Cole, EARTHGANG, Young Nudy</v>
      </c>
      <c r="AG97" s="100">
        <f t="shared" si="4"/>
        <v>17</v>
      </c>
      <c r="AI97" s="114">
        <f>SotY_2025[[#This Row],[Max Seed]]/2 + 1</f>
        <v>65</v>
      </c>
      <c r="AJ97" s="105" t="str">
        <f ca="1">IF(SotY_2025[[#This Row],[Num]]&gt;=$A$1, "-", IF(SotY_2025[[#This Row],[Score 1]]&gt;=3, SotY_2025[[#This Row],[Song 2]], IF(SotY_2025[[#This Row],[Score 2]]&gt;=3, SotY_2025[[#This Row],[Song 1]], "TBD")))</f>
        <v>Senorita</v>
      </c>
      <c r="AK97" s="115">
        <f ca="1">IFERROR(VLOOKUP(SotY_2025_Results[[#This Row],[Song Title]], $AE$2:$AG$200, 3, FALSE)-SotY_2025_Results[[#This Row],[Result]], "TBD")</f>
        <v>-32</v>
      </c>
      <c r="AL97" s="112" t="str">
        <f ca="1">IF(SotY_2025_Results[[#This Row],[Diff]]&lt;0,"↓",IF(SotY_2025_Results[[#This Row],[Diff]]=0,"-","↑"))</f>
        <v>↓</v>
      </c>
    </row>
    <row r="98" spans="1:38">
      <c r="A98" s="197" t="str">
        <f>_xlfn.CONCAT("Seed ", SotY_2025[[#This Row],[Top Seed]], " vs ", SotY_2025[[#This Row],[Low Seed]])</f>
        <v>Seed 32 vs 97</v>
      </c>
      <c r="B98" s="115">
        <v>96</v>
      </c>
      <c r="C98" s="115">
        <f>FLOOR(LOG(SotY_2025[[#This Row],[Num]], 2), 1)</f>
        <v>6</v>
      </c>
      <c r="D98" s="115">
        <f>2^(SotY_2025[[#This Row],[Round]]+1)</f>
        <v>128</v>
      </c>
      <c r="E98" s="115">
        <f>SotY_2025[[#This Row],[Max Seed]]-SotY_2025[[#This Row],[Num]]</f>
        <v>32</v>
      </c>
      <c r="F98" s="115">
        <f>SotY_2025[[#This Row],[Max Seed]]-SotY_2025[[#This Row],[Top Seed]]+1</f>
        <v>97</v>
      </c>
      <c r="G98" s="115" t="b">
        <f>IF(SotY_2025[[#This Row],[Round]]=$C$1, TRUE(), IF(SotY_2025[[#This Row],[Round]]=$B$1, SotY_2025[[#This Row],[Top Seed]]&lt;=2*SotY_2025[[#This Row],[Max Seed]]-$A$1, FALSE()))</f>
        <v>1</v>
      </c>
      <c r="H98" s="115" t="b">
        <f>IF(SotY_2025[[#This Row],[Round]]=$C$1, TRUE(), IF(SotY_2025[[#This Row],[Round]]=$B$1, SotY_2025[[#This Row],[Low Seed]]&lt;=2*SotY_2025[[#This Row],[Max Seed]]-$A$1, FALSE()))</f>
        <v>0</v>
      </c>
      <c r="I98" s="187"/>
      <c r="J98" s="188"/>
      <c r="K98" s="189"/>
      <c r="L98" s="190"/>
      <c r="M98" s="191"/>
      <c r="N9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The Sound of Muzak</v>
      </c>
      <c r="O98" s="105">
        <f>COUNTIF(SotY_2025[[#This Row],[J]:[H]],"x")</f>
        <v>0</v>
      </c>
      <c r="P98" s="115" t="str">
        <f ca="1">IF(SotY_2025[[#This Row],[Num]]&gt;=$A$1, "-", IF(SotY_2025[[#This Row],[Score 1]]&gt;=3, SotY_2025[[#This Row],[Song 1]], IF(SotY_2025[[#This Row],[Score 2]]&gt;=3, SotY_2025[[#This Row],[Song 2]], "TBD")))</f>
        <v>veil</v>
      </c>
      <c r="Q98" s="193">
        <f>COUNTIF(SotY_2025[[#This Row],[H ]:[J ]],"x")</f>
        <v>5</v>
      </c>
      <c r="R9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veil</v>
      </c>
      <c r="S98" s="191" t="s">
        <v>4191</v>
      </c>
      <c r="T98" s="190" t="s">
        <v>4191</v>
      </c>
      <c r="U98" s="189" t="s">
        <v>4191</v>
      </c>
      <c r="V98" s="188" t="s">
        <v>4191</v>
      </c>
      <c r="W98" s="198" t="s">
        <v>4191</v>
      </c>
      <c r="X9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98" s="109">
        <f t="shared" ref="Z98:Z129" si="5">IF(AC98&gt;0, COUNTIF(AC$2:AC$200, "&lt;"&amp;AC98) + COUNTIFS(AC$2:AC$200, AC98, AD$2:AD$200, "&lt;"&amp;AD98) + COUNTIFS(AC$2:AC$200, AC98, AD$2:AD$200, AD98, AA$2:AA$200, "&lt;"&amp;AA98) + 1, "TBD")</f>
        <v>116</v>
      </c>
      <c r="AA98" s="59">
        <v>45831</v>
      </c>
      <c r="AB98" t="str">
        <v>danram</v>
      </c>
      <c r="AC98" s="3">
        <v>2.2000000000000002</v>
      </c>
      <c r="AD98" s="3">
        <v>1.1661903789690602</v>
      </c>
      <c r="AE98" t="str">
        <v>BedRock</v>
      </c>
      <c r="AF98" t="str">
        <v>Young Money, Lloyd</v>
      </c>
      <c r="AG98" s="100">
        <f t="shared" si="4"/>
        <v>65</v>
      </c>
      <c r="AI98" s="114">
        <f>SotY_2025[[#This Row],[Max Seed]]/2 + 1</f>
        <v>65</v>
      </c>
      <c r="AJ98" s="105" t="str">
        <f ca="1">IF(SotY_2025[[#This Row],[Num]]&gt;=$A$1, "-", IF(SotY_2025[[#This Row],[Score 1]]&gt;=3, SotY_2025[[#This Row],[Song 2]], IF(SotY_2025[[#This Row],[Score 2]]&gt;=3, SotY_2025[[#This Row],[Song 1]], "TBD")))</f>
        <v>The Sound of Muzak</v>
      </c>
      <c r="AK98" s="115">
        <f ca="1">IFERROR(VLOOKUP(SotY_2025_Results[[#This Row],[Song Title]], $AE$2:$AG$200, 3, FALSE)-SotY_2025_Results[[#This Row],[Result]], "TBD")</f>
        <v>-48</v>
      </c>
      <c r="AL98" s="112" t="str">
        <f ca="1">IF(SotY_2025_Results[[#This Row],[Diff]]&lt;0,"↓",IF(SotY_2025_Results[[#This Row],[Diff]]=0,"-","↑"))</f>
        <v>↓</v>
      </c>
    </row>
    <row r="99" spans="1:38">
      <c r="A99" s="197" t="str">
        <f>_xlfn.CONCAT("Seed ", SotY_2025[[#This Row],[Top Seed]], " vs ", SotY_2025[[#This Row],[Low Seed]])</f>
        <v>Seed 31 vs 98</v>
      </c>
      <c r="B99" s="115">
        <v>97</v>
      </c>
      <c r="C99" s="115">
        <f>FLOOR(LOG(SotY_2025[[#This Row],[Num]], 2), 1)</f>
        <v>6</v>
      </c>
      <c r="D99" s="115">
        <f>2^(SotY_2025[[#This Row],[Round]]+1)</f>
        <v>128</v>
      </c>
      <c r="E99" s="115">
        <f>SotY_2025[[#This Row],[Max Seed]]-SotY_2025[[#This Row],[Num]]</f>
        <v>31</v>
      </c>
      <c r="F99" s="115">
        <f>SotY_2025[[#This Row],[Max Seed]]-SotY_2025[[#This Row],[Top Seed]]+1</f>
        <v>98</v>
      </c>
      <c r="G99" s="115" t="b">
        <f>IF(SotY_2025[[#This Row],[Round]]=$C$1, TRUE(), IF(SotY_2025[[#This Row],[Round]]=$B$1, SotY_2025[[#This Row],[Top Seed]]&lt;=2*SotY_2025[[#This Row],[Max Seed]]-$A$1, FALSE()))</f>
        <v>1</v>
      </c>
      <c r="H99" s="115" t="b">
        <f>IF(SotY_2025[[#This Row],[Round]]=$C$1, TRUE(), IF(SotY_2025[[#This Row],[Round]]=$B$1, SotY_2025[[#This Row],[Low Seed]]&lt;=2*SotY_2025[[#This Row],[Max Seed]]-$A$1, FALSE()))</f>
        <v>0</v>
      </c>
      <c r="I99" s="187"/>
      <c r="J99" s="188"/>
      <c r="K99" s="189"/>
      <c r="L99" s="190" t="s">
        <v>4191</v>
      </c>
      <c r="M99" s="191" t="s">
        <v>4191</v>
      </c>
      <c r="N9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300 dreams</v>
      </c>
      <c r="O99" s="105">
        <f>COUNTIF(SotY_2025[[#This Row],[J]:[H]],"x")</f>
        <v>2</v>
      </c>
      <c r="P99" s="115" t="str">
        <f ca="1">IF(SotY_2025[[#This Row],[Num]]&gt;=$A$1, "-", IF(SotY_2025[[#This Row],[Score 1]]&gt;=3, SotY_2025[[#This Row],[Song 1]], IF(SotY_2025[[#This Row],[Score 2]]&gt;=3, SotY_2025[[#This Row],[Song 2]], "TBD")))</f>
        <v>el cielo</v>
      </c>
      <c r="Q99" s="193">
        <f>COUNTIF(SotY_2025[[#This Row],[H ]:[J ]],"x")</f>
        <v>3</v>
      </c>
      <c r="R9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el cielo</v>
      </c>
      <c r="S99" s="191"/>
      <c r="T99" s="190"/>
      <c r="U99" s="189" t="s">
        <v>4191</v>
      </c>
      <c r="V99" s="188" t="s">
        <v>4191</v>
      </c>
      <c r="W99" s="198" t="s">
        <v>4191</v>
      </c>
      <c r="X9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99" s="109">
        <f t="shared" si="5"/>
        <v>2</v>
      </c>
      <c r="AA99" s="59">
        <v>45832</v>
      </c>
      <c r="AB99" t="str">
        <v>currydestroyer27</v>
      </c>
      <c r="AC99" s="3">
        <v>1.2</v>
      </c>
      <c r="AD99" s="3">
        <v>0.4</v>
      </c>
      <c r="AE99" t="str">
        <v>I Will Survive</v>
      </c>
      <c r="AF99" t="str">
        <v>Gloria Gaynor</v>
      </c>
      <c r="AG99" s="100">
        <f t="shared" si="4"/>
        <v>2</v>
      </c>
      <c r="AI99" s="114">
        <f>SotY_2025[[#This Row],[Max Seed]]/2 + 1</f>
        <v>65</v>
      </c>
      <c r="AJ99" s="105" t="str">
        <f ca="1">IF(SotY_2025[[#This Row],[Num]]&gt;=$A$1, "-", IF(SotY_2025[[#This Row],[Score 1]]&gt;=3, SotY_2025[[#This Row],[Song 2]], IF(SotY_2025[[#This Row],[Score 2]]&gt;=3, SotY_2025[[#This Row],[Song 1]], "TBD")))</f>
        <v>300 dreams</v>
      </c>
      <c r="AK99" s="115">
        <f ca="1">IFERROR(VLOOKUP(SotY_2025_Results[[#This Row],[Song Title]], $AE$2:$AG$200, 3, FALSE)-SotY_2025_Results[[#This Row],[Result]], "TBD")</f>
        <v>-48</v>
      </c>
      <c r="AL99" s="112" t="str">
        <f ca="1">IF(SotY_2025_Results[[#This Row],[Diff]]&lt;0,"↓",IF(SotY_2025_Results[[#This Row],[Diff]]=0,"-","↑"))</f>
        <v>↓</v>
      </c>
    </row>
    <row r="100" spans="1:38">
      <c r="A100" s="197" t="str">
        <f>_xlfn.CONCAT("Seed ", SotY_2025[[#This Row],[Top Seed]], " vs ", SotY_2025[[#This Row],[Low Seed]])</f>
        <v>Seed 30 vs 99</v>
      </c>
      <c r="B100" s="115">
        <v>98</v>
      </c>
      <c r="C100" s="115">
        <f>FLOOR(LOG(SotY_2025[[#This Row],[Num]], 2), 1)</f>
        <v>6</v>
      </c>
      <c r="D100" s="115">
        <f>2^(SotY_2025[[#This Row],[Round]]+1)</f>
        <v>128</v>
      </c>
      <c r="E100" s="115">
        <f>SotY_2025[[#This Row],[Max Seed]]-SotY_2025[[#This Row],[Num]]</f>
        <v>30</v>
      </c>
      <c r="F100" s="115">
        <f>SotY_2025[[#This Row],[Max Seed]]-SotY_2025[[#This Row],[Top Seed]]+1</f>
        <v>99</v>
      </c>
      <c r="G100" s="115" t="b">
        <f>IF(SotY_2025[[#This Row],[Round]]=$C$1, TRUE(), IF(SotY_2025[[#This Row],[Round]]=$B$1, SotY_2025[[#This Row],[Top Seed]]&lt;=2*SotY_2025[[#This Row],[Max Seed]]-$A$1, FALSE()))</f>
        <v>1</v>
      </c>
      <c r="H100" s="115" t="b">
        <f>IF(SotY_2025[[#This Row],[Round]]=$C$1, TRUE(), IF(SotY_2025[[#This Row],[Round]]=$B$1, SotY_2025[[#This Row],[Low Seed]]&lt;=2*SotY_2025[[#This Row],[Max Seed]]-$A$1, FALSE()))</f>
        <v>0</v>
      </c>
      <c r="I100" s="187"/>
      <c r="J100" s="188"/>
      <c r="K100" s="189"/>
      <c r="L100" s="190" t="s">
        <v>4191</v>
      </c>
      <c r="M100" s="191" t="s">
        <v>4191</v>
      </c>
      <c r="N10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Abandon Me</v>
      </c>
      <c r="O100" s="105">
        <f>COUNTIF(SotY_2025[[#This Row],[J]:[H]],"x")</f>
        <v>2</v>
      </c>
      <c r="P100" s="115" t="str">
        <f ca="1">IF(SotY_2025[[#This Row],[Num]]&gt;=$A$1, "-", IF(SotY_2025[[#This Row],[Score 1]]&gt;=3, SotY_2025[[#This Row],[Song 1]], IF(SotY_2025[[#This Row],[Score 2]]&gt;=3, SotY_2025[[#This Row],[Song 2]], "TBD")))</f>
        <v>Tears On A Pretty Face</v>
      </c>
      <c r="Q100" s="193">
        <f>COUNTIF(SotY_2025[[#This Row],[H ]:[J ]],"x")</f>
        <v>3</v>
      </c>
      <c r="R10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Tears On A Pretty Face</v>
      </c>
      <c r="S100" s="191"/>
      <c r="T100" s="190"/>
      <c r="U100" s="189" t="s">
        <v>4191</v>
      </c>
      <c r="V100" s="188" t="s">
        <v>4191</v>
      </c>
      <c r="W100" s="198" t="s">
        <v>4191</v>
      </c>
      <c r="X10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00" s="109">
        <f t="shared" si="5"/>
        <v>117</v>
      </c>
      <c r="AA100" s="59">
        <v>45833</v>
      </c>
      <c r="AB100" t="str">
        <v>samuelbattista</v>
      </c>
      <c r="AC100" s="3">
        <v>2.2000000000000002</v>
      </c>
      <c r="AD100" s="3">
        <v>1.1661903789690602</v>
      </c>
      <c r="AE100" t="str">
        <v>LOOK OUT FOR ME</v>
      </c>
      <c r="AF100" t="str">
        <v>Turnstile</v>
      </c>
      <c r="AG100" s="100">
        <f t="shared" si="4"/>
        <v>65</v>
      </c>
      <c r="AI100" s="114">
        <f>SotY_2025[[#This Row],[Max Seed]]/2 + 1</f>
        <v>65</v>
      </c>
      <c r="AJ100" s="105" t="str">
        <f ca="1">IF(SotY_2025[[#This Row],[Num]]&gt;=$A$1, "-", IF(SotY_2025[[#This Row],[Score 1]]&gt;=3, SotY_2025[[#This Row],[Song 2]], IF(SotY_2025[[#This Row],[Score 2]]&gt;=3, SotY_2025[[#This Row],[Song 1]], "TBD")))</f>
        <v>Abandon Me</v>
      </c>
      <c r="AK100" s="115">
        <f ca="1">IFERROR(VLOOKUP(SotY_2025_Results[[#This Row],[Song Title]], $AE$2:$AG$200, 3, FALSE)-SotY_2025_Results[[#This Row],[Result]], "TBD")</f>
        <v>-48</v>
      </c>
      <c r="AL100" s="112" t="str">
        <f ca="1">IF(SotY_2025_Results[[#This Row],[Diff]]&lt;0,"↓",IF(SotY_2025_Results[[#This Row],[Diff]]=0,"-","↑"))</f>
        <v>↓</v>
      </c>
    </row>
    <row r="101" spans="1:38">
      <c r="A101" s="197" t="str">
        <f>_xlfn.CONCAT("Seed ", SotY_2025[[#This Row],[Top Seed]], " vs ", SotY_2025[[#This Row],[Low Seed]])</f>
        <v>Seed 29 vs 100</v>
      </c>
      <c r="B101" s="115">
        <v>99</v>
      </c>
      <c r="C101" s="115">
        <f>FLOOR(LOG(SotY_2025[[#This Row],[Num]], 2), 1)</f>
        <v>6</v>
      </c>
      <c r="D101" s="115">
        <f>2^(SotY_2025[[#This Row],[Round]]+1)</f>
        <v>128</v>
      </c>
      <c r="E101" s="115">
        <f>SotY_2025[[#This Row],[Max Seed]]-SotY_2025[[#This Row],[Num]]</f>
        <v>29</v>
      </c>
      <c r="F101" s="115">
        <f>SotY_2025[[#This Row],[Max Seed]]-SotY_2025[[#This Row],[Top Seed]]+1</f>
        <v>100</v>
      </c>
      <c r="G101" s="115" t="b">
        <f>IF(SotY_2025[[#This Row],[Round]]=$C$1, TRUE(), IF(SotY_2025[[#This Row],[Round]]=$B$1, SotY_2025[[#This Row],[Top Seed]]&lt;=2*SotY_2025[[#This Row],[Max Seed]]-$A$1, FALSE()))</f>
        <v>1</v>
      </c>
      <c r="H101" s="115" t="b">
        <f>IF(SotY_2025[[#This Row],[Round]]=$C$1, TRUE(), IF(SotY_2025[[#This Row],[Round]]=$B$1, SotY_2025[[#This Row],[Low Seed]]&lt;=2*SotY_2025[[#This Row],[Max Seed]]-$A$1, FALSE()))</f>
        <v>0</v>
      </c>
      <c r="I101" s="187" t="s">
        <v>4191</v>
      </c>
      <c r="J101" s="188" t="s">
        <v>4191</v>
      </c>
      <c r="K101" s="189" t="s">
        <v>4191</v>
      </c>
      <c r="L101" s="190"/>
      <c r="M101" s="191" t="s">
        <v>4191</v>
      </c>
      <c r="N10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Bottoms Up</v>
      </c>
      <c r="O101" s="105">
        <f>COUNTIF(SotY_2025[[#This Row],[J]:[H]],"x")</f>
        <v>4</v>
      </c>
      <c r="P101" s="115" t="str">
        <f ca="1">IF(SotY_2025[[#This Row],[Num]]&gt;=$A$1, "-", IF(SotY_2025[[#This Row],[Score 1]]&gt;=3, SotY_2025[[#This Row],[Song 1]], IF(SotY_2025[[#This Row],[Score 2]]&gt;=3, SotY_2025[[#This Row],[Song 2]], "TBD")))</f>
        <v>Bottoms Up</v>
      </c>
      <c r="Q101" s="193">
        <f>COUNTIF(SotY_2025[[#This Row],[H ]:[J ]],"x")</f>
        <v>1</v>
      </c>
      <c r="R10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Busy Woman</v>
      </c>
      <c r="S101" s="191"/>
      <c r="T101" s="190" t="s">
        <v>4191</v>
      </c>
      <c r="U101" s="189"/>
      <c r="V101" s="188"/>
      <c r="W101" s="198"/>
      <c r="X10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01" s="109">
        <f t="shared" si="5"/>
        <v>74</v>
      </c>
      <c r="AA101" s="59">
        <v>45834</v>
      </c>
      <c r="AB101" t="str">
        <v>alappatjoe</v>
      </c>
      <c r="AC101" s="3">
        <v>2</v>
      </c>
      <c r="AD101" s="3">
        <v>1.2649110640673518</v>
      </c>
      <c r="AE101" t="str">
        <v>Numb Little Bug</v>
      </c>
      <c r="AF101" t="str">
        <v>Em Beihold</v>
      </c>
      <c r="AG101" s="100">
        <f t="shared" si="4"/>
        <v>65</v>
      </c>
      <c r="AI101" s="114">
        <f>SotY_2025[[#This Row],[Max Seed]]/2 + 1</f>
        <v>65</v>
      </c>
      <c r="AJ101" s="105" t="str">
        <f ca="1">IF(SotY_2025[[#This Row],[Num]]&gt;=$A$1, "-", IF(SotY_2025[[#This Row],[Score 1]]&gt;=3, SotY_2025[[#This Row],[Song 2]], IF(SotY_2025[[#This Row],[Score 2]]&gt;=3, SotY_2025[[#This Row],[Song 1]], "TBD")))</f>
        <v>Busy Woman</v>
      </c>
      <c r="AK101" s="115">
        <f ca="1">IFERROR(VLOOKUP(SotY_2025_Results[[#This Row],[Song Title]], $AE$2:$AG$200, 3, FALSE)-SotY_2025_Results[[#This Row],[Result]], "TBD")</f>
        <v>0</v>
      </c>
      <c r="AL101" s="112" t="str">
        <f ca="1">IF(SotY_2025_Results[[#This Row],[Diff]]&lt;0,"↓",IF(SotY_2025_Results[[#This Row],[Diff]]=0,"-","↑"))</f>
        <v>-</v>
      </c>
    </row>
    <row r="102" spans="1:38">
      <c r="A102" s="197" t="str">
        <f>_xlfn.CONCAT("Seed ", SotY_2025[[#This Row],[Top Seed]], " vs ", SotY_2025[[#This Row],[Low Seed]])</f>
        <v>Seed 28 vs 101</v>
      </c>
      <c r="B102" s="115">
        <v>100</v>
      </c>
      <c r="C102" s="115">
        <f>FLOOR(LOG(SotY_2025[[#This Row],[Num]], 2), 1)</f>
        <v>6</v>
      </c>
      <c r="D102" s="115">
        <f>2^(SotY_2025[[#This Row],[Round]]+1)</f>
        <v>128</v>
      </c>
      <c r="E102" s="115">
        <f>SotY_2025[[#This Row],[Max Seed]]-SotY_2025[[#This Row],[Num]]</f>
        <v>28</v>
      </c>
      <c r="F102" s="115">
        <f>SotY_2025[[#This Row],[Max Seed]]-SotY_2025[[#This Row],[Top Seed]]+1</f>
        <v>101</v>
      </c>
      <c r="G102" s="115" t="b">
        <f>IF(SotY_2025[[#This Row],[Round]]=$C$1, TRUE(), IF(SotY_2025[[#This Row],[Round]]=$B$1, SotY_2025[[#This Row],[Top Seed]]&lt;=2*SotY_2025[[#This Row],[Max Seed]]-$A$1, FALSE()))</f>
        <v>1</v>
      </c>
      <c r="H102" s="115" t="b">
        <f>IF(SotY_2025[[#This Row],[Round]]=$C$1, TRUE(), IF(SotY_2025[[#This Row],[Round]]=$B$1, SotY_2025[[#This Row],[Low Seed]]&lt;=2*SotY_2025[[#This Row],[Max Seed]]-$A$1, FALSE()))</f>
        <v>0</v>
      </c>
      <c r="I102" s="187" t="s">
        <v>4191</v>
      </c>
      <c r="J102" s="188"/>
      <c r="K102" s="189" t="s">
        <v>4191</v>
      </c>
      <c r="L102" s="190" t="s">
        <v>4191</v>
      </c>
      <c r="M102" s="191" t="s">
        <v>4191</v>
      </c>
      <c r="N10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Down Bad</v>
      </c>
      <c r="O102" s="105">
        <f>COUNTIF(SotY_2025[[#This Row],[J]:[H]],"x")</f>
        <v>4</v>
      </c>
      <c r="P102" s="115" t="str">
        <f ca="1">IF(SotY_2025[[#This Row],[Num]]&gt;=$A$1, "-", IF(SotY_2025[[#This Row],[Score 1]]&gt;=3, SotY_2025[[#This Row],[Song 1]], IF(SotY_2025[[#This Row],[Score 2]]&gt;=3, SotY_2025[[#This Row],[Song 2]], "TBD")))</f>
        <v>Down Bad</v>
      </c>
      <c r="Q102" s="193">
        <f>COUNTIF(SotY_2025[[#This Row],[H ]:[J ]],"x")</f>
        <v>1</v>
      </c>
      <c r="R10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Wednesday Morning Bonk (It's 9aM)</v>
      </c>
      <c r="S102" s="191"/>
      <c r="T102" s="190"/>
      <c r="U102" s="189"/>
      <c r="V102" s="188" t="s">
        <v>4191</v>
      </c>
      <c r="W102" s="198"/>
      <c r="X10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02" s="109">
        <f t="shared" si="5"/>
        <v>118</v>
      </c>
      <c r="AA102" s="59">
        <v>45838</v>
      </c>
      <c r="AB102" t="str">
        <v>danram</v>
      </c>
      <c r="AC102" s="3">
        <v>2.2000000000000002</v>
      </c>
      <c r="AD102" s="3">
        <v>1.1661903789690602</v>
      </c>
      <c r="AE102" t="str">
        <v>Laugh Now Cry Later (feat. Lil Durk)</v>
      </c>
      <c r="AF102" t="str">
        <v>Drake, Lil Durk</v>
      </c>
      <c r="AG102" s="100">
        <f t="shared" si="4"/>
        <v>65</v>
      </c>
      <c r="AI102" s="114">
        <f>SotY_2025[[#This Row],[Max Seed]]/2 + 1</f>
        <v>65</v>
      </c>
      <c r="AJ102" s="105" t="str">
        <f ca="1">IF(SotY_2025[[#This Row],[Num]]&gt;=$A$1, "-", IF(SotY_2025[[#This Row],[Score 1]]&gt;=3, SotY_2025[[#This Row],[Song 2]], IF(SotY_2025[[#This Row],[Score 2]]&gt;=3, SotY_2025[[#This Row],[Song 1]], "TBD")))</f>
        <v>Wednesday Morning Bonk (It's 9aM)</v>
      </c>
      <c r="AK102" s="115">
        <f ca="1">IFERROR(VLOOKUP(SotY_2025_Results[[#This Row],[Song Title]], $AE$2:$AG$200, 3, FALSE)-SotY_2025_Results[[#This Row],[Result]], "TBD")</f>
        <v>64</v>
      </c>
      <c r="AL102" s="112" t="str">
        <f ca="1">IF(SotY_2025_Results[[#This Row],[Diff]]&lt;0,"↓",IF(SotY_2025_Results[[#This Row],[Diff]]=0,"-","↑"))</f>
        <v>↑</v>
      </c>
    </row>
    <row r="103" spans="1:38">
      <c r="A103" s="197" t="str">
        <f>_xlfn.CONCAT("Seed ", SotY_2025[[#This Row],[Top Seed]], " vs ", SotY_2025[[#This Row],[Low Seed]])</f>
        <v>Seed 27 vs 102</v>
      </c>
      <c r="B103" s="115">
        <v>101</v>
      </c>
      <c r="C103" s="115">
        <f>FLOOR(LOG(SotY_2025[[#This Row],[Num]], 2), 1)</f>
        <v>6</v>
      </c>
      <c r="D103" s="115">
        <f>2^(SotY_2025[[#This Row],[Round]]+1)</f>
        <v>128</v>
      </c>
      <c r="E103" s="115">
        <f>SotY_2025[[#This Row],[Max Seed]]-SotY_2025[[#This Row],[Num]]</f>
        <v>27</v>
      </c>
      <c r="F103" s="115">
        <f>SotY_2025[[#This Row],[Max Seed]]-SotY_2025[[#This Row],[Top Seed]]+1</f>
        <v>102</v>
      </c>
      <c r="G103" s="115" t="b">
        <f>IF(SotY_2025[[#This Row],[Round]]=$C$1, TRUE(), IF(SotY_2025[[#This Row],[Round]]=$B$1, SotY_2025[[#This Row],[Top Seed]]&lt;=2*SotY_2025[[#This Row],[Max Seed]]-$A$1, FALSE()))</f>
        <v>1</v>
      </c>
      <c r="H103" s="115" t="b">
        <f>IF(SotY_2025[[#This Row],[Round]]=$C$1, TRUE(), IF(SotY_2025[[#This Row],[Round]]=$B$1, SotY_2025[[#This Row],[Low Seed]]&lt;=2*SotY_2025[[#This Row],[Max Seed]]-$A$1, FALSE()))</f>
        <v>0</v>
      </c>
      <c r="I103" s="187"/>
      <c r="J103" s="188"/>
      <c r="K103" s="189" t="s">
        <v>4191</v>
      </c>
      <c r="L103" s="190" t="s">
        <v>4191</v>
      </c>
      <c r="M103" s="191"/>
      <c r="N10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Lucky (Song 7)</v>
      </c>
      <c r="O103" s="105">
        <f>COUNTIF(SotY_2025[[#This Row],[J]:[H]],"x")</f>
        <v>2</v>
      </c>
      <c r="P103" s="115" t="str">
        <f ca="1">IF(SotY_2025[[#This Row],[Num]]&gt;=$A$1, "-", IF(SotY_2025[[#This Row],[Score 1]]&gt;=3, SotY_2025[[#This Row],[Song 1]], IF(SotY_2025[[#This Row],[Score 2]]&gt;=3, SotY_2025[[#This Row],[Song 2]], "TBD")))</f>
        <v>Drip Too Hard</v>
      </c>
      <c r="Q103" s="193">
        <f>COUNTIF(SotY_2025[[#This Row],[H ]:[J ]],"x")</f>
        <v>3</v>
      </c>
      <c r="R10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Drip Too Hard</v>
      </c>
      <c r="S103" s="191" t="s">
        <v>4191</v>
      </c>
      <c r="T103" s="190"/>
      <c r="U103" s="189"/>
      <c r="V103" s="188" t="s">
        <v>4191</v>
      </c>
      <c r="W103" s="198" t="s">
        <v>4191</v>
      </c>
      <c r="X10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03" s="109">
        <f t="shared" si="5"/>
        <v>132</v>
      </c>
      <c r="AA103" s="59">
        <v>45839</v>
      </c>
      <c r="AB103" t="str">
        <v>currydestroyer27</v>
      </c>
      <c r="AC103" s="3">
        <v>2.4</v>
      </c>
      <c r="AD103" s="3">
        <v>0.8</v>
      </c>
      <c r="AE103" t="str">
        <v>Bodies</v>
      </c>
      <c r="AF103" t="str">
        <v>Offset, JID</v>
      </c>
      <c r="AG103" s="100">
        <f t="shared" si="4"/>
        <v>129</v>
      </c>
      <c r="AI103" s="114">
        <f>SotY_2025[[#This Row],[Max Seed]]/2 + 1</f>
        <v>65</v>
      </c>
      <c r="AJ103" s="105" t="str">
        <f ca="1">IF(SotY_2025[[#This Row],[Num]]&gt;=$A$1, "-", IF(SotY_2025[[#This Row],[Score 1]]&gt;=3, SotY_2025[[#This Row],[Song 2]], IF(SotY_2025[[#This Row],[Score 2]]&gt;=3, SotY_2025[[#This Row],[Song 1]], "TBD")))</f>
        <v>Lucky (Song 7)</v>
      </c>
      <c r="AK103" s="115">
        <f ca="1">IFERROR(VLOOKUP(SotY_2025_Results[[#This Row],[Song Title]], $AE$2:$AG$200, 3, FALSE)-SotY_2025_Results[[#This Row],[Result]], "TBD")</f>
        <v>-48</v>
      </c>
      <c r="AL103" s="112" t="str">
        <f ca="1">IF(SotY_2025_Results[[#This Row],[Diff]]&lt;0,"↓",IF(SotY_2025_Results[[#This Row],[Diff]]=0,"-","↑"))</f>
        <v>↓</v>
      </c>
    </row>
    <row r="104" spans="1:38">
      <c r="A104" s="197" t="str">
        <f>_xlfn.CONCAT("Seed ", SotY_2025[[#This Row],[Top Seed]], " vs ", SotY_2025[[#This Row],[Low Seed]])</f>
        <v>Seed 26 vs 103</v>
      </c>
      <c r="B104" s="115">
        <v>102</v>
      </c>
      <c r="C104" s="115">
        <f>FLOOR(LOG(SotY_2025[[#This Row],[Num]], 2), 1)</f>
        <v>6</v>
      </c>
      <c r="D104" s="115">
        <f>2^(SotY_2025[[#This Row],[Round]]+1)</f>
        <v>128</v>
      </c>
      <c r="E104" s="115">
        <f>SotY_2025[[#This Row],[Max Seed]]-SotY_2025[[#This Row],[Num]]</f>
        <v>26</v>
      </c>
      <c r="F104" s="115">
        <f>SotY_2025[[#This Row],[Max Seed]]-SotY_2025[[#This Row],[Top Seed]]+1</f>
        <v>103</v>
      </c>
      <c r="G104" s="115" t="b">
        <f>IF(SotY_2025[[#This Row],[Round]]=$C$1, TRUE(), IF(SotY_2025[[#This Row],[Round]]=$B$1, SotY_2025[[#This Row],[Top Seed]]&lt;=2*SotY_2025[[#This Row],[Max Seed]]-$A$1, FALSE()))</f>
        <v>1</v>
      </c>
      <c r="H104" s="115" t="b">
        <f>IF(SotY_2025[[#This Row],[Round]]=$C$1, TRUE(), IF(SotY_2025[[#This Row],[Round]]=$B$1, SotY_2025[[#This Row],[Low Seed]]&lt;=2*SotY_2025[[#This Row],[Max Seed]]-$A$1, FALSE()))</f>
        <v>0</v>
      </c>
      <c r="I104" s="187" t="s">
        <v>4191</v>
      </c>
      <c r="J104" s="188" t="s">
        <v>4191</v>
      </c>
      <c r="K104" s="189" t="s">
        <v>4191</v>
      </c>
      <c r="L104" s="190"/>
      <c r="M104" s="191" t="s">
        <v>4191</v>
      </c>
      <c r="N10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Temptation</v>
      </c>
      <c r="O104" s="105">
        <f>COUNTIF(SotY_2025[[#This Row],[J]:[H]],"x")</f>
        <v>4</v>
      </c>
      <c r="P104" s="115" t="str">
        <f ca="1">IF(SotY_2025[[#This Row],[Num]]&gt;=$A$1, "-", IF(SotY_2025[[#This Row],[Score 1]]&gt;=3, SotY_2025[[#This Row],[Song 1]], IF(SotY_2025[[#This Row],[Score 2]]&gt;=3, SotY_2025[[#This Row],[Song 2]], "TBD")))</f>
        <v>Temptation</v>
      </c>
      <c r="Q104" s="193">
        <f>COUNTIF(SotY_2025[[#This Row],[H ]:[J ]],"x")</f>
        <v>1</v>
      </c>
      <c r="R10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Let Me Leave</v>
      </c>
      <c r="S104" s="191"/>
      <c r="T104" s="190" t="s">
        <v>4191</v>
      </c>
      <c r="U104" s="189"/>
      <c r="V104" s="188"/>
      <c r="W104" s="198"/>
      <c r="X10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04" s="109">
        <f t="shared" si="5"/>
        <v>29</v>
      </c>
      <c r="AA104" s="59">
        <v>45840</v>
      </c>
      <c r="AB104" t="str">
        <v>currydestroyer27</v>
      </c>
      <c r="AC104" s="3">
        <v>1.8</v>
      </c>
      <c r="AD104" s="3">
        <v>0.74833147735478833</v>
      </c>
      <c r="AE104" t="str">
        <v>Bottoms Up</v>
      </c>
      <c r="AF104" t="str">
        <v>Trey Songz, Nicki Minaj</v>
      </c>
      <c r="AG104" s="100">
        <f t="shared" si="4"/>
        <v>17</v>
      </c>
      <c r="AI104" s="114">
        <f>SotY_2025[[#This Row],[Max Seed]]/2 + 1</f>
        <v>65</v>
      </c>
      <c r="AJ104" s="105" t="str">
        <f ca="1">IF(SotY_2025[[#This Row],[Num]]&gt;=$A$1, "-", IF(SotY_2025[[#This Row],[Score 1]]&gt;=3, SotY_2025[[#This Row],[Song 2]], IF(SotY_2025[[#This Row],[Score 2]]&gt;=3, SotY_2025[[#This Row],[Song 1]], "TBD")))</f>
        <v>Let Me Leave</v>
      </c>
      <c r="AK104" s="115">
        <f ca="1">IFERROR(VLOOKUP(SotY_2025_Results[[#This Row],[Song Title]], $AE$2:$AG$200, 3, FALSE)-SotY_2025_Results[[#This Row],[Result]], "TBD")</f>
        <v>0</v>
      </c>
      <c r="AL104" s="112" t="str">
        <f ca="1">IF(SotY_2025_Results[[#This Row],[Diff]]&lt;0,"↓",IF(SotY_2025_Results[[#This Row],[Diff]]=0,"-","↑"))</f>
        <v>-</v>
      </c>
    </row>
    <row r="105" spans="1:38">
      <c r="A105" s="197" t="str">
        <f>_xlfn.CONCAT("Seed ", SotY_2025[[#This Row],[Top Seed]], " vs ", SotY_2025[[#This Row],[Low Seed]])</f>
        <v>Seed 25 vs 104</v>
      </c>
      <c r="B105" s="115">
        <v>103</v>
      </c>
      <c r="C105" s="115">
        <f>FLOOR(LOG(SotY_2025[[#This Row],[Num]], 2), 1)</f>
        <v>6</v>
      </c>
      <c r="D105" s="115">
        <f>2^(SotY_2025[[#This Row],[Round]]+1)</f>
        <v>128</v>
      </c>
      <c r="E105" s="115">
        <f>SotY_2025[[#This Row],[Max Seed]]-SotY_2025[[#This Row],[Num]]</f>
        <v>25</v>
      </c>
      <c r="F105" s="115">
        <f>SotY_2025[[#This Row],[Max Seed]]-SotY_2025[[#This Row],[Top Seed]]+1</f>
        <v>104</v>
      </c>
      <c r="G105" s="115" t="b">
        <f>IF(SotY_2025[[#This Row],[Round]]=$C$1, TRUE(), IF(SotY_2025[[#This Row],[Round]]=$B$1, SotY_2025[[#This Row],[Top Seed]]&lt;=2*SotY_2025[[#This Row],[Max Seed]]-$A$1, FALSE()))</f>
        <v>1</v>
      </c>
      <c r="H105" s="115" t="b">
        <f>IF(SotY_2025[[#This Row],[Round]]=$C$1, TRUE(), IF(SotY_2025[[#This Row],[Round]]=$B$1, SotY_2025[[#This Row],[Low Seed]]&lt;=2*SotY_2025[[#This Row],[Max Seed]]-$A$1, FALSE()))</f>
        <v>0</v>
      </c>
      <c r="I105" s="187" t="s">
        <v>4191</v>
      </c>
      <c r="J105" s="188"/>
      <c r="K105" s="189"/>
      <c r="L105" s="190"/>
      <c r="M105" s="191" t="s">
        <v>4191</v>
      </c>
      <c r="N10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トドメの一撃</v>
      </c>
      <c r="O105" s="105">
        <f>COUNTIF(SotY_2025[[#This Row],[J]:[H]],"x")</f>
        <v>2</v>
      </c>
      <c r="P105" s="115" t="str">
        <f ca="1">IF(SotY_2025[[#This Row],[Num]]&gt;=$A$1, "-", IF(SotY_2025[[#This Row],[Score 1]]&gt;=3, SotY_2025[[#This Row],[Song 1]], IF(SotY_2025[[#This Row],[Score 2]]&gt;=3, SotY_2025[[#This Row],[Song 2]], "TBD")))</f>
        <v>Yo No Soy Celoso</v>
      </c>
      <c r="Q105" s="193">
        <f>COUNTIF(SotY_2025[[#This Row],[H ]:[J ]],"x")</f>
        <v>3</v>
      </c>
      <c r="R10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Yo No Soy Celoso</v>
      </c>
      <c r="S105" s="191"/>
      <c r="T105" s="190" t="s">
        <v>4191</v>
      </c>
      <c r="U105" s="189" t="s">
        <v>4191</v>
      </c>
      <c r="V105" s="188" t="s">
        <v>4191</v>
      </c>
      <c r="W105" s="198"/>
      <c r="X10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05" s="109">
        <f t="shared" si="5"/>
        <v>45</v>
      </c>
      <c r="AA105" s="59">
        <v>45841</v>
      </c>
      <c r="AB105" t="str">
        <v>loganworsdell</v>
      </c>
      <c r="AC105" s="3">
        <v>2</v>
      </c>
      <c r="AD105" s="3">
        <v>0.63245553203367588</v>
      </c>
      <c r="AE105" t="str">
        <v>Morioucho Radio</v>
      </c>
      <c r="AF105" t="str">
        <v>Yugo Kanno</v>
      </c>
      <c r="AG105" s="100">
        <f t="shared" si="4"/>
        <v>33</v>
      </c>
      <c r="AI105" s="114">
        <f>SotY_2025[[#This Row],[Max Seed]]/2 + 1</f>
        <v>65</v>
      </c>
      <c r="AJ105" s="105" t="str">
        <f ca="1">IF(SotY_2025[[#This Row],[Num]]&gt;=$A$1, "-", IF(SotY_2025[[#This Row],[Score 1]]&gt;=3, SotY_2025[[#This Row],[Song 2]], IF(SotY_2025[[#This Row],[Score 2]]&gt;=3, SotY_2025[[#This Row],[Song 1]], "TBD")))</f>
        <v>トドメの一撃</v>
      </c>
      <c r="AK105" s="115">
        <f ca="1">IFERROR(VLOOKUP(SotY_2025_Results[[#This Row],[Song Title]], $AE$2:$AG$200, 3, FALSE)-SotY_2025_Results[[#This Row],[Result]], "TBD")</f>
        <v>-48</v>
      </c>
      <c r="AL105" s="112" t="str">
        <f ca="1">IF(SotY_2025_Results[[#This Row],[Diff]]&lt;0,"↓",IF(SotY_2025_Results[[#This Row],[Diff]]=0,"-","↑"))</f>
        <v>↓</v>
      </c>
    </row>
    <row r="106" spans="1:38">
      <c r="A106" s="197" t="str">
        <f>_xlfn.CONCAT("Seed ", SotY_2025[[#This Row],[Top Seed]], " vs ", SotY_2025[[#This Row],[Low Seed]])</f>
        <v>Seed 24 vs 105</v>
      </c>
      <c r="B106" s="115">
        <v>104</v>
      </c>
      <c r="C106" s="115">
        <f>FLOOR(LOG(SotY_2025[[#This Row],[Num]], 2), 1)</f>
        <v>6</v>
      </c>
      <c r="D106" s="115">
        <f>2^(SotY_2025[[#This Row],[Round]]+1)</f>
        <v>128</v>
      </c>
      <c r="E106" s="115">
        <f>SotY_2025[[#This Row],[Max Seed]]-SotY_2025[[#This Row],[Num]]</f>
        <v>24</v>
      </c>
      <c r="F106" s="115">
        <f>SotY_2025[[#This Row],[Max Seed]]-SotY_2025[[#This Row],[Top Seed]]+1</f>
        <v>105</v>
      </c>
      <c r="G106" s="115" t="b">
        <f>IF(SotY_2025[[#This Row],[Round]]=$C$1, TRUE(), IF(SotY_2025[[#This Row],[Round]]=$B$1, SotY_2025[[#This Row],[Top Seed]]&lt;=2*SotY_2025[[#This Row],[Max Seed]]-$A$1, FALSE()))</f>
        <v>1</v>
      </c>
      <c r="H106" s="115" t="b">
        <f>IF(SotY_2025[[#This Row],[Round]]=$C$1, TRUE(), IF(SotY_2025[[#This Row],[Round]]=$B$1, SotY_2025[[#This Row],[Low Seed]]&lt;=2*SotY_2025[[#This Row],[Max Seed]]-$A$1, FALSE()))</f>
        <v>0</v>
      </c>
      <c r="I106" s="187"/>
      <c r="J106" s="188"/>
      <c r="K106" s="189" t="s">
        <v>4191</v>
      </c>
      <c r="L106" s="190" t="s">
        <v>4191</v>
      </c>
      <c r="M106" s="191" t="s">
        <v>4191</v>
      </c>
      <c r="N10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CHAINSAW BLOOD</v>
      </c>
      <c r="O106" s="105">
        <f>COUNTIF(SotY_2025[[#This Row],[J]:[H]],"x")</f>
        <v>3</v>
      </c>
      <c r="P106" s="115" t="str">
        <f ca="1">IF(SotY_2025[[#This Row],[Num]]&gt;=$A$1, "-", IF(SotY_2025[[#This Row],[Score 1]]&gt;=3, SotY_2025[[#This Row],[Song 1]], IF(SotY_2025[[#This Row],[Score 2]]&gt;=3, SotY_2025[[#This Row],[Song 2]], "TBD")))</f>
        <v>CHAINSAW BLOOD</v>
      </c>
      <c r="Q106" s="193">
        <f>COUNTIF(SotY_2025[[#This Row],[H ]:[J ]],"x")</f>
        <v>2</v>
      </c>
      <c r="R10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ALAMBRE PúA</v>
      </c>
      <c r="S106" s="191"/>
      <c r="T106" s="190"/>
      <c r="U106" s="189"/>
      <c r="V106" s="188" t="s">
        <v>4191</v>
      </c>
      <c r="W106" s="198" t="s">
        <v>4191</v>
      </c>
      <c r="X10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06" s="109">
        <f t="shared" si="5"/>
        <v>103</v>
      </c>
      <c r="AA106" s="59">
        <v>45845</v>
      </c>
      <c r="AB106" t="str">
        <v>samuelbattista</v>
      </c>
      <c r="AC106" s="3">
        <v>2.2000000000000002</v>
      </c>
      <c r="AD106" s="3">
        <v>0.9797958971132712</v>
      </c>
      <c r="AE106" t="str">
        <v>Let Me Leave</v>
      </c>
      <c r="AF106" t="str">
        <v>Currents</v>
      </c>
      <c r="AG106" s="100">
        <f t="shared" si="4"/>
        <v>65</v>
      </c>
      <c r="AI106" s="114">
        <f>SotY_2025[[#This Row],[Max Seed]]/2 + 1</f>
        <v>65</v>
      </c>
      <c r="AJ106" s="105" t="str">
        <f ca="1">IF(SotY_2025[[#This Row],[Num]]&gt;=$A$1, "-", IF(SotY_2025[[#This Row],[Score 1]]&gt;=3, SotY_2025[[#This Row],[Song 2]], IF(SotY_2025[[#This Row],[Score 2]]&gt;=3, SotY_2025[[#This Row],[Song 1]], "TBD")))</f>
        <v>ALAMBRE PúA</v>
      </c>
      <c r="AK106" s="115">
        <f ca="1">IFERROR(VLOOKUP(SotY_2025_Results[[#This Row],[Song Title]], $AE$2:$AG$200, 3, FALSE)-SotY_2025_Results[[#This Row],[Result]], "TBD")</f>
        <v>0</v>
      </c>
      <c r="AL106" s="112" t="str">
        <f ca="1">IF(SotY_2025_Results[[#This Row],[Diff]]&lt;0,"↓",IF(SotY_2025_Results[[#This Row],[Diff]]=0,"-","↑"))</f>
        <v>-</v>
      </c>
    </row>
    <row r="107" spans="1:38">
      <c r="A107" s="197" t="str">
        <f>_xlfn.CONCAT("Seed ", SotY_2025[[#This Row],[Top Seed]], " vs ", SotY_2025[[#This Row],[Low Seed]])</f>
        <v>Seed 23 vs 106</v>
      </c>
      <c r="B107" s="115">
        <v>105</v>
      </c>
      <c r="C107" s="115">
        <f>FLOOR(LOG(SotY_2025[[#This Row],[Num]], 2), 1)</f>
        <v>6</v>
      </c>
      <c r="D107" s="115">
        <f>2^(SotY_2025[[#This Row],[Round]]+1)</f>
        <v>128</v>
      </c>
      <c r="E107" s="115">
        <f>SotY_2025[[#This Row],[Max Seed]]-SotY_2025[[#This Row],[Num]]</f>
        <v>23</v>
      </c>
      <c r="F107" s="115">
        <f>SotY_2025[[#This Row],[Max Seed]]-SotY_2025[[#This Row],[Top Seed]]+1</f>
        <v>106</v>
      </c>
      <c r="G107" s="115" t="b">
        <f>IF(SotY_2025[[#This Row],[Round]]=$C$1, TRUE(), IF(SotY_2025[[#This Row],[Round]]=$B$1, SotY_2025[[#This Row],[Top Seed]]&lt;=2*SotY_2025[[#This Row],[Max Seed]]-$A$1, FALSE()))</f>
        <v>1</v>
      </c>
      <c r="H107" s="115" t="b">
        <f>IF(SotY_2025[[#This Row],[Round]]=$C$1, TRUE(), IF(SotY_2025[[#This Row],[Round]]=$B$1, SotY_2025[[#This Row],[Low Seed]]&lt;=2*SotY_2025[[#This Row],[Max Seed]]-$A$1, FALSE()))</f>
        <v>0</v>
      </c>
      <c r="I107" s="187" t="s">
        <v>4191</v>
      </c>
      <c r="J107" s="188"/>
      <c r="K107" s="189"/>
      <c r="L107" s="190" t="s">
        <v>4191</v>
      </c>
      <c r="M107" s="191"/>
      <c r="N10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MUTT</v>
      </c>
      <c r="O107" s="105">
        <f>COUNTIF(SotY_2025[[#This Row],[J]:[H]],"x")</f>
        <v>2</v>
      </c>
      <c r="P107" s="115" t="str">
        <f ca="1">IF(SotY_2025[[#This Row],[Num]]&gt;=$A$1, "-", IF(SotY_2025[[#This Row],[Score 1]]&gt;=3, SotY_2025[[#This Row],[Song 1]], IF(SotY_2025[[#This Row],[Score 2]]&gt;=3, SotY_2025[[#This Row],[Song 2]], "TBD")))</f>
        <v>Clarity</v>
      </c>
      <c r="Q107" s="193">
        <f>COUNTIF(SotY_2025[[#This Row],[H ]:[J ]],"x")</f>
        <v>3</v>
      </c>
      <c r="R10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Clarity</v>
      </c>
      <c r="S107" s="191" t="s">
        <v>4191</v>
      </c>
      <c r="T107" s="190"/>
      <c r="U107" s="189" t="s">
        <v>4191</v>
      </c>
      <c r="V107" s="188" t="s">
        <v>4191</v>
      </c>
      <c r="W107" s="198"/>
      <c r="X10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07" s="109">
        <f t="shared" si="5"/>
        <v>13</v>
      </c>
      <c r="AA107" s="59">
        <v>45846</v>
      </c>
      <c r="AB107" t="str">
        <v>alappatjoe</v>
      </c>
      <c r="AC107" s="3">
        <v>1.6</v>
      </c>
      <c r="AD107" s="3">
        <v>0.4898979485566356</v>
      </c>
      <c r="AE107" t="str">
        <v>Buy U a Drank</v>
      </c>
      <c r="AF107" t="str">
        <v>T-Pain, Yung Joc</v>
      </c>
      <c r="AG107" s="100">
        <f t="shared" si="4"/>
        <v>9</v>
      </c>
      <c r="AI107" s="114">
        <f>SotY_2025[[#This Row],[Max Seed]]/2 + 1</f>
        <v>65</v>
      </c>
      <c r="AJ107" s="105" t="str">
        <f ca="1">IF(SotY_2025[[#This Row],[Num]]&gt;=$A$1, "-", IF(SotY_2025[[#This Row],[Score 1]]&gt;=3, SotY_2025[[#This Row],[Song 2]], IF(SotY_2025[[#This Row],[Score 2]]&gt;=3, SotY_2025[[#This Row],[Song 1]], "TBD")))</f>
        <v>MUTT</v>
      </c>
      <c r="AK107" s="115">
        <f ca="1">IFERROR(VLOOKUP(SotY_2025_Results[[#This Row],[Song Title]], $AE$2:$AG$200, 3, FALSE)-SotY_2025_Results[[#This Row],[Result]], "TBD")</f>
        <v>-48</v>
      </c>
      <c r="AL107" s="112" t="str">
        <f ca="1">IF(SotY_2025_Results[[#This Row],[Diff]]&lt;0,"↓",IF(SotY_2025_Results[[#This Row],[Diff]]=0,"-","↑"))</f>
        <v>↓</v>
      </c>
    </row>
    <row r="108" spans="1:38">
      <c r="A108" s="197" t="str">
        <f>_xlfn.CONCAT("Seed ", SotY_2025[[#This Row],[Top Seed]], " vs ", SotY_2025[[#This Row],[Low Seed]])</f>
        <v>Seed 22 vs 107</v>
      </c>
      <c r="B108" s="115">
        <v>106</v>
      </c>
      <c r="C108" s="115">
        <f>FLOOR(LOG(SotY_2025[[#This Row],[Num]], 2), 1)</f>
        <v>6</v>
      </c>
      <c r="D108" s="115">
        <f>2^(SotY_2025[[#This Row],[Round]]+1)</f>
        <v>128</v>
      </c>
      <c r="E108" s="115">
        <f>SotY_2025[[#This Row],[Max Seed]]-SotY_2025[[#This Row],[Num]]</f>
        <v>22</v>
      </c>
      <c r="F108" s="115">
        <f>SotY_2025[[#This Row],[Max Seed]]-SotY_2025[[#This Row],[Top Seed]]+1</f>
        <v>107</v>
      </c>
      <c r="G108" s="115" t="b">
        <f>IF(SotY_2025[[#This Row],[Round]]=$C$1, TRUE(), IF(SotY_2025[[#This Row],[Round]]=$B$1, SotY_2025[[#This Row],[Top Seed]]&lt;=2*SotY_2025[[#This Row],[Max Seed]]-$A$1, FALSE()))</f>
        <v>1</v>
      </c>
      <c r="H108" s="115" t="b">
        <f>IF(SotY_2025[[#This Row],[Round]]=$C$1, TRUE(), IF(SotY_2025[[#This Row],[Round]]=$B$1, SotY_2025[[#This Row],[Low Seed]]&lt;=2*SotY_2025[[#This Row],[Max Seed]]-$A$1, FALSE()))</f>
        <v>0</v>
      </c>
      <c r="I108" s="187"/>
      <c r="J108" s="188"/>
      <c r="K108" s="189" t="s">
        <v>4191</v>
      </c>
      <c r="L108" s="190"/>
      <c r="M108" s="191"/>
      <c r="N108" s="192">
        <f ca="1">IF(SotY_2025[[#This Row],[Num]]&gt;=$A$1, "-", IF(SotY_2025[[#This Row],[Initial 1]], VLOOKUP(SotY_2025[[#This Row],[Top Seed]], $Z$2:$AE$200, 6, FALSE), OFFSET(SotY_2025[[#This Row],[Winner]], SotY_2025[[#This Row],[Max Seed]], 0)))</f>
        <v>90210</v>
      </c>
      <c r="O108" s="105">
        <f>COUNTIF(SotY_2025[[#This Row],[J]:[H]],"x")</f>
        <v>1</v>
      </c>
      <c r="P108" s="115" t="str">
        <f ca="1">IF(SotY_2025[[#This Row],[Num]]&gt;=$A$1, "-", IF(SotY_2025[[#This Row],[Score 1]]&gt;=3, SotY_2025[[#This Row],[Song 1]], IF(SotY_2025[[#This Row],[Score 2]]&gt;=3, SotY_2025[[#This Row],[Song 2]], "TBD")))</f>
        <v>Friday I'm in Love</v>
      </c>
      <c r="Q108" s="193">
        <f>COUNTIF(SotY_2025[[#This Row],[H ]:[J ]],"x")</f>
        <v>4</v>
      </c>
      <c r="R10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Friday I'm in Love</v>
      </c>
      <c r="S108" s="191" t="s">
        <v>4191</v>
      </c>
      <c r="T108" s="190" t="s">
        <v>4191</v>
      </c>
      <c r="U108" s="189"/>
      <c r="V108" s="188" t="s">
        <v>4191</v>
      </c>
      <c r="W108" s="198" t="s">
        <v>4191</v>
      </c>
      <c r="X10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08" s="109">
        <f t="shared" si="5"/>
        <v>199</v>
      </c>
      <c r="AA108" s="59">
        <v>45847</v>
      </c>
      <c r="AB108" t="str">
        <v>danram</v>
      </c>
      <c r="AC108" s="3">
        <v>2.8</v>
      </c>
      <c r="AD108" s="3">
        <v>1.1661903789690602</v>
      </c>
      <c r="AE108" t="str">
        <v>I Get Around</v>
      </c>
      <c r="AF108" t="str">
        <v>The Beach Boys</v>
      </c>
      <c r="AG108" s="100">
        <f t="shared" si="4"/>
        <v>129</v>
      </c>
      <c r="AI108" s="114">
        <f>SotY_2025[[#This Row],[Max Seed]]/2 + 1</f>
        <v>65</v>
      </c>
      <c r="AJ108" s="105">
        <f ca="1">IF(SotY_2025[[#This Row],[Num]]&gt;=$A$1, "-", IF(SotY_2025[[#This Row],[Score 1]]&gt;=3, SotY_2025[[#This Row],[Song 2]], IF(SotY_2025[[#This Row],[Score 2]]&gt;=3, SotY_2025[[#This Row],[Song 1]], "TBD")))</f>
        <v>90210</v>
      </c>
      <c r="AK108" s="115">
        <f ca="1">IFERROR(VLOOKUP(SotY_2025_Results[[#This Row],[Song Title]], $AE$2:$AG$200, 3, FALSE)-SotY_2025_Results[[#This Row],[Result]], "TBD")</f>
        <v>-48</v>
      </c>
      <c r="AL108" s="112" t="str">
        <f ca="1">IF(SotY_2025_Results[[#This Row],[Diff]]&lt;0,"↓",IF(SotY_2025_Results[[#This Row],[Diff]]=0,"-","↑"))</f>
        <v>↓</v>
      </c>
    </row>
    <row r="109" spans="1:38">
      <c r="A109" s="197" t="str">
        <f>_xlfn.CONCAT("Seed ", SotY_2025[[#This Row],[Top Seed]], " vs ", SotY_2025[[#This Row],[Low Seed]])</f>
        <v>Seed 21 vs 108</v>
      </c>
      <c r="B109" s="115">
        <v>107</v>
      </c>
      <c r="C109" s="115">
        <f>FLOOR(LOG(SotY_2025[[#This Row],[Num]], 2), 1)</f>
        <v>6</v>
      </c>
      <c r="D109" s="115">
        <f>2^(SotY_2025[[#This Row],[Round]]+1)</f>
        <v>128</v>
      </c>
      <c r="E109" s="115">
        <f>SotY_2025[[#This Row],[Max Seed]]-SotY_2025[[#This Row],[Num]]</f>
        <v>21</v>
      </c>
      <c r="F109" s="115">
        <f>SotY_2025[[#This Row],[Max Seed]]-SotY_2025[[#This Row],[Top Seed]]+1</f>
        <v>108</v>
      </c>
      <c r="G109" s="115" t="b">
        <f>IF(SotY_2025[[#This Row],[Round]]=$C$1, TRUE(), IF(SotY_2025[[#This Row],[Round]]=$B$1, SotY_2025[[#This Row],[Top Seed]]&lt;=2*SotY_2025[[#This Row],[Max Seed]]-$A$1, FALSE()))</f>
        <v>1</v>
      </c>
      <c r="H109" s="115" t="b">
        <f>IF(SotY_2025[[#This Row],[Round]]=$C$1, TRUE(), IF(SotY_2025[[#This Row],[Round]]=$B$1, SotY_2025[[#This Row],[Low Seed]]&lt;=2*SotY_2025[[#This Row],[Max Seed]]-$A$1, FALSE()))</f>
        <v>0</v>
      </c>
      <c r="I109" s="187" t="s">
        <v>4191</v>
      </c>
      <c r="J109" s="188"/>
      <c r="K109" s="189" t="s">
        <v>4191</v>
      </c>
      <c r="L109" s="190" t="s">
        <v>4191</v>
      </c>
      <c r="M109" s="191"/>
      <c r="N10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All Night Long</v>
      </c>
      <c r="O109" s="105">
        <f>COUNTIF(SotY_2025[[#This Row],[J]:[H]],"x")</f>
        <v>3</v>
      </c>
      <c r="P109" s="115" t="str">
        <f ca="1">IF(SotY_2025[[#This Row],[Num]]&gt;=$A$1, "-", IF(SotY_2025[[#This Row],[Score 1]]&gt;=3, SotY_2025[[#This Row],[Song 1]], IF(SotY_2025[[#This Row],[Score 2]]&gt;=3, SotY_2025[[#This Row],[Song 2]], "TBD")))</f>
        <v>All Night Long</v>
      </c>
      <c r="Q109" s="193">
        <f>COUNTIF(SotY_2025[[#This Row],[H ]:[J ]],"x")</f>
        <v>2</v>
      </c>
      <c r="R10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Bound 2</v>
      </c>
      <c r="S109" s="191" t="s">
        <v>4191</v>
      </c>
      <c r="T109" s="190"/>
      <c r="U109" s="189"/>
      <c r="V109" s="188" t="s">
        <v>4191</v>
      </c>
      <c r="W109" s="198"/>
      <c r="X10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09" s="109">
        <f t="shared" si="5"/>
        <v>119</v>
      </c>
      <c r="AA109" s="59">
        <v>45848</v>
      </c>
      <c r="AB109" t="str">
        <v>danram</v>
      </c>
      <c r="AC109" s="3">
        <v>2.2000000000000002</v>
      </c>
      <c r="AD109" s="3">
        <v>1.1661903789690602</v>
      </c>
      <c r="AE109" t="str">
        <v>TOXIC</v>
      </c>
      <c r="AF109" t="str">
        <v>Dreezy T-Pain</v>
      </c>
      <c r="AG109" s="100">
        <f t="shared" si="4"/>
        <v>65</v>
      </c>
      <c r="AI109" s="114">
        <f>SotY_2025[[#This Row],[Max Seed]]/2 + 1</f>
        <v>65</v>
      </c>
      <c r="AJ109" s="105" t="str">
        <f ca="1">IF(SotY_2025[[#This Row],[Num]]&gt;=$A$1, "-", IF(SotY_2025[[#This Row],[Score 1]]&gt;=3, SotY_2025[[#This Row],[Song 2]], IF(SotY_2025[[#This Row],[Score 2]]&gt;=3, SotY_2025[[#This Row],[Song 1]], "TBD")))</f>
        <v>Bound 2</v>
      </c>
      <c r="AK109" s="115">
        <f ca="1">IFERROR(VLOOKUP(SotY_2025_Results[[#This Row],[Song Title]], $AE$2:$AG$200, 3, FALSE)-SotY_2025_Results[[#This Row],[Result]], "TBD")</f>
        <v>0</v>
      </c>
      <c r="AL109" s="112" t="str">
        <f ca="1">IF(SotY_2025_Results[[#This Row],[Diff]]&lt;0,"↓",IF(SotY_2025_Results[[#This Row],[Diff]]=0,"-","↑"))</f>
        <v>-</v>
      </c>
    </row>
    <row r="110" spans="1:38">
      <c r="A110" s="197" t="str">
        <f>_xlfn.CONCAT("Seed ", SotY_2025[[#This Row],[Top Seed]], " vs ", SotY_2025[[#This Row],[Low Seed]])</f>
        <v>Seed 20 vs 109</v>
      </c>
      <c r="B110" s="115">
        <v>108</v>
      </c>
      <c r="C110" s="115">
        <f>FLOOR(LOG(SotY_2025[[#This Row],[Num]], 2), 1)</f>
        <v>6</v>
      </c>
      <c r="D110" s="115">
        <f>2^(SotY_2025[[#This Row],[Round]]+1)</f>
        <v>128</v>
      </c>
      <c r="E110" s="115">
        <f>SotY_2025[[#This Row],[Max Seed]]-SotY_2025[[#This Row],[Num]]</f>
        <v>20</v>
      </c>
      <c r="F110" s="115">
        <f>SotY_2025[[#This Row],[Max Seed]]-SotY_2025[[#This Row],[Top Seed]]+1</f>
        <v>109</v>
      </c>
      <c r="G110" s="115" t="b">
        <f>IF(SotY_2025[[#This Row],[Round]]=$C$1, TRUE(), IF(SotY_2025[[#This Row],[Round]]=$B$1, SotY_2025[[#This Row],[Top Seed]]&lt;=2*SotY_2025[[#This Row],[Max Seed]]-$A$1, FALSE()))</f>
        <v>1</v>
      </c>
      <c r="H110" s="115" t="b">
        <f>IF(SotY_2025[[#This Row],[Round]]=$C$1, TRUE(), IF(SotY_2025[[#This Row],[Round]]=$B$1, SotY_2025[[#This Row],[Low Seed]]&lt;=2*SotY_2025[[#This Row],[Max Seed]]-$A$1, FALSE()))</f>
        <v>0</v>
      </c>
      <c r="I110" s="187"/>
      <c r="J110" s="188" t="s">
        <v>4191</v>
      </c>
      <c r="K110" s="189" t="s">
        <v>4191</v>
      </c>
      <c r="L110" s="190" t="s">
        <v>4191</v>
      </c>
      <c r="M110" s="191" t="s">
        <v>4191</v>
      </c>
      <c r="N11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Maps</v>
      </c>
      <c r="O110" s="105">
        <f>COUNTIF(SotY_2025[[#This Row],[J]:[H]],"x")</f>
        <v>4</v>
      </c>
      <c r="P110" s="115" t="str">
        <f ca="1">IF(SotY_2025[[#This Row],[Num]]&gt;=$A$1, "-", IF(SotY_2025[[#This Row],[Score 1]]&gt;=3, SotY_2025[[#This Row],[Song 1]], IF(SotY_2025[[#This Row],[Score 2]]&gt;=3, SotY_2025[[#This Row],[Song 2]], "TBD")))</f>
        <v>Maps</v>
      </c>
      <c r="Q110" s="193">
        <f>COUNTIF(SotY_2025[[#This Row],[H ]:[J ]],"x")</f>
        <v>1</v>
      </c>
      <c r="R11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Look At Me</v>
      </c>
      <c r="S110" s="191"/>
      <c r="T110" s="190"/>
      <c r="U110" s="189"/>
      <c r="V110" s="188"/>
      <c r="W110" s="198" t="s">
        <v>4191</v>
      </c>
      <c r="X11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10" s="109">
        <f t="shared" si="5"/>
        <v>149</v>
      </c>
      <c r="AA110" s="59">
        <v>45852</v>
      </c>
      <c r="AB110" t="str">
        <v>loganworsdell</v>
      </c>
      <c r="AC110" s="3">
        <v>2.4</v>
      </c>
      <c r="AD110" s="3">
        <v>1.019803902718557</v>
      </c>
      <c r="AE110" t="str">
        <v>Missed Calls</v>
      </c>
      <c r="AF110" t="str">
        <v>Mac Miller</v>
      </c>
      <c r="AG110" s="100">
        <f t="shared" si="4"/>
        <v>129</v>
      </c>
      <c r="AI110" s="114">
        <f>SotY_2025[[#This Row],[Max Seed]]/2 + 1</f>
        <v>65</v>
      </c>
      <c r="AJ110" s="105" t="str">
        <f ca="1">IF(SotY_2025[[#This Row],[Num]]&gt;=$A$1, "-", IF(SotY_2025[[#This Row],[Score 1]]&gt;=3, SotY_2025[[#This Row],[Song 2]], IF(SotY_2025[[#This Row],[Score 2]]&gt;=3, SotY_2025[[#This Row],[Song 1]], "TBD")))</f>
        <v>Look At Me</v>
      </c>
      <c r="AK110" s="115">
        <f ca="1">IFERROR(VLOOKUP(SotY_2025_Results[[#This Row],[Song Title]], $AE$2:$AG$200, 3, FALSE)-SotY_2025_Results[[#This Row],[Result]], "TBD")</f>
        <v>64</v>
      </c>
      <c r="AL110" s="112" t="str">
        <f ca="1">IF(SotY_2025_Results[[#This Row],[Diff]]&lt;0,"↓",IF(SotY_2025_Results[[#This Row],[Diff]]=0,"-","↑"))</f>
        <v>↑</v>
      </c>
    </row>
    <row r="111" spans="1:38">
      <c r="A111" s="199" t="str">
        <f>_xlfn.CONCAT("Seed ", SotY_2025[[#This Row],[Top Seed]], " vs ", SotY_2025[[#This Row],[Low Seed]])</f>
        <v>Seed 19 vs 110</v>
      </c>
      <c r="B111" s="115">
        <v>109</v>
      </c>
      <c r="C111" s="201">
        <f>FLOOR(LOG(SotY_2025[[#This Row],[Num]], 2), 1)</f>
        <v>6</v>
      </c>
      <c r="D111" s="201">
        <f>2^(SotY_2025[[#This Row],[Round]]+1)</f>
        <v>128</v>
      </c>
      <c r="E111" s="201">
        <f>SotY_2025[[#This Row],[Max Seed]]-SotY_2025[[#This Row],[Num]]</f>
        <v>19</v>
      </c>
      <c r="F111" s="201">
        <f>SotY_2025[[#This Row],[Max Seed]]-SotY_2025[[#This Row],[Top Seed]]+1</f>
        <v>110</v>
      </c>
      <c r="G111" s="201" t="b">
        <f>IF(SotY_2025[[#This Row],[Round]]=$C$1, TRUE(), IF(SotY_2025[[#This Row],[Round]]=$B$1, SotY_2025[[#This Row],[Top Seed]]&lt;=2*SotY_2025[[#This Row],[Max Seed]]-$A$1, FALSE()))</f>
        <v>1</v>
      </c>
      <c r="H111" s="201" t="b">
        <f>IF(SotY_2025[[#This Row],[Round]]=$C$1, TRUE(), IF(SotY_2025[[#This Row],[Round]]=$B$1, SotY_2025[[#This Row],[Low Seed]]&lt;=2*SotY_2025[[#This Row],[Max Seed]]-$A$1, FALSE()))</f>
        <v>0</v>
      </c>
      <c r="I111" s="187"/>
      <c r="J111" s="188"/>
      <c r="K111" s="189" t="s">
        <v>4191</v>
      </c>
      <c r="L111" s="190" t="s">
        <v>4191</v>
      </c>
      <c r="M111" s="191"/>
      <c r="N111" s="203" t="str">
        <f ca="1">IF(SotY_2025[[#This Row],[Num]]&gt;=$A$1, "-", IF(SotY_2025[[#This Row],[Initial 1]], VLOOKUP(SotY_2025[[#This Row],[Top Seed]], $Z$2:$AE$200, 6, FALSE), OFFSET(SotY_2025[[#This Row],[Winner]], SotY_2025[[#This Row],[Max Seed]], 0)))</f>
        <v>Overkill</v>
      </c>
      <c r="O111" s="200">
        <f>COUNTIF(SotY_2025[[#This Row],[J]:[H]],"x")</f>
        <v>2</v>
      </c>
      <c r="P111" s="201" t="str">
        <f ca="1">IF(SotY_2025[[#This Row],[Num]]&gt;=$A$1, "-", IF(SotY_2025[[#This Row],[Score 1]]&gt;=3, SotY_2025[[#This Row],[Song 1]], IF(SotY_2025[[#This Row],[Score 2]]&gt;=3, SotY_2025[[#This Row],[Song 2]], "TBD")))</f>
        <v>CUFF IT</v>
      </c>
      <c r="Q111" s="206">
        <f>COUNTIF(SotY_2025[[#This Row],[H ]:[J ]],"x")</f>
        <v>3</v>
      </c>
      <c r="R111" s="200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CUFF IT</v>
      </c>
      <c r="S111" s="191" t="s">
        <v>4191</v>
      </c>
      <c r="T111" s="190"/>
      <c r="U111" s="189"/>
      <c r="V111" s="188" t="s">
        <v>4191</v>
      </c>
      <c r="W111" s="198" t="s">
        <v>4191</v>
      </c>
      <c r="X111" s="201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11" s="109">
        <f t="shared" si="5"/>
        <v>191</v>
      </c>
      <c r="AA111" s="211">
        <v>45853</v>
      </c>
      <c r="AB111" s="157" t="str">
        <v>loganworsdell</v>
      </c>
      <c r="AC111" s="101">
        <v>2.6</v>
      </c>
      <c r="AD111" s="101">
        <v>1.3564659966250536</v>
      </c>
      <c r="AE111" s="157" t="str">
        <v>Long Beach</v>
      </c>
      <c r="AF111" s="157" t="str">
        <v>Kota the Friend, Hello O'shay, Alex Banin</v>
      </c>
      <c r="AG111" s="100">
        <f t="shared" si="4"/>
        <v>129</v>
      </c>
      <c r="AI111" s="114">
        <f>SotY_2025[[#This Row],[Max Seed]]/2 + 1</f>
        <v>65</v>
      </c>
      <c r="AJ111" s="105" t="str">
        <f ca="1">IF(SotY_2025[[#This Row],[Num]]&gt;=$A$1, "-", IF(SotY_2025[[#This Row],[Score 1]]&gt;=3, SotY_2025[[#This Row],[Song 2]], IF(SotY_2025[[#This Row],[Score 2]]&gt;=3, SotY_2025[[#This Row],[Song 1]], "TBD")))</f>
        <v>Overkill</v>
      </c>
      <c r="AK111" s="115">
        <f ca="1">IFERROR(VLOOKUP(SotY_2025_Results[[#This Row],[Song Title]], $AE$2:$AG$200, 3, FALSE)-SotY_2025_Results[[#This Row],[Result]], "TBD")</f>
        <v>-48</v>
      </c>
      <c r="AL111" s="112" t="str">
        <f ca="1">IF(SotY_2025_Results[[#This Row],[Diff]]&lt;0,"↓",IF(SotY_2025_Results[[#This Row],[Diff]]=0,"-","↑"))</f>
        <v>↓</v>
      </c>
    </row>
    <row r="112" spans="1:38">
      <c r="A112" s="197" t="str">
        <f>_xlfn.CONCAT("Seed ", SotY_2025[[#This Row],[Top Seed]], " vs ", SotY_2025[[#This Row],[Low Seed]])</f>
        <v>Seed 18 vs 111</v>
      </c>
      <c r="B112" s="115">
        <v>110</v>
      </c>
      <c r="C112" s="115">
        <f>FLOOR(LOG(SotY_2025[[#This Row],[Num]], 2), 1)</f>
        <v>6</v>
      </c>
      <c r="D112" s="115">
        <f>2^(SotY_2025[[#This Row],[Round]]+1)</f>
        <v>128</v>
      </c>
      <c r="E112" s="115">
        <f>SotY_2025[[#This Row],[Max Seed]]-SotY_2025[[#This Row],[Num]]</f>
        <v>18</v>
      </c>
      <c r="F112" s="115">
        <f>SotY_2025[[#This Row],[Max Seed]]-SotY_2025[[#This Row],[Top Seed]]+1</f>
        <v>111</v>
      </c>
      <c r="G112" s="115" t="b">
        <f>IF(SotY_2025[[#This Row],[Round]]=$C$1, TRUE(), IF(SotY_2025[[#This Row],[Round]]=$B$1, SotY_2025[[#This Row],[Top Seed]]&lt;=2*SotY_2025[[#This Row],[Max Seed]]-$A$1, FALSE()))</f>
        <v>1</v>
      </c>
      <c r="H112" s="115" t="b">
        <f>IF(SotY_2025[[#This Row],[Round]]=$C$1, TRUE(), IF(SotY_2025[[#This Row],[Round]]=$B$1, SotY_2025[[#This Row],[Low Seed]]&lt;=2*SotY_2025[[#This Row],[Max Seed]]-$A$1, FALSE()))</f>
        <v>0</v>
      </c>
      <c r="I112" s="187" t="s">
        <v>4191</v>
      </c>
      <c r="J112" s="188"/>
      <c r="K112" s="189"/>
      <c r="L112" s="190"/>
      <c r="M112" s="191" t="s">
        <v>4191</v>
      </c>
      <c r="N11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BLACK MEMORY</v>
      </c>
      <c r="O112" s="105">
        <f>COUNTIF(SotY_2025[[#This Row],[J]:[H]],"x")</f>
        <v>2</v>
      </c>
      <c r="P112" s="115" t="str">
        <f ca="1">IF(SotY_2025[[#This Row],[Num]]&gt;=$A$1, "-", IF(SotY_2025[[#This Row],[Score 1]]&gt;=3, SotY_2025[[#This Row],[Song 1]], IF(SotY_2025[[#This Row],[Score 2]]&gt;=3, SotY_2025[[#This Row],[Song 2]], "TBD")))</f>
        <v>WASSUP</v>
      </c>
      <c r="Q112" s="193">
        <f>COUNTIF(SotY_2025[[#This Row],[H ]:[J ]],"x")</f>
        <v>3</v>
      </c>
      <c r="R11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WASSUP</v>
      </c>
      <c r="S112" s="191"/>
      <c r="T112" s="190" t="s">
        <v>4191</v>
      </c>
      <c r="U112" s="189" t="s">
        <v>4191</v>
      </c>
      <c r="V112" s="188" t="s">
        <v>4191</v>
      </c>
      <c r="W112" s="198"/>
      <c r="X11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12" s="109">
        <f t="shared" si="5"/>
        <v>38</v>
      </c>
      <c r="AA112" s="59">
        <v>45854</v>
      </c>
      <c r="AB112" t="str">
        <v>currydestroyer27</v>
      </c>
      <c r="AC112" s="3">
        <v>1.8</v>
      </c>
      <c r="AD112" s="3">
        <v>1.1661903789690602</v>
      </c>
      <c r="AE112" t="str">
        <v>Still into You</v>
      </c>
      <c r="AF112" t="str">
        <v>Paramore</v>
      </c>
      <c r="AG112" s="100">
        <f t="shared" si="4"/>
        <v>33</v>
      </c>
      <c r="AI112" s="114">
        <f>SotY_2025[[#This Row],[Max Seed]]/2 + 1</f>
        <v>65</v>
      </c>
      <c r="AJ112" s="105" t="str">
        <f ca="1">IF(SotY_2025[[#This Row],[Num]]&gt;=$A$1, "-", IF(SotY_2025[[#This Row],[Score 1]]&gt;=3, SotY_2025[[#This Row],[Song 2]], IF(SotY_2025[[#This Row],[Score 2]]&gt;=3, SotY_2025[[#This Row],[Song 1]], "TBD")))</f>
        <v>BLACK MEMORY</v>
      </c>
      <c r="AK112" s="115">
        <f ca="1">IFERROR(VLOOKUP(SotY_2025_Results[[#This Row],[Song Title]], $AE$2:$AG$200, 3, FALSE)-SotY_2025_Results[[#This Row],[Result]], "TBD")</f>
        <v>-48</v>
      </c>
      <c r="AL112" s="112" t="str">
        <f ca="1">IF(SotY_2025_Results[[#This Row],[Diff]]&lt;0,"↓",IF(SotY_2025_Results[[#This Row],[Diff]]=0,"-","↑"))</f>
        <v>↓</v>
      </c>
    </row>
    <row r="113" spans="1:38">
      <c r="A113" s="197" t="str">
        <f>_xlfn.CONCAT("Seed ", SotY_2025[[#This Row],[Top Seed]], " vs ", SotY_2025[[#This Row],[Low Seed]])</f>
        <v>Seed 17 vs 112</v>
      </c>
      <c r="B113" s="115">
        <v>111</v>
      </c>
      <c r="C113" s="115">
        <f>FLOOR(LOG(SotY_2025[[#This Row],[Num]], 2), 1)</f>
        <v>6</v>
      </c>
      <c r="D113" s="115">
        <f>2^(SotY_2025[[#This Row],[Round]]+1)</f>
        <v>128</v>
      </c>
      <c r="E113" s="115">
        <f>SotY_2025[[#This Row],[Max Seed]]-SotY_2025[[#This Row],[Num]]</f>
        <v>17</v>
      </c>
      <c r="F113" s="115">
        <f>SotY_2025[[#This Row],[Max Seed]]-SotY_2025[[#This Row],[Top Seed]]+1</f>
        <v>112</v>
      </c>
      <c r="G113" s="115" t="b">
        <f>IF(SotY_2025[[#This Row],[Round]]=$C$1, TRUE(), IF(SotY_2025[[#This Row],[Round]]=$B$1, SotY_2025[[#This Row],[Top Seed]]&lt;=2*SotY_2025[[#This Row],[Max Seed]]-$A$1, FALSE()))</f>
        <v>1</v>
      </c>
      <c r="H113" s="115" t="b">
        <f>IF(SotY_2025[[#This Row],[Round]]=$C$1, TRUE(), IF(SotY_2025[[#This Row],[Round]]=$B$1, SotY_2025[[#This Row],[Low Seed]]&lt;=2*SotY_2025[[#This Row],[Max Seed]]-$A$1, FALSE()))</f>
        <v>0</v>
      </c>
      <c r="I113" s="187"/>
      <c r="J113" s="188" t="s">
        <v>4191</v>
      </c>
      <c r="K113" s="189" t="s">
        <v>4191</v>
      </c>
      <c r="L113" s="190" t="s">
        <v>4191</v>
      </c>
      <c r="M113" s="191"/>
      <c r="N11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can't slow down</v>
      </c>
      <c r="O113" s="105">
        <f>COUNTIF(SotY_2025[[#This Row],[J]:[H]],"x")</f>
        <v>3</v>
      </c>
      <c r="P113" s="115" t="str">
        <f ca="1">IF(SotY_2025[[#This Row],[Num]]&gt;=$A$1, "-", IF(SotY_2025[[#This Row],[Score 1]]&gt;=3, SotY_2025[[#This Row],[Song 1]], IF(SotY_2025[[#This Row],[Score 2]]&gt;=3, SotY_2025[[#This Row],[Song 2]], "TBD")))</f>
        <v>can't slow down</v>
      </c>
      <c r="Q113" s="193">
        <f>COUNTIF(SotY_2025[[#This Row],[H ]:[J ]],"x")</f>
        <v>2</v>
      </c>
      <c r="R11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Dance Now</v>
      </c>
      <c r="S113" s="191" t="s">
        <v>4191</v>
      </c>
      <c r="T113" s="190"/>
      <c r="U113" s="189"/>
      <c r="V113" s="188"/>
      <c r="W113" s="198" t="s">
        <v>4191</v>
      </c>
      <c r="X11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13" s="109">
        <f t="shared" si="5"/>
        <v>150</v>
      </c>
      <c r="AA113" s="59">
        <v>45855</v>
      </c>
      <c r="AB113" t="str">
        <v>samuelbattista</v>
      </c>
      <c r="AC113" s="3">
        <v>2.4</v>
      </c>
      <c r="AD113" s="3">
        <v>1.019803902718557</v>
      </c>
      <c r="AE113" t="str">
        <v>Ralphie</v>
      </c>
      <c r="AF113" t="str">
        <v>Post Animal</v>
      </c>
      <c r="AG113" s="100">
        <f t="shared" si="4"/>
        <v>129</v>
      </c>
      <c r="AI113" s="114">
        <f>SotY_2025[[#This Row],[Max Seed]]/2 + 1</f>
        <v>65</v>
      </c>
      <c r="AJ113" s="105" t="str">
        <f ca="1">IF(SotY_2025[[#This Row],[Num]]&gt;=$A$1, "-", IF(SotY_2025[[#This Row],[Score 1]]&gt;=3, SotY_2025[[#This Row],[Song 2]], IF(SotY_2025[[#This Row],[Score 2]]&gt;=3, SotY_2025[[#This Row],[Song 1]], "TBD")))</f>
        <v>Dance Now</v>
      </c>
      <c r="AK113" s="115">
        <f ca="1">IFERROR(VLOOKUP(SotY_2025_Results[[#This Row],[Song Title]], $AE$2:$AG$200, 3, FALSE)-SotY_2025_Results[[#This Row],[Result]], "TBD")</f>
        <v>0</v>
      </c>
      <c r="AL113" s="112" t="str">
        <f ca="1">IF(SotY_2025_Results[[#This Row],[Diff]]&lt;0,"↓",IF(SotY_2025_Results[[#This Row],[Diff]]=0,"-","↑"))</f>
        <v>-</v>
      </c>
    </row>
    <row r="114" spans="1:38">
      <c r="A114" s="197" t="str">
        <f>_xlfn.CONCAT("Seed ", SotY_2025[[#This Row],[Top Seed]], " vs ", SotY_2025[[#This Row],[Low Seed]])</f>
        <v>Seed 16 vs 113</v>
      </c>
      <c r="B114" s="115">
        <v>112</v>
      </c>
      <c r="C114" s="115">
        <f>FLOOR(LOG(SotY_2025[[#This Row],[Num]], 2), 1)</f>
        <v>6</v>
      </c>
      <c r="D114" s="115">
        <f>2^(SotY_2025[[#This Row],[Round]]+1)</f>
        <v>128</v>
      </c>
      <c r="E114" s="115">
        <f>SotY_2025[[#This Row],[Max Seed]]-SotY_2025[[#This Row],[Num]]</f>
        <v>16</v>
      </c>
      <c r="F114" s="115">
        <f>SotY_2025[[#This Row],[Max Seed]]-SotY_2025[[#This Row],[Top Seed]]+1</f>
        <v>113</v>
      </c>
      <c r="G114" s="115" t="b">
        <f>IF(SotY_2025[[#This Row],[Round]]=$C$1, TRUE(), IF(SotY_2025[[#This Row],[Round]]=$B$1, SotY_2025[[#This Row],[Top Seed]]&lt;=2*SotY_2025[[#This Row],[Max Seed]]-$A$1, FALSE()))</f>
        <v>1</v>
      </c>
      <c r="H114" s="115" t="b">
        <f>IF(SotY_2025[[#This Row],[Round]]=$C$1, TRUE(), IF(SotY_2025[[#This Row],[Round]]=$B$1, SotY_2025[[#This Row],[Low Seed]]&lt;=2*SotY_2025[[#This Row],[Max Seed]]-$A$1, FALSE()))</f>
        <v>0</v>
      </c>
      <c r="I114" s="187"/>
      <c r="J114" s="188" t="s">
        <v>4191</v>
      </c>
      <c r="K114" s="189"/>
      <c r="L114" s="190" t="s">
        <v>4191</v>
      </c>
      <c r="M114" s="191" t="s">
        <v>4191</v>
      </c>
      <c r="N11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Crazy Train</v>
      </c>
      <c r="O114" s="105">
        <f>COUNTIF(SotY_2025[[#This Row],[J]:[H]],"x")</f>
        <v>3</v>
      </c>
      <c r="P114" s="115" t="str">
        <f ca="1">IF(SotY_2025[[#This Row],[Num]]&gt;=$A$1, "-", IF(SotY_2025[[#This Row],[Score 1]]&gt;=3, SotY_2025[[#This Row],[Song 1]], IF(SotY_2025[[#This Row],[Score 2]]&gt;=3, SotY_2025[[#This Row],[Song 2]], "TBD")))</f>
        <v>Crazy Train</v>
      </c>
      <c r="Q114" s="193">
        <f>COUNTIF(SotY_2025[[#This Row],[H ]:[J ]],"x")</f>
        <v>2</v>
      </c>
      <c r="R11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After Midnight</v>
      </c>
      <c r="S114" s="191"/>
      <c r="T114" s="190"/>
      <c r="U114" s="189" t="s">
        <v>4191</v>
      </c>
      <c r="V114" s="188"/>
      <c r="W114" s="198" t="s">
        <v>4191</v>
      </c>
      <c r="X11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14" s="109">
        <f t="shared" si="5"/>
        <v>89</v>
      </c>
      <c r="AA114" s="59">
        <v>45859</v>
      </c>
      <c r="AB114" t="str">
        <v>danram</v>
      </c>
      <c r="AC114" s="3">
        <v>2.2000000000000002</v>
      </c>
      <c r="AD114" s="3">
        <v>0.74833147735478833</v>
      </c>
      <c r="AE114" t="str">
        <v>Helicopter</v>
      </c>
      <c r="AF114" t="str">
        <v>Bloc Party</v>
      </c>
      <c r="AG114" s="100">
        <f t="shared" si="4"/>
        <v>65</v>
      </c>
      <c r="AI114" s="114">
        <f>SotY_2025[[#This Row],[Max Seed]]/2 + 1</f>
        <v>65</v>
      </c>
      <c r="AJ114" s="105" t="str">
        <f ca="1">IF(SotY_2025[[#This Row],[Num]]&gt;=$A$1, "-", IF(SotY_2025[[#This Row],[Score 1]]&gt;=3, SotY_2025[[#This Row],[Song 2]], IF(SotY_2025[[#This Row],[Score 2]]&gt;=3, SotY_2025[[#This Row],[Song 1]], "TBD")))</f>
        <v>After Midnight</v>
      </c>
      <c r="AK114" s="115">
        <f ca="1">IFERROR(VLOOKUP(SotY_2025_Results[[#This Row],[Song Title]], $AE$2:$AG$200, 3, FALSE)-SotY_2025_Results[[#This Row],[Result]], "TBD")</f>
        <v>0</v>
      </c>
      <c r="AL114" s="112" t="str">
        <f ca="1">IF(SotY_2025_Results[[#This Row],[Diff]]&lt;0,"↓",IF(SotY_2025_Results[[#This Row],[Diff]]=0,"-","↑"))</f>
        <v>-</v>
      </c>
    </row>
    <row r="115" spans="1:38">
      <c r="A115" s="197" t="str">
        <f>_xlfn.CONCAT("Seed ", SotY_2025[[#This Row],[Top Seed]], " vs ", SotY_2025[[#This Row],[Low Seed]])</f>
        <v>Seed 15 vs 114</v>
      </c>
      <c r="B115" s="115">
        <v>113</v>
      </c>
      <c r="C115" s="115">
        <f>FLOOR(LOG(SotY_2025[[#This Row],[Num]], 2), 1)</f>
        <v>6</v>
      </c>
      <c r="D115" s="115">
        <f>2^(SotY_2025[[#This Row],[Round]]+1)</f>
        <v>128</v>
      </c>
      <c r="E115" s="115">
        <f>SotY_2025[[#This Row],[Max Seed]]-SotY_2025[[#This Row],[Num]]</f>
        <v>15</v>
      </c>
      <c r="F115" s="115">
        <f>SotY_2025[[#This Row],[Max Seed]]-SotY_2025[[#This Row],[Top Seed]]+1</f>
        <v>114</v>
      </c>
      <c r="G115" s="115" t="b">
        <f>IF(SotY_2025[[#This Row],[Round]]=$C$1, TRUE(), IF(SotY_2025[[#This Row],[Round]]=$B$1, SotY_2025[[#This Row],[Top Seed]]&lt;=2*SotY_2025[[#This Row],[Max Seed]]-$A$1, FALSE()))</f>
        <v>1</v>
      </c>
      <c r="H115" s="115" t="b">
        <f>IF(SotY_2025[[#This Row],[Round]]=$C$1, TRUE(), IF(SotY_2025[[#This Row],[Round]]=$B$1, SotY_2025[[#This Row],[Low Seed]]&lt;=2*SotY_2025[[#This Row],[Max Seed]]-$A$1, FALSE()))</f>
        <v>0</v>
      </c>
      <c r="I115" s="187" t="s">
        <v>4191</v>
      </c>
      <c r="J115" s="188" t="s">
        <v>4191</v>
      </c>
      <c r="K115" s="189" t="s">
        <v>4191</v>
      </c>
      <c r="L115" s="190"/>
      <c r="M115" s="191" t="s">
        <v>4191</v>
      </c>
      <c r="N11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Float On</v>
      </c>
      <c r="O115" s="105">
        <f>COUNTIF(SotY_2025[[#This Row],[J]:[H]],"x")</f>
        <v>4</v>
      </c>
      <c r="P115" s="115" t="str">
        <f ca="1">IF(SotY_2025[[#This Row],[Num]]&gt;=$A$1, "-", IF(SotY_2025[[#This Row],[Score 1]]&gt;=3, SotY_2025[[#This Row],[Song 1]], IF(SotY_2025[[#This Row],[Score 2]]&gt;=3, SotY_2025[[#This Row],[Song 2]], "TBD")))</f>
        <v>Float On</v>
      </c>
      <c r="Q115" s="193">
        <f>COUNTIF(SotY_2025[[#This Row],[H ]:[J ]],"x")</f>
        <v>1</v>
      </c>
      <c r="R11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Hard Times</v>
      </c>
      <c r="S115" s="191"/>
      <c r="T115" s="190" t="s">
        <v>4191</v>
      </c>
      <c r="U115" s="189"/>
      <c r="V115" s="188"/>
      <c r="W115" s="198"/>
      <c r="X11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15" s="109">
        <f t="shared" si="5"/>
        <v>30</v>
      </c>
      <c r="AA115" s="59">
        <v>45860</v>
      </c>
      <c r="AB115" t="str">
        <v>samuelbattista</v>
      </c>
      <c r="AC115" s="3">
        <v>1.8</v>
      </c>
      <c r="AD115" s="3">
        <v>0.74833147735478833</v>
      </c>
      <c r="AE115" t="str">
        <v>Abandon Me</v>
      </c>
      <c r="AF115" t="str">
        <v>Kevin Abstract, Quadeca</v>
      </c>
      <c r="AG115" s="100">
        <f t="shared" si="4"/>
        <v>17</v>
      </c>
      <c r="AI115" s="114">
        <f>SotY_2025[[#This Row],[Max Seed]]/2 + 1</f>
        <v>65</v>
      </c>
      <c r="AJ115" s="105" t="str">
        <f ca="1">IF(SotY_2025[[#This Row],[Num]]&gt;=$A$1, "-", IF(SotY_2025[[#This Row],[Score 1]]&gt;=3, SotY_2025[[#This Row],[Song 2]], IF(SotY_2025[[#This Row],[Score 2]]&gt;=3, SotY_2025[[#This Row],[Song 1]], "TBD")))</f>
        <v>Hard Times</v>
      </c>
      <c r="AK115" s="115">
        <f ca="1">IFERROR(VLOOKUP(SotY_2025_Results[[#This Row],[Song Title]], $AE$2:$AG$200, 3, FALSE)-SotY_2025_Results[[#This Row],[Result]], "TBD")</f>
        <v>0</v>
      </c>
      <c r="AL115" s="112" t="str">
        <f ca="1">IF(SotY_2025_Results[[#This Row],[Diff]]&lt;0,"↓",IF(SotY_2025_Results[[#This Row],[Diff]]=0,"-","↑"))</f>
        <v>-</v>
      </c>
    </row>
    <row r="116" spans="1:38">
      <c r="A116" s="197" t="str">
        <f>_xlfn.CONCAT("Seed ", SotY_2025[[#This Row],[Top Seed]], " vs ", SotY_2025[[#This Row],[Low Seed]])</f>
        <v>Seed 14 vs 115</v>
      </c>
      <c r="B116" s="115">
        <v>114</v>
      </c>
      <c r="C116" s="115">
        <f>FLOOR(LOG(SotY_2025[[#This Row],[Num]], 2), 1)</f>
        <v>6</v>
      </c>
      <c r="D116" s="115">
        <f>2^(SotY_2025[[#This Row],[Round]]+1)</f>
        <v>128</v>
      </c>
      <c r="E116" s="115">
        <f>SotY_2025[[#This Row],[Max Seed]]-SotY_2025[[#This Row],[Num]]</f>
        <v>14</v>
      </c>
      <c r="F116" s="115">
        <f>SotY_2025[[#This Row],[Max Seed]]-SotY_2025[[#This Row],[Top Seed]]+1</f>
        <v>115</v>
      </c>
      <c r="G116" s="115" t="b">
        <f>IF(SotY_2025[[#This Row],[Round]]=$C$1, TRUE(), IF(SotY_2025[[#This Row],[Round]]=$B$1, SotY_2025[[#This Row],[Top Seed]]&lt;=2*SotY_2025[[#This Row],[Max Seed]]-$A$1, FALSE()))</f>
        <v>1</v>
      </c>
      <c r="H116" s="115" t="b">
        <f>IF(SotY_2025[[#This Row],[Round]]=$C$1, TRUE(), IF(SotY_2025[[#This Row],[Round]]=$B$1, SotY_2025[[#This Row],[Low Seed]]&lt;=2*SotY_2025[[#This Row],[Max Seed]]-$A$1, FALSE()))</f>
        <v>0</v>
      </c>
      <c r="I116" s="187" t="s">
        <v>4191</v>
      </c>
      <c r="J116" s="188" t="s">
        <v>4191</v>
      </c>
      <c r="K116" s="189" t="s">
        <v>4191</v>
      </c>
      <c r="L116" s="190" t="s">
        <v>4191</v>
      </c>
      <c r="M116" s="191"/>
      <c r="N11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nah</v>
      </c>
      <c r="O116" s="105">
        <f>COUNTIF(SotY_2025[[#This Row],[J]:[H]],"x")</f>
        <v>4</v>
      </c>
      <c r="P116" s="115" t="str">
        <f ca="1">IF(SotY_2025[[#This Row],[Num]]&gt;=$A$1, "-", IF(SotY_2025[[#This Row],[Score 1]]&gt;=3, SotY_2025[[#This Row],[Song 1]], IF(SotY_2025[[#This Row],[Score 2]]&gt;=3, SotY_2025[[#This Row],[Song 2]], "TBD")))</f>
        <v>nah</v>
      </c>
      <c r="Q116" s="193">
        <f>COUNTIF(SotY_2025[[#This Row],[H ]:[J ]],"x")</f>
        <v>1</v>
      </c>
      <c r="R11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Fire in the belly</v>
      </c>
      <c r="S116" s="191" t="s">
        <v>4191</v>
      </c>
      <c r="T116" s="190"/>
      <c r="U116" s="189"/>
      <c r="V116" s="188"/>
      <c r="W116" s="198"/>
      <c r="X11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16" s="109">
        <f t="shared" si="5"/>
        <v>104</v>
      </c>
      <c r="AA116" s="59">
        <v>45861</v>
      </c>
      <c r="AB116" t="str">
        <v>danram</v>
      </c>
      <c r="AC116" s="3">
        <v>2.2000000000000002</v>
      </c>
      <c r="AD116" s="3">
        <v>0.9797958971132712</v>
      </c>
      <c r="AE116" t="str">
        <v>Yo No Soy Celoso</v>
      </c>
      <c r="AF116" t="str">
        <v>Bad Bunny</v>
      </c>
      <c r="AG116" s="100">
        <f t="shared" si="4"/>
        <v>65</v>
      </c>
      <c r="AI116" s="114">
        <f>SotY_2025[[#This Row],[Max Seed]]/2 + 1</f>
        <v>65</v>
      </c>
      <c r="AJ116" s="105" t="str">
        <f ca="1">IF(SotY_2025[[#This Row],[Num]]&gt;=$A$1, "-", IF(SotY_2025[[#This Row],[Score 1]]&gt;=3, SotY_2025[[#This Row],[Song 2]], IF(SotY_2025[[#This Row],[Score 2]]&gt;=3, SotY_2025[[#This Row],[Song 1]], "TBD")))</f>
        <v>Fire in the belly</v>
      </c>
      <c r="AK116" s="115">
        <f ca="1">IFERROR(VLOOKUP(SotY_2025_Results[[#This Row],[Song Title]], $AE$2:$AG$200, 3, FALSE)-SotY_2025_Results[[#This Row],[Result]], "TBD")</f>
        <v>64</v>
      </c>
      <c r="AL116" s="112" t="str">
        <f ca="1">IF(SotY_2025_Results[[#This Row],[Diff]]&lt;0,"↓",IF(SotY_2025_Results[[#This Row],[Diff]]=0,"-","↑"))</f>
        <v>↑</v>
      </c>
    </row>
    <row r="117" spans="1:38">
      <c r="A117" s="197" t="str">
        <f>_xlfn.CONCAT("Seed ", SotY_2025[[#This Row],[Top Seed]], " vs ", SotY_2025[[#This Row],[Low Seed]])</f>
        <v>Seed 13 vs 116</v>
      </c>
      <c r="B117" s="115">
        <v>115</v>
      </c>
      <c r="C117" s="115">
        <f>FLOOR(LOG(SotY_2025[[#This Row],[Num]], 2), 1)</f>
        <v>6</v>
      </c>
      <c r="D117" s="115">
        <f>2^(SotY_2025[[#This Row],[Round]]+1)</f>
        <v>128</v>
      </c>
      <c r="E117" s="115">
        <f>SotY_2025[[#This Row],[Max Seed]]-SotY_2025[[#This Row],[Num]]</f>
        <v>13</v>
      </c>
      <c r="F117" s="115">
        <f>SotY_2025[[#This Row],[Max Seed]]-SotY_2025[[#This Row],[Top Seed]]+1</f>
        <v>116</v>
      </c>
      <c r="G117" s="115" t="b">
        <f>IF(SotY_2025[[#This Row],[Round]]=$C$1, TRUE(), IF(SotY_2025[[#This Row],[Round]]=$B$1, SotY_2025[[#This Row],[Top Seed]]&lt;=2*SotY_2025[[#This Row],[Max Seed]]-$A$1, FALSE()))</f>
        <v>1</v>
      </c>
      <c r="H117" s="115" t="b">
        <f>IF(SotY_2025[[#This Row],[Round]]=$C$1, TRUE(), IF(SotY_2025[[#This Row],[Round]]=$B$1, SotY_2025[[#This Row],[Low Seed]]&lt;=2*SotY_2025[[#This Row],[Max Seed]]-$A$1, FALSE()))</f>
        <v>0</v>
      </c>
      <c r="I117" s="187" t="s">
        <v>4191</v>
      </c>
      <c r="J117" s="188"/>
      <c r="K117" s="189" t="s">
        <v>4191</v>
      </c>
      <c r="L117" s="190"/>
      <c r="M117" s="191" t="s">
        <v>4191</v>
      </c>
      <c r="N11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Buy U a Drank</v>
      </c>
      <c r="O117" s="105">
        <f>COUNTIF(SotY_2025[[#This Row],[J]:[H]],"x")</f>
        <v>3</v>
      </c>
      <c r="P117" s="115" t="str">
        <f ca="1">IF(SotY_2025[[#This Row],[Num]]&gt;=$A$1, "-", IF(SotY_2025[[#This Row],[Score 1]]&gt;=3, SotY_2025[[#This Row],[Song 1]], IF(SotY_2025[[#This Row],[Score 2]]&gt;=3, SotY_2025[[#This Row],[Song 2]], "TBD")))</f>
        <v>Buy U a Drank</v>
      </c>
      <c r="Q117" s="193">
        <f>COUNTIF(SotY_2025[[#This Row],[H ]:[J ]],"x")</f>
        <v>2</v>
      </c>
      <c r="R11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BedRock</v>
      </c>
      <c r="S117" s="191"/>
      <c r="T117" s="190" t="s">
        <v>4191</v>
      </c>
      <c r="U117" s="189"/>
      <c r="V117" s="188" t="s">
        <v>4191</v>
      </c>
      <c r="W117" s="198"/>
      <c r="X11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17" s="109">
        <f t="shared" si="5"/>
        <v>182</v>
      </c>
      <c r="AA117" s="59">
        <v>45862</v>
      </c>
      <c r="AB117" t="str">
        <v>loganworsdell</v>
      </c>
      <c r="AC117" s="3">
        <v>2.6</v>
      </c>
      <c r="AD117" s="3">
        <v>1.019803902718557</v>
      </c>
      <c r="AE117" t="str">
        <v>Headstrong</v>
      </c>
      <c r="AF117" t="str">
        <v>Trapt</v>
      </c>
      <c r="AG117" s="100">
        <f t="shared" si="4"/>
        <v>129</v>
      </c>
      <c r="AI117" s="114">
        <f>SotY_2025[[#This Row],[Max Seed]]/2 + 1</f>
        <v>65</v>
      </c>
      <c r="AJ117" s="105" t="str">
        <f ca="1">IF(SotY_2025[[#This Row],[Num]]&gt;=$A$1, "-", IF(SotY_2025[[#This Row],[Score 1]]&gt;=3, SotY_2025[[#This Row],[Song 2]], IF(SotY_2025[[#This Row],[Score 2]]&gt;=3, SotY_2025[[#This Row],[Song 1]], "TBD")))</f>
        <v>BedRock</v>
      </c>
      <c r="AK117" s="115">
        <f ca="1">IFERROR(VLOOKUP(SotY_2025_Results[[#This Row],[Song Title]], $AE$2:$AG$200, 3, FALSE)-SotY_2025_Results[[#This Row],[Result]], "TBD")</f>
        <v>0</v>
      </c>
      <c r="AL117" s="112" t="str">
        <f ca="1">IF(SotY_2025_Results[[#This Row],[Diff]]&lt;0,"↓",IF(SotY_2025_Results[[#This Row],[Diff]]=0,"-","↑"))</f>
        <v>-</v>
      </c>
    </row>
    <row r="118" spans="1:38">
      <c r="A118" s="197" t="str">
        <f>_xlfn.CONCAT("Seed ", SotY_2025[[#This Row],[Top Seed]], " vs ", SotY_2025[[#This Row],[Low Seed]])</f>
        <v>Seed 12 vs 117</v>
      </c>
      <c r="B118" s="115">
        <v>116</v>
      </c>
      <c r="C118" s="115">
        <f>FLOOR(LOG(SotY_2025[[#This Row],[Num]], 2), 1)</f>
        <v>6</v>
      </c>
      <c r="D118" s="115">
        <f>2^(SotY_2025[[#This Row],[Round]]+1)</f>
        <v>128</v>
      </c>
      <c r="E118" s="115">
        <f>SotY_2025[[#This Row],[Max Seed]]-SotY_2025[[#This Row],[Num]]</f>
        <v>12</v>
      </c>
      <c r="F118" s="115">
        <f>SotY_2025[[#This Row],[Max Seed]]-SotY_2025[[#This Row],[Top Seed]]+1</f>
        <v>117</v>
      </c>
      <c r="G118" s="115" t="b">
        <f>IF(SotY_2025[[#This Row],[Round]]=$C$1, TRUE(), IF(SotY_2025[[#This Row],[Round]]=$B$1, SotY_2025[[#This Row],[Top Seed]]&lt;=2*SotY_2025[[#This Row],[Max Seed]]-$A$1, FALSE()))</f>
        <v>1</v>
      </c>
      <c r="H118" s="115" t="b">
        <f>IF(SotY_2025[[#This Row],[Round]]=$C$1, TRUE(), IF(SotY_2025[[#This Row],[Round]]=$B$1, SotY_2025[[#This Row],[Low Seed]]&lt;=2*SotY_2025[[#This Row],[Max Seed]]-$A$1, FALSE()))</f>
        <v>0</v>
      </c>
      <c r="I118" s="187"/>
      <c r="J118" s="188"/>
      <c r="K118" s="189" t="s">
        <v>4191</v>
      </c>
      <c r="L118" s="190" t="s">
        <v>4191</v>
      </c>
      <c r="M118" s="191"/>
      <c r="N11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Never</v>
      </c>
      <c r="O118" s="105">
        <f>COUNTIF(SotY_2025[[#This Row],[J]:[H]],"x")</f>
        <v>2</v>
      </c>
      <c r="P118" s="115" t="str">
        <f ca="1">IF(SotY_2025[[#This Row],[Num]]&gt;=$A$1, "-", IF(SotY_2025[[#This Row],[Score 1]]&gt;=3, SotY_2025[[#This Row],[Song 1]], IF(SotY_2025[[#This Row],[Score 2]]&gt;=3, SotY_2025[[#This Row],[Song 2]], "TBD")))</f>
        <v>Born Again</v>
      </c>
      <c r="Q118" s="193">
        <f>COUNTIF(SotY_2025[[#This Row],[H ]:[J ]],"x")</f>
        <v>3</v>
      </c>
      <c r="R11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Born Again</v>
      </c>
      <c r="S118" s="191" t="s">
        <v>4191</v>
      </c>
      <c r="T118" s="190"/>
      <c r="U118" s="189"/>
      <c r="V118" s="188" t="s">
        <v>4191</v>
      </c>
      <c r="W118" s="198" t="s">
        <v>4191</v>
      </c>
      <c r="X11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18" s="109">
        <f t="shared" si="5"/>
        <v>16</v>
      </c>
      <c r="AA118" s="59">
        <v>45866</v>
      </c>
      <c r="AB118" t="str">
        <v>currydestroyer27</v>
      </c>
      <c r="AC118" s="3">
        <v>1.6</v>
      </c>
      <c r="AD118" s="3">
        <v>0.8</v>
      </c>
      <c r="AE118" t="str">
        <v>Crazy Train</v>
      </c>
      <c r="AF118" t="str">
        <v>Ozzy Osbourne</v>
      </c>
      <c r="AG118" s="100">
        <f t="shared" si="4"/>
        <v>9</v>
      </c>
      <c r="AI118" s="114">
        <f>SotY_2025[[#This Row],[Max Seed]]/2 + 1</f>
        <v>65</v>
      </c>
      <c r="AJ118" s="105" t="str">
        <f ca="1">IF(SotY_2025[[#This Row],[Num]]&gt;=$A$1, "-", IF(SotY_2025[[#This Row],[Score 1]]&gt;=3, SotY_2025[[#This Row],[Song 2]], IF(SotY_2025[[#This Row],[Score 2]]&gt;=3, SotY_2025[[#This Row],[Song 1]], "TBD")))</f>
        <v>Never</v>
      </c>
      <c r="AK118" s="115">
        <f ca="1">IFERROR(VLOOKUP(SotY_2025_Results[[#This Row],[Song Title]], $AE$2:$AG$200, 3, FALSE)-SotY_2025_Results[[#This Row],[Result]], "TBD")</f>
        <v>-56</v>
      </c>
      <c r="AL118" s="112" t="str">
        <f ca="1">IF(SotY_2025_Results[[#This Row],[Diff]]&lt;0,"↓",IF(SotY_2025_Results[[#This Row],[Diff]]=0,"-","↑"))</f>
        <v>↓</v>
      </c>
    </row>
    <row r="119" spans="1:38">
      <c r="A119" s="197" t="str">
        <f>_xlfn.CONCAT("Seed ", SotY_2025[[#This Row],[Top Seed]], " vs ", SotY_2025[[#This Row],[Low Seed]])</f>
        <v>Seed 11 vs 118</v>
      </c>
      <c r="B119" s="115">
        <v>117</v>
      </c>
      <c r="C119" s="115">
        <f>FLOOR(LOG(SotY_2025[[#This Row],[Num]], 2), 1)</f>
        <v>6</v>
      </c>
      <c r="D119" s="115">
        <f>2^(SotY_2025[[#This Row],[Round]]+1)</f>
        <v>128</v>
      </c>
      <c r="E119" s="115">
        <f>SotY_2025[[#This Row],[Max Seed]]-SotY_2025[[#This Row],[Num]]</f>
        <v>11</v>
      </c>
      <c r="F119" s="115">
        <f>SotY_2025[[#This Row],[Max Seed]]-SotY_2025[[#This Row],[Top Seed]]+1</f>
        <v>118</v>
      </c>
      <c r="G119" s="115" t="b">
        <f>IF(SotY_2025[[#This Row],[Round]]=$C$1, TRUE(), IF(SotY_2025[[#This Row],[Round]]=$B$1, SotY_2025[[#This Row],[Top Seed]]&lt;=2*SotY_2025[[#This Row],[Max Seed]]-$A$1, FALSE()))</f>
        <v>1</v>
      </c>
      <c r="H119" s="115" t="b">
        <f>IF(SotY_2025[[#This Row],[Round]]=$C$1, TRUE(), IF(SotY_2025[[#This Row],[Round]]=$B$1, SotY_2025[[#This Row],[Low Seed]]&lt;=2*SotY_2025[[#This Row],[Max Seed]]-$A$1, FALSE()))</f>
        <v>0</v>
      </c>
      <c r="I119" s="187"/>
      <c r="J119" s="188" t="s">
        <v>4191</v>
      </c>
      <c r="K119" s="189"/>
      <c r="L119" s="190" t="s">
        <v>4191</v>
      </c>
      <c r="M119" s="191" t="s">
        <v>4191</v>
      </c>
      <c r="N11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Helena</v>
      </c>
      <c r="O119" s="105">
        <f>COUNTIF(SotY_2025[[#This Row],[J]:[H]],"x")</f>
        <v>3</v>
      </c>
      <c r="P119" s="115" t="str">
        <f ca="1">IF(SotY_2025[[#This Row],[Num]]&gt;=$A$1, "-", IF(SotY_2025[[#This Row],[Score 1]]&gt;=3, SotY_2025[[#This Row],[Song 1]], IF(SotY_2025[[#This Row],[Score 2]]&gt;=3, SotY_2025[[#This Row],[Song 2]], "TBD")))</f>
        <v>Helena</v>
      </c>
      <c r="Q119" s="193">
        <f>COUNTIF(SotY_2025[[#This Row],[H ]:[J ]],"x")</f>
        <v>2</v>
      </c>
      <c r="R11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Malas Decisiones</v>
      </c>
      <c r="S119" s="191"/>
      <c r="T119" s="190"/>
      <c r="U119" s="189" t="s">
        <v>4191</v>
      </c>
      <c r="V119" s="188"/>
      <c r="W119" s="198" t="s">
        <v>4191</v>
      </c>
      <c r="X11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19" s="109">
        <f t="shared" si="5"/>
        <v>55</v>
      </c>
      <c r="AA119" s="59">
        <v>45867</v>
      </c>
      <c r="AB119" t="str">
        <v>alappatjoe</v>
      </c>
      <c r="AC119" s="3">
        <v>2</v>
      </c>
      <c r="AD119" s="3">
        <v>0.89442719099991586</v>
      </c>
      <c r="AE119" t="str">
        <v>Hollow Tips</v>
      </c>
      <c r="AF119" t="str">
        <v>Ramirez</v>
      </c>
      <c r="AG119" s="100">
        <f t="shared" si="4"/>
        <v>33</v>
      </c>
      <c r="AI119" s="114">
        <f>SotY_2025[[#This Row],[Max Seed]]/2 + 1</f>
        <v>65</v>
      </c>
      <c r="AJ119" s="105" t="str">
        <f ca="1">IF(SotY_2025[[#This Row],[Num]]&gt;=$A$1, "-", IF(SotY_2025[[#This Row],[Score 1]]&gt;=3, SotY_2025[[#This Row],[Song 2]], IF(SotY_2025[[#This Row],[Score 2]]&gt;=3, SotY_2025[[#This Row],[Song 1]], "TBD")))</f>
        <v>Malas Decisiones</v>
      </c>
      <c r="AK119" s="115">
        <f ca="1">IFERROR(VLOOKUP(SotY_2025_Results[[#This Row],[Song Title]], $AE$2:$AG$200, 3, FALSE)-SotY_2025_Results[[#This Row],[Result]], "TBD")</f>
        <v>64</v>
      </c>
      <c r="AL119" s="112" t="str">
        <f ca="1">IF(SotY_2025_Results[[#This Row],[Diff]]&lt;0,"↓",IF(SotY_2025_Results[[#This Row],[Diff]]=0,"-","↑"))</f>
        <v>↑</v>
      </c>
    </row>
    <row r="120" spans="1:38">
      <c r="A120" s="197" t="str">
        <f>_xlfn.CONCAT("Seed ", SotY_2025[[#This Row],[Top Seed]], " vs ", SotY_2025[[#This Row],[Low Seed]])</f>
        <v>Seed 10 vs 119</v>
      </c>
      <c r="B120" s="115">
        <v>118</v>
      </c>
      <c r="C120" s="115">
        <f>FLOOR(LOG(SotY_2025[[#This Row],[Num]], 2), 1)</f>
        <v>6</v>
      </c>
      <c r="D120" s="115">
        <f>2^(SotY_2025[[#This Row],[Round]]+1)</f>
        <v>128</v>
      </c>
      <c r="E120" s="115">
        <f>SotY_2025[[#This Row],[Max Seed]]-SotY_2025[[#This Row],[Num]]</f>
        <v>10</v>
      </c>
      <c r="F120" s="115">
        <f>SotY_2025[[#This Row],[Max Seed]]-SotY_2025[[#This Row],[Top Seed]]+1</f>
        <v>119</v>
      </c>
      <c r="G120" s="115" t="b">
        <f>IF(SotY_2025[[#This Row],[Round]]=$C$1, TRUE(), IF(SotY_2025[[#This Row],[Round]]=$B$1, SotY_2025[[#This Row],[Top Seed]]&lt;=2*SotY_2025[[#This Row],[Max Seed]]-$A$1, FALSE()))</f>
        <v>1</v>
      </c>
      <c r="H120" s="115" t="b">
        <f>IF(SotY_2025[[#This Row],[Round]]=$C$1, TRUE(), IF(SotY_2025[[#This Row],[Round]]=$B$1, SotY_2025[[#This Row],[Low Seed]]&lt;=2*SotY_2025[[#This Row],[Max Seed]]-$A$1, FALSE()))</f>
        <v>0</v>
      </c>
      <c r="I120" s="187"/>
      <c r="J120" s="188" t="s">
        <v>4191</v>
      </c>
      <c r="K120" s="189" t="s">
        <v>4191</v>
      </c>
      <c r="L120" s="190" t="s">
        <v>4191</v>
      </c>
      <c r="M120" s="191" t="s">
        <v>4191</v>
      </c>
      <c r="N12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CLOVER</v>
      </c>
      <c r="O120" s="105">
        <f>COUNTIF(SotY_2025[[#This Row],[J]:[H]],"x")</f>
        <v>4</v>
      </c>
      <c r="P120" s="115" t="str">
        <f ca="1">IF(SotY_2025[[#This Row],[Num]]&gt;=$A$1, "-", IF(SotY_2025[[#This Row],[Score 1]]&gt;=3, SotY_2025[[#This Row],[Song 1]], IF(SotY_2025[[#This Row],[Score 2]]&gt;=3, SotY_2025[[#This Row],[Song 2]], "TBD")))</f>
        <v>CLOVER</v>
      </c>
      <c r="Q120" s="193">
        <f>COUNTIF(SotY_2025[[#This Row],[H ]:[J ]],"x")</f>
        <v>1</v>
      </c>
      <c r="R12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Soul Makossa</v>
      </c>
      <c r="S120" s="191"/>
      <c r="T120" s="190"/>
      <c r="U120" s="189"/>
      <c r="V120" s="188"/>
      <c r="W120" s="198" t="s">
        <v>4191</v>
      </c>
      <c r="X12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20" s="109">
        <f t="shared" si="5"/>
        <v>90</v>
      </c>
      <c r="AA120" s="59">
        <v>45868</v>
      </c>
      <c r="AB120" t="str">
        <v>alappatjoe</v>
      </c>
      <c r="AC120" s="3">
        <v>2.2000000000000002</v>
      </c>
      <c r="AD120" s="3">
        <v>0.74833147735478833</v>
      </c>
      <c r="AE120" t="str">
        <v>Ensalada</v>
      </c>
      <c r="AF120" t="str">
        <v>Freddie Gibbs, The Alchemist, Anderson .Paak</v>
      </c>
      <c r="AG120" s="100">
        <f t="shared" si="4"/>
        <v>65</v>
      </c>
      <c r="AI120" s="114">
        <f>SotY_2025[[#This Row],[Max Seed]]/2 + 1</f>
        <v>65</v>
      </c>
      <c r="AJ120" s="105" t="str">
        <f ca="1">IF(SotY_2025[[#This Row],[Num]]&gt;=$A$1, "-", IF(SotY_2025[[#This Row],[Score 1]]&gt;=3, SotY_2025[[#This Row],[Song 2]], IF(SotY_2025[[#This Row],[Score 2]]&gt;=3, SotY_2025[[#This Row],[Song 1]], "TBD")))</f>
        <v>Soul Makossa</v>
      </c>
      <c r="AK120" s="115">
        <f ca="1">IFERROR(VLOOKUP(SotY_2025_Results[[#This Row],[Song Title]], $AE$2:$AG$200, 3, FALSE)-SotY_2025_Results[[#This Row],[Result]], "TBD")</f>
        <v>64</v>
      </c>
      <c r="AL120" s="112" t="str">
        <f ca="1">IF(SotY_2025_Results[[#This Row],[Diff]]&lt;0,"↓",IF(SotY_2025_Results[[#This Row],[Diff]]=0,"-","↑"))</f>
        <v>↑</v>
      </c>
    </row>
    <row r="121" spans="1:38">
      <c r="A121" s="197" t="str">
        <f>_xlfn.CONCAT("Seed ", SotY_2025[[#This Row],[Top Seed]], " vs ", SotY_2025[[#This Row],[Low Seed]])</f>
        <v>Seed 9 vs 120</v>
      </c>
      <c r="B121" s="115">
        <v>119</v>
      </c>
      <c r="C121" s="115">
        <f>FLOOR(LOG(SotY_2025[[#This Row],[Num]], 2), 1)</f>
        <v>6</v>
      </c>
      <c r="D121" s="115">
        <f>2^(SotY_2025[[#This Row],[Round]]+1)</f>
        <v>128</v>
      </c>
      <c r="E121" s="115">
        <f>SotY_2025[[#This Row],[Max Seed]]-SotY_2025[[#This Row],[Num]]</f>
        <v>9</v>
      </c>
      <c r="F121" s="115">
        <f>SotY_2025[[#This Row],[Max Seed]]-SotY_2025[[#This Row],[Top Seed]]+1</f>
        <v>120</v>
      </c>
      <c r="G121" s="115" t="b">
        <f>IF(SotY_2025[[#This Row],[Round]]=$C$1, TRUE(), IF(SotY_2025[[#This Row],[Round]]=$B$1, SotY_2025[[#This Row],[Top Seed]]&lt;=2*SotY_2025[[#This Row],[Max Seed]]-$A$1, FALSE()))</f>
        <v>1</v>
      </c>
      <c r="H121" s="115" t="b">
        <f>IF(SotY_2025[[#This Row],[Round]]=$C$1, TRUE(), IF(SotY_2025[[#This Row],[Round]]=$B$1, SotY_2025[[#This Row],[Low Seed]]&lt;=2*SotY_2025[[#This Row],[Max Seed]]-$A$1, FALSE()))</f>
        <v>0</v>
      </c>
      <c r="I121" s="187" t="s">
        <v>4191</v>
      </c>
      <c r="J121" s="188"/>
      <c r="K121" s="189"/>
      <c r="L121" s="190"/>
      <c r="M121" s="191"/>
      <c r="N12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I Hope</v>
      </c>
      <c r="O121" s="105">
        <f>COUNTIF(SotY_2025[[#This Row],[J]:[H]],"x")</f>
        <v>1</v>
      </c>
      <c r="P121" s="115" t="str">
        <f ca="1">IF(SotY_2025[[#This Row],[Num]]&gt;=$A$1, "-", IF(SotY_2025[[#This Row],[Score 1]]&gt;=3, SotY_2025[[#This Row],[Song 1]], IF(SotY_2025[[#This Row],[Score 2]]&gt;=3, SotY_2025[[#This Row],[Song 2]], "TBD")))</f>
        <v>KLOuFRENS</v>
      </c>
      <c r="Q121" s="193">
        <f>COUNTIF(SotY_2025[[#This Row],[H ]:[J ]],"x")</f>
        <v>4</v>
      </c>
      <c r="R12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KLOuFRENS</v>
      </c>
      <c r="S121" s="191" t="s">
        <v>4191</v>
      </c>
      <c r="T121" s="190" t="s">
        <v>4191</v>
      </c>
      <c r="U121" s="189" t="s">
        <v>4191</v>
      </c>
      <c r="V121" s="188" t="s">
        <v>4191</v>
      </c>
      <c r="W121" s="198"/>
      <c r="X12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21" s="109">
        <f t="shared" si="5"/>
        <v>195</v>
      </c>
      <c r="AA121" s="59">
        <v>45869</v>
      </c>
      <c r="AB121" t="str">
        <v>samuelbattista</v>
      </c>
      <c r="AC121" s="3">
        <v>2.6</v>
      </c>
      <c r="AD121" s="3">
        <v>1.6248076809271921</v>
      </c>
      <c r="AE121" t="str">
        <v>Note to Self</v>
      </c>
      <c r="AF121" t="str">
        <v>From First To Last</v>
      </c>
      <c r="AG121" s="100">
        <f t="shared" si="4"/>
        <v>129</v>
      </c>
      <c r="AI121" s="114">
        <f>SotY_2025[[#This Row],[Max Seed]]/2 + 1</f>
        <v>65</v>
      </c>
      <c r="AJ121" s="105" t="str">
        <f ca="1">IF(SotY_2025[[#This Row],[Num]]&gt;=$A$1, "-", IF(SotY_2025[[#This Row],[Score 1]]&gt;=3, SotY_2025[[#This Row],[Song 2]], IF(SotY_2025[[#This Row],[Score 2]]&gt;=3, SotY_2025[[#This Row],[Song 1]], "TBD")))</f>
        <v>I Hope</v>
      </c>
      <c r="AK121" s="115">
        <f ca="1">IFERROR(VLOOKUP(SotY_2025_Results[[#This Row],[Song Title]], $AE$2:$AG$200, 3, FALSE)-SotY_2025_Results[[#This Row],[Result]], "TBD")</f>
        <v>-56</v>
      </c>
      <c r="AL121" s="112" t="str">
        <f ca="1">IF(SotY_2025_Results[[#This Row],[Diff]]&lt;0,"↓",IF(SotY_2025_Results[[#This Row],[Diff]]=0,"-","↑"))</f>
        <v>↓</v>
      </c>
    </row>
    <row r="122" spans="1:38">
      <c r="A122" s="197" t="str">
        <f>_xlfn.CONCAT("Seed ", SotY_2025[[#This Row],[Top Seed]], " vs ", SotY_2025[[#This Row],[Low Seed]])</f>
        <v>Seed 8 vs 121</v>
      </c>
      <c r="B122" s="115">
        <v>120</v>
      </c>
      <c r="C122" s="115">
        <f>FLOOR(LOG(SotY_2025[[#This Row],[Num]], 2), 1)</f>
        <v>6</v>
      </c>
      <c r="D122" s="115">
        <f>2^(SotY_2025[[#This Row],[Round]]+1)</f>
        <v>128</v>
      </c>
      <c r="E122" s="115">
        <f>SotY_2025[[#This Row],[Max Seed]]-SotY_2025[[#This Row],[Num]]</f>
        <v>8</v>
      </c>
      <c r="F122" s="115">
        <f>SotY_2025[[#This Row],[Max Seed]]-SotY_2025[[#This Row],[Top Seed]]+1</f>
        <v>121</v>
      </c>
      <c r="G122" s="115" t="b">
        <f>IF(SotY_2025[[#This Row],[Round]]=$C$1, TRUE(), IF(SotY_2025[[#This Row],[Round]]=$B$1, SotY_2025[[#This Row],[Top Seed]]&lt;=2*SotY_2025[[#This Row],[Max Seed]]-$A$1, FALSE()))</f>
        <v>1</v>
      </c>
      <c r="H122" s="115" t="b">
        <f>IF(SotY_2025[[#This Row],[Round]]=$C$1, TRUE(), IF(SotY_2025[[#This Row],[Round]]=$B$1, SotY_2025[[#This Row],[Low Seed]]&lt;=2*SotY_2025[[#This Row],[Max Seed]]-$A$1, FALSE()))</f>
        <v>0</v>
      </c>
      <c r="I122" s="187" t="s">
        <v>4191</v>
      </c>
      <c r="J122" s="188"/>
      <c r="K122" s="189"/>
      <c r="L122" s="190"/>
      <c r="M122" s="191"/>
      <c r="N12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Breathe Deeper</v>
      </c>
      <c r="O122" s="105">
        <f>COUNTIF(SotY_2025[[#This Row],[J]:[H]],"x")</f>
        <v>1</v>
      </c>
      <c r="P122" s="115" t="str">
        <f ca="1">IF(SotY_2025[[#This Row],[Num]]&gt;=$A$1, "-", IF(SotY_2025[[#This Row],[Score 1]]&gt;=3, SotY_2025[[#This Row],[Song 1]], IF(SotY_2025[[#This Row],[Score 2]]&gt;=3, SotY_2025[[#This Row],[Song 2]], "TBD")))</f>
        <v>PASAJERO</v>
      </c>
      <c r="Q122" s="193">
        <f>COUNTIF(SotY_2025[[#This Row],[H ]:[J ]],"x")</f>
        <v>4</v>
      </c>
      <c r="R12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PASAJERO</v>
      </c>
      <c r="S122" s="191" t="s">
        <v>4191</v>
      </c>
      <c r="T122" s="190" t="s">
        <v>4191</v>
      </c>
      <c r="U122" s="189" t="s">
        <v>4191</v>
      </c>
      <c r="V122" s="188" t="s">
        <v>4191</v>
      </c>
      <c r="W122" s="198"/>
      <c r="X12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22" s="109">
        <f t="shared" si="5"/>
        <v>1</v>
      </c>
      <c r="AA122" s="59">
        <v>45873</v>
      </c>
      <c r="AB122" t="str">
        <v>alappatjoe</v>
      </c>
      <c r="AC122" s="3">
        <v>1</v>
      </c>
      <c r="AD122" s="3">
        <v>0</v>
      </c>
      <c r="AE122" t="str">
        <v>Billie Jean</v>
      </c>
      <c r="AF122" t="str">
        <v>Michael Jackson</v>
      </c>
      <c r="AG122" s="100">
        <f t="shared" si="4"/>
        <v>1</v>
      </c>
      <c r="AI122" s="114">
        <f>SotY_2025[[#This Row],[Max Seed]]/2 + 1</f>
        <v>65</v>
      </c>
      <c r="AJ122" s="105" t="str">
        <f ca="1">IF(SotY_2025[[#This Row],[Num]]&gt;=$A$1, "-", IF(SotY_2025[[#This Row],[Score 1]]&gt;=3, SotY_2025[[#This Row],[Song 2]], IF(SotY_2025[[#This Row],[Score 2]]&gt;=3, SotY_2025[[#This Row],[Song 1]], "TBD")))</f>
        <v>Breathe Deeper</v>
      </c>
      <c r="AK122" s="115">
        <f ca="1">IFERROR(VLOOKUP(SotY_2025_Results[[#This Row],[Song Title]], $AE$2:$AG$200, 3, FALSE)-SotY_2025_Results[[#This Row],[Result]], "TBD")</f>
        <v>-60</v>
      </c>
      <c r="AL122" s="112" t="str">
        <f ca="1">IF(SotY_2025_Results[[#This Row],[Diff]]&lt;0,"↓",IF(SotY_2025_Results[[#This Row],[Diff]]=0,"-","↑"))</f>
        <v>↓</v>
      </c>
    </row>
    <row r="123" spans="1:38">
      <c r="A123" s="197" t="str">
        <f>_xlfn.CONCAT("Seed ", SotY_2025[[#This Row],[Top Seed]], " vs ", SotY_2025[[#This Row],[Low Seed]])</f>
        <v>Seed 7 vs 122</v>
      </c>
      <c r="B123" s="115">
        <v>121</v>
      </c>
      <c r="C123" s="115">
        <f>FLOOR(LOG(SotY_2025[[#This Row],[Num]], 2), 1)</f>
        <v>6</v>
      </c>
      <c r="D123" s="115">
        <f>2^(SotY_2025[[#This Row],[Round]]+1)</f>
        <v>128</v>
      </c>
      <c r="E123" s="115">
        <f>SotY_2025[[#This Row],[Max Seed]]-SotY_2025[[#This Row],[Num]]</f>
        <v>7</v>
      </c>
      <c r="F123" s="115">
        <f>SotY_2025[[#This Row],[Max Seed]]-SotY_2025[[#This Row],[Top Seed]]+1</f>
        <v>122</v>
      </c>
      <c r="G123" s="115" t="b">
        <f>IF(SotY_2025[[#This Row],[Round]]=$C$1, TRUE(), IF(SotY_2025[[#This Row],[Round]]=$B$1, SotY_2025[[#This Row],[Top Seed]]&lt;=2*SotY_2025[[#This Row],[Max Seed]]-$A$1, FALSE()))</f>
        <v>1</v>
      </c>
      <c r="H123" s="115" t="b">
        <f>IF(SotY_2025[[#This Row],[Round]]=$C$1, TRUE(), IF(SotY_2025[[#This Row],[Round]]=$B$1, SotY_2025[[#This Row],[Low Seed]]&lt;=2*SotY_2025[[#This Row],[Max Seed]]-$A$1, FALSE()))</f>
        <v>0</v>
      </c>
      <c r="I123" s="187"/>
      <c r="J123" s="188" t="s">
        <v>4191</v>
      </c>
      <c r="K123" s="189"/>
      <c r="L123" s="190"/>
      <c r="M123" s="191"/>
      <c r="N12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Dark Necessities</v>
      </c>
      <c r="O123" s="105">
        <f>COUNTIF(SotY_2025[[#This Row],[J]:[H]],"x")</f>
        <v>1</v>
      </c>
      <c r="P123" s="115" t="str">
        <f ca="1">IF(SotY_2025[[#This Row],[Num]]&gt;=$A$1, "-", IF(SotY_2025[[#This Row],[Score 1]]&gt;=3, SotY_2025[[#This Row],[Song 1]], IF(SotY_2025[[#This Row],[Score 2]]&gt;=3, SotY_2025[[#This Row],[Song 2]], "TBD")))</f>
        <v>Rather Be</v>
      </c>
      <c r="Q123" s="193">
        <f>COUNTIF(SotY_2025[[#This Row],[H ]:[J ]],"x")</f>
        <v>4</v>
      </c>
      <c r="R12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Rather Be</v>
      </c>
      <c r="S123" s="191" t="s">
        <v>4191</v>
      </c>
      <c r="T123" s="190" t="s">
        <v>4191</v>
      </c>
      <c r="U123" s="189" t="s">
        <v>4191</v>
      </c>
      <c r="V123" s="188"/>
      <c r="W123" s="198" t="s">
        <v>4191</v>
      </c>
      <c r="X12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23" s="109">
        <f t="shared" si="5"/>
        <v>65</v>
      </c>
      <c r="AA123" s="59">
        <v>45874</v>
      </c>
      <c r="AB123" t="str">
        <v>samuelbattista</v>
      </c>
      <c r="AC123" s="3">
        <v>2</v>
      </c>
      <c r="AD123" s="3">
        <v>1.0954451150103321</v>
      </c>
      <c r="AE123" t="str">
        <v>Flagpole Sitta</v>
      </c>
      <c r="AF123" t="str">
        <v>Harvey Danger</v>
      </c>
      <c r="AG123" s="100">
        <f t="shared" si="4"/>
        <v>65</v>
      </c>
      <c r="AI123" s="114">
        <f>SotY_2025[[#This Row],[Max Seed]]/2 + 1</f>
        <v>65</v>
      </c>
      <c r="AJ123" s="105" t="str">
        <f ca="1">IF(SotY_2025[[#This Row],[Num]]&gt;=$A$1, "-", IF(SotY_2025[[#This Row],[Score 1]]&gt;=3, SotY_2025[[#This Row],[Song 2]], IF(SotY_2025[[#This Row],[Score 2]]&gt;=3, SotY_2025[[#This Row],[Song 1]], "TBD")))</f>
        <v>Dark Necessities</v>
      </c>
      <c r="AK123" s="115">
        <f ca="1">IFERROR(VLOOKUP(SotY_2025_Results[[#This Row],[Song Title]], $AE$2:$AG$200, 3, FALSE)-SotY_2025_Results[[#This Row],[Result]], "TBD")</f>
        <v>-60</v>
      </c>
      <c r="AL123" s="112" t="str">
        <f ca="1">IF(SotY_2025_Results[[#This Row],[Diff]]&lt;0,"↓",IF(SotY_2025_Results[[#This Row],[Diff]]=0,"-","↑"))</f>
        <v>↓</v>
      </c>
    </row>
    <row r="124" spans="1:38">
      <c r="A124" s="197" t="str">
        <f>_xlfn.CONCAT("Seed ", SotY_2025[[#This Row],[Top Seed]], " vs ", SotY_2025[[#This Row],[Low Seed]])</f>
        <v>Seed 6 vs 123</v>
      </c>
      <c r="B124" s="115">
        <v>122</v>
      </c>
      <c r="C124" s="115">
        <f>FLOOR(LOG(SotY_2025[[#This Row],[Num]], 2), 1)</f>
        <v>6</v>
      </c>
      <c r="D124" s="115">
        <f>2^(SotY_2025[[#This Row],[Round]]+1)</f>
        <v>128</v>
      </c>
      <c r="E124" s="115">
        <f>SotY_2025[[#This Row],[Max Seed]]-SotY_2025[[#This Row],[Num]]</f>
        <v>6</v>
      </c>
      <c r="F124" s="115">
        <f>SotY_2025[[#This Row],[Max Seed]]-SotY_2025[[#This Row],[Top Seed]]+1</f>
        <v>123</v>
      </c>
      <c r="G124" s="115" t="b">
        <f>IF(SotY_2025[[#This Row],[Round]]=$C$1, TRUE(), IF(SotY_2025[[#This Row],[Round]]=$B$1, SotY_2025[[#This Row],[Top Seed]]&lt;=2*SotY_2025[[#This Row],[Max Seed]]-$A$1, FALSE()))</f>
        <v>1</v>
      </c>
      <c r="H124" s="115" t="b">
        <f>IF(SotY_2025[[#This Row],[Round]]=$C$1, TRUE(), IF(SotY_2025[[#This Row],[Round]]=$B$1, SotY_2025[[#This Row],[Low Seed]]&lt;=2*SotY_2025[[#This Row],[Max Seed]]-$A$1, FALSE()))</f>
        <v>0</v>
      </c>
      <c r="I124" s="187"/>
      <c r="J124" s="188"/>
      <c r="K124" s="189" t="s">
        <v>4191</v>
      </c>
      <c r="L124" s="190" t="s">
        <v>4191</v>
      </c>
      <c r="M124" s="191"/>
      <c r="N12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Roundabaout</v>
      </c>
      <c r="O124" s="105">
        <f>COUNTIF(SotY_2025[[#This Row],[J]:[H]],"x")</f>
        <v>2</v>
      </c>
      <c r="P124" s="115" t="str">
        <f ca="1">IF(SotY_2025[[#This Row],[Num]]&gt;=$A$1, "-", IF(SotY_2025[[#This Row],[Score 1]]&gt;=3, SotY_2025[[#This Row],[Song 1]], IF(SotY_2025[[#This Row],[Score 2]]&gt;=3, SotY_2025[[#This Row],[Song 2]], "TBD")))</f>
        <v>Cash In Cash Out</v>
      </c>
      <c r="Q124" s="193">
        <f>COUNTIF(SotY_2025[[#This Row],[H ]:[J ]],"x")</f>
        <v>3</v>
      </c>
      <c r="R12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Cash In Cash Out</v>
      </c>
      <c r="S124" s="191" t="s">
        <v>4191</v>
      </c>
      <c r="T124" s="190"/>
      <c r="U124" s="189"/>
      <c r="V124" s="188" t="s">
        <v>4191</v>
      </c>
      <c r="W124" s="198" t="s">
        <v>4191</v>
      </c>
      <c r="X12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24" s="109">
        <f t="shared" si="5"/>
        <v>105</v>
      </c>
      <c r="AA124" s="59">
        <v>45875</v>
      </c>
      <c r="AB124" t="str">
        <v>alappatjoe</v>
      </c>
      <c r="AC124" s="3">
        <v>2.2000000000000002</v>
      </c>
      <c r="AD124" s="3">
        <v>0.9797958971132712</v>
      </c>
      <c r="AE124" t="str">
        <v>ALAMBRE PúA</v>
      </c>
      <c r="AF124" t="str">
        <v>Bad Bunny</v>
      </c>
      <c r="AG124" s="100">
        <f t="shared" si="4"/>
        <v>65</v>
      </c>
      <c r="AI124" s="114">
        <f>SotY_2025[[#This Row],[Max Seed]]/2 + 1</f>
        <v>65</v>
      </c>
      <c r="AJ124" s="105" t="str">
        <f ca="1">IF(SotY_2025[[#This Row],[Num]]&gt;=$A$1, "-", IF(SotY_2025[[#This Row],[Score 1]]&gt;=3, SotY_2025[[#This Row],[Song 2]], IF(SotY_2025[[#This Row],[Score 2]]&gt;=3, SotY_2025[[#This Row],[Song 1]], "TBD")))</f>
        <v>Roundabaout</v>
      </c>
      <c r="AK124" s="115">
        <f ca="1">IFERROR(VLOOKUP(SotY_2025_Results[[#This Row],[Song Title]], $AE$2:$AG$200, 3, FALSE)-SotY_2025_Results[[#This Row],[Result]], "TBD")</f>
        <v>-60</v>
      </c>
      <c r="AL124" s="112" t="str">
        <f ca="1">IF(SotY_2025_Results[[#This Row],[Diff]]&lt;0,"↓",IF(SotY_2025_Results[[#This Row],[Diff]]=0,"-","↑"))</f>
        <v>↓</v>
      </c>
    </row>
    <row r="125" spans="1:38">
      <c r="A125" s="197" t="str">
        <f>_xlfn.CONCAT("Seed ", SotY_2025[[#This Row],[Top Seed]], " vs ", SotY_2025[[#This Row],[Low Seed]])</f>
        <v>Seed 5 vs 124</v>
      </c>
      <c r="B125" s="115">
        <v>123</v>
      </c>
      <c r="C125" s="115">
        <f>FLOOR(LOG(SotY_2025[[#This Row],[Num]], 2), 1)</f>
        <v>6</v>
      </c>
      <c r="D125" s="115">
        <f>2^(SotY_2025[[#This Row],[Round]]+1)</f>
        <v>128</v>
      </c>
      <c r="E125" s="115">
        <f>SotY_2025[[#This Row],[Max Seed]]-SotY_2025[[#This Row],[Num]]</f>
        <v>5</v>
      </c>
      <c r="F125" s="115">
        <f>SotY_2025[[#This Row],[Max Seed]]-SotY_2025[[#This Row],[Top Seed]]+1</f>
        <v>124</v>
      </c>
      <c r="G125" s="115" t="b">
        <f>IF(SotY_2025[[#This Row],[Round]]=$C$1, TRUE(), IF(SotY_2025[[#This Row],[Round]]=$B$1, SotY_2025[[#This Row],[Top Seed]]&lt;=2*SotY_2025[[#This Row],[Max Seed]]-$A$1, FALSE()))</f>
        <v>1</v>
      </c>
      <c r="H125" s="115" t="b">
        <f>IF(SotY_2025[[#This Row],[Round]]=$C$1, TRUE(), IF(SotY_2025[[#This Row],[Round]]=$B$1, SotY_2025[[#This Row],[Low Seed]]&lt;=2*SotY_2025[[#This Row],[Max Seed]]-$A$1, FALSE()))</f>
        <v>0</v>
      </c>
      <c r="I125" s="187" t="s">
        <v>4191</v>
      </c>
      <c r="J125" s="188" t="s">
        <v>4191</v>
      </c>
      <c r="K125" s="189"/>
      <c r="L125" s="190"/>
      <c r="M125" s="191" t="s">
        <v>4191</v>
      </c>
      <c r="N12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Umbrella</v>
      </c>
      <c r="O125" s="105">
        <f>COUNTIF(SotY_2025[[#This Row],[J]:[H]],"x")</f>
        <v>3</v>
      </c>
      <c r="P125" s="115" t="str">
        <f ca="1">IF(SotY_2025[[#This Row],[Num]]&gt;=$A$1, "-", IF(SotY_2025[[#This Row],[Score 1]]&gt;=3, SotY_2025[[#This Row],[Song 1]], IF(SotY_2025[[#This Row],[Score 2]]&gt;=3, SotY_2025[[#This Row],[Song 2]], "TBD")))</f>
        <v>Umbrella</v>
      </c>
      <c r="Q125" s="193">
        <f>COUNTIF(SotY_2025[[#This Row],[H ]:[J ]],"x")</f>
        <v>2</v>
      </c>
      <c r="R12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São Paulo</v>
      </c>
      <c r="S125" s="191"/>
      <c r="T125" s="190" t="s">
        <v>4191</v>
      </c>
      <c r="U125" s="189" t="s">
        <v>4191</v>
      </c>
      <c r="V125" s="188"/>
      <c r="W125" s="198"/>
      <c r="X12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25" s="109">
        <f t="shared" si="5"/>
        <v>19</v>
      </c>
      <c r="AA125" s="59">
        <v>45876</v>
      </c>
      <c r="AB125" t="str">
        <v>loganworsdell</v>
      </c>
      <c r="AC125" s="3">
        <v>1.8</v>
      </c>
      <c r="AD125" s="3">
        <v>0.4</v>
      </c>
      <c r="AE125" t="str">
        <v>Overkill</v>
      </c>
      <c r="AF125" t="str">
        <v>Riot</v>
      </c>
      <c r="AG125" s="100">
        <f t="shared" si="4"/>
        <v>17</v>
      </c>
      <c r="AI125" s="114">
        <f>SotY_2025[[#This Row],[Max Seed]]/2 + 1</f>
        <v>65</v>
      </c>
      <c r="AJ125" s="105" t="str">
        <f ca="1">IF(SotY_2025[[#This Row],[Num]]&gt;=$A$1, "-", IF(SotY_2025[[#This Row],[Score 1]]&gt;=3, SotY_2025[[#This Row],[Song 2]], IF(SotY_2025[[#This Row],[Score 2]]&gt;=3, SotY_2025[[#This Row],[Song 1]], "TBD")))</f>
        <v>São Paulo</v>
      </c>
      <c r="AK125" s="115">
        <f ca="1">IFERROR(VLOOKUP(SotY_2025_Results[[#This Row],[Song Title]], $AE$2:$AG$200, 3, FALSE)-SotY_2025_Results[[#This Row],[Result]], "TBD")</f>
        <v>0</v>
      </c>
      <c r="AL125" s="112" t="str">
        <f ca="1">IF(SotY_2025_Results[[#This Row],[Diff]]&lt;0,"↓",IF(SotY_2025_Results[[#This Row],[Diff]]=0,"-","↑"))</f>
        <v>-</v>
      </c>
    </row>
    <row r="126" spans="1:38">
      <c r="A126" s="197" t="str">
        <f>_xlfn.CONCAT("Seed ", SotY_2025[[#This Row],[Top Seed]], " vs ", SotY_2025[[#This Row],[Low Seed]])</f>
        <v>Seed 4 vs 125</v>
      </c>
      <c r="B126" s="115">
        <v>124</v>
      </c>
      <c r="C126" s="115">
        <f>FLOOR(LOG(SotY_2025[[#This Row],[Num]], 2), 1)</f>
        <v>6</v>
      </c>
      <c r="D126" s="115">
        <f>2^(SotY_2025[[#This Row],[Round]]+1)</f>
        <v>128</v>
      </c>
      <c r="E126" s="115">
        <f>SotY_2025[[#This Row],[Max Seed]]-SotY_2025[[#This Row],[Num]]</f>
        <v>4</v>
      </c>
      <c r="F126" s="115">
        <f>SotY_2025[[#This Row],[Max Seed]]-SotY_2025[[#This Row],[Top Seed]]+1</f>
        <v>125</v>
      </c>
      <c r="G126" s="115" t="b">
        <f>IF(SotY_2025[[#This Row],[Round]]=$C$1, TRUE(), IF(SotY_2025[[#This Row],[Round]]=$B$1, SotY_2025[[#This Row],[Top Seed]]&lt;=2*SotY_2025[[#This Row],[Max Seed]]-$A$1, FALSE()))</f>
        <v>1</v>
      </c>
      <c r="H126" s="115" t="b">
        <f>IF(SotY_2025[[#This Row],[Round]]=$C$1, TRUE(), IF(SotY_2025[[#This Row],[Round]]=$B$1, SotY_2025[[#This Row],[Low Seed]]&lt;=2*SotY_2025[[#This Row],[Max Seed]]-$A$1, FALSE()))</f>
        <v>0</v>
      </c>
      <c r="I126" s="187" t="s">
        <v>4191</v>
      </c>
      <c r="J126" s="188" t="s">
        <v>4191</v>
      </c>
      <c r="K126" s="189" t="s">
        <v>4191</v>
      </c>
      <c r="L126" s="190" t="s">
        <v>4191</v>
      </c>
      <c r="M126" s="191"/>
      <c r="N12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星屑のパイプライン</v>
      </c>
      <c r="O126" s="105">
        <f>COUNTIF(SotY_2025[[#This Row],[J]:[H]],"x")</f>
        <v>4</v>
      </c>
      <c r="P126" s="115" t="str">
        <f ca="1">IF(SotY_2025[[#This Row],[Num]]&gt;=$A$1, "-", IF(SotY_2025[[#This Row],[Score 1]]&gt;=3, SotY_2025[[#This Row],[Song 1]], IF(SotY_2025[[#This Row],[Score 2]]&gt;=3, SotY_2025[[#This Row],[Song 2]], "TBD")))</f>
        <v>星屑のパイプライン</v>
      </c>
      <c r="Q126" s="193">
        <f>COUNTIF(SotY_2025[[#This Row],[H ]:[J ]],"x")</f>
        <v>1</v>
      </c>
      <c r="R12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Bodies</v>
      </c>
      <c r="S126" s="191" t="s">
        <v>4191</v>
      </c>
      <c r="T126" s="190"/>
      <c r="U126" s="189"/>
      <c r="V126" s="188"/>
      <c r="W126" s="198"/>
      <c r="X12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26" s="109">
        <f t="shared" si="5"/>
        <v>56</v>
      </c>
      <c r="AA126" s="59">
        <v>45880</v>
      </c>
      <c r="AB126" t="str">
        <v>loganworsdell</v>
      </c>
      <c r="AC126" s="3">
        <v>2</v>
      </c>
      <c r="AD126" s="3">
        <v>0.89442719099991586</v>
      </c>
      <c r="AE126" t="str">
        <v>endlessly</v>
      </c>
      <c r="AF126" t="str">
        <v>Chanpan</v>
      </c>
      <c r="AG126" s="100">
        <f t="shared" si="4"/>
        <v>33</v>
      </c>
      <c r="AI126" s="114">
        <f>SotY_2025[[#This Row],[Max Seed]]/2 + 1</f>
        <v>65</v>
      </c>
      <c r="AJ126" s="105" t="str">
        <f ca="1">IF(SotY_2025[[#This Row],[Num]]&gt;=$A$1, "-", IF(SotY_2025[[#This Row],[Score 1]]&gt;=3, SotY_2025[[#This Row],[Song 2]], IF(SotY_2025[[#This Row],[Score 2]]&gt;=3, SotY_2025[[#This Row],[Song 1]], "TBD")))</f>
        <v>Bodies</v>
      </c>
      <c r="AK126" s="115">
        <f ca="1">IFERROR(VLOOKUP(SotY_2025_Results[[#This Row],[Song Title]], $AE$2:$AG$200, 3, FALSE)-SotY_2025_Results[[#This Row],[Result]], "TBD")</f>
        <v>64</v>
      </c>
      <c r="AL126" s="112" t="str">
        <f ca="1">IF(SotY_2025_Results[[#This Row],[Diff]]&lt;0,"↓",IF(SotY_2025_Results[[#This Row],[Diff]]=0,"-","↑"))</f>
        <v>↑</v>
      </c>
    </row>
    <row r="127" spans="1:38">
      <c r="A127" s="197" t="str">
        <f>_xlfn.CONCAT("Seed ", SotY_2025[[#This Row],[Top Seed]], " vs ", SotY_2025[[#This Row],[Low Seed]])</f>
        <v>Seed 3 vs 126</v>
      </c>
      <c r="B127" s="115">
        <v>125</v>
      </c>
      <c r="C127" s="115">
        <f>FLOOR(LOG(SotY_2025[[#This Row],[Num]], 2), 1)</f>
        <v>6</v>
      </c>
      <c r="D127" s="115">
        <f>2^(SotY_2025[[#This Row],[Round]]+1)</f>
        <v>128</v>
      </c>
      <c r="E127" s="115">
        <f>SotY_2025[[#This Row],[Max Seed]]-SotY_2025[[#This Row],[Num]]</f>
        <v>3</v>
      </c>
      <c r="F127" s="115">
        <f>SotY_2025[[#This Row],[Max Seed]]-SotY_2025[[#This Row],[Top Seed]]+1</f>
        <v>126</v>
      </c>
      <c r="G127" s="115" t="b">
        <f>IF(SotY_2025[[#This Row],[Round]]=$C$1, TRUE(), IF(SotY_2025[[#This Row],[Round]]=$B$1, SotY_2025[[#This Row],[Top Seed]]&lt;=2*SotY_2025[[#This Row],[Max Seed]]-$A$1, FALSE()))</f>
        <v>1</v>
      </c>
      <c r="H127" s="115" t="b">
        <f>IF(SotY_2025[[#This Row],[Round]]=$C$1, TRUE(), IF(SotY_2025[[#This Row],[Round]]=$B$1, SotY_2025[[#This Row],[Low Seed]]&lt;=2*SotY_2025[[#This Row],[Max Seed]]-$A$1, FALSE()))</f>
        <v>0</v>
      </c>
      <c r="I127" s="187" t="s">
        <v>4191</v>
      </c>
      <c r="J127" s="188" t="s">
        <v>4191</v>
      </c>
      <c r="K127" s="189"/>
      <c r="L127" s="190" t="s">
        <v>4191</v>
      </c>
      <c r="M127" s="191"/>
      <c r="N12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Money for Nothing</v>
      </c>
      <c r="O127" s="105">
        <f>COUNTIF(SotY_2025[[#This Row],[J]:[H]],"x")</f>
        <v>3</v>
      </c>
      <c r="P127" s="115" t="str">
        <f ca="1">IF(SotY_2025[[#This Row],[Num]]&gt;=$A$1, "-", IF(SotY_2025[[#This Row],[Score 1]]&gt;=3, SotY_2025[[#This Row],[Song 1]], IF(SotY_2025[[#This Row],[Score 2]]&gt;=3, SotY_2025[[#This Row],[Song 2]], "TBD")))</f>
        <v>Money for Nothing</v>
      </c>
      <c r="Q127" s="193">
        <f>COUNTIF(SotY_2025[[#This Row],[H ]:[J ]],"x")</f>
        <v>2</v>
      </c>
      <c r="R12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Houston</v>
      </c>
      <c r="S127" s="191" t="s">
        <v>4191</v>
      </c>
      <c r="T127" s="190"/>
      <c r="U127" s="189" t="s">
        <v>4191</v>
      </c>
      <c r="V127" s="188"/>
      <c r="W127" s="198"/>
      <c r="X12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27" s="109">
        <f t="shared" si="5"/>
        <v>151</v>
      </c>
      <c r="AA127" s="59">
        <v>45881</v>
      </c>
      <c r="AB127" t="str">
        <v>alappatjoe</v>
      </c>
      <c r="AC127" s="3">
        <v>2.4</v>
      </c>
      <c r="AD127" s="3">
        <v>1.019803902718557</v>
      </c>
      <c r="AE127" t="str">
        <v>Suzanne</v>
      </c>
      <c r="AF127" t="str">
        <v>Mark Ronson, RAYE</v>
      </c>
      <c r="AG127" s="100">
        <f t="shared" si="4"/>
        <v>129</v>
      </c>
      <c r="AI127" s="114">
        <f>SotY_2025[[#This Row],[Max Seed]]/2 + 1</f>
        <v>65</v>
      </c>
      <c r="AJ127" s="105" t="str">
        <f ca="1">IF(SotY_2025[[#This Row],[Num]]&gt;=$A$1, "-", IF(SotY_2025[[#This Row],[Score 1]]&gt;=3, SotY_2025[[#This Row],[Song 2]], IF(SotY_2025[[#This Row],[Score 2]]&gt;=3, SotY_2025[[#This Row],[Song 1]], "TBD")))</f>
        <v>Houston</v>
      </c>
      <c r="AK127" s="115">
        <f ca="1">IFERROR(VLOOKUP(SotY_2025_Results[[#This Row],[Song Title]], $AE$2:$AG$200, 3, FALSE)-SotY_2025_Results[[#This Row],[Result]], "TBD")</f>
        <v>64</v>
      </c>
      <c r="AL127" s="112" t="str">
        <f ca="1">IF(SotY_2025_Results[[#This Row],[Diff]]&lt;0,"↓",IF(SotY_2025_Results[[#This Row],[Diff]]=0,"-","↑"))</f>
        <v>↑</v>
      </c>
    </row>
    <row r="128" spans="1:38">
      <c r="A128" s="197" t="str">
        <f>_xlfn.CONCAT("Seed ", SotY_2025[[#This Row],[Top Seed]], " vs ", SotY_2025[[#This Row],[Low Seed]])</f>
        <v>Seed 2 vs 127</v>
      </c>
      <c r="B128" s="115">
        <v>126</v>
      </c>
      <c r="C128" s="115">
        <f>FLOOR(LOG(SotY_2025[[#This Row],[Num]], 2), 1)</f>
        <v>6</v>
      </c>
      <c r="D128" s="115">
        <f>2^(SotY_2025[[#This Row],[Round]]+1)</f>
        <v>128</v>
      </c>
      <c r="E128" s="115">
        <f>SotY_2025[[#This Row],[Max Seed]]-SotY_2025[[#This Row],[Num]]</f>
        <v>2</v>
      </c>
      <c r="F128" s="115">
        <f>SotY_2025[[#This Row],[Max Seed]]-SotY_2025[[#This Row],[Top Seed]]+1</f>
        <v>127</v>
      </c>
      <c r="G128" s="115" t="b">
        <f>IF(SotY_2025[[#This Row],[Round]]=$C$1, TRUE(), IF(SotY_2025[[#This Row],[Round]]=$B$1, SotY_2025[[#This Row],[Top Seed]]&lt;=2*SotY_2025[[#This Row],[Max Seed]]-$A$1, FALSE()))</f>
        <v>1</v>
      </c>
      <c r="H128" s="115" t="b">
        <f>IF(SotY_2025[[#This Row],[Round]]=$C$1, TRUE(), IF(SotY_2025[[#This Row],[Round]]=$B$1, SotY_2025[[#This Row],[Low Seed]]&lt;=2*SotY_2025[[#This Row],[Max Seed]]-$A$1, FALSE()))</f>
        <v>0</v>
      </c>
      <c r="I128" s="187"/>
      <c r="J128" s="188"/>
      <c r="K128" s="189"/>
      <c r="L128" s="190"/>
      <c r="M128" s="191" t="s">
        <v>4191</v>
      </c>
      <c r="N12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I Will Survive</v>
      </c>
      <c r="O128" s="105">
        <f>COUNTIF(SotY_2025[[#This Row],[J]:[H]],"x")</f>
        <v>1</v>
      </c>
      <c r="P128" s="115" t="str">
        <f ca="1">IF(SotY_2025[[#This Row],[Num]]&gt;=$A$1, "-", IF(SotY_2025[[#This Row],[Score 1]]&gt;=3, SotY_2025[[#This Row],[Song 1]], IF(SotY_2025[[#This Row],[Score 2]]&gt;=3, SotY_2025[[#This Row],[Song 2]], "TBD")))</f>
        <v>Simple And Clean</v>
      </c>
      <c r="Q128" s="193">
        <f>COUNTIF(SotY_2025[[#This Row],[H ]:[J ]],"x")</f>
        <v>4</v>
      </c>
      <c r="R12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Simple And Clean</v>
      </c>
      <c r="S128" s="191"/>
      <c r="T128" s="190" t="s">
        <v>4191</v>
      </c>
      <c r="U128" s="189" t="s">
        <v>4191</v>
      </c>
      <c r="V128" s="188" t="s">
        <v>4191</v>
      </c>
      <c r="W128" s="198" t="s">
        <v>4191</v>
      </c>
      <c r="X12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28" s="109">
        <f t="shared" si="5"/>
        <v>152</v>
      </c>
      <c r="AA128" s="59">
        <v>45882</v>
      </c>
      <c r="AB128" t="str">
        <v>currydestroyer27</v>
      </c>
      <c r="AC128" s="3">
        <v>2.4</v>
      </c>
      <c r="AD128" s="3">
        <v>1.019803902718557</v>
      </c>
      <c r="AE128" t="str">
        <v>I CAN'T STOP THE LONELINESS</v>
      </c>
      <c r="AF128" t="str">
        <v>Anri</v>
      </c>
      <c r="AG128" s="100">
        <f t="shared" si="4"/>
        <v>129</v>
      </c>
      <c r="AI128" s="114">
        <f>SotY_2025[[#This Row],[Max Seed]]/2 + 1</f>
        <v>65</v>
      </c>
      <c r="AJ128" s="105" t="str">
        <f ca="1">IF(SotY_2025[[#This Row],[Num]]&gt;=$A$1, "-", IF(SotY_2025[[#This Row],[Score 1]]&gt;=3, SotY_2025[[#This Row],[Song 2]], IF(SotY_2025[[#This Row],[Score 2]]&gt;=3, SotY_2025[[#This Row],[Song 1]], "TBD")))</f>
        <v>I Will Survive</v>
      </c>
      <c r="AK128" s="115">
        <f ca="1">IFERROR(VLOOKUP(SotY_2025_Results[[#This Row],[Song Title]], $AE$2:$AG$200, 3, FALSE)-SotY_2025_Results[[#This Row],[Result]], "TBD")</f>
        <v>-63</v>
      </c>
      <c r="AL128" s="112" t="str">
        <f ca="1">IF(SotY_2025_Results[[#This Row],[Diff]]&lt;0,"↓",IF(SotY_2025_Results[[#This Row],[Diff]]=0,"-","↑"))</f>
        <v>↓</v>
      </c>
    </row>
    <row r="129" spans="1:38">
      <c r="A129" s="197" t="str">
        <f>_xlfn.CONCAT("Seed ", SotY_2025[[#This Row],[Top Seed]], " vs ", SotY_2025[[#This Row],[Low Seed]])</f>
        <v>Seed 1 vs 128</v>
      </c>
      <c r="B129" s="115">
        <v>127</v>
      </c>
      <c r="C129" s="115">
        <f>FLOOR(LOG(SotY_2025[[#This Row],[Num]], 2), 1)</f>
        <v>6</v>
      </c>
      <c r="D129" s="115">
        <f>2^(SotY_2025[[#This Row],[Round]]+1)</f>
        <v>128</v>
      </c>
      <c r="E129" s="115">
        <f>SotY_2025[[#This Row],[Max Seed]]-SotY_2025[[#This Row],[Num]]</f>
        <v>1</v>
      </c>
      <c r="F129" s="115">
        <f>SotY_2025[[#This Row],[Max Seed]]-SotY_2025[[#This Row],[Top Seed]]+1</f>
        <v>128</v>
      </c>
      <c r="G129" s="115" t="b">
        <f>IF(SotY_2025[[#This Row],[Round]]=$C$1, TRUE(), IF(SotY_2025[[#This Row],[Round]]=$B$1, SotY_2025[[#This Row],[Top Seed]]&lt;=2*SotY_2025[[#This Row],[Max Seed]]-$A$1, FALSE()))</f>
        <v>1</v>
      </c>
      <c r="H129" s="115" t="b">
        <f>IF(SotY_2025[[#This Row],[Round]]=$C$1, TRUE(), IF(SotY_2025[[#This Row],[Round]]=$B$1, SotY_2025[[#This Row],[Low Seed]]&lt;=2*SotY_2025[[#This Row],[Max Seed]]-$A$1, FALSE()))</f>
        <v>0</v>
      </c>
      <c r="I129" s="187" t="s">
        <v>4191</v>
      </c>
      <c r="J129" s="188" t="s">
        <v>4191</v>
      </c>
      <c r="K129" s="189" t="s">
        <v>4191</v>
      </c>
      <c r="L129" s="190" t="s">
        <v>4191</v>
      </c>
      <c r="M129" s="191" t="s">
        <v>4191</v>
      </c>
      <c r="N12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Billie Jean</v>
      </c>
      <c r="O129" s="105">
        <f>COUNTIF(SotY_2025[[#This Row],[J]:[H]],"x")</f>
        <v>5</v>
      </c>
      <c r="P129" s="115" t="str">
        <f ca="1">IF(SotY_2025[[#This Row],[Num]]&gt;=$A$1, "-", IF(SotY_2025[[#This Row],[Score 1]]&gt;=3, SotY_2025[[#This Row],[Song 1]], IF(SotY_2025[[#This Row],[Score 2]]&gt;=3, SotY_2025[[#This Row],[Song 2]], "TBD")))</f>
        <v>Billie Jean</v>
      </c>
      <c r="Q129" s="193">
        <f>COUNTIF(SotY_2025[[#This Row],[H ]:[J ]],"x")</f>
        <v>0</v>
      </c>
      <c r="R12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Don't Wait Up</v>
      </c>
      <c r="S129" s="191"/>
      <c r="T129" s="190"/>
      <c r="U129" s="189"/>
      <c r="V129" s="188"/>
      <c r="W129" s="198"/>
      <c r="X12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29" s="109">
        <f t="shared" si="5"/>
        <v>46</v>
      </c>
      <c r="AA129" s="59">
        <v>45883</v>
      </c>
      <c r="AB129" t="str">
        <v>currydestroyer27</v>
      </c>
      <c r="AC129" s="3">
        <v>2</v>
      </c>
      <c r="AD129" s="3">
        <v>0.63245553203367588</v>
      </c>
      <c r="AE129" t="str">
        <v>Chammak Challo</v>
      </c>
      <c r="AF129" t="str">
        <v>Vishal-Shekhar, Akon, Hamsika Iyer, Niranjan Iyengar, Vishal Dadlani</v>
      </c>
      <c r="AG129" s="100">
        <f t="shared" si="4"/>
        <v>33</v>
      </c>
      <c r="AI129" s="114">
        <f>SotY_2025[[#This Row],[Max Seed]]/2 + 1</f>
        <v>65</v>
      </c>
      <c r="AJ129" s="105" t="str">
        <f ca="1">IF(SotY_2025[[#This Row],[Num]]&gt;=$A$1, "-", IF(SotY_2025[[#This Row],[Score 1]]&gt;=3, SotY_2025[[#This Row],[Song 2]], IF(SotY_2025[[#This Row],[Score 2]]&gt;=3, SotY_2025[[#This Row],[Song 1]], "TBD")))</f>
        <v>Don't Wait Up</v>
      </c>
      <c r="AK129" s="115">
        <f ca="1">IFERROR(VLOOKUP(SotY_2025_Results[[#This Row],[Song Title]], $AE$2:$AG$200, 3, FALSE)-SotY_2025_Results[[#This Row],[Result]], "TBD")</f>
        <v>0</v>
      </c>
      <c r="AL129" s="112" t="str">
        <f ca="1">IF(SotY_2025_Results[[#This Row],[Diff]]&lt;0,"↓",IF(SotY_2025_Results[[#This Row],[Diff]]=0,"-","↑"))</f>
        <v>-</v>
      </c>
    </row>
    <row r="130" spans="1:38">
      <c r="A130" s="197" t="str">
        <f>_xlfn.CONCAT("Seed ", SotY_2025[[#This Row],[Top Seed]], " vs ", SotY_2025[[#This Row],[Low Seed]])</f>
        <v>Seed 128 vs 129</v>
      </c>
      <c r="B130" s="115">
        <v>128</v>
      </c>
      <c r="C130" s="115">
        <f>FLOOR(LOG(SotY_2025[[#This Row],[Num]], 2), 1)</f>
        <v>7</v>
      </c>
      <c r="D130" s="115">
        <f>2^(SotY_2025[[#This Row],[Round]]+1)</f>
        <v>256</v>
      </c>
      <c r="E130" s="115">
        <f>SotY_2025[[#This Row],[Max Seed]]-SotY_2025[[#This Row],[Num]]</f>
        <v>128</v>
      </c>
      <c r="F130" s="115">
        <f>SotY_2025[[#This Row],[Max Seed]]-SotY_2025[[#This Row],[Top Seed]]+1</f>
        <v>129</v>
      </c>
      <c r="G130" s="115" t="b">
        <f>IF(SotY_2025[[#This Row],[Round]]=$C$1, TRUE(), IF(SotY_2025[[#This Row],[Round]]=$B$1, SotY_2025[[#This Row],[Top Seed]]&lt;=2*SotY_2025[[#This Row],[Max Seed]]-$A$1, FALSE()))</f>
        <v>1</v>
      </c>
      <c r="H130" s="115" t="b">
        <f>IF(SotY_2025[[#This Row],[Round]]=$C$1, TRUE(), IF(SotY_2025[[#This Row],[Round]]=$B$1, SotY_2025[[#This Row],[Low Seed]]&lt;=2*SotY_2025[[#This Row],[Max Seed]]-$A$1, FALSE()))</f>
        <v>1</v>
      </c>
      <c r="I130" s="187" t="s">
        <v>4191</v>
      </c>
      <c r="J130" s="188"/>
      <c r="K130" s="189" t="s">
        <v>4191</v>
      </c>
      <c r="L130" s="190" t="s">
        <v>4191</v>
      </c>
      <c r="M130" s="191"/>
      <c r="N13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Don't Wait Up</v>
      </c>
      <c r="O130" s="105">
        <f>COUNTIF(SotY_2025[[#This Row],[J]:[H]],"x")</f>
        <v>3</v>
      </c>
      <c r="P130" s="115" t="str">
        <f ca="1">IF(SotY_2025[[#This Row],[Num]]&gt;=$A$1, "-", IF(SotY_2025[[#This Row],[Score 1]]&gt;=3, SotY_2025[[#This Row],[Song 1]], IF(SotY_2025[[#This Row],[Score 2]]&gt;=3, SotY_2025[[#This Row],[Song 2]], "TBD")))</f>
        <v>Don't Wait Up</v>
      </c>
      <c r="Q130" s="193">
        <f>COUNTIF(SotY_2025[[#This Row],[H ]:[J ]],"x")</f>
        <v>2</v>
      </c>
      <c r="R13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Sun</v>
      </c>
      <c r="S130" s="191" t="s">
        <v>4191</v>
      </c>
      <c r="T130" s="190"/>
      <c r="U130" s="189"/>
      <c r="V130" s="188" t="s">
        <v>4191</v>
      </c>
      <c r="W130" s="198"/>
      <c r="X13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30" s="109">
        <f t="shared" ref="Z130:Z161" si="6">IF(AC130&gt;0, COUNTIF(AC$2:AC$200, "&lt;"&amp;AC130) + COUNTIFS(AC$2:AC$200, AC130, AD$2:AD$200, "&lt;"&amp;AD130) + COUNTIFS(AC$2:AC$200, AC130, AD$2:AD$200, AD130, AA$2:AA$200, "&lt;"&amp;AA130) + 1, "TBD")</f>
        <v>91</v>
      </c>
      <c r="AA130" s="59">
        <v>45887</v>
      </c>
      <c r="AB130" t="str">
        <v>samuelbattista</v>
      </c>
      <c r="AC130" s="3">
        <v>2.2000000000000002</v>
      </c>
      <c r="AD130" s="3">
        <v>0.74833147735478833</v>
      </c>
      <c r="AE130" t="str">
        <v>Calling After Me</v>
      </c>
      <c r="AF130" t="str">
        <v>Wallows</v>
      </c>
      <c r="AG130" s="100">
        <f t="shared" si="4"/>
        <v>65</v>
      </c>
      <c r="AI130" s="114">
        <f>SotY_2025[[#This Row],[Max Seed]]/2 + 1</f>
        <v>129</v>
      </c>
      <c r="AJ130" s="105" t="str">
        <f ca="1">IF(SotY_2025[[#This Row],[Num]]&gt;=$A$1, "-", IF(SotY_2025[[#This Row],[Score 1]]&gt;=3, SotY_2025[[#This Row],[Song 2]], IF(SotY_2025[[#This Row],[Score 2]]&gt;=3, SotY_2025[[#This Row],[Song 1]], "TBD")))</f>
        <v>Sun</v>
      </c>
      <c r="AK130" s="115">
        <f ca="1">IFERROR(VLOOKUP(SotY_2025_Results[[#This Row],[Song Title]], $AE$2:$AG$200, 3, FALSE)-SotY_2025_Results[[#This Row],[Result]], "TBD")</f>
        <v>0</v>
      </c>
      <c r="AL130" s="112" t="str">
        <f ca="1">IF(SotY_2025_Results[[#This Row],[Diff]]&lt;0,"↓",IF(SotY_2025_Results[[#This Row],[Diff]]=0,"-","↑"))</f>
        <v>-</v>
      </c>
    </row>
    <row r="131" spans="1:38">
      <c r="A131" s="197" t="str">
        <f>_xlfn.CONCAT("Seed ", SotY_2025[[#This Row],[Top Seed]], " vs ", SotY_2025[[#This Row],[Low Seed]])</f>
        <v>Seed 127 vs 130</v>
      </c>
      <c r="B131" s="115">
        <v>129</v>
      </c>
      <c r="C131" s="115">
        <f>FLOOR(LOG(SotY_2025[[#This Row],[Num]], 2), 1)</f>
        <v>7</v>
      </c>
      <c r="D131" s="115">
        <f>2^(SotY_2025[[#This Row],[Round]]+1)</f>
        <v>256</v>
      </c>
      <c r="E131" s="115">
        <f>SotY_2025[[#This Row],[Max Seed]]-SotY_2025[[#This Row],[Num]]</f>
        <v>127</v>
      </c>
      <c r="F131" s="115">
        <f>SotY_2025[[#This Row],[Max Seed]]-SotY_2025[[#This Row],[Top Seed]]+1</f>
        <v>130</v>
      </c>
      <c r="G131" s="115" t="b">
        <f>IF(SotY_2025[[#This Row],[Round]]=$C$1, TRUE(), IF(SotY_2025[[#This Row],[Round]]=$B$1, SotY_2025[[#This Row],[Top Seed]]&lt;=2*SotY_2025[[#This Row],[Max Seed]]-$A$1, FALSE()))</f>
        <v>1</v>
      </c>
      <c r="H131" s="115" t="b">
        <f>IF(SotY_2025[[#This Row],[Round]]=$C$1, TRUE(), IF(SotY_2025[[#This Row],[Round]]=$B$1, SotY_2025[[#This Row],[Low Seed]]&lt;=2*SotY_2025[[#This Row],[Max Seed]]-$A$1, FALSE()))</f>
        <v>1</v>
      </c>
      <c r="I131" s="187"/>
      <c r="J131" s="188" t="s">
        <v>4191</v>
      </c>
      <c r="K131" s="189" t="s">
        <v>4191</v>
      </c>
      <c r="L131" s="190"/>
      <c r="M131" s="191" t="s">
        <v>4191</v>
      </c>
      <c r="N13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Simple And Clean</v>
      </c>
      <c r="O131" s="105">
        <f>COUNTIF(SotY_2025[[#This Row],[J]:[H]],"x")</f>
        <v>3</v>
      </c>
      <c r="P131" s="115" t="str">
        <f ca="1">IF(SotY_2025[[#This Row],[Num]]&gt;=$A$1, "-", IF(SotY_2025[[#This Row],[Score 1]]&gt;=3, SotY_2025[[#This Row],[Song 1]], IF(SotY_2025[[#This Row],[Score 2]]&gt;=3, SotY_2025[[#This Row],[Song 2]], "TBD")))</f>
        <v>Simple And Clean</v>
      </c>
      <c r="Q131" s="193">
        <f>COUNTIF(SotY_2025[[#This Row],[H ]:[J ]],"x")</f>
        <v>2</v>
      </c>
      <c r="R13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15 Minutes</v>
      </c>
      <c r="S131" s="191"/>
      <c r="T131" s="190" t="s">
        <v>4191</v>
      </c>
      <c r="U131" s="189"/>
      <c r="V131" s="188"/>
      <c r="W131" s="198" t="s">
        <v>4191</v>
      </c>
      <c r="X13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31" s="109">
        <f t="shared" si="6"/>
        <v>197</v>
      </c>
      <c r="AA131" s="59">
        <v>45888</v>
      </c>
      <c r="AB131" t="str">
        <v>samuelbattista</v>
      </c>
      <c r="AC131" s="3">
        <v>2.8</v>
      </c>
      <c r="AD131" s="3">
        <v>0.9797958971132712</v>
      </c>
      <c r="AE131" t="str">
        <v>Setting Sun</v>
      </c>
      <c r="AF131" t="str">
        <v>Post Animal</v>
      </c>
      <c r="AG131" s="100">
        <f t="shared" ref="AG131:AG194" si="7">IFERROR(IF(Z131&gt;1, 2^(FLOOR(LOG(Z131-1,2),1))+1, 1), "TBD")</f>
        <v>129</v>
      </c>
      <c r="AI131" s="114">
        <f>SotY_2025[[#This Row],[Max Seed]]/2 + 1</f>
        <v>129</v>
      </c>
      <c r="AJ131" s="105" t="str">
        <f ca="1">IF(SotY_2025[[#This Row],[Num]]&gt;=$A$1, "-", IF(SotY_2025[[#This Row],[Score 1]]&gt;=3, SotY_2025[[#This Row],[Song 2]], IF(SotY_2025[[#This Row],[Score 2]]&gt;=3, SotY_2025[[#This Row],[Song 1]], "TBD")))</f>
        <v>15 Minutes</v>
      </c>
      <c r="AK131" s="115">
        <f ca="1">IFERROR(VLOOKUP(SotY_2025_Results[[#This Row],[Song Title]], $AE$2:$AG$200, 3, FALSE)-SotY_2025_Results[[#This Row],[Result]], "TBD")</f>
        <v>0</v>
      </c>
      <c r="AL131" s="112" t="str">
        <f ca="1">IF(SotY_2025_Results[[#This Row],[Diff]]&lt;0,"↓",IF(SotY_2025_Results[[#This Row],[Diff]]=0,"-","↑"))</f>
        <v>-</v>
      </c>
    </row>
    <row r="132" spans="1:38">
      <c r="A132" s="197" t="str">
        <f>_xlfn.CONCAT("Seed ", SotY_2025[[#This Row],[Top Seed]], " vs ", SotY_2025[[#This Row],[Low Seed]])</f>
        <v>Seed 126 vs 131</v>
      </c>
      <c r="B132" s="115">
        <v>130</v>
      </c>
      <c r="C132" s="115">
        <f>FLOOR(LOG(SotY_2025[[#This Row],[Num]], 2), 1)</f>
        <v>7</v>
      </c>
      <c r="D132" s="115">
        <f>2^(SotY_2025[[#This Row],[Round]]+1)</f>
        <v>256</v>
      </c>
      <c r="E132" s="115">
        <f>SotY_2025[[#This Row],[Max Seed]]-SotY_2025[[#This Row],[Num]]</f>
        <v>126</v>
      </c>
      <c r="F132" s="115">
        <f>SotY_2025[[#This Row],[Max Seed]]-SotY_2025[[#This Row],[Top Seed]]+1</f>
        <v>131</v>
      </c>
      <c r="G132" s="115" t="b">
        <f>IF(SotY_2025[[#This Row],[Round]]=$C$1, TRUE(), IF(SotY_2025[[#This Row],[Round]]=$B$1, SotY_2025[[#This Row],[Top Seed]]&lt;=2*SotY_2025[[#This Row],[Max Seed]]-$A$1, FALSE()))</f>
        <v>1</v>
      </c>
      <c r="H132" s="115" t="b">
        <f>IF(SotY_2025[[#This Row],[Round]]=$C$1, TRUE(), IF(SotY_2025[[#This Row],[Round]]=$B$1, SotY_2025[[#This Row],[Low Seed]]&lt;=2*SotY_2025[[#This Row],[Max Seed]]-$A$1, FALSE()))</f>
        <v>1</v>
      </c>
      <c r="I132" s="187" t="s">
        <v>4191</v>
      </c>
      <c r="J132" s="188"/>
      <c r="K132" s="189"/>
      <c r="L132" s="190"/>
      <c r="M132" s="191" t="s">
        <v>4191</v>
      </c>
      <c r="N13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BLOODY STREAM</v>
      </c>
      <c r="O132" s="105">
        <f>COUNTIF(SotY_2025[[#This Row],[J]:[H]],"x")</f>
        <v>2</v>
      </c>
      <c r="P132" s="115" t="str">
        <f ca="1">IF(SotY_2025[[#This Row],[Num]]&gt;=$A$1, "-", IF(SotY_2025[[#This Row],[Score 1]]&gt;=3, SotY_2025[[#This Row],[Song 1]], IF(SotY_2025[[#This Row],[Score 2]]&gt;=3, SotY_2025[[#This Row],[Song 2]], "TBD")))</f>
        <v>Houston</v>
      </c>
      <c r="Q132" s="193">
        <f>COUNTIF(SotY_2025[[#This Row],[H ]:[J ]],"x")</f>
        <v>3</v>
      </c>
      <c r="R13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Houston</v>
      </c>
      <c r="S132" s="191"/>
      <c r="T132" s="190" t="s">
        <v>4191</v>
      </c>
      <c r="U132" s="189" t="s">
        <v>4191</v>
      </c>
      <c r="V132" s="188" t="s">
        <v>4191</v>
      </c>
      <c r="W132" s="198"/>
      <c r="X13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32" s="109">
        <f t="shared" si="6"/>
        <v>57</v>
      </c>
      <c r="AA132" s="59">
        <v>45889</v>
      </c>
      <c r="AB132" t="str">
        <v>alappatjoe</v>
      </c>
      <c r="AC132" s="3">
        <v>2</v>
      </c>
      <c r="AD132" s="3">
        <v>0.89442719099991586</v>
      </c>
      <c r="AE132" t="str">
        <v>Like I Do</v>
      </c>
      <c r="AF132" t="str">
        <v>J.Tajor</v>
      </c>
      <c r="AG132" s="100">
        <f t="shared" si="7"/>
        <v>33</v>
      </c>
      <c r="AI132" s="114">
        <f>SotY_2025[[#This Row],[Max Seed]]/2 + 1</f>
        <v>129</v>
      </c>
      <c r="AJ132" s="105" t="str">
        <f ca="1">IF(SotY_2025[[#This Row],[Num]]&gt;=$A$1, "-", IF(SotY_2025[[#This Row],[Score 1]]&gt;=3, SotY_2025[[#This Row],[Song 2]], IF(SotY_2025[[#This Row],[Score 2]]&gt;=3, SotY_2025[[#This Row],[Song 1]], "TBD")))</f>
        <v>BLOODY STREAM</v>
      </c>
      <c r="AK132" s="115">
        <f ca="1">IFERROR(VLOOKUP(SotY_2025_Results[[#This Row],[Song Title]], $AE$2:$AG$200, 3, FALSE)-SotY_2025_Results[[#This Row],[Result]], "TBD")</f>
        <v>-64</v>
      </c>
      <c r="AL132" s="112" t="str">
        <f ca="1">IF(SotY_2025_Results[[#This Row],[Diff]]&lt;0,"↓",IF(SotY_2025_Results[[#This Row],[Diff]]=0,"-","↑"))</f>
        <v>↓</v>
      </c>
    </row>
    <row r="133" spans="1:38">
      <c r="A133" s="197" t="str">
        <f>_xlfn.CONCAT("Seed ", SotY_2025[[#This Row],[Top Seed]], " vs ", SotY_2025[[#This Row],[Low Seed]])</f>
        <v>Seed 125 vs 132</v>
      </c>
      <c r="B133" s="115">
        <v>131</v>
      </c>
      <c r="C133" s="115">
        <f>FLOOR(LOG(SotY_2025[[#This Row],[Num]], 2), 1)</f>
        <v>7</v>
      </c>
      <c r="D133" s="115">
        <f>2^(SotY_2025[[#This Row],[Round]]+1)</f>
        <v>256</v>
      </c>
      <c r="E133" s="115">
        <f>SotY_2025[[#This Row],[Max Seed]]-SotY_2025[[#This Row],[Num]]</f>
        <v>125</v>
      </c>
      <c r="F133" s="115">
        <f>SotY_2025[[#This Row],[Max Seed]]-SotY_2025[[#This Row],[Top Seed]]+1</f>
        <v>132</v>
      </c>
      <c r="G133" s="115" t="b">
        <f>IF(SotY_2025[[#This Row],[Round]]=$C$1, TRUE(), IF(SotY_2025[[#This Row],[Round]]=$B$1, SotY_2025[[#This Row],[Top Seed]]&lt;=2*SotY_2025[[#This Row],[Max Seed]]-$A$1, FALSE()))</f>
        <v>1</v>
      </c>
      <c r="H133" s="115" t="b">
        <f>IF(SotY_2025[[#This Row],[Round]]=$C$1, TRUE(), IF(SotY_2025[[#This Row],[Round]]=$B$1, SotY_2025[[#This Row],[Low Seed]]&lt;=2*SotY_2025[[#This Row],[Max Seed]]-$A$1, FALSE()))</f>
        <v>1</v>
      </c>
      <c r="I133" s="187"/>
      <c r="J133" s="188" t="s">
        <v>4191</v>
      </c>
      <c r="K133" s="189"/>
      <c r="L133" s="190"/>
      <c r="M133" s="191"/>
      <c r="N13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Trunks</v>
      </c>
      <c r="O133" s="105">
        <f>COUNTIF(SotY_2025[[#This Row],[J]:[H]],"x")</f>
        <v>1</v>
      </c>
      <c r="P133" s="115" t="str">
        <f ca="1">IF(SotY_2025[[#This Row],[Num]]&gt;=$A$1, "-", IF(SotY_2025[[#This Row],[Score 1]]&gt;=3, SotY_2025[[#This Row],[Song 1]], IF(SotY_2025[[#This Row],[Score 2]]&gt;=3, SotY_2025[[#This Row],[Song 2]], "TBD")))</f>
        <v>Bodies</v>
      </c>
      <c r="Q133" s="193">
        <f>COUNTIF(SotY_2025[[#This Row],[H ]:[J ]],"x")</f>
        <v>4</v>
      </c>
      <c r="R13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Bodies</v>
      </c>
      <c r="S133" s="191" t="s">
        <v>4191</v>
      </c>
      <c r="T133" s="190" t="s">
        <v>4191</v>
      </c>
      <c r="U133" s="189" t="s">
        <v>4191</v>
      </c>
      <c r="V133" s="188"/>
      <c r="W133" s="198" t="s">
        <v>4191</v>
      </c>
      <c r="X13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33" s="109">
        <f t="shared" si="6"/>
        <v>66</v>
      </c>
      <c r="AA133" s="59">
        <v>45890</v>
      </c>
      <c r="AB133" t="str">
        <v>loganworsdell</v>
      </c>
      <c r="AC133" s="3">
        <v>2</v>
      </c>
      <c r="AD133" s="3">
        <v>1.0954451150103321</v>
      </c>
      <c r="AE133" t="str">
        <v>Face to Face</v>
      </c>
      <c r="AF133" t="str">
        <v>Daft Punk</v>
      </c>
      <c r="AG133" s="100">
        <f t="shared" si="7"/>
        <v>65</v>
      </c>
      <c r="AI133" s="114">
        <f>SotY_2025[[#This Row],[Max Seed]]/2 + 1</f>
        <v>129</v>
      </c>
      <c r="AJ133" s="105" t="str">
        <f ca="1">IF(SotY_2025[[#This Row],[Num]]&gt;=$A$1, "-", IF(SotY_2025[[#This Row],[Score 1]]&gt;=3, SotY_2025[[#This Row],[Song 2]], IF(SotY_2025[[#This Row],[Score 2]]&gt;=3, SotY_2025[[#This Row],[Song 1]], "TBD")))</f>
        <v>Trunks</v>
      </c>
      <c r="AK133" s="115">
        <f ca="1">IFERROR(VLOOKUP(SotY_2025_Results[[#This Row],[Song Title]], $AE$2:$AG$200, 3, FALSE)-SotY_2025_Results[[#This Row],[Result]], "TBD")</f>
        <v>-64</v>
      </c>
      <c r="AL133" s="112" t="str">
        <f ca="1">IF(SotY_2025_Results[[#This Row],[Diff]]&lt;0,"↓",IF(SotY_2025_Results[[#This Row],[Diff]]=0,"-","↑"))</f>
        <v>↓</v>
      </c>
    </row>
    <row r="134" spans="1:38">
      <c r="A134" s="197" t="str">
        <f>_xlfn.CONCAT("Seed ", SotY_2025[[#This Row],[Top Seed]], " vs ", SotY_2025[[#This Row],[Low Seed]])</f>
        <v>Seed 124 vs 133</v>
      </c>
      <c r="B134" s="115">
        <v>132</v>
      </c>
      <c r="C134" s="115">
        <f>FLOOR(LOG(SotY_2025[[#This Row],[Num]], 2), 1)</f>
        <v>7</v>
      </c>
      <c r="D134" s="115">
        <f>2^(SotY_2025[[#This Row],[Round]]+1)</f>
        <v>256</v>
      </c>
      <c r="E134" s="115">
        <f>SotY_2025[[#This Row],[Max Seed]]-SotY_2025[[#This Row],[Num]]</f>
        <v>124</v>
      </c>
      <c r="F134" s="115">
        <f>SotY_2025[[#This Row],[Max Seed]]-SotY_2025[[#This Row],[Top Seed]]+1</f>
        <v>133</v>
      </c>
      <c r="G134" s="115" t="b">
        <f>IF(SotY_2025[[#This Row],[Round]]=$C$1, TRUE(), IF(SotY_2025[[#This Row],[Round]]=$B$1, SotY_2025[[#This Row],[Top Seed]]&lt;=2*SotY_2025[[#This Row],[Max Seed]]-$A$1, FALSE()))</f>
        <v>1</v>
      </c>
      <c r="H134" s="115" t="b">
        <f>IF(SotY_2025[[#This Row],[Round]]=$C$1, TRUE(), IF(SotY_2025[[#This Row],[Round]]=$B$1, SotY_2025[[#This Row],[Low Seed]]&lt;=2*SotY_2025[[#This Row],[Max Seed]]-$A$1, FALSE()))</f>
        <v>1</v>
      </c>
      <c r="I134" s="187"/>
      <c r="J134" s="188" t="s">
        <v>4191</v>
      </c>
      <c r="K134" s="189" t="s">
        <v>4191</v>
      </c>
      <c r="L134" s="190" t="s">
        <v>4191</v>
      </c>
      <c r="M134" s="191" t="s">
        <v>4191</v>
      </c>
      <c r="N13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São Paulo</v>
      </c>
      <c r="O134" s="105">
        <f>COUNTIF(SotY_2025[[#This Row],[J]:[H]],"x")</f>
        <v>4</v>
      </c>
      <c r="P134" s="115" t="str">
        <f ca="1">IF(SotY_2025[[#This Row],[Num]]&gt;=$A$1, "-", IF(SotY_2025[[#This Row],[Score 1]]&gt;=3, SotY_2025[[#This Row],[Song 1]], IF(SotY_2025[[#This Row],[Score 2]]&gt;=3, SotY_2025[[#This Row],[Song 2]], "TBD")))</f>
        <v>São Paulo</v>
      </c>
      <c r="Q134" s="193">
        <f>COUNTIF(SotY_2025[[#This Row],[H ]:[J ]],"x")</f>
        <v>1</v>
      </c>
      <c r="R13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La forza della banda</v>
      </c>
      <c r="S134" s="191"/>
      <c r="T134" s="190"/>
      <c r="U134" s="189"/>
      <c r="V134" s="188"/>
      <c r="W134" s="198" t="s">
        <v>4191</v>
      </c>
      <c r="X13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34" s="109">
        <f t="shared" si="6"/>
        <v>128</v>
      </c>
      <c r="AA134" s="59">
        <v>45894</v>
      </c>
      <c r="AB134" t="str">
        <v>loganworsdell</v>
      </c>
      <c r="AC134" s="3">
        <v>2.4</v>
      </c>
      <c r="AD134" s="3">
        <v>0.4898979485566356</v>
      </c>
      <c r="AE134" t="str">
        <v>Don't Wait Up</v>
      </c>
      <c r="AF134" t="str">
        <v>Midnight Generation</v>
      </c>
      <c r="AG134" s="100">
        <f t="shared" si="7"/>
        <v>65</v>
      </c>
      <c r="AI134" s="114">
        <f>SotY_2025[[#This Row],[Max Seed]]/2 + 1</f>
        <v>129</v>
      </c>
      <c r="AJ134" s="105" t="str">
        <f ca="1">IF(SotY_2025[[#This Row],[Num]]&gt;=$A$1, "-", IF(SotY_2025[[#This Row],[Score 1]]&gt;=3, SotY_2025[[#This Row],[Song 2]], IF(SotY_2025[[#This Row],[Score 2]]&gt;=3, SotY_2025[[#This Row],[Song 1]], "TBD")))</f>
        <v>La forza della banda</v>
      </c>
      <c r="AK134" s="115">
        <f ca="1">IFERROR(VLOOKUP(SotY_2025_Results[[#This Row],[Song Title]], $AE$2:$AG$200, 3, FALSE)-SotY_2025_Results[[#This Row],[Result]], "TBD")</f>
        <v>0</v>
      </c>
      <c r="AL134" s="112" t="str">
        <f ca="1">IF(SotY_2025_Results[[#This Row],[Diff]]&lt;0,"↓",IF(SotY_2025_Results[[#This Row],[Diff]]=0,"-","↑"))</f>
        <v>-</v>
      </c>
    </row>
    <row r="135" spans="1:38">
      <c r="A135" s="197" t="str">
        <f>_xlfn.CONCAT("Seed ", SotY_2025[[#This Row],[Top Seed]], " vs ", SotY_2025[[#This Row],[Low Seed]])</f>
        <v>Seed 123 vs 134</v>
      </c>
      <c r="B135" s="115">
        <v>133</v>
      </c>
      <c r="C135" s="115">
        <f>FLOOR(LOG(SotY_2025[[#This Row],[Num]], 2), 1)</f>
        <v>7</v>
      </c>
      <c r="D135" s="115">
        <f>2^(SotY_2025[[#This Row],[Round]]+1)</f>
        <v>256</v>
      </c>
      <c r="E135" s="115">
        <f>SotY_2025[[#This Row],[Max Seed]]-SotY_2025[[#This Row],[Num]]</f>
        <v>123</v>
      </c>
      <c r="F135" s="115">
        <f>SotY_2025[[#This Row],[Max Seed]]-SotY_2025[[#This Row],[Top Seed]]+1</f>
        <v>134</v>
      </c>
      <c r="G135" s="115" t="b">
        <f>IF(SotY_2025[[#This Row],[Round]]=$C$1, TRUE(), IF(SotY_2025[[#This Row],[Round]]=$B$1, SotY_2025[[#This Row],[Top Seed]]&lt;=2*SotY_2025[[#This Row],[Max Seed]]-$A$1, FALSE()))</f>
        <v>1</v>
      </c>
      <c r="H135" s="115" t="b">
        <f>IF(SotY_2025[[#This Row],[Round]]=$C$1, TRUE(), IF(SotY_2025[[#This Row],[Round]]=$B$1, SotY_2025[[#This Row],[Low Seed]]&lt;=2*SotY_2025[[#This Row],[Max Seed]]-$A$1, FALSE()))</f>
        <v>1</v>
      </c>
      <c r="I135" s="187" t="s">
        <v>4191</v>
      </c>
      <c r="J135" s="188" t="s">
        <v>4191</v>
      </c>
      <c r="K135" s="189" t="s">
        <v>4191</v>
      </c>
      <c r="L135" s="190" t="s">
        <v>4191</v>
      </c>
      <c r="M135" s="191" t="s">
        <v>4191</v>
      </c>
      <c r="N13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Cash In Cash Out</v>
      </c>
      <c r="O135" s="105">
        <f>COUNTIF(SotY_2025[[#This Row],[J]:[H]],"x")</f>
        <v>5</v>
      </c>
      <c r="P135" s="115" t="str">
        <f ca="1">IF(SotY_2025[[#This Row],[Num]]&gt;=$A$1, "-", IF(SotY_2025[[#This Row],[Score 1]]&gt;=3, SotY_2025[[#This Row],[Song 1]], IF(SotY_2025[[#This Row],[Score 2]]&gt;=3, SotY_2025[[#This Row],[Song 2]], "TBD")))</f>
        <v>Cash In Cash Out</v>
      </c>
      <c r="Q135" s="193">
        <f>COUNTIF(SotY_2025[[#This Row],[H ]:[J ]],"x")</f>
        <v>0</v>
      </c>
      <c r="R13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Stand By Me - Remastered</v>
      </c>
      <c r="S135" s="191"/>
      <c r="T135" s="190"/>
      <c r="U135" s="189"/>
      <c r="V135" s="188"/>
      <c r="W135" s="198"/>
      <c r="X13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35" s="109">
        <f t="shared" si="6"/>
        <v>171</v>
      </c>
      <c r="AA135" s="59">
        <v>45895</v>
      </c>
      <c r="AB135" t="str">
        <v>samuelbattista</v>
      </c>
      <c r="AC135" s="3">
        <v>2.4</v>
      </c>
      <c r="AD135" s="3">
        <v>1.4966629547095767</v>
      </c>
      <c r="AE135" t="str">
        <v>SEE U DANCE</v>
      </c>
      <c r="AF135" t="str">
        <v>Joey Valence &amp; Brae, Rebecca Black</v>
      </c>
      <c r="AG135" s="100">
        <f t="shared" si="7"/>
        <v>129</v>
      </c>
      <c r="AI135" s="114">
        <f>SotY_2025[[#This Row],[Max Seed]]/2 + 1</f>
        <v>129</v>
      </c>
      <c r="AJ135" s="105" t="str">
        <f ca="1">IF(SotY_2025[[#This Row],[Num]]&gt;=$A$1, "-", IF(SotY_2025[[#This Row],[Score 1]]&gt;=3, SotY_2025[[#This Row],[Song 2]], IF(SotY_2025[[#This Row],[Score 2]]&gt;=3, SotY_2025[[#This Row],[Song 1]], "TBD")))</f>
        <v>Stand By Me - Remastered</v>
      </c>
      <c r="AK135" s="115">
        <f ca="1">IFERROR(VLOOKUP(SotY_2025_Results[[#This Row],[Song Title]], $AE$2:$AG$200, 3, FALSE)-SotY_2025_Results[[#This Row],[Result]], "TBD")</f>
        <v>0</v>
      </c>
      <c r="AL135" s="112" t="str">
        <f ca="1">IF(SotY_2025_Results[[#This Row],[Diff]]&lt;0,"↓",IF(SotY_2025_Results[[#This Row],[Diff]]=0,"-","↑"))</f>
        <v>-</v>
      </c>
    </row>
    <row r="136" spans="1:38">
      <c r="A136" s="197" t="str">
        <f>_xlfn.CONCAT("Seed ", SotY_2025[[#This Row],[Top Seed]], " vs ", SotY_2025[[#This Row],[Low Seed]])</f>
        <v>Seed 122 vs 135</v>
      </c>
      <c r="B136" s="115">
        <v>134</v>
      </c>
      <c r="C136" s="115">
        <f>FLOOR(LOG(SotY_2025[[#This Row],[Num]], 2), 1)</f>
        <v>7</v>
      </c>
      <c r="D136" s="115">
        <f>2^(SotY_2025[[#This Row],[Round]]+1)</f>
        <v>256</v>
      </c>
      <c r="E136" s="115">
        <f>SotY_2025[[#This Row],[Max Seed]]-SotY_2025[[#This Row],[Num]]</f>
        <v>122</v>
      </c>
      <c r="F136" s="115">
        <f>SotY_2025[[#This Row],[Max Seed]]-SotY_2025[[#This Row],[Top Seed]]+1</f>
        <v>135</v>
      </c>
      <c r="G136" s="115" t="b">
        <f>IF(SotY_2025[[#This Row],[Round]]=$C$1, TRUE(), IF(SotY_2025[[#This Row],[Round]]=$B$1, SotY_2025[[#This Row],[Top Seed]]&lt;=2*SotY_2025[[#This Row],[Max Seed]]-$A$1, FALSE()))</f>
        <v>1</v>
      </c>
      <c r="H136" s="115" t="b">
        <f>IF(SotY_2025[[#This Row],[Round]]=$C$1, TRUE(), IF(SotY_2025[[#This Row],[Round]]=$B$1, SotY_2025[[#This Row],[Low Seed]]&lt;=2*SotY_2025[[#This Row],[Max Seed]]-$A$1, FALSE()))</f>
        <v>1</v>
      </c>
      <c r="I136" s="187" t="s">
        <v>4191</v>
      </c>
      <c r="J136" s="188" t="s">
        <v>4191</v>
      </c>
      <c r="K136" s="189" t="s">
        <v>4191</v>
      </c>
      <c r="L136" s="190"/>
      <c r="M136" s="191" t="s">
        <v>4191</v>
      </c>
      <c r="N13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Rather Be</v>
      </c>
      <c r="O136" s="105">
        <f>COUNTIF(SotY_2025[[#This Row],[J]:[H]],"x")</f>
        <v>4</v>
      </c>
      <c r="P136" s="115" t="str">
        <f ca="1">IF(SotY_2025[[#This Row],[Num]]&gt;=$A$1, "-", IF(SotY_2025[[#This Row],[Score 1]]&gt;=3, SotY_2025[[#This Row],[Song 1]], IF(SotY_2025[[#This Row],[Score 2]]&gt;=3, SotY_2025[[#This Row],[Song 2]], "TBD")))</f>
        <v>Rather Be</v>
      </c>
      <c r="Q136" s="193">
        <f>COUNTIF(SotY_2025[[#This Row],[H ]:[J ]],"x")</f>
        <v>1</v>
      </c>
      <c r="R13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Rodeo Clown</v>
      </c>
      <c r="S136" s="191"/>
      <c r="T136" s="190" t="s">
        <v>4191</v>
      </c>
      <c r="U136" s="189"/>
      <c r="V136" s="188"/>
      <c r="W136" s="198"/>
      <c r="X13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36" s="109">
        <f t="shared" si="6"/>
        <v>127</v>
      </c>
      <c r="AA136" s="59">
        <v>45896</v>
      </c>
      <c r="AB136" t="str">
        <v>currydestroyer27</v>
      </c>
      <c r="AC136" s="3">
        <v>2.2000000000000002</v>
      </c>
      <c r="AD136" s="3">
        <v>1.6</v>
      </c>
      <c r="AE136" t="str">
        <v>Simple And Clean</v>
      </c>
      <c r="AF136" t="str">
        <v>Hikaru Utada</v>
      </c>
      <c r="AG136" s="100">
        <f t="shared" si="7"/>
        <v>65</v>
      </c>
      <c r="AI136" s="114">
        <f>SotY_2025[[#This Row],[Max Seed]]/2 + 1</f>
        <v>129</v>
      </c>
      <c r="AJ136" s="105" t="str">
        <f ca="1">IF(SotY_2025[[#This Row],[Num]]&gt;=$A$1, "-", IF(SotY_2025[[#This Row],[Score 1]]&gt;=3, SotY_2025[[#This Row],[Song 2]], IF(SotY_2025[[#This Row],[Score 2]]&gt;=3, SotY_2025[[#This Row],[Song 1]], "TBD")))</f>
        <v>Rodeo Clown</v>
      </c>
      <c r="AK136" s="115">
        <f ca="1">IFERROR(VLOOKUP(SotY_2025_Results[[#This Row],[Song Title]], $AE$2:$AG$200, 3, FALSE)-SotY_2025_Results[[#This Row],[Result]], "TBD")</f>
        <v>0</v>
      </c>
      <c r="AL136" s="112" t="str">
        <f ca="1">IF(SotY_2025_Results[[#This Row],[Diff]]&lt;0,"↓",IF(SotY_2025_Results[[#This Row],[Diff]]=0,"-","↑"))</f>
        <v>-</v>
      </c>
    </row>
    <row r="137" spans="1:38">
      <c r="A137" s="197" t="str">
        <f>_xlfn.CONCAT("Seed ", SotY_2025[[#This Row],[Top Seed]], " vs ", SotY_2025[[#This Row],[Low Seed]])</f>
        <v>Seed 121 vs 136</v>
      </c>
      <c r="B137" s="115">
        <v>135</v>
      </c>
      <c r="C137" s="115">
        <f>FLOOR(LOG(SotY_2025[[#This Row],[Num]], 2), 1)</f>
        <v>7</v>
      </c>
      <c r="D137" s="115">
        <f>2^(SotY_2025[[#This Row],[Round]]+1)</f>
        <v>256</v>
      </c>
      <c r="E137" s="115">
        <f>SotY_2025[[#This Row],[Max Seed]]-SotY_2025[[#This Row],[Num]]</f>
        <v>121</v>
      </c>
      <c r="F137" s="115">
        <f>SotY_2025[[#This Row],[Max Seed]]-SotY_2025[[#This Row],[Top Seed]]+1</f>
        <v>136</v>
      </c>
      <c r="G137" s="115" t="b">
        <f>IF(SotY_2025[[#This Row],[Round]]=$C$1, TRUE(), IF(SotY_2025[[#This Row],[Round]]=$B$1, SotY_2025[[#This Row],[Top Seed]]&lt;=2*SotY_2025[[#This Row],[Max Seed]]-$A$1, FALSE()))</f>
        <v>1</v>
      </c>
      <c r="H137" s="115" t="b">
        <f>IF(SotY_2025[[#This Row],[Round]]=$C$1, TRUE(), IF(SotY_2025[[#This Row],[Round]]=$B$1, SotY_2025[[#This Row],[Low Seed]]&lt;=2*SotY_2025[[#This Row],[Max Seed]]-$A$1, FALSE()))</f>
        <v>1</v>
      </c>
      <c r="I137" s="187" t="s">
        <v>4191</v>
      </c>
      <c r="J137" s="188"/>
      <c r="K137" s="189"/>
      <c r="L137" s="190"/>
      <c r="M137" s="191" t="s">
        <v>4191</v>
      </c>
      <c r="N13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Actor</v>
      </c>
      <c r="O137" s="105">
        <f>COUNTIF(SotY_2025[[#This Row],[J]:[H]],"x")</f>
        <v>2</v>
      </c>
      <c r="P137" s="115" t="str">
        <f ca="1">IF(SotY_2025[[#This Row],[Num]]&gt;=$A$1, "-", IF(SotY_2025[[#This Row],[Score 1]]&gt;=3, SotY_2025[[#This Row],[Song 1]], IF(SotY_2025[[#This Row],[Score 2]]&gt;=3, SotY_2025[[#This Row],[Song 2]], "TBD")))</f>
        <v>PASAJERO</v>
      </c>
      <c r="Q137" s="193">
        <f>COUNTIF(SotY_2025[[#This Row],[H ]:[J ]],"x")</f>
        <v>3</v>
      </c>
      <c r="R13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PASAJERO</v>
      </c>
      <c r="S137" s="191"/>
      <c r="T137" s="190" t="s">
        <v>4191</v>
      </c>
      <c r="U137" s="189" t="s">
        <v>4191</v>
      </c>
      <c r="V137" s="188" t="s">
        <v>4191</v>
      </c>
      <c r="W137" s="198"/>
      <c r="X13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37" s="109">
        <f t="shared" si="6"/>
        <v>120</v>
      </c>
      <c r="AA137" s="59">
        <v>45897</v>
      </c>
      <c r="AB137" t="str">
        <v>danram</v>
      </c>
      <c r="AC137" s="3">
        <v>2.2000000000000002</v>
      </c>
      <c r="AD137" s="3">
        <v>1.1661903789690602</v>
      </c>
      <c r="AE137" t="str">
        <v>KLOuFRENS</v>
      </c>
      <c r="AF137" t="str">
        <v>Bad Bunny</v>
      </c>
      <c r="AG137" s="100">
        <f t="shared" si="7"/>
        <v>65</v>
      </c>
      <c r="AI137" s="114">
        <f>SotY_2025[[#This Row],[Max Seed]]/2 + 1</f>
        <v>129</v>
      </c>
      <c r="AJ137" s="105" t="str">
        <f ca="1">IF(SotY_2025[[#This Row],[Num]]&gt;=$A$1, "-", IF(SotY_2025[[#This Row],[Score 1]]&gt;=3, SotY_2025[[#This Row],[Song 2]], IF(SotY_2025[[#This Row],[Score 2]]&gt;=3, SotY_2025[[#This Row],[Song 1]], "TBD")))</f>
        <v>Actor</v>
      </c>
      <c r="AK137" s="115">
        <f ca="1">IFERROR(VLOOKUP(SotY_2025_Results[[#This Row],[Song Title]], $AE$2:$AG$200, 3, FALSE)-SotY_2025_Results[[#This Row],[Result]], "TBD")</f>
        <v>-64</v>
      </c>
      <c r="AL137" s="112" t="str">
        <f ca="1">IF(SotY_2025_Results[[#This Row],[Diff]]&lt;0,"↓",IF(SotY_2025_Results[[#This Row],[Diff]]=0,"-","↑"))</f>
        <v>↓</v>
      </c>
    </row>
    <row r="138" spans="1:38">
      <c r="A138" s="197" t="str">
        <f>_xlfn.CONCAT("Seed ", SotY_2025[[#This Row],[Top Seed]], " vs ", SotY_2025[[#This Row],[Low Seed]])</f>
        <v>Seed 120 vs 137</v>
      </c>
      <c r="B138" s="115">
        <v>136</v>
      </c>
      <c r="C138" s="115">
        <f>FLOOR(LOG(SotY_2025[[#This Row],[Num]], 2), 1)</f>
        <v>7</v>
      </c>
      <c r="D138" s="115">
        <f>2^(SotY_2025[[#This Row],[Round]]+1)</f>
        <v>256</v>
      </c>
      <c r="E138" s="115">
        <f>SotY_2025[[#This Row],[Max Seed]]-SotY_2025[[#This Row],[Num]]</f>
        <v>120</v>
      </c>
      <c r="F138" s="115">
        <f>SotY_2025[[#This Row],[Max Seed]]-SotY_2025[[#This Row],[Top Seed]]+1</f>
        <v>137</v>
      </c>
      <c r="G138" s="115" t="b">
        <f>IF(SotY_2025[[#This Row],[Round]]=$C$1, TRUE(), IF(SotY_2025[[#This Row],[Round]]=$B$1, SotY_2025[[#This Row],[Top Seed]]&lt;=2*SotY_2025[[#This Row],[Max Seed]]-$A$1, FALSE()))</f>
        <v>1</v>
      </c>
      <c r="H138" s="115" t="b">
        <f>IF(SotY_2025[[#This Row],[Round]]=$C$1, TRUE(), IF(SotY_2025[[#This Row],[Round]]=$B$1, SotY_2025[[#This Row],[Low Seed]]&lt;=2*SotY_2025[[#This Row],[Max Seed]]-$A$1, FALSE()))</f>
        <v>1</v>
      </c>
      <c r="I138" s="187" t="s">
        <v>4191</v>
      </c>
      <c r="J138" s="188" t="s">
        <v>4191</v>
      </c>
      <c r="K138" s="189" t="s">
        <v>4191</v>
      </c>
      <c r="L138" s="190" t="s">
        <v>4191</v>
      </c>
      <c r="M138" s="191"/>
      <c r="N13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KLOuFRENS</v>
      </c>
      <c r="O138" s="105">
        <f>COUNTIF(SotY_2025[[#This Row],[J]:[H]],"x")</f>
        <v>4</v>
      </c>
      <c r="P138" s="115" t="str">
        <f ca="1">IF(SotY_2025[[#This Row],[Num]]&gt;=$A$1, "-", IF(SotY_2025[[#This Row],[Score 1]]&gt;=3, SotY_2025[[#This Row],[Song 1]], IF(SotY_2025[[#This Row],[Score 2]]&gt;=3, SotY_2025[[#This Row],[Song 2]], "TBD")))</f>
        <v>KLOuFRENS</v>
      </c>
      <c r="Q138" s="193">
        <f>COUNTIF(SotY_2025[[#This Row],[H ]:[J ]],"x")</f>
        <v>1</v>
      </c>
      <c r="R13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drive ME crazy!</v>
      </c>
      <c r="S138" s="191" t="s">
        <v>4191</v>
      </c>
      <c r="T138" s="190"/>
      <c r="U138" s="189"/>
      <c r="V138" s="188"/>
      <c r="W138" s="198"/>
      <c r="X13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38" s="109">
        <f t="shared" si="6"/>
        <v>124</v>
      </c>
      <c r="AA138" s="59">
        <v>45902</v>
      </c>
      <c r="AB138" t="str">
        <v>loganworsdell</v>
      </c>
      <c r="AC138" s="3">
        <v>2.2000000000000002</v>
      </c>
      <c r="AD138" s="3">
        <v>1.4696938456699069</v>
      </c>
      <c r="AE138" t="str">
        <v>São Paulo</v>
      </c>
      <c r="AF138" t="str">
        <v>The Weekend, Anitta</v>
      </c>
      <c r="AG138" s="100">
        <f t="shared" si="7"/>
        <v>65</v>
      </c>
      <c r="AI138" s="114">
        <f>SotY_2025[[#This Row],[Max Seed]]/2 + 1</f>
        <v>129</v>
      </c>
      <c r="AJ138" s="105" t="str">
        <f ca="1">IF(SotY_2025[[#This Row],[Num]]&gt;=$A$1, "-", IF(SotY_2025[[#This Row],[Score 1]]&gt;=3, SotY_2025[[#This Row],[Song 2]], IF(SotY_2025[[#This Row],[Score 2]]&gt;=3, SotY_2025[[#This Row],[Song 1]], "TBD")))</f>
        <v>drive ME crazy!</v>
      </c>
      <c r="AK138" s="115">
        <f ca="1">IFERROR(VLOOKUP(SotY_2025_Results[[#This Row],[Song Title]], $AE$2:$AG$200, 3, FALSE)-SotY_2025_Results[[#This Row],[Result]], "TBD")</f>
        <v>0</v>
      </c>
      <c r="AL138" s="112" t="str">
        <f ca="1">IF(SotY_2025_Results[[#This Row],[Diff]]&lt;0,"↓",IF(SotY_2025_Results[[#This Row],[Diff]]=0,"-","↑"))</f>
        <v>-</v>
      </c>
    </row>
    <row r="139" spans="1:38">
      <c r="A139" s="197" t="str">
        <f>_xlfn.CONCAT("Seed ", SotY_2025[[#This Row],[Top Seed]], " vs ", SotY_2025[[#This Row],[Low Seed]])</f>
        <v>Seed 119 vs 138</v>
      </c>
      <c r="B139" s="115">
        <v>137</v>
      </c>
      <c r="C139" s="115">
        <f>FLOOR(LOG(SotY_2025[[#This Row],[Num]], 2), 1)</f>
        <v>7</v>
      </c>
      <c r="D139" s="115">
        <f>2^(SotY_2025[[#This Row],[Round]]+1)</f>
        <v>256</v>
      </c>
      <c r="E139" s="115">
        <f>SotY_2025[[#This Row],[Max Seed]]-SotY_2025[[#This Row],[Num]]</f>
        <v>119</v>
      </c>
      <c r="F139" s="115">
        <f>SotY_2025[[#This Row],[Max Seed]]-SotY_2025[[#This Row],[Top Seed]]+1</f>
        <v>138</v>
      </c>
      <c r="G139" s="115" t="b">
        <f>IF(SotY_2025[[#This Row],[Round]]=$C$1, TRUE(), IF(SotY_2025[[#This Row],[Round]]=$B$1, SotY_2025[[#This Row],[Top Seed]]&lt;=2*SotY_2025[[#This Row],[Max Seed]]-$A$1, FALSE()))</f>
        <v>1</v>
      </c>
      <c r="H139" s="115" t="b">
        <f>IF(SotY_2025[[#This Row],[Round]]=$C$1, TRUE(), IF(SotY_2025[[#This Row],[Round]]=$B$1, SotY_2025[[#This Row],[Low Seed]]&lt;=2*SotY_2025[[#This Row],[Max Seed]]-$A$1, FALSE()))</f>
        <v>1</v>
      </c>
      <c r="I139" s="187"/>
      <c r="J139" s="188" t="s">
        <v>4191</v>
      </c>
      <c r="K139" s="189"/>
      <c r="L139" s="190"/>
      <c r="M139" s="191" t="s">
        <v>4191</v>
      </c>
      <c r="N13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TOXIC</v>
      </c>
      <c r="O139" s="105">
        <f>COUNTIF(SotY_2025[[#This Row],[J]:[H]],"x")</f>
        <v>2</v>
      </c>
      <c r="P139" s="115" t="str">
        <f ca="1">IF(SotY_2025[[#This Row],[Num]]&gt;=$A$1, "-", IF(SotY_2025[[#This Row],[Score 1]]&gt;=3, SotY_2025[[#This Row],[Song 1]], IF(SotY_2025[[#This Row],[Score 2]]&gt;=3, SotY_2025[[#This Row],[Song 2]], "TBD")))</f>
        <v>Soul Makossa</v>
      </c>
      <c r="Q139" s="193">
        <f>COUNTIF(SotY_2025[[#This Row],[H ]:[J ]],"x")</f>
        <v>3</v>
      </c>
      <c r="R13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Soul Makossa</v>
      </c>
      <c r="S139" s="191"/>
      <c r="T139" s="190" t="s">
        <v>4191</v>
      </c>
      <c r="U139" s="189" t="s">
        <v>4191</v>
      </c>
      <c r="V139" s="188"/>
      <c r="W139" s="198" t="s">
        <v>4191</v>
      </c>
      <c r="X13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39" s="109">
        <f t="shared" si="6"/>
        <v>192</v>
      </c>
      <c r="AA139" s="59">
        <v>45903</v>
      </c>
      <c r="AB139" t="str">
        <v>currydestroyer27</v>
      </c>
      <c r="AC139" s="3">
        <v>2.6</v>
      </c>
      <c r="AD139" s="3">
        <v>1.3564659966250536</v>
      </c>
      <c r="AE139" t="str">
        <v>Last Memory</v>
      </c>
      <c r="AF139" t="str">
        <v>Takeoff</v>
      </c>
      <c r="AG139" s="100">
        <f t="shared" si="7"/>
        <v>129</v>
      </c>
      <c r="AI139" s="114">
        <f>SotY_2025[[#This Row],[Max Seed]]/2 + 1</f>
        <v>129</v>
      </c>
      <c r="AJ139" s="105" t="str">
        <f ca="1">IF(SotY_2025[[#This Row],[Num]]&gt;=$A$1, "-", IF(SotY_2025[[#This Row],[Score 1]]&gt;=3, SotY_2025[[#This Row],[Song 2]], IF(SotY_2025[[#This Row],[Score 2]]&gt;=3, SotY_2025[[#This Row],[Song 1]], "TBD")))</f>
        <v>TOXIC</v>
      </c>
      <c r="AK139" s="115">
        <f ca="1">IFERROR(VLOOKUP(SotY_2025_Results[[#This Row],[Song Title]], $AE$2:$AG$200, 3, FALSE)-SotY_2025_Results[[#This Row],[Result]], "TBD")</f>
        <v>-64</v>
      </c>
      <c r="AL139" s="112" t="str">
        <f ca="1">IF(SotY_2025_Results[[#This Row],[Diff]]&lt;0,"↓",IF(SotY_2025_Results[[#This Row],[Diff]]=0,"-","↑"))</f>
        <v>↓</v>
      </c>
    </row>
    <row r="140" spans="1:38">
      <c r="A140" s="197" t="str">
        <f>_xlfn.CONCAT("Seed ", SotY_2025[[#This Row],[Top Seed]], " vs ", SotY_2025[[#This Row],[Low Seed]])</f>
        <v>Seed 118 vs 139</v>
      </c>
      <c r="B140" s="115">
        <v>138</v>
      </c>
      <c r="C140" s="115">
        <f>FLOOR(LOG(SotY_2025[[#This Row],[Num]], 2), 1)</f>
        <v>7</v>
      </c>
      <c r="D140" s="115">
        <f>2^(SotY_2025[[#This Row],[Round]]+1)</f>
        <v>256</v>
      </c>
      <c r="E140" s="115">
        <f>SotY_2025[[#This Row],[Max Seed]]-SotY_2025[[#This Row],[Num]]</f>
        <v>118</v>
      </c>
      <c r="F140" s="115">
        <f>SotY_2025[[#This Row],[Max Seed]]-SotY_2025[[#This Row],[Top Seed]]+1</f>
        <v>139</v>
      </c>
      <c r="G140" s="115" t="b">
        <f>IF(SotY_2025[[#This Row],[Round]]=$C$1, TRUE(), IF(SotY_2025[[#This Row],[Round]]=$B$1, SotY_2025[[#This Row],[Top Seed]]&lt;=2*SotY_2025[[#This Row],[Max Seed]]-$A$1, FALSE()))</f>
        <v>1</v>
      </c>
      <c r="H140" s="115" t="b">
        <f>IF(SotY_2025[[#This Row],[Round]]=$C$1, TRUE(), IF(SotY_2025[[#This Row],[Round]]=$B$1, SotY_2025[[#This Row],[Low Seed]]&lt;=2*SotY_2025[[#This Row],[Max Seed]]-$A$1, FALSE()))</f>
        <v>1</v>
      </c>
      <c r="I140" s="187"/>
      <c r="J140" s="188"/>
      <c r="K140" s="189"/>
      <c r="L140" s="190"/>
      <c r="M140" s="191" t="s">
        <v>4191</v>
      </c>
      <c r="N14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Laugh Now Cry Later (feat. Lil Durk)</v>
      </c>
      <c r="O140" s="105">
        <f>COUNTIF(SotY_2025[[#This Row],[J]:[H]],"x")</f>
        <v>1</v>
      </c>
      <c r="P140" s="115" t="str">
        <f ca="1">IF(SotY_2025[[#This Row],[Num]]&gt;=$A$1, "-", IF(SotY_2025[[#This Row],[Score 1]]&gt;=3, SotY_2025[[#This Row],[Song 1]], IF(SotY_2025[[#This Row],[Score 2]]&gt;=3, SotY_2025[[#This Row],[Song 2]], "TBD")))</f>
        <v>Malas Decisiones</v>
      </c>
      <c r="Q140" s="193">
        <f>COUNTIF(SotY_2025[[#This Row],[H ]:[J ]],"x")</f>
        <v>4</v>
      </c>
      <c r="R14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Malas Decisiones</v>
      </c>
      <c r="S140" s="191"/>
      <c r="T140" s="190" t="s">
        <v>4191</v>
      </c>
      <c r="U140" s="189" t="s">
        <v>4191</v>
      </c>
      <c r="V140" s="188" t="s">
        <v>4191</v>
      </c>
      <c r="W140" s="198" t="s">
        <v>4191</v>
      </c>
      <c r="X14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40" s="109">
        <f t="shared" si="6"/>
        <v>20</v>
      </c>
      <c r="AA140" s="59">
        <v>45904</v>
      </c>
      <c r="AB140" t="str">
        <v>currydestroyer27</v>
      </c>
      <c r="AC140" s="3">
        <v>1.8</v>
      </c>
      <c r="AD140" s="3">
        <v>0.4</v>
      </c>
      <c r="AE140" t="str">
        <v>Maps</v>
      </c>
      <c r="AF140" t="str">
        <v>Maroon 5</v>
      </c>
      <c r="AG140" s="100">
        <f t="shared" si="7"/>
        <v>17</v>
      </c>
      <c r="AI140" s="114">
        <f>SotY_2025[[#This Row],[Max Seed]]/2 + 1</f>
        <v>129</v>
      </c>
      <c r="AJ140" s="105" t="str">
        <f ca="1">IF(SotY_2025[[#This Row],[Num]]&gt;=$A$1, "-", IF(SotY_2025[[#This Row],[Score 1]]&gt;=3, SotY_2025[[#This Row],[Song 2]], IF(SotY_2025[[#This Row],[Score 2]]&gt;=3, SotY_2025[[#This Row],[Song 1]], "TBD")))</f>
        <v>Laugh Now Cry Later (feat. Lil Durk)</v>
      </c>
      <c r="AK140" s="115">
        <f ca="1">IFERROR(VLOOKUP(SotY_2025_Results[[#This Row],[Song Title]], $AE$2:$AG$200, 3, FALSE)-SotY_2025_Results[[#This Row],[Result]], "TBD")</f>
        <v>-64</v>
      </c>
      <c r="AL140" s="112" t="str">
        <f ca="1">IF(SotY_2025_Results[[#This Row],[Diff]]&lt;0,"↓",IF(SotY_2025_Results[[#This Row],[Diff]]=0,"-","↑"))</f>
        <v>↓</v>
      </c>
    </row>
    <row r="141" spans="1:38">
      <c r="A141" s="197" t="str">
        <f>_xlfn.CONCAT("Seed ", SotY_2025[[#This Row],[Top Seed]], " vs ", SotY_2025[[#This Row],[Low Seed]])</f>
        <v>Seed 117 vs 140</v>
      </c>
      <c r="B141" s="115">
        <v>139</v>
      </c>
      <c r="C141" s="115">
        <f>FLOOR(LOG(SotY_2025[[#This Row],[Num]], 2), 1)</f>
        <v>7</v>
      </c>
      <c r="D141" s="115">
        <f>2^(SotY_2025[[#This Row],[Round]]+1)</f>
        <v>256</v>
      </c>
      <c r="E141" s="115">
        <f>SotY_2025[[#This Row],[Max Seed]]-SotY_2025[[#This Row],[Num]]</f>
        <v>117</v>
      </c>
      <c r="F141" s="115">
        <f>SotY_2025[[#This Row],[Max Seed]]-SotY_2025[[#This Row],[Top Seed]]+1</f>
        <v>140</v>
      </c>
      <c r="G141" s="115" t="b">
        <f>IF(SotY_2025[[#This Row],[Round]]=$C$1, TRUE(), IF(SotY_2025[[#This Row],[Round]]=$B$1, SotY_2025[[#This Row],[Top Seed]]&lt;=2*SotY_2025[[#This Row],[Max Seed]]-$A$1, FALSE()))</f>
        <v>1</v>
      </c>
      <c r="H141" s="115" t="b">
        <f>IF(SotY_2025[[#This Row],[Round]]=$C$1, TRUE(), IF(SotY_2025[[#This Row],[Round]]=$B$1, SotY_2025[[#This Row],[Low Seed]]&lt;=2*SotY_2025[[#This Row],[Max Seed]]-$A$1, FALSE()))</f>
        <v>1</v>
      </c>
      <c r="I141" s="187"/>
      <c r="J141" s="188"/>
      <c r="K141" s="189" t="s">
        <v>4191</v>
      </c>
      <c r="L141" s="190" t="s">
        <v>4191</v>
      </c>
      <c r="M141" s="191"/>
      <c r="N14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LOOK OUT FOR ME</v>
      </c>
      <c r="O141" s="105">
        <f>COUNTIF(SotY_2025[[#This Row],[J]:[H]],"x")</f>
        <v>2</v>
      </c>
      <c r="P141" s="115" t="str">
        <f ca="1">IF(SotY_2025[[#This Row],[Num]]&gt;=$A$1, "-", IF(SotY_2025[[#This Row],[Score 1]]&gt;=3, SotY_2025[[#This Row],[Song 1]], IF(SotY_2025[[#This Row],[Score 2]]&gt;=3, SotY_2025[[#This Row],[Song 2]], "TBD")))</f>
        <v>Born Again</v>
      </c>
      <c r="Q141" s="193">
        <f>COUNTIF(SotY_2025[[#This Row],[H ]:[J ]],"x")</f>
        <v>3</v>
      </c>
      <c r="R14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Born Again</v>
      </c>
      <c r="S141" s="191" t="s">
        <v>4191</v>
      </c>
      <c r="T141" s="190"/>
      <c r="U141" s="189"/>
      <c r="V141" s="188" t="s">
        <v>4191</v>
      </c>
      <c r="W141" s="198" t="s">
        <v>4191</v>
      </c>
      <c r="X14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41" s="109">
        <f t="shared" si="6"/>
        <v>35</v>
      </c>
      <c r="AA141" s="59">
        <v>45908</v>
      </c>
      <c r="AB141" t="str">
        <v>samuelbattista</v>
      </c>
      <c r="AC141" s="3">
        <v>1.8</v>
      </c>
      <c r="AD141" s="3">
        <v>0.9797958971132712</v>
      </c>
      <c r="AE141" t="str">
        <v>Politix</v>
      </c>
      <c r="AF141" t="str">
        <v>Balu Brigada</v>
      </c>
      <c r="AG141" s="100">
        <f t="shared" si="7"/>
        <v>33</v>
      </c>
      <c r="AI141" s="114">
        <f>SotY_2025[[#This Row],[Max Seed]]/2 + 1</f>
        <v>129</v>
      </c>
      <c r="AJ141" s="105" t="str">
        <f ca="1">IF(SotY_2025[[#This Row],[Num]]&gt;=$A$1, "-", IF(SotY_2025[[#This Row],[Score 1]]&gt;=3, SotY_2025[[#This Row],[Song 2]], IF(SotY_2025[[#This Row],[Score 2]]&gt;=3, SotY_2025[[#This Row],[Song 1]], "TBD")))</f>
        <v>LOOK OUT FOR ME</v>
      </c>
      <c r="AK141" s="115">
        <f ca="1">IFERROR(VLOOKUP(SotY_2025_Results[[#This Row],[Song Title]], $AE$2:$AG$200, 3, FALSE)-SotY_2025_Results[[#This Row],[Result]], "TBD")</f>
        <v>-64</v>
      </c>
      <c r="AL141" s="112" t="str">
        <f ca="1">IF(SotY_2025_Results[[#This Row],[Diff]]&lt;0,"↓",IF(SotY_2025_Results[[#This Row],[Diff]]=0,"-","↑"))</f>
        <v>↓</v>
      </c>
    </row>
    <row r="142" spans="1:38">
      <c r="A142" s="197" t="str">
        <f>_xlfn.CONCAT("Seed ", SotY_2025[[#This Row],[Top Seed]], " vs ", SotY_2025[[#This Row],[Low Seed]])</f>
        <v>Seed 116 vs 141</v>
      </c>
      <c r="B142" s="115">
        <v>140</v>
      </c>
      <c r="C142" s="115">
        <f>FLOOR(LOG(SotY_2025[[#This Row],[Num]], 2), 1)</f>
        <v>7</v>
      </c>
      <c r="D142" s="115">
        <f>2^(SotY_2025[[#This Row],[Round]]+1)</f>
        <v>256</v>
      </c>
      <c r="E142" s="115">
        <f>SotY_2025[[#This Row],[Max Seed]]-SotY_2025[[#This Row],[Num]]</f>
        <v>116</v>
      </c>
      <c r="F142" s="115">
        <f>SotY_2025[[#This Row],[Max Seed]]-SotY_2025[[#This Row],[Top Seed]]+1</f>
        <v>141</v>
      </c>
      <c r="G142" s="115" t="b">
        <f>IF(SotY_2025[[#This Row],[Round]]=$C$1, TRUE(), IF(SotY_2025[[#This Row],[Round]]=$B$1, SotY_2025[[#This Row],[Top Seed]]&lt;=2*SotY_2025[[#This Row],[Max Seed]]-$A$1, FALSE()))</f>
        <v>1</v>
      </c>
      <c r="H142" s="115" t="b">
        <f>IF(SotY_2025[[#This Row],[Round]]=$C$1, TRUE(), IF(SotY_2025[[#This Row],[Round]]=$B$1, SotY_2025[[#This Row],[Low Seed]]&lt;=2*SotY_2025[[#This Row],[Max Seed]]-$A$1, FALSE()))</f>
        <v>1</v>
      </c>
      <c r="I142" s="187" t="s">
        <v>4191</v>
      </c>
      <c r="J142" s="188" t="s">
        <v>4191</v>
      </c>
      <c r="K142" s="189" t="s">
        <v>4191</v>
      </c>
      <c r="L142" s="190" t="s">
        <v>4191</v>
      </c>
      <c r="M142" s="191" t="s">
        <v>4191</v>
      </c>
      <c r="N14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BedRock</v>
      </c>
      <c r="O142" s="105">
        <f>COUNTIF(SotY_2025[[#This Row],[J]:[H]],"x")</f>
        <v>5</v>
      </c>
      <c r="P142" s="115" t="str">
        <f ca="1">IF(SotY_2025[[#This Row],[Num]]&gt;=$A$1, "-", IF(SotY_2025[[#This Row],[Score 1]]&gt;=3, SotY_2025[[#This Row],[Song 1]], IF(SotY_2025[[#This Row],[Score 2]]&gt;=3, SotY_2025[[#This Row],[Song 2]], "TBD")))</f>
        <v>BedRock</v>
      </c>
      <c r="Q142" s="193">
        <f>COUNTIF(SotY_2025[[#This Row],[H ]:[J ]],"x")</f>
        <v>0</v>
      </c>
      <c r="R14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shhhhhhh...</v>
      </c>
      <c r="S142" s="191"/>
      <c r="T142" s="190"/>
      <c r="U142" s="189"/>
      <c r="V142" s="188"/>
      <c r="W142" s="198"/>
      <c r="X14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42" s="109">
        <f t="shared" si="6"/>
        <v>183</v>
      </c>
      <c r="AA142" s="59">
        <v>45909</v>
      </c>
      <c r="AB142" t="str">
        <v>danram</v>
      </c>
      <c r="AC142" s="3">
        <v>2.6</v>
      </c>
      <c r="AD142" s="3">
        <v>1.019803902718557</v>
      </c>
      <c r="AE142" t="str">
        <v>on one tonight</v>
      </c>
      <c r="AF142" t="str">
        <v>Gunna</v>
      </c>
      <c r="AG142" s="100">
        <f t="shared" si="7"/>
        <v>129</v>
      </c>
      <c r="AI142" s="114">
        <f>SotY_2025[[#This Row],[Max Seed]]/2 + 1</f>
        <v>129</v>
      </c>
      <c r="AJ142" s="105" t="str">
        <f ca="1">IF(SotY_2025[[#This Row],[Num]]&gt;=$A$1, "-", IF(SotY_2025[[#This Row],[Score 1]]&gt;=3, SotY_2025[[#This Row],[Song 2]], IF(SotY_2025[[#This Row],[Score 2]]&gt;=3, SotY_2025[[#This Row],[Song 1]], "TBD")))</f>
        <v>shhhhhhh...</v>
      </c>
      <c r="AK142" s="115">
        <f ca="1">IFERROR(VLOOKUP(SotY_2025_Results[[#This Row],[Song Title]], $AE$2:$AG$200, 3, FALSE)-SotY_2025_Results[[#This Row],[Result]], "TBD")</f>
        <v>0</v>
      </c>
      <c r="AL142" s="112" t="str">
        <f ca="1">IF(SotY_2025_Results[[#This Row],[Diff]]&lt;0,"↓",IF(SotY_2025_Results[[#This Row],[Diff]]=0,"-","↑"))</f>
        <v>-</v>
      </c>
    </row>
    <row r="143" spans="1:38">
      <c r="A143" s="197" t="str">
        <f>_xlfn.CONCAT("Seed ", SotY_2025[[#This Row],[Top Seed]], " vs ", SotY_2025[[#This Row],[Low Seed]])</f>
        <v>Seed 115 vs 142</v>
      </c>
      <c r="B143" s="115">
        <v>141</v>
      </c>
      <c r="C143" s="115">
        <f>FLOOR(LOG(SotY_2025[[#This Row],[Num]], 2), 1)</f>
        <v>7</v>
      </c>
      <c r="D143" s="115">
        <f>2^(SotY_2025[[#This Row],[Round]]+1)</f>
        <v>256</v>
      </c>
      <c r="E143" s="115">
        <f>SotY_2025[[#This Row],[Max Seed]]-SotY_2025[[#This Row],[Num]]</f>
        <v>115</v>
      </c>
      <c r="F143" s="115">
        <f>SotY_2025[[#This Row],[Max Seed]]-SotY_2025[[#This Row],[Top Seed]]+1</f>
        <v>142</v>
      </c>
      <c r="G143" s="115" t="b">
        <f>IF(SotY_2025[[#This Row],[Round]]=$C$1, TRUE(), IF(SotY_2025[[#This Row],[Round]]=$B$1, SotY_2025[[#This Row],[Top Seed]]&lt;=2*SotY_2025[[#This Row],[Max Seed]]-$A$1, FALSE()))</f>
        <v>1</v>
      </c>
      <c r="H143" s="115" t="b">
        <f>IF(SotY_2025[[#This Row],[Round]]=$C$1, TRUE(), IF(SotY_2025[[#This Row],[Round]]=$B$1, SotY_2025[[#This Row],[Low Seed]]&lt;=2*SotY_2025[[#This Row],[Max Seed]]-$A$1, FALSE()))</f>
        <v>1</v>
      </c>
      <c r="I143" s="187"/>
      <c r="J143" s="188"/>
      <c r="K143" s="189"/>
      <c r="L143" s="190" t="s">
        <v>4191</v>
      </c>
      <c r="M143" s="191"/>
      <c r="N14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No Rain, No Flowers</v>
      </c>
      <c r="O143" s="105">
        <f>COUNTIF(SotY_2025[[#This Row],[J]:[H]],"x")</f>
        <v>1</v>
      </c>
      <c r="P143" s="115" t="str">
        <f ca="1">IF(SotY_2025[[#This Row],[Num]]&gt;=$A$1, "-", IF(SotY_2025[[#This Row],[Score 1]]&gt;=3, SotY_2025[[#This Row],[Song 1]], IF(SotY_2025[[#This Row],[Score 2]]&gt;=3, SotY_2025[[#This Row],[Song 2]], "TBD")))</f>
        <v>Fire in the belly</v>
      </c>
      <c r="Q143" s="193">
        <f>COUNTIF(SotY_2025[[#This Row],[H ]:[J ]],"x")</f>
        <v>4</v>
      </c>
      <c r="R14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Fire in the belly</v>
      </c>
      <c r="S143" s="191" t="s">
        <v>4191</v>
      </c>
      <c r="T143" s="190"/>
      <c r="U143" s="189" t="s">
        <v>4191</v>
      </c>
      <c r="V143" s="188" t="s">
        <v>4191</v>
      </c>
      <c r="W143" s="198" t="s">
        <v>4191</v>
      </c>
      <c r="X14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43" s="109">
        <f t="shared" si="6"/>
        <v>92</v>
      </c>
      <c r="AA143" s="59">
        <v>45910</v>
      </c>
      <c r="AB143" t="str">
        <v>danram</v>
      </c>
      <c r="AC143" s="3">
        <v>2.2000000000000002</v>
      </c>
      <c r="AD143" s="3">
        <v>0.74833147735478833</v>
      </c>
      <c r="AE143" t="str">
        <v>Headlines</v>
      </c>
      <c r="AF143" t="str">
        <v>Drake</v>
      </c>
      <c r="AG143" s="100">
        <f t="shared" si="7"/>
        <v>65</v>
      </c>
      <c r="AI143" s="114">
        <f>SotY_2025[[#This Row],[Max Seed]]/2 + 1</f>
        <v>129</v>
      </c>
      <c r="AJ143" s="105" t="str">
        <f ca="1">IF(SotY_2025[[#This Row],[Num]]&gt;=$A$1, "-", IF(SotY_2025[[#This Row],[Score 1]]&gt;=3, SotY_2025[[#This Row],[Song 2]], IF(SotY_2025[[#This Row],[Score 2]]&gt;=3, SotY_2025[[#This Row],[Song 1]], "TBD")))</f>
        <v>No Rain, No Flowers</v>
      </c>
      <c r="AK143" s="115">
        <f ca="1">IFERROR(VLOOKUP(SotY_2025_Results[[#This Row],[Song Title]], $AE$2:$AG$200, 3, FALSE)-SotY_2025_Results[[#This Row],[Result]], "TBD")</f>
        <v>-64</v>
      </c>
      <c r="AL143" s="112" t="str">
        <f ca="1">IF(SotY_2025_Results[[#This Row],[Diff]]&lt;0,"↓",IF(SotY_2025_Results[[#This Row],[Diff]]=0,"-","↑"))</f>
        <v>↓</v>
      </c>
    </row>
    <row r="144" spans="1:38">
      <c r="A144" s="197" t="str">
        <f>_xlfn.CONCAT("Seed ", SotY_2025[[#This Row],[Top Seed]], " vs ", SotY_2025[[#This Row],[Low Seed]])</f>
        <v>Seed 114 vs 143</v>
      </c>
      <c r="B144" s="115">
        <v>142</v>
      </c>
      <c r="C144" s="115">
        <f>FLOOR(LOG(SotY_2025[[#This Row],[Num]], 2), 1)</f>
        <v>7</v>
      </c>
      <c r="D144" s="115">
        <f>2^(SotY_2025[[#This Row],[Round]]+1)</f>
        <v>256</v>
      </c>
      <c r="E144" s="115">
        <f>SotY_2025[[#This Row],[Max Seed]]-SotY_2025[[#This Row],[Num]]</f>
        <v>114</v>
      </c>
      <c r="F144" s="115">
        <f>SotY_2025[[#This Row],[Max Seed]]-SotY_2025[[#This Row],[Top Seed]]+1</f>
        <v>143</v>
      </c>
      <c r="G144" s="115" t="b">
        <f>IF(SotY_2025[[#This Row],[Round]]=$C$1, TRUE(), IF(SotY_2025[[#This Row],[Round]]=$B$1, SotY_2025[[#This Row],[Top Seed]]&lt;=2*SotY_2025[[#This Row],[Max Seed]]-$A$1, FALSE()))</f>
        <v>1</v>
      </c>
      <c r="H144" s="115" t="b">
        <f>IF(SotY_2025[[#This Row],[Round]]=$C$1, TRUE(), IF(SotY_2025[[#This Row],[Round]]=$B$1, SotY_2025[[#This Row],[Low Seed]]&lt;=2*SotY_2025[[#This Row],[Max Seed]]-$A$1, FALSE()))</f>
        <v>1</v>
      </c>
      <c r="I144" s="187"/>
      <c r="J144" s="188" t="s">
        <v>4191</v>
      </c>
      <c r="K144" s="189" t="s">
        <v>4191</v>
      </c>
      <c r="L144" s="190" t="s">
        <v>4191</v>
      </c>
      <c r="M144" s="191" t="s">
        <v>4191</v>
      </c>
      <c r="N14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Hard Times</v>
      </c>
      <c r="O144" s="105">
        <f>COUNTIF(SotY_2025[[#This Row],[J]:[H]],"x")</f>
        <v>4</v>
      </c>
      <c r="P144" s="115" t="str">
        <f ca="1">IF(SotY_2025[[#This Row],[Num]]&gt;=$A$1, "-", IF(SotY_2025[[#This Row],[Score 1]]&gt;=3, SotY_2025[[#This Row],[Song 1]], IF(SotY_2025[[#This Row],[Score 2]]&gt;=3, SotY_2025[[#This Row],[Song 2]], "TBD")))</f>
        <v>Hard Times</v>
      </c>
      <c r="Q144" s="193">
        <f>COUNTIF(SotY_2025[[#This Row],[H ]:[J ]],"x")</f>
        <v>1</v>
      </c>
      <c r="R14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Lady</v>
      </c>
      <c r="S144" s="191"/>
      <c r="T144" s="190"/>
      <c r="U144" s="189"/>
      <c r="V144" s="188"/>
      <c r="W144" s="198" t="s">
        <v>4191</v>
      </c>
      <c r="X14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44" s="109">
        <f t="shared" si="6"/>
        <v>40</v>
      </c>
      <c r="AA144" s="59">
        <v>45911</v>
      </c>
      <c r="AB144" t="str">
        <v>samuelbattista</v>
      </c>
      <c r="AC144" s="3">
        <v>1.8</v>
      </c>
      <c r="AD144" s="3">
        <v>1.6</v>
      </c>
      <c r="AE144" t="str">
        <v>How You Remind Me</v>
      </c>
      <c r="AF144" t="str">
        <v>Nickelback</v>
      </c>
      <c r="AG144" s="100">
        <f t="shared" si="7"/>
        <v>33</v>
      </c>
      <c r="AI144" s="114">
        <f>SotY_2025[[#This Row],[Max Seed]]/2 + 1</f>
        <v>129</v>
      </c>
      <c r="AJ144" s="105" t="str">
        <f ca="1">IF(SotY_2025[[#This Row],[Num]]&gt;=$A$1, "-", IF(SotY_2025[[#This Row],[Score 1]]&gt;=3, SotY_2025[[#This Row],[Song 2]], IF(SotY_2025[[#This Row],[Score 2]]&gt;=3, SotY_2025[[#This Row],[Song 1]], "TBD")))</f>
        <v>Lady</v>
      </c>
      <c r="AK144" s="115">
        <f ca="1">IFERROR(VLOOKUP(SotY_2025_Results[[#This Row],[Song Title]], $AE$2:$AG$200, 3, FALSE)-SotY_2025_Results[[#This Row],[Result]], "TBD")</f>
        <v>0</v>
      </c>
      <c r="AL144" s="112" t="str">
        <f ca="1">IF(SotY_2025_Results[[#This Row],[Diff]]&lt;0,"↓",IF(SotY_2025_Results[[#This Row],[Diff]]=0,"-","↑"))</f>
        <v>-</v>
      </c>
    </row>
    <row r="145" spans="1:38">
      <c r="A145" s="197" t="str">
        <f>_xlfn.CONCAT("Seed ", SotY_2025[[#This Row],[Top Seed]], " vs ", SotY_2025[[#This Row],[Low Seed]])</f>
        <v>Seed 113 vs 144</v>
      </c>
      <c r="B145" s="115">
        <v>143</v>
      </c>
      <c r="C145" s="115">
        <f>FLOOR(LOG(SotY_2025[[#This Row],[Num]], 2), 1)</f>
        <v>7</v>
      </c>
      <c r="D145" s="115">
        <f>2^(SotY_2025[[#This Row],[Round]]+1)</f>
        <v>256</v>
      </c>
      <c r="E145" s="115">
        <f>SotY_2025[[#This Row],[Max Seed]]-SotY_2025[[#This Row],[Num]]</f>
        <v>113</v>
      </c>
      <c r="F145" s="115">
        <f>SotY_2025[[#This Row],[Max Seed]]-SotY_2025[[#This Row],[Top Seed]]+1</f>
        <v>144</v>
      </c>
      <c r="G145" s="115" t="b">
        <f>IF(SotY_2025[[#This Row],[Round]]=$C$1, TRUE(), IF(SotY_2025[[#This Row],[Round]]=$B$1, SotY_2025[[#This Row],[Top Seed]]&lt;=2*SotY_2025[[#This Row],[Max Seed]]-$A$1, FALSE()))</f>
        <v>1</v>
      </c>
      <c r="H145" s="115" t="b">
        <f>IF(SotY_2025[[#This Row],[Round]]=$C$1, TRUE(), IF(SotY_2025[[#This Row],[Round]]=$B$1, SotY_2025[[#This Row],[Low Seed]]&lt;=2*SotY_2025[[#This Row],[Max Seed]]-$A$1, FALSE()))</f>
        <v>1</v>
      </c>
      <c r="I145" s="187" t="s">
        <v>4191</v>
      </c>
      <c r="J145" s="188" t="s">
        <v>4191</v>
      </c>
      <c r="K145" s="189" t="s">
        <v>4191</v>
      </c>
      <c r="L145" s="190" t="s">
        <v>4191</v>
      </c>
      <c r="M145" s="191" t="s">
        <v>4191</v>
      </c>
      <c r="N14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After Midnight</v>
      </c>
      <c r="O145" s="105">
        <f>COUNTIF(SotY_2025[[#This Row],[J]:[H]],"x")</f>
        <v>5</v>
      </c>
      <c r="P145" s="115" t="str">
        <f ca="1">IF(SotY_2025[[#This Row],[Num]]&gt;=$A$1, "-", IF(SotY_2025[[#This Row],[Score 1]]&gt;=3, SotY_2025[[#This Row],[Song 1]], IF(SotY_2025[[#This Row],[Score 2]]&gt;=3, SotY_2025[[#This Row],[Song 2]], "TBD")))</f>
        <v>After Midnight</v>
      </c>
      <c r="Q145" s="193">
        <f>COUNTIF(SotY_2025[[#This Row],[H ]:[J ]],"x")</f>
        <v>0</v>
      </c>
      <c r="R14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Dramaturgy</v>
      </c>
      <c r="S145" s="191"/>
      <c r="T145" s="190"/>
      <c r="U145" s="189"/>
      <c r="V145" s="188"/>
      <c r="W145" s="198"/>
      <c r="X14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45" s="109">
        <f t="shared" si="6"/>
        <v>184</v>
      </c>
      <c r="AA145" s="59">
        <v>45915</v>
      </c>
      <c r="AB145" t="str">
        <v>currydestroyer27</v>
      </c>
      <c r="AC145" s="3">
        <v>2.6</v>
      </c>
      <c r="AD145" s="3">
        <v>1.019803902718557</v>
      </c>
      <c r="AE145" t="str">
        <v>千本桜</v>
      </c>
      <c r="AF145" t="str">
        <v>Ado</v>
      </c>
      <c r="AG145" s="100">
        <f t="shared" si="7"/>
        <v>129</v>
      </c>
      <c r="AI145" s="114">
        <f>SotY_2025[[#This Row],[Max Seed]]/2 + 1</f>
        <v>129</v>
      </c>
      <c r="AJ145" s="105" t="str">
        <f ca="1">IF(SotY_2025[[#This Row],[Num]]&gt;=$A$1, "-", IF(SotY_2025[[#This Row],[Score 1]]&gt;=3, SotY_2025[[#This Row],[Song 2]], IF(SotY_2025[[#This Row],[Score 2]]&gt;=3, SotY_2025[[#This Row],[Song 1]], "TBD")))</f>
        <v>Dramaturgy</v>
      </c>
      <c r="AK145" s="115">
        <f ca="1">IFERROR(VLOOKUP(SotY_2025_Results[[#This Row],[Song Title]], $AE$2:$AG$200, 3, FALSE)-SotY_2025_Results[[#This Row],[Result]], "TBD")</f>
        <v>0</v>
      </c>
      <c r="AL145" s="112" t="str">
        <f ca="1">IF(SotY_2025_Results[[#This Row],[Diff]]&lt;0,"↓",IF(SotY_2025_Results[[#This Row],[Diff]]=0,"-","↑"))</f>
        <v>-</v>
      </c>
    </row>
    <row r="146" spans="1:38">
      <c r="A146" s="197" t="str">
        <f>_xlfn.CONCAT("Seed ", SotY_2025[[#This Row],[Top Seed]], " vs ", SotY_2025[[#This Row],[Low Seed]])</f>
        <v>Seed 112 vs 145</v>
      </c>
      <c r="B146" s="115">
        <v>144</v>
      </c>
      <c r="C146" s="115">
        <f>FLOOR(LOG(SotY_2025[[#This Row],[Num]], 2), 1)</f>
        <v>7</v>
      </c>
      <c r="D146" s="115">
        <f>2^(SotY_2025[[#This Row],[Round]]+1)</f>
        <v>256</v>
      </c>
      <c r="E146" s="115">
        <f>SotY_2025[[#This Row],[Max Seed]]-SotY_2025[[#This Row],[Num]]</f>
        <v>112</v>
      </c>
      <c r="F146" s="115">
        <f>SotY_2025[[#This Row],[Max Seed]]-SotY_2025[[#This Row],[Top Seed]]+1</f>
        <v>145</v>
      </c>
      <c r="G146" s="115" t="b">
        <f>IF(SotY_2025[[#This Row],[Round]]=$C$1, TRUE(), IF(SotY_2025[[#This Row],[Round]]=$B$1, SotY_2025[[#This Row],[Top Seed]]&lt;=2*SotY_2025[[#This Row],[Max Seed]]-$A$1, FALSE()))</f>
        <v>1</v>
      </c>
      <c r="H146" s="115" t="b">
        <f>IF(SotY_2025[[#This Row],[Round]]=$C$1, TRUE(), IF(SotY_2025[[#This Row],[Round]]=$B$1, SotY_2025[[#This Row],[Low Seed]]&lt;=2*SotY_2025[[#This Row],[Max Seed]]-$A$1, FALSE()))</f>
        <v>1</v>
      </c>
      <c r="I146" s="187" t="s">
        <v>4191</v>
      </c>
      <c r="J146" s="188" t="s">
        <v>4191</v>
      </c>
      <c r="K146" s="189" t="s">
        <v>4191</v>
      </c>
      <c r="L146" s="190"/>
      <c r="M146" s="191" t="s">
        <v>4191</v>
      </c>
      <c r="N14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Dance Now</v>
      </c>
      <c r="O146" s="105">
        <f>COUNTIF(SotY_2025[[#This Row],[J]:[H]],"x")</f>
        <v>4</v>
      </c>
      <c r="P146" s="115" t="str">
        <f ca="1">IF(SotY_2025[[#This Row],[Num]]&gt;=$A$1, "-", IF(SotY_2025[[#This Row],[Score 1]]&gt;=3, SotY_2025[[#This Row],[Song 1]], IF(SotY_2025[[#This Row],[Score 2]]&gt;=3, SotY_2025[[#This Row],[Song 2]], "TBD")))</f>
        <v>Dance Now</v>
      </c>
      <c r="Q146" s="193">
        <f>COUNTIF(SotY_2025[[#This Row],[H ]:[J ]],"x")</f>
        <v>1</v>
      </c>
      <c r="R14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I Think I Left the Stove On</v>
      </c>
      <c r="S146" s="191"/>
      <c r="T146" s="190" t="s">
        <v>4191</v>
      </c>
      <c r="U146" s="189"/>
      <c r="V146" s="188"/>
      <c r="W146" s="198"/>
      <c r="X14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46" s="109">
        <f t="shared" si="6"/>
        <v>153</v>
      </c>
      <c r="AA146" s="59">
        <v>45916</v>
      </c>
      <c r="AB146" t="str">
        <v>currydestroyer27</v>
      </c>
      <c r="AC146" s="3">
        <v>2.4</v>
      </c>
      <c r="AD146" s="3">
        <v>1.019803902718557</v>
      </c>
      <c r="AE146" t="str">
        <v>Doo Wop</v>
      </c>
      <c r="AF146" t="str">
        <v>Ms. Lauryn Hill</v>
      </c>
      <c r="AG146" s="100">
        <f t="shared" si="7"/>
        <v>129</v>
      </c>
      <c r="AI146" s="114">
        <f>SotY_2025[[#This Row],[Max Seed]]/2 + 1</f>
        <v>129</v>
      </c>
      <c r="AJ146" s="105" t="str">
        <f ca="1">IF(SotY_2025[[#This Row],[Num]]&gt;=$A$1, "-", IF(SotY_2025[[#This Row],[Score 1]]&gt;=3, SotY_2025[[#This Row],[Song 2]], IF(SotY_2025[[#This Row],[Score 2]]&gt;=3, SotY_2025[[#This Row],[Song 1]], "TBD")))</f>
        <v>I Think I Left the Stove On</v>
      </c>
      <c r="AK146" s="115">
        <f ca="1">IFERROR(VLOOKUP(SotY_2025_Results[[#This Row],[Song Title]], $AE$2:$AG$200, 3, FALSE)-SotY_2025_Results[[#This Row],[Result]], "TBD")</f>
        <v>0</v>
      </c>
      <c r="AL146" s="112" t="str">
        <f ca="1">IF(SotY_2025_Results[[#This Row],[Diff]]&lt;0,"↓",IF(SotY_2025_Results[[#This Row],[Diff]]=0,"-","↑"))</f>
        <v>-</v>
      </c>
    </row>
    <row r="147" spans="1:38">
      <c r="A147" s="197" t="str">
        <f>_xlfn.CONCAT("Seed ", SotY_2025[[#This Row],[Top Seed]], " vs ", SotY_2025[[#This Row],[Low Seed]])</f>
        <v>Seed 111 vs 146</v>
      </c>
      <c r="B147" s="115">
        <v>145</v>
      </c>
      <c r="C147" s="115">
        <f>FLOOR(LOG(SotY_2025[[#This Row],[Num]], 2), 1)</f>
        <v>7</v>
      </c>
      <c r="D147" s="115">
        <f>2^(SotY_2025[[#This Row],[Round]]+1)</f>
        <v>256</v>
      </c>
      <c r="E147" s="115">
        <f>SotY_2025[[#This Row],[Max Seed]]-SotY_2025[[#This Row],[Num]]</f>
        <v>111</v>
      </c>
      <c r="F147" s="115">
        <f>SotY_2025[[#This Row],[Max Seed]]-SotY_2025[[#This Row],[Top Seed]]+1</f>
        <v>146</v>
      </c>
      <c r="G147" s="115" t="b">
        <f>IF(SotY_2025[[#This Row],[Round]]=$C$1, TRUE(), IF(SotY_2025[[#This Row],[Round]]=$B$1, SotY_2025[[#This Row],[Top Seed]]&lt;=2*SotY_2025[[#This Row],[Max Seed]]-$A$1, FALSE()))</f>
        <v>1</v>
      </c>
      <c r="H147" s="115" t="b">
        <f>IF(SotY_2025[[#This Row],[Round]]=$C$1, TRUE(), IF(SotY_2025[[#This Row],[Round]]=$B$1, SotY_2025[[#This Row],[Low Seed]]&lt;=2*SotY_2025[[#This Row],[Max Seed]]-$A$1, FALSE()))</f>
        <v>1</v>
      </c>
      <c r="I147" s="187" t="s">
        <v>4191</v>
      </c>
      <c r="J147" s="188" t="s">
        <v>4191</v>
      </c>
      <c r="K147" s="189"/>
      <c r="L147" s="190"/>
      <c r="M147" s="191"/>
      <c r="N14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roleplay</v>
      </c>
      <c r="O147" s="105">
        <f>COUNTIF(SotY_2025[[#This Row],[J]:[H]],"x")</f>
        <v>2</v>
      </c>
      <c r="P147" s="115" t="str">
        <f ca="1">IF(SotY_2025[[#This Row],[Num]]&gt;=$A$1, "-", IF(SotY_2025[[#This Row],[Score 1]]&gt;=3, SotY_2025[[#This Row],[Song 1]], IF(SotY_2025[[#This Row],[Score 2]]&gt;=3, SotY_2025[[#This Row],[Song 2]], "TBD")))</f>
        <v>WASSUP</v>
      </c>
      <c r="Q147" s="193">
        <f>COUNTIF(SotY_2025[[#This Row],[H ]:[J ]],"x")</f>
        <v>3</v>
      </c>
      <c r="R14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WASSUP</v>
      </c>
      <c r="S147" s="191" t="s">
        <v>4191</v>
      </c>
      <c r="T147" s="190" t="s">
        <v>4191</v>
      </c>
      <c r="U147" s="189" t="s">
        <v>4191</v>
      </c>
      <c r="V147" s="188"/>
      <c r="W147" s="198"/>
      <c r="X14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47" s="109">
        <f t="shared" si="6"/>
        <v>77</v>
      </c>
      <c r="AA147" s="59">
        <v>45917</v>
      </c>
      <c r="AB147" t="str">
        <v>danram</v>
      </c>
      <c r="AC147" s="3">
        <v>2</v>
      </c>
      <c r="AD147" s="3">
        <v>1.5491933384829668</v>
      </c>
      <c r="AE147" t="str">
        <v>DIE TRYING</v>
      </c>
      <c r="AF147" t="str">
        <v>PARTYNEXTDOOR, Drake, Yebba</v>
      </c>
      <c r="AG147" s="100">
        <f t="shared" si="7"/>
        <v>65</v>
      </c>
      <c r="AI147" s="114">
        <f>SotY_2025[[#This Row],[Max Seed]]/2 + 1</f>
        <v>129</v>
      </c>
      <c r="AJ147" s="105" t="str">
        <f ca="1">IF(SotY_2025[[#This Row],[Num]]&gt;=$A$1, "-", IF(SotY_2025[[#This Row],[Score 1]]&gt;=3, SotY_2025[[#This Row],[Song 2]], IF(SotY_2025[[#This Row],[Score 2]]&gt;=3, SotY_2025[[#This Row],[Song 1]], "TBD")))</f>
        <v>roleplay</v>
      </c>
      <c r="AK147" s="115">
        <f ca="1">IFERROR(VLOOKUP(SotY_2025_Results[[#This Row],[Song Title]], $AE$2:$AG$200, 3, FALSE)-SotY_2025_Results[[#This Row],[Result]], "TBD")</f>
        <v>-64</v>
      </c>
      <c r="AL147" s="112" t="str">
        <f ca="1">IF(SotY_2025_Results[[#This Row],[Diff]]&lt;0,"↓",IF(SotY_2025_Results[[#This Row],[Diff]]=0,"-","↑"))</f>
        <v>↓</v>
      </c>
    </row>
    <row r="148" spans="1:38">
      <c r="A148" s="197" t="str">
        <f>_xlfn.CONCAT("Seed ", SotY_2025[[#This Row],[Top Seed]], " vs ", SotY_2025[[#This Row],[Low Seed]])</f>
        <v>Seed 110 vs 147</v>
      </c>
      <c r="B148" s="115">
        <v>146</v>
      </c>
      <c r="C148" s="115">
        <f>FLOOR(LOG(SotY_2025[[#This Row],[Num]], 2), 1)</f>
        <v>7</v>
      </c>
      <c r="D148" s="115">
        <f>2^(SotY_2025[[#This Row],[Round]]+1)</f>
        <v>256</v>
      </c>
      <c r="E148" s="115">
        <f>SotY_2025[[#This Row],[Max Seed]]-SotY_2025[[#This Row],[Num]]</f>
        <v>110</v>
      </c>
      <c r="F148" s="115">
        <f>SotY_2025[[#This Row],[Max Seed]]-SotY_2025[[#This Row],[Top Seed]]+1</f>
        <v>147</v>
      </c>
      <c r="G148" s="115" t="b">
        <f>IF(SotY_2025[[#This Row],[Round]]=$C$1, TRUE(), IF(SotY_2025[[#This Row],[Round]]=$B$1, SotY_2025[[#This Row],[Top Seed]]&lt;=2*SotY_2025[[#This Row],[Max Seed]]-$A$1, FALSE()))</f>
        <v>1</v>
      </c>
      <c r="H148" s="115" t="b">
        <f>IF(SotY_2025[[#This Row],[Round]]=$C$1, TRUE(), IF(SotY_2025[[#This Row],[Round]]=$B$1, SotY_2025[[#This Row],[Low Seed]]&lt;=2*SotY_2025[[#This Row],[Max Seed]]-$A$1, FALSE()))</f>
        <v>1</v>
      </c>
      <c r="I148" s="187"/>
      <c r="J148" s="188"/>
      <c r="K148" s="189" t="s">
        <v>4191</v>
      </c>
      <c r="L148" s="190"/>
      <c r="M148" s="191" t="s">
        <v>4191</v>
      </c>
      <c r="N14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スパイラル</v>
      </c>
      <c r="O148" s="105">
        <f>COUNTIF(SotY_2025[[#This Row],[J]:[H]],"x")</f>
        <v>2</v>
      </c>
      <c r="P148" s="115" t="str">
        <f ca="1">IF(SotY_2025[[#This Row],[Num]]&gt;=$A$1, "-", IF(SotY_2025[[#This Row],[Score 1]]&gt;=3, SotY_2025[[#This Row],[Song 1]], IF(SotY_2025[[#This Row],[Score 2]]&gt;=3, SotY_2025[[#This Row],[Song 2]], "TBD")))</f>
        <v>CUFF IT</v>
      </c>
      <c r="Q148" s="193">
        <f>COUNTIF(SotY_2025[[#This Row],[H ]:[J ]],"x")</f>
        <v>3</v>
      </c>
      <c r="R14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CUFF IT</v>
      </c>
      <c r="S148" s="191"/>
      <c r="T148" s="190" t="s">
        <v>4191</v>
      </c>
      <c r="U148" s="189"/>
      <c r="V148" s="188" t="s">
        <v>4191</v>
      </c>
      <c r="W148" s="198" t="s">
        <v>4191</v>
      </c>
      <c r="X14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48" s="109">
        <f t="shared" si="6"/>
        <v>193</v>
      </c>
      <c r="AA148" s="59">
        <v>45918</v>
      </c>
      <c r="AB148" t="str">
        <v>danram</v>
      </c>
      <c r="AC148" s="3">
        <v>2.6</v>
      </c>
      <c r="AD148" s="3">
        <v>1.3564659966250536</v>
      </c>
      <c r="AE148">
        <v>1985</v>
      </c>
      <c r="AF148" t="str">
        <v>Bowling for Soup</v>
      </c>
      <c r="AG148" s="100">
        <f t="shared" si="7"/>
        <v>129</v>
      </c>
      <c r="AI148" s="114">
        <f>SotY_2025[[#This Row],[Max Seed]]/2 + 1</f>
        <v>129</v>
      </c>
      <c r="AJ148" s="105" t="str">
        <f ca="1">IF(SotY_2025[[#This Row],[Num]]&gt;=$A$1, "-", IF(SotY_2025[[#This Row],[Score 1]]&gt;=3, SotY_2025[[#This Row],[Song 2]], IF(SotY_2025[[#This Row],[Score 2]]&gt;=3, SotY_2025[[#This Row],[Song 1]], "TBD")))</f>
        <v>スパイラル</v>
      </c>
      <c r="AK148" s="115">
        <f ca="1">IFERROR(VLOOKUP(SotY_2025_Results[[#This Row],[Song Title]], $AE$2:$AG$200, 3, FALSE)-SotY_2025_Results[[#This Row],[Result]], "TBD")</f>
        <v>-64</v>
      </c>
      <c r="AL148" s="112" t="str">
        <f ca="1">IF(SotY_2025_Results[[#This Row],[Diff]]&lt;0,"↓",IF(SotY_2025_Results[[#This Row],[Diff]]=0,"-","↑"))</f>
        <v>↓</v>
      </c>
    </row>
    <row r="149" spans="1:38">
      <c r="A149" s="197" t="str">
        <f>_xlfn.CONCAT("Seed ", SotY_2025[[#This Row],[Top Seed]], " vs ", SotY_2025[[#This Row],[Low Seed]])</f>
        <v>Seed 109 vs 148</v>
      </c>
      <c r="B149" s="115">
        <v>147</v>
      </c>
      <c r="C149" s="115">
        <f>FLOOR(LOG(SotY_2025[[#This Row],[Num]], 2), 1)</f>
        <v>7</v>
      </c>
      <c r="D149" s="115">
        <f>2^(SotY_2025[[#This Row],[Round]]+1)</f>
        <v>256</v>
      </c>
      <c r="E149" s="115">
        <f>SotY_2025[[#This Row],[Max Seed]]-SotY_2025[[#This Row],[Num]]</f>
        <v>109</v>
      </c>
      <c r="F149" s="115">
        <f>SotY_2025[[#This Row],[Max Seed]]-SotY_2025[[#This Row],[Top Seed]]+1</f>
        <v>148</v>
      </c>
      <c r="G149" s="115" t="b">
        <f>IF(SotY_2025[[#This Row],[Round]]=$C$1, TRUE(), IF(SotY_2025[[#This Row],[Round]]=$B$1, SotY_2025[[#This Row],[Top Seed]]&lt;=2*SotY_2025[[#This Row],[Max Seed]]-$A$1, FALSE()))</f>
        <v>1</v>
      </c>
      <c r="H149" s="115" t="b">
        <f>IF(SotY_2025[[#This Row],[Round]]=$C$1, TRUE(), IF(SotY_2025[[#This Row],[Round]]=$B$1, SotY_2025[[#This Row],[Low Seed]]&lt;=2*SotY_2025[[#This Row],[Max Seed]]-$A$1, FALSE()))</f>
        <v>1</v>
      </c>
      <c r="I149" s="187"/>
      <c r="J149" s="188"/>
      <c r="K149" s="189" t="s">
        <v>4191</v>
      </c>
      <c r="L149" s="190" t="s">
        <v>4191</v>
      </c>
      <c r="M149" s="191"/>
      <c r="N14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Giddy Up</v>
      </c>
      <c r="O149" s="105">
        <f>COUNTIF(SotY_2025[[#This Row],[J]:[H]],"x")</f>
        <v>2</v>
      </c>
      <c r="P149" s="115" t="str">
        <f ca="1">IF(SotY_2025[[#This Row],[Num]]&gt;=$A$1, "-", IF(SotY_2025[[#This Row],[Score 1]]&gt;=3, SotY_2025[[#This Row],[Song 1]], IF(SotY_2025[[#This Row],[Score 2]]&gt;=3, SotY_2025[[#This Row],[Song 2]], "TBD")))</f>
        <v>Look At Me</v>
      </c>
      <c r="Q149" s="193">
        <f>COUNTIF(SotY_2025[[#This Row],[H ]:[J ]],"x")</f>
        <v>3</v>
      </c>
      <c r="R14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Look At Me</v>
      </c>
      <c r="S149" s="191" t="s">
        <v>4191</v>
      </c>
      <c r="T149" s="190"/>
      <c r="U149" s="189"/>
      <c r="V149" s="188" t="s">
        <v>4191</v>
      </c>
      <c r="W149" s="198" t="s">
        <v>4191</v>
      </c>
      <c r="X14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49" s="109">
        <f t="shared" si="6"/>
        <v>176</v>
      </c>
      <c r="AA149" s="59">
        <v>45922</v>
      </c>
      <c r="AB149" t="str">
        <v>alappatjoe</v>
      </c>
      <c r="AC149" s="3">
        <v>2.4</v>
      </c>
      <c r="AD149" s="3">
        <v>1.7435595774162693</v>
      </c>
      <c r="AE149" t="str">
        <v>OVR</v>
      </c>
      <c r="AF149" t="str">
        <v>3ee</v>
      </c>
      <c r="AG149" s="100">
        <f t="shared" si="7"/>
        <v>129</v>
      </c>
      <c r="AI149" s="114">
        <f>SotY_2025[[#This Row],[Max Seed]]/2 + 1</f>
        <v>129</v>
      </c>
      <c r="AJ149" s="105" t="str">
        <f ca="1">IF(SotY_2025[[#This Row],[Num]]&gt;=$A$1, "-", IF(SotY_2025[[#This Row],[Score 1]]&gt;=3, SotY_2025[[#This Row],[Song 2]], IF(SotY_2025[[#This Row],[Score 2]]&gt;=3, SotY_2025[[#This Row],[Song 1]], "TBD")))</f>
        <v>Giddy Up</v>
      </c>
      <c r="AK149" s="115">
        <f ca="1">IFERROR(VLOOKUP(SotY_2025_Results[[#This Row],[Song Title]], $AE$2:$AG$200, 3, FALSE)-SotY_2025_Results[[#This Row],[Result]], "TBD")</f>
        <v>-64</v>
      </c>
      <c r="AL149" s="112" t="str">
        <f ca="1">IF(SotY_2025_Results[[#This Row],[Diff]]&lt;0,"↓",IF(SotY_2025_Results[[#This Row],[Diff]]=0,"-","↑"))</f>
        <v>↓</v>
      </c>
    </row>
    <row r="150" spans="1:38">
      <c r="A150" s="197" t="str">
        <f>_xlfn.CONCAT("Seed ", SotY_2025[[#This Row],[Top Seed]], " vs ", SotY_2025[[#This Row],[Low Seed]])</f>
        <v>Seed 108 vs 149</v>
      </c>
      <c r="B150" s="115">
        <v>148</v>
      </c>
      <c r="C150" s="115">
        <f>FLOOR(LOG(SotY_2025[[#This Row],[Num]], 2), 1)</f>
        <v>7</v>
      </c>
      <c r="D150" s="115">
        <f>2^(SotY_2025[[#This Row],[Round]]+1)</f>
        <v>256</v>
      </c>
      <c r="E150" s="115">
        <f>SotY_2025[[#This Row],[Max Seed]]-SotY_2025[[#This Row],[Num]]</f>
        <v>108</v>
      </c>
      <c r="F150" s="115">
        <f>SotY_2025[[#This Row],[Max Seed]]-SotY_2025[[#This Row],[Top Seed]]+1</f>
        <v>149</v>
      </c>
      <c r="G150" s="115" t="b">
        <f>IF(SotY_2025[[#This Row],[Round]]=$C$1, TRUE(), IF(SotY_2025[[#This Row],[Round]]=$B$1, SotY_2025[[#This Row],[Top Seed]]&lt;=2*SotY_2025[[#This Row],[Max Seed]]-$A$1, FALSE()))</f>
        <v>1</v>
      </c>
      <c r="H150" s="115" t="b">
        <f>IF(SotY_2025[[#This Row],[Round]]=$C$1, TRUE(), IF(SotY_2025[[#This Row],[Round]]=$B$1, SotY_2025[[#This Row],[Low Seed]]&lt;=2*SotY_2025[[#This Row],[Max Seed]]-$A$1, FALSE()))</f>
        <v>1</v>
      </c>
      <c r="I150" s="187"/>
      <c r="J150" s="188" t="s">
        <v>4191</v>
      </c>
      <c r="K150" s="189"/>
      <c r="L150" s="190" t="s">
        <v>4191</v>
      </c>
      <c r="M150" s="191" t="s">
        <v>4191</v>
      </c>
      <c r="N15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Bound 2</v>
      </c>
      <c r="O150" s="105">
        <f>COUNTIF(SotY_2025[[#This Row],[J]:[H]],"x")</f>
        <v>3</v>
      </c>
      <c r="P150" s="115" t="str">
        <f ca="1">IF(SotY_2025[[#This Row],[Num]]&gt;=$A$1, "-", IF(SotY_2025[[#This Row],[Score 1]]&gt;=3, SotY_2025[[#This Row],[Song 1]], IF(SotY_2025[[#This Row],[Score 2]]&gt;=3, SotY_2025[[#This Row],[Song 2]], "TBD")))</f>
        <v>Bound 2</v>
      </c>
      <c r="Q150" s="193">
        <f>COUNTIF(SotY_2025[[#This Row],[H ]:[J ]],"x")</f>
        <v>2</v>
      </c>
      <c r="R15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Missed Calls</v>
      </c>
      <c r="S150" s="191"/>
      <c r="T150" s="190"/>
      <c r="U150" s="189" t="s">
        <v>4191</v>
      </c>
      <c r="V150" s="188"/>
      <c r="W150" s="198" t="s">
        <v>4191</v>
      </c>
      <c r="X15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50" s="109">
        <f t="shared" si="6"/>
        <v>47</v>
      </c>
      <c r="AA150" s="59">
        <v>45923</v>
      </c>
      <c r="AB150" t="str">
        <v>alappatjoe</v>
      </c>
      <c r="AC150" s="3">
        <v>2</v>
      </c>
      <c r="AD150" s="3">
        <v>0.63245553203367588</v>
      </c>
      <c r="AE150" t="str">
        <v>That Girl</v>
      </c>
      <c r="AF150" t="str">
        <v>Emotional Oranges</v>
      </c>
      <c r="AG150" s="100">
        <f t="shared" si="7"/>
        <v>33</v>
      </c>
      <c r="AI150" s="114">
        <f>SotY_2025[[#This Row],[Max Seed]]/2 + 1</f>
        <v>129</v>
      </c>
      <c r="AJ150" s="105" t="str">
        <f ca="1">IF(SotY_2025[[#This Row],[Num]]&gt;=$A$1, "-", IF(SotY_2025[[#This Row],[Score 1]]&gt;=3, SotY_2025[[#This Row],[Song 2]], IF(SotY_2025[[#This Row],[Score 2]]&gt;=3, SotY_2025[[#This Row],[Song 1]], "TBD")))</f>
        <v>Missed Calls</v>
      </c>
      <c r="AK150" s="115">
        <f ca="1">IFERROR(VLOOKUP(SotY_2025_Results[[#This Row],[Song Title]], $AE$2:$AG$200, 3, FALSE)-SotY_2025_Results[[#This Row],[Result]], "TBD")</f>
        <v>0</v>
      </c>
      <c r="AL150" s="112" t="str">
        <f ca="1">IF(SotY_2025_Results[[#This Row],[Diff]]&lt;0,"↓",IF(SotY_2025_Results[[#This Row],[Diff]]=0,"-","↑"))</f>
        <v>-</v>
      </c>
    </row>
    <row r="151" spans="1:38">
      <c r="A151" s="197" t="str">
        <f>_xlfn.CONCAT("Seed ", SotY_2025[[#This Row],[Top Seed]], " vs ", SotY_2025[[#This Row],[Low Seed]])</f>
        <v>Seed 107 vs 150</v>
      </c>
      <c r="B151" s="115">
        <v>149</v>
      </c>
      <c r="C151" s="115">
        <f>FLOOR(LOG(SotY_2025[[#This Row],[Num]], 2), 1)</f>
        <v>7</v>
      </c>
      <c r="D151" s="115">
        <f>2^(SotY_2025[[#This Row],[Round]]+1)</f>
        <v>256</v>
      </c>
      <c r="E151" s="115">
        <f>SotY_2025[[#This Row],[Max Seed]]-SotY_2025[[#This Row],[Num]]</f>
        <v>107</v>
      </c>
      <c r="F151" s="115">
        <f>SotY_2025[[#This Row],[Max Seed]]-SotY_2025[[#This Row],[Top Seed]]+1</f>
        <v>150</v>
      </c>
      <c r="G151" s="115" t="b">
        <f>IF(SotY_2025[[#This Row],[Round]]=$C$1, TRUE(), IF(SotY_2025[[#This Row],[Round]]=$B$1, SotY_2025[[#This Row],[Top Seed]]&lt;=2*SotY_2025[[#This Row],[Max Seed]]-$A$1, FALSE()))</f>
        <v>1</v>
      </c>
      <c r="H151" s="115" t="b">
        <f>IF(SotY_2025[[#This Row],[Round]]=$C$1, TRUE(), IF(SotY_2025[[#This Row],[Round]]=$B$1, SotY_2025[[#This Row],[Low Seed]]&lt;=2*SotY_2025[[#This Row],[Max Seed]]-$A$1, FALSE()))</f>
        <v>1</v>
      </c>
      <c r="I151" s="187"/>
      <c r="J151" s="188" t="s">
        <v>4191</v>
      </c>
      <c r="K151" s="189" t="s">
        <v>4191</v>
      </c>
      <c r="L151" s="190"/>
      <c r="M151" s="191" t="s">
        <v>4191</v>
      </c>
      <c r="N15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Friday I'm in Love</v>
      </c>
      <c r="O151" s="105">
        <f>COUNTIF(SotY_2025[[#This Row],[J]:[H]],"x")</f>
        <v>3</v>
      </c>
      <c r="P151" s="115" t="str">
        <f ca="1">IF(SotY_2025[[#This Row],[Num]]&gt;=$A$1, "-", IF(SotY_2025[[#This Row],[Score 1]]&gt;=3, SotY_2025[[#This Row],[Song 1]], IF(SotY_2025[[#This Row],[Score 2]]&gt;=3, SotY_2025[[#This Row],[Song 2]], "TBD")))</f>
        <v>Friday I'm in Love</v>
      </c>
      <c r="Q151" s="193">
        <f>COUNTIF(SotY_2025[[#This Row],[H ]:[J ]],"x")</f>
        <v>2</v>
      </c>
      <c r="R15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Ralphie</v>
      </c>
      <c r="S151" s="191"/>
      <c r="T151" s="190" t="s">
        <v>4191</v>
      </c>
      <c r="U151" s="189"/>
      <c r="V151" s="188"/>
      <c r="W151" s="198" t="s">
        <v>4191</v>
      </c>
      <c r="X15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51" s="109">
        <f t="shared" si="6"/>
        <v>106</v>
      </c>
      <c r="AA151" s="59">
        <v>45924</v>
      </c>
      <c r="AB151" t="str">
        <v>currydestroyer27</v>
      </c>
      <c r="AC151" s="3">
        <v>2.2000000000000002</v>
      </c>
      <c r="AD151" s="3">
        <v>0.9797958971132712</v>
      </c>
      <c r="AE151" t="str">
        <v>Clarity</v>
      </c>
      <c r="AF151" t="str">
        <v>Zedd, Foxes</v>
      </c>
      <c r="AG151" s="100">
        <f t="shared" si="7"/>
        <v>65</v>
      </c>
      <c r="AI151" s="114">
        <f>SotY_2025[[#This Row],[Max Seed]]/2 + 1</f>
        <v>129</v>
      </c>
      <c r="AJ151" s="105" t="str">
        <f ca="1">IF(SotY_2025[[#This Row],[Num]]&gt;=$A$1, "-", IF(SotY_2025[[#This Row],[Score 1]]&gt;=3, SotY_2025[[#This Row],[Song 2]], IF(SotY_2025[[#This Row],[Score 2]]&gt;=3, SotY_2025[[#This Row],[Song 1]], "TBD")))</f>
        <v>Ralphie</v>
      </c>
      <c r="AK151" s="115">
        <f ca="1">IFERROR(VLOOKUP(SotY_2025_Results[[#This Row],[Song Title]], $AE$2:$AG$200, 3, FALSE)-SotY_2025_Results[[#This Row],[Result]], "TBD")</f>
        <v>0</v>
      </c>
      <c r="AL151" s="112" t="str">
        <f ca="1">IF(SotY_2025_Results[[#This Row],[Diff]]&lt;0,"↓",IF(SotY_2025_Results[[#This Row],[Diff]]=0,"-","↑"))</f>
        <v>-</v>
      </c>
    </row>
    <row r="152" spans="1:38">
      <c r="A152" s="197" t="str">
        <f>_xlfn.CONCAT("Seed ", SotY_2025[[#This Row],[Top Seed]], " vs ", SotY_2025[[#This Row],[Low Seed]])</f>
        <v>Seed 106 vs 151</v>
      </c>
      <c r="B152" s="115">
        <v>150</v>
      </c>
      <c r="C152" s="115">
        <f>FLOOR(LOG(SotY_2025[[#This Row],[Num]], 2), 1)</f>
        <v>7</v>
      </c>
      <c r="D152" s="115">
        <f>2^(SotY_2025[[#This Row],[Round]]+1)</f>
        <v>256</v>
      </c>
      <c r="E152" s="115">
        <f>SotY_2025[[#This Row],[Max Seed]]-SotY_2025[[#This Row],[Num]]</f>
        <v>106</v>
      </c>
      <c r="F152" s="115">
        <f>SotY_2025[[#This Row],[Max Seed]]-SotY_2025[[#This Row],[Top Seed]]+1</f>
        <v>151</v>
      </c>
      <c r="G152" s="115" t="b">
        <f>IF(SotY_2025[[#This Row],[Round]]=$C$1, TRUE(), IF(SotY_2025[[#This Row],[Round]]=$B$1, SotY_2025[[#This Row],[Top Seed]]&lt;=2*SotY_2025[[#This Row],[Max Seed]]-$A$1, FALSE()))</f>
        <v>1</v>
      </c>
      <c r="H152" s="115" t="b">
        <f>IF(SotY_2025[[#This Row],[Round]]=$C$1, TRUE(), IF(SotY_2025[[#This Row],[Round]]=$B$1, SotY_2025[[#This Row],[Low Seed]]&lt;=2*SotY_2025[[#This Row],[Max Seed]]-$A$1, FALSE()))</f>
        <v>1</v>
      </c>
      <c r="I152" s="187"/>
      <c r="J152" s="188" t="s">
        <v>4191</v>
      </c>
      <c r="K152" s="189" t="s">
        <v>4191</v>
      </c>
      <c r="L152" s="190" t="s">
        <v>4191</v>
      </c>
      <c r="M152" s="191" t="s">
        <v>4191</v>
      </c>
      <c r="N15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Clarity</v>
      </c>
      <c r="O152" s="105">
        <f>COUNTIF(SotY_2025[[#This Row],[J]:[H]],"x")</f>
        <v>4</v>
      </c>
      <c r="P152" s="115" t="str">
        <f ca="1">IF(SotY_2025[[#This Row],[Num]]&gt;=$A$1, "-", IF(SotY_2025[[#This Row],[Score 1]]&gt;=3, SotY_2025[[#This Row],[Song 1]], IF(SotY_2025[[#This Row],[Score 2]]&gt;=3, SotY_2025[[#This Row],[Song 2]], "TBD")))</f>
        <v>Clarity</v>
      </c>
      <c r="Q152" s="193">
        <f>COUNTIF(SotY_2025[[#This Row],[H ]:[J ]],"x")</f>
        <v>1</v>
      </c>
      <c r="R15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Suzanne</v>
      </c>
      <c r="S152" s="191"/>
      <c r="T152" s="190"/>
      <c r="U152" s="189"/>
      <c r="V152" s="188"/>
      <c r="W152" s="198" t="s">
        <v>4191</v>
      </c>
      <c r="X15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52" s="109">
        <f t="shared" si="6"/>
        <v>58</v>
      </c>
      <c r="AA152" s="59">
        <v>45925</v>
      </c>
      <c r="AB152" t="str">
        <v>loganworsdell</v>
      </c>
      <c r="AC152" s="3">
        <v>2</v>
      </c>
      <c r="AD152" s="3">
        <v>0.89442719099991586</v>
      </c>
      <c r="AE152" t="str">
        <v>i</v>
      </c>
      <c r="AF152" t="str">
        <v>Kendrick Lamar</v>
      </c>
      <c r="AG152" s="100">
        <f t="shared" si="7"/>
        <v>33</v>
      </c>
      <c r="AI152" s="114">
        <f>SotY_2025[[#This Row],[Max Seed]]/2 + 1</f>
        <v>129</v>
      </c>
      <c r="AJ152" s="105" t="str">
        <f ca="1">IF(SotY_2025[[#This Row],[Num]]&gt;=$A$1, "-", IF(SotY_2025[[#This Row],[Score 1]]&gt;=3, SotY_2025[[#This Row],[Song 2]], IF(SotY_2025[[#This Row],[Score 2]]&gt;=3, SotY_2025[[#This Row],[Song 1]], "TBD")))</f>
        <v>Suzanne</v>
      </c>
      <c r="AK152" s="115">
        <f ca="1">IFERROR(VLOOKUP(SotY_2025_Results[[#This Row],[Song Title]], $AE$2:$AG$200, 3, FALSE)-SotY_2025_Results[[#This Row],[Result]], "TBD")</f>
        <v>0</v>
      </c>
      <c r="AL152" s="112" t="str">
        <f ca="1">IF(SotY_2025_Results[[#This Row],[Diff]]&lt;0,"↓",IF(SotY_2025_Results[[#This Row],[Diff]]=0,"-","↑"))</f>
        <v>-</v>
      </c>
    </row>
    <row r="153" spans="1:38">
      <c r="A153" s="197" t="str">
        <f>_xlfn.CONCAT("Seed ", SotY_2025[[#This Row],[Top Seed]], " vs ", SotY_2025[[#This Row],[Low Seed]])</f>
        <v>Seed 105 vs 152</v>
      </c>
      <c r="B153" s="115">
        <v>151</v>
      </c>
      <c r="C153" s="115">
        <f>FLOOR(LOG(SotY_2025[[#This Row],[Num]], 2), 1)</f>
        <v>7</v>
      </c>
      <c r="D153" s="115">
        <f>2^(SotY_2025[[#This Row],[Round]]+1)</f>
        <v>256</v>
      </c>
      <c r="E153" s="115">
        <f>SotY_2025[[#This Row],[Max Seed]]-SotY_2025[[#This Row],[Num]]</f>
        <v>105</v>
      </c>
      <c r="F153" s="115">
        <f>SotY_2025[[#This Row],[Max Seed]]-SotY_2025[[#This Row],[Top Seed]]+1</f>
        <v>152</v>
      </c>
      <c r="G153" s="115" t="b">
        <f>IF(SotY_2025[[#This Row],[Round]]=$C$1, TRUE(), IF(SotY_2025[[#This Row],[Round]]=$B$1, SotY_2025[[#This Row],[Top Seed]]&lt;=2*SotY_2025[[#This Row],[Max Seed]]-$A$1, FALSE()))</f>
        <v>1</v>
      </c>
      <c r="H153" s="115" t="b">
        <f>IF(SotY_2025[[#This Row],[Round]]=$C$1, TRUE(), IF(SotY_2025[[#This Row],[Round]]=$B$1, SotY_2025[[#This Row],[Low Seed]]&lt;=2*SotY_2025[[#This Row],[Max Seed]]-$A$1, FALSE()))</f>
        <v>1</v>
      </c>
      <c r="I153" s="187" t="s">
        <v>4191</v>
      </c>
      <c r="J153" s="188" t="s">
        <v>4191</v>
      </c>
      <c r="K153" s="189" t="s">
        <v>4191</v>
      </c>
      <c r="L153" s="190" t="s">
        <v>4191</v>
      </c>
      <c r="M153" s="191"/>
      <c r="N15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ALAMBRE PúA</v>
      </c>
      <c r="O153" s="105">
        <f>COUNTIF(SotY_2025[[#This Row],[J]:[H]],"x")</f>
        <v>4</v>
      </c>
      <c r="P153" s="115" t="str">
        <f ca="1">IF(SotY_2025[[#This Row],[Num]]&gt;=$A$1, "-", IF(SotY_2025[[#This Row],[Score 1]]&gt;=3, SotY_2025[[#This Row],[Song 1]], IF(SotY_2025[[#This Row],[Score 2]]&gt;=3, SotY_2025[[#This Row],[Song 2]], "TBD")))</f>
        <v>ALAMBRE PúA</v>
      </c>
      <c r="Q153" s="193">
        <f>COUNTIF(SotY_2025[[#This Row],[H ]:[J ]],"x")</f>
        <v>1</v>
      </c>
      <c r="R15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I CAN'T STOP THE LONELINESS</v>
      </c>
      <c r="S153" s="191" t="s">
        <v>4191</v>
      </c>
      <c r="T153" s="190"/>
      <c r="U153" s="189"/>
      <c r="V153" s="188"/>
      <c r="W153" s="198"/>
      <c r="X15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53" s="109">
        <f t="shared" si="6"/>
        <v>6</v>
      </c>
      <c r="AA153" s="59">
        <v>45929</v>
      </c>
      <c r="AB153" t="str">
        <v>samuelbattista</v>
      </c>
      <c r="AC153" s="3">
        <v>1.4</v>
      </c>
      <c r="AD153" s="3">
        <v>0.4898979485566356</v>
      </c>
      <c r="AE153" t="str">
        <v>Roundabaout</v>
      </c>
      <c r="AF153" t="str">
        <v>Yes</v>
      </c>
      <c r="AG153" s="100">
        <f t="shared" si="7"/>
        <v>5</v>
      </c>
      <c r="AI153" s="114">
        <f>SotY_2025[[#This Row],[Max Seed]]/2 + 1</f>
        <v>129</v>
      </c>
      <c r="AJ153" s="105" t="str">
        <f ca="1">IF(SotY_2025[[#This Row],[Num]]&gt;=$A$1, "-", IF(SotY_2025[[#This Row],[Score 1]]&gt;=3, SotY_2025[[#This Row],[Song 2]], IF(SotY_2025[[#This Row],[Score 2]]&gt;=3, SotY_2025[[#This Row],[Song 1]], "TBD")))</f>
        <v>I CAN'T STOP THE LONELINESS</v>
      </c>
      <c r="AK153" s="115">
        <f ca="1">IFERROR(VLOOKUP(SotY_2025_Results[[#This Row],[Song Title]], $AE$2:$AG$200, 3, FALSE)-SotY_2025_Results[[#This Row],[Result]], "TBD")</f>
        <v>0</v>
      </c>
      <c r="AL153" s="112" t="str">
        <f ca="1">IF(SotY_2025_Results[[#This Row],[Diff]]&lt;0,"↓",IF(SotY_2025_Results[[#This Row],[Diff]]=0,"-","↑"))</f>
        <v>-</v>
      </c>
    </row>
    <row r="154" spans="1:38">
      <c r="A154" s="197" t="str">
        <f>_xlfn.CONCAT("Seed ", SotY_2025[[#This Row],[Top Seed]], " vs ", SotY_2025[[#This Row],[Low Seed]])</f>
        <v>Seed 104 vs 153</v>
      </c>
      <c r="B154" s="115">
        <v>152</v>
      </c>
      <c r="C154" s="115">
        <f>FLOOR(LOG(SotY_2025[[#This Row],[Num]], 2), 1)</f>
        <v>7</v>
      </c>
      <c r="D154" s="115">
        <f>2^(SotY_2025[[#This Row],[Round]]+1)</f>
        <v>256</v>
      </c>
      <c r="E154" s="115">
        <f>SotY_2025[[#This Row],[Max Seed]]-SotY_2025[[#This Row],[Num]]</f>
        <v>104</v>
      </c>
      <c r="F154" s="115">
        <f>SotY_2025[[#This Row],[Max Seed]]-SotY_2025[[#This Row],[Top Seed]]+1</f>
        <v>153</v>
      </c>
      <c r="G154" s="115" t="b">
        <f>IF(SotY_2025[[#This Row],[Round]]=$C$1, TRUE(), IF(SotY_2025[[#This Row],[Round]]=$B$1, SotY_2025[[#This Row],[Top Seed]]&lt;=2*SotY_2025[[#This Row],[Max Seed]]-$A$1, FALSE()))</f>
        <v>1</v>
      </c>
      <c r="H154" s="115" t="b">
        <f>IF(SotY_2025[[#This Row],[Round]]=$C$1, TRUE(), IF(SotY_2025[[#This Row],[Round]]=$B$1, SotY_2025[[#This Row],[Low Seed]]&lt;=2*SotY_2025[[#This Row],[Max Seed]]-$A$1, FALSE()))</f>
        <v>1</v>
      </c>
      <c r="I154" s="187"/>
      <c r="J154" s="188" t="s">
        <v>4191</v>
      </c>
      <c r="K154" s="189" t="s">
        <v>4191</v>
      </c>
      <c r="L154" s="190" t="s">
        <v>4191</v>
      </c>
      <c r="M154" s="191" t="s">
        <v>4191</v>
      </c>
      <c r="N15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Yo No Soy Celoso</v>
      </c>
      <c r="O154" s="105">
        <f>COUNTIF(SotY_2025[[#This Row],[J]:[H]],"x")</f>
        <v>4</v>
      </c>
      <c r="P154" s="115" t="str">
        <f ca="1">IF(SotY_2025[[#This Row],[Num]]&gt;=$A$1, "-", IF(SotY_2025[[#This Row],[Score 1]]&gt;=3, SotY_2025[[#This Row],[Song 1]], IF(SotY_2025[[#This Row],[Score 2]]&gt;=3, SotY_2025[[#This Row],[Song 2]], "TBD")))</f>
        <v>Yo No Soy Celoso</v>
      </c>
      <c r="Q154" s="193">
        <f>COUNTIF(SotY_2025[[#This Row],[H ]:[J ]],"x")</f>
        <v>1</v>
      </c>
      <c r="R15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Doo Wop</v>
      </c>
      <c r="S154" s="191"/>
      <c r="T154" s="190"/>
      <c r="U154" s="189"/>
      <c r="V154" s="188"/>
      <c r="W154" s="198" t="s">
        <v>4191</v>
      </c>
      <c r="X15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54" s="109">
        <f t="shared" si="6"/>
        <v>133</v>
      </c>
      <c r="AA154" s="59">
        <v>45930</v>
      </c>
      <c r="AB154" t="str">
        <v>alappatjoe</v>
      </c>
      <c r="AC154" s="3">
        <v>2.4</v>
      </c>
      <c r="AD154" s="3">
        <v>0.8</v>
      </c>
      <c r="AE154" t="str">
        <v>La forza della banda</v>
      </c>
      <c r="AF154" t="str">
        <v>Shablo, Mimi, Tormento</v>
      </c>
      <c r="AG154" s="100">
        <f t="shared" si="7"/>
        <v>129</v>
      </c>
      <c r="AI154" s="114">
        <f>SotY_2025[[#This Row],[Max Seed]]/2 + 1</f>
        <v>129</v>
      </c>
      <c r="AJ154" s="105" t="str">
        <f ca="1">IF(SotY_2025[[#This Row],[Num]]&gt;=$A$1, "-", IF(SotY_2025[[#This Row],[Score 1]]&gt;=3, SotY_2025[[#This Row],[Song 2]], IF(SotY_2025[[#This Row],[Score 2]]&gt;=3, SotY_2025[[#This Row],[Song 1]], "TBD")))</f>
        <v>Doo Wop</v>
      </c>
      <c r="AK154" s="115">
        <f ca="1">IFERROR(VLOOKUP(SotY_2025_Results[[#This Row],[Song Title]], $AE$2:$AG$200, 3, FALSE)-SotY_2025_Results[[#This Row],[Result]], "TBD")</f>
        <v>0</v>
      </c>
      <c r="AL154" s="112" t="str">
        <f ca="1">IF(SotY_2025_Results[[#This Row],[Diff]]&lt;0,"↓",IF(SotY_2025_Results[[#This Row],[Diff]]=0,"-","↑"))</f>
        <v>-</v>
      </c>
    </row>
    <row r="155" spans="1:38">
      <c r="A155" s="197" t="str">
        <f>_xlfn.CONCAT("Seed ", SotY_2025[[#This Row],[Top Seed]], " vs ", SotY_2025[[#This Row],[Low Seed]])</f>
        <v>Seed 103 vs 154</v>
      </c>
      <c r="B155" s="115">
        <v>153</v>
      </c>
      <c r="C155" s="115">
        <f>FLOOR(LOG(SotY_2025[[#This Row],[Num]], 2), 1)</f>
        <v>7</v>
      </c>
      <c r="D155" s="115">
        <f>2^(SotY_2025[[#This Row],[Round]]+1)</f>
        <v>256</v>
      </c>
      <c r="E155" s="115">
        <f>SotY_2025[[#This Row],[Max Seed]]-SotY_2025[[#This Row],[Num]]</f>
        <v>103</v>
      </c>
      <c r="F155" s="115">
        <f>SotY_2025[[#This Row],[Max Seed]]-SotY_2025[[#This Row],[Top Seed]]+1</f>
        <v>154</v>
      </c>
      <c r="G155" s="115" t="b">
        <f>IF(SotY_2025[[#This Row],[Round]]=$C$1, TRUE(), IF(SotY_2025[[#This Row],[Round]]=$B$1, SotY_2025[[#This Row],[Top Seed]]&lt;=2*SotY_2025[[#This Row],[Max Seed]]-$A$1, FALSE()))</f>
        <v>1</v>
      </c>
      <c r="H155" s="115" t="b">
        <f>IF(SotY_2025[[#This Row],[Round]]=$C$1, TRUE(), IF(SotY_2025[[#This Row],[Round]]=$B$1, SotY_2025[[#This Row],[Low Seed]]&lt;=2*SotY_2025[[#This Row],[Max Seed]]-$A$1, FALSE()))</f>
        <v>1</v>
      </c>
      <c r="I155" s="187"/>
      <c r="J155" s="188" t="s">
        <v>4191</v>
      </c>
      <c r="K155" s="189" t="s">
        <v>4191</v>
      </c>
      <c r="L155" s="190"/>
      <c r="M155" s="191" t="s">
        <v>4191</v>
      </c>
      <c r="N15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Let Me Leave</v>
      </c>
      <c r="O155" s="105">
        <f>COUNTIF(SotY_2025[[#This Row],[J]:[H]],"x")</f>
        <v>3</v>
      </c>
      <c r="P155" s="115" t="str">
        <f ca="1">IF(SotY_2025[[#This Row],[Num]]&gt;=$A$1, "-", IF(SotY_2025[[#This Row],[Score 1]]&gt;=3, SotY_2025[[#This Row],[Song 1]], IF(SotY_2025[[#This Row],[Score 2]]&gt;=3, SotY_2025[[#This Row],[Song 2]], "TBD")))</f>
        <v>Let Me Leave</v>
      </c>
      <c r="Q155" s="193">
        <f>COUNTIF(SotY_2025[[#This Row],[H ]:[J ]],"x")</f>
        <v>2</v>
      </c>
      <c r="R15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Jacob's Ladder</v>
      </c>
      <c r="S155" s="191"/>
      <c r="T155" s="190" t="s">
        <v>4191</v>
      </c>
      <c r="U155" s="189"/>
      <c r="V155" s="188"/>
      <c r="W155" s="198" t="s">
        <v>4191</v>
      </c>
      <c r="X15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55" s="109">
        <f t="shared" si="6"/>
        <v>67</v>
      </c>
      <c r="AA155" s="59">
        <v>45931</v>
      </c>
      <c r="AB155" t="str">
        <v>samuelbattista</v>
      </c>
      <c r="AC155" s="3">
        <v>2</v>
      </c>
      <c r="AD155" s="3">
        <v>1.0954451150103321</v>
      </c>
      <c r="AE155" t="str">
        <v>Wake Me up When September Ends</v>
      </c>
      <c r="AF155" t="str">
        <v>Green Day</v>
      </c>
      <c r="AG155" s="100">
        <f t="shared" si="7"/>
        <v>65</v>
      </c>
      <c r="AI155" s="114">
        <f>SotY_2025[[#This Row],[Max Seed]]/2 + 1</f>
        <v>129</v>
      </c>
      <c r="AJ155" s="105" t="str">
        <f ca="1">IF(SotY_2025[[#This Row],[Num]]&gt;=$A$1, "-", IF(SotY_2025[[#This Row],[Score 1]]&gt;=3, SotY_2025[[#This Row],[Song 2]], IF(SotY_2025[[#This Row],[Score 2]]&gt;=3, SotY_2025[[#This Row],[Song 1]], "TBD")))</f>
        <v>Jacob's Ladder</v>
      </c>
      <c r="AK155" s="115">
        <f ca="1">IFERROR(VLOOKUP(SotY_2025_Results[[#This Row],[Song Title]], $AE$2:$AG$200, 3, FALSE)-SotY_2025_Results[[#This Row],[Result]], "TBD")</f>
        <v>0</v>
      </c>
      <c r="AL155" s="112" t="str">
        <f ca="1">IF(SotY_2025_Results[[#This Row],[Diff]]&lt;0,"↓",IF(SotY_2025_Results[[#This Row],[Diff]]=0,"-","↑"))</f>
        <v>-</v>
      </c>
    </row>
    <row r="156" spans="1:38">
      <c r="A156" s="197" t="str">
        <f>_xlfn.CONCAT("Seed ", SotY_2025[[#This Row],[Top Seed]], " vs ", SotY_2025[[#This Row],[Low Seed]])</f>
        <v>Seed 102 vs 155</v>
      </c>
      <c r="B156" s="115">
        <v>154</v>
      </c>
      <c r="C156" s="115">
        <f>FLOOR(LOG(SotY_2025[[#This Row],[Num]], 2), 1)</f>
        <v>7</v>
      </c>
      <c r="D156" s="115">
        <f>2^(SotY_2025[[#This Row],[Round]]+1)</f>
        <v>256</v>
      </c>
      <c r="E156" s="115">
        <f>SotY_2025[[#This Row],[Max Seed]]-SotY_2025[[#This Row],[Num]]</f>
        <v>102</v>
      </c>
      <c r="F156" s="115">
        <f>SotY_2025[[#This Row],[Max Seed]]-SotY_2025[[#This Row],[Top Seed]]+1</f>
        <v>155</v>
      </c>
      <c r="G156" s="115" t="b">
        <f>IF(SotY_2025[[#This Row],[Round]]=$C$1, TRUE(), IF(SotY_2025[[#This Row],[Round]]=$B$1, SotY_2025[[#This Row],[Top Seed]]&lt;=2*SotY_2025[[#This Row],[Max Seed]]-$A$1, FALSE()))</f>
        <v>1</v>
      </c>
      <c r="H156" s="115" t="b">
        <f>IF(SotY_2025[[#This Row],[Round]]=$C$1, TRUE(), IF(SotY_2025[[#This Row],[Round]]=$B$1, SotY_2025[[#This Row],[Low Seed]]&lt;=2*SotY_2025[[#This Row],[Max Seed]]-$A$1, FALSE()))</f>
        <v>1</v>
      </c>
      <c r="I156" s="187" t="s">
        <v>4191</v>
      </c>
      <c r="J156" s="188" t="s">
        <v>4191</v>
      </c>
      <c r="K156" s="189" t="s">
        <v>4191</v>
      </c>
      <c r="L156" s="190"/>
      <c r="M156" s="191"/>
      <c r="N15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Drip Too Hard</v>
      </c>
      <c r="O156" s="105">
        <f>COUNTIF(SotY_2025[[#This Row],[J]:[H]],"x")</f>
        <v>3</v>
      </c>
      <c r="P156" s="115" t="str">
        <f ca="1">IF(SotY_2025[[#This Row],[Num]]&gt;=$A$1, "-", IF(SotY_2025[[#This Row],[Score 1]]&gt;=3, SotY_2025[[#This Row],[Song 1]], IF(SotY_2025[[#This Row],[Score 2]]&gt;=3, SotY_2025[[#This Row],[Song 2]], "TBD")))</f>
        <v>Drip Too Hard</v>
      </c>
      <c r="Q156" s="193">
        <f>COUNTIF(SotY_2025[[#This Row],[H ]:[J ]],"x")</f>
        <v>2</v>
      </c>
      <c r="R15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Nope your too late I already died</v>
      </c>
      <c r="S156" s="191" t="s">
        <v>4191</v>
      </c>
      <c r="T156" s="190" t="s">
        <v>4191</v>
      </c>
      <c r="U156" s="189"/>
      <c r="V156" s="188"/>
      <c r="W156" s="198"/>
      <c r="X15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56" s="109">
        <f t="shared" si="6"/>
        <v>196</v>
      </c>
      <c r="AA156" s="59">
        <v>45932</v>
      </c>
      <c r="AB156" t="str">
        <v>danram</v>
      </c>
      <c r="AC156" s="3">
        <v>2.8</v>
      </c>
      <c r="AD156" s="3">
        <v>0.74833147735478833</v>
      </c>
      <c r="AE156" t="str">
        <v>The Less I Know The Better</v>
      </c>
      <c r="AF156" t="str">
        <v>Tame Impala</v>
      </c>
      <c r="AG156" s="100">
        <f t="shared" si="7"/>
        <v>129</v>
      </c>
      <c r="AI156" s="114">
        <f>SotY_2025[[#This Row],[Max Seed]]/2 + 1</f>
        <v>129</v>
      </c>
      <c r="AJ156" s="105" t="str">
        <f ca="1">IF(SotY_2025[[#This Row],[Num]]&gt;=$A$1, "-", IF(SotY_2025[[#This Row],[Score 1]]&gt;=3, SotY_2025[[#This Row],[Song 2]], IF(SotY_2025[[#This Row],[Score 2]]&gt;=3, SotY_2025[[#This Row],[Song 1]], "TBD")))</f>
        <v>Nope your too late I already died</v>
      </c>
      <c r="AK156" s="115">
        <f ca="1">IFERROR(VLOOKUP(SotY_2025_Results[[#This Row],[Song Title]], $AE$2:$AG$200, 3, FALSE)-SotY_2025_Results[[#This Row],[Result]], "TBD")</f>
        <v>0</v>
      </c>
      <c r="AL156" s="112" t="str">
        <f ca="1">IF(SotY_2025_Results[[#This Row],[Diff]]&lt;0,"↓",IF(SotY_2025_Results[[#This Row],[Diff]]=0,"-","↑"))</f>
        <v>-</v>
      </c>
    </row>
    <row r="157" spans="1:38">
      <c r="A157" s="197" t="str">
        <f>_xlfn.CONCAT("Seed ", SotY_2025[[#This Row],[Top Seed]], " vs ", SotY_2025[[#This Row],[Low Seed]])</f>
        <v>Seed 101 vs 156</v>
      </c>
      <c r="B157" s="115">
        <v>155</v>
      </c>
      <c r="C157" s="115">
        <f>FLOOR(LOG(SotY_2025[[#This Row],[Num]], 2), 1)</f>
        <v>7</v>
      </c>
      <c r="D157" s="115">
        <f>2^(SotY_2025[[#This Row],[Round]]+1)</f>
        <v>256</v>
      </c>
      <c r="E157" s="115">
        <f>SotY_2025[[#This Row],[Max Seed]]-SotY_2025[[#This Row],[Num]]</f>
        <v>101</v>
      </c>
      <c r="F157" s="115">
        <f>SotY_2025[[#This Row],[Max Seed]]-SotY_2025[[#This Row],[Top Seed]]+1</f>
        <v>156</v>
      </c>
      <c r="G157" s="115" t="b">
        <f>IF(SotY_2025[[#This Row],[Round]]=$C$1, TRUE(), IF(SotY_2025[[#This Row],[Round]]=$B$1, SotY_2025[[#This Row],[Top Seed]]&lt;=2*SotY_2025[[#This Row],[Max Seed]]-$A$1, FALSE()))</f>
        <v>1</v>
      </c>
      <c r="H157" s="115" t="b">
        <f>IF(SotY_2025[[#This Row],[Round]]=$C$1, TRUE(), IF(SotY_2025[[#This Row],[Round]]=$B$1, SotY_2025[[#This Row],[Low Seed]]&lt;=2*SotY_2025[[#This Row],[Max Seed]]-$A$1, FALSE()))</f>
        <v>1</v>
      </c>
      <c r="I157" s="187"/>
      <c r="J157" s="188"/>
      <c r="K157" s="189" t="s">
        <v>4191</v>
      </c>
      <c r="L157" s="190"/>
      <c r="M157" s="191" t="s">
        <v>4191</v>
      </c>
      <c r="N15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Beep</v>
      </c>
      <c r="O157" s="105">
        <f>COUNTIF(SotY_2025[[#This Row],[J]:[H]],"x")</f>
        <v>2</v>
      </c>
      <c r="P157" s="115" t="str">
        <f ca="1">IF(SotY_2025[[#This Row],[Num]]&gt;=$A$1, "-", IF(SotY_2025[[#This Row],[Score 1]]&gt;=3, SotY_2025[[#This Row],[Song 1]], IF(SotY_2025[[#This Row],[Score 2]]&gt;=3, SotY_2025[[#This Row],[Song 2]], "TBD")))</f>
        <v>Wednesday Morning Bonk (It's 9aM)</v>
      </c>
      <c r="Q157" s="193">
        <f>COUNTIF(SotY_2025[[#This Row],[H ]:[J ]],"x")</f>
        <v>3</v>
      </c>
      <c r="R15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Wednesday Morning Bonk (It's 9aM)</v>
      </c>
      <c r="S157" s="191"/>
      <c r="T157" s="190" t="s">
        <v>4191</v>
      </c>
      <c r="U157" s="189"/>
      <c r="V157" s="188" t="s">
        <v>4191</v>
      </c>
      <c r="W157" s="198" t="s">
        <v>4191</v>
      </c>
      <c r="X15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57" s="109">
        <f t="shared" si="6"/>
        <v>59</v>
      </c>
      <c r="AA157" s="59">
        <v>45936</v>
      </c>
      <c r="AB157" t="str">
        <v>danram</v>
      </c>
      <c r="AC157" s="3">
        <v>2</v>
      </c>
      <c r="AD157" s="3">
        <v>0.89442719099991586</v>
      </c>
      <c r="AE157" t="str">
        <v>don't wanna break up again</v>
      </c>
      <c r="AF157" t="str">
        <v>Ariana Grande</v>
      </c>
      <c r="AG157" s="100">
        <f t="shared" si="7"/>
        <v>33</v>
      </c>
      <c r="AI157" s="114">
        <f>SotY_2025[[#This Row],[Max Seed]]/2 + 1</f>
        <v>129</v>
      </c>
      <c r="AJ157" s="105" t="str">
        <f ca="1">IF(SotY_2025[[#This Row],[Num]]&gt;=$A$1, "-", IF(SotY_2025[[#This Row],[Score 1]]&gt;=3, SotY_2025[[#This Row],[Song 2]], IF(SotY_2025[[#This Row],[Score 2]]&gt;=3, SotY_2025[[#This Row],[Song 1]], "TBD")))</f>
        <v>Beep</v>
      </c>
      <c r="AK157" s="115">
        <f ca="1">IFERROR(VLOOKUP(SotY_2025_Results[[#This Row],[Song Title]], $AE$2:$AG$200, 3, FALSE)-SotY_2025_Results[[#This Row],[Result]], "TBD")</f>
        <v>-64</v>
      </c>
      <c r="AL157" s="112" t="str">
        <f ca="1">IF(SotY_2025_Results[[#This Row],[Diff]]&lt;0,"↓",IF(SotY_2025_Results[[#This Row],[Diff]]=0,"-","↑"))</f>
        <v>↓</v>
      </c>
    </row>
    <row r="158" spans="1:38">
      <c r="A158" s="197" t="str">
        <f>_xlfn.CONCAT("Seed ", SotY_2025[[#This Row],[Top Seed]], " vs ", SotY_2025[[#This Row],[Low Seed]])</f>
        <v>Seed 100 vs 157</v>
      </c>
      <c r="B158" s="115">
        <v>156</v>
      </c>
      <c r="C158" s="115">
        <f>FLOOR(LOG(SotY_2025[[#This Row],[Num]], 2), 1)</f>
        <v>7</v>
      </c>
      <c r="D158" s="115">
        <f>2^(SotY_2025[[#This Row],[Round]]+1)</f>
        <v>256</v>
      </c>
      <c r="E158" s="115">
        <f>SotY_2025[[#This Row],[Max Seed]]-SotY_2025[[#This Row],[Num]]</f>
        <v>100</v>
      </c>
      <c r="F158" s="115">
        <f>SotY_2025[[#This Row],[Max Seed]]-SotY_2025[[#This Row],[Top Seed]]+1</f>
        <v>157</v>
      </c>
      <c r="G158" s="115" t="b">
        <f>IF(SotY_2025[[#This Row],[Round]]=$C$1, TRUE(), IF(SotY_2025[[#This Row],[Round]]=$B$1, SotY_2025[[#This Row],[Top Seed]]&lt;=2*SotY_2025[[#This Row],[Max Seed]]-$A$1, FALSE()))</f>
        <v>1</v>
      </c>
      <c r="H158" s="115" t="b">
        <f>IF(SotY_2025[[#This Row],[Round]]=$C$1, TRUE(), IF(SotY_2025[[#This Row],[Round]]=$B$1, SotY_2025[[#This Row],[Low Seed]]&lt;=2*SotY_2025[[#This Row],[Max Seed]]-$A$1, FALSE()))</f>
        <v>1</v>
      </c>
      <c r="I158" s="187" t="s">
        <v>4191</v>
      </c>
      <c r="J158" s="188" t="s">
        <v>4191</v>
      </c>
      <c r="K158" s="189"/>
      <c r="L158" s="190" t="s">
        <v>4191</v>
      </c>
      <c r="M158" s="191"/>
      <c r="N15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Busy Woman</v>
      </c>
      <c r="O158" s="105">
        <f>COUNTIF(SotY_2025[[#This Row],[J]:[H]],"x")</f>
        <v>3</v>
      </c>
      <c r="P158" s="115" t="str">
        <f ca="1">IF(SotY_2025[[#This Row],[Num]]&gt;=$A$1, "-", IF(SotY_2025[[#This Row],[Score 1]]&gt;=3, SotY_2025[[#This Row],[Song 1]], IF(SotY_2025[[#This Row],[Score 2]]&gt;=3, SotY_2025[[#This Row],[Song 2]], "TBD")))</f>
        <v>Busy Woman</v>
      </c>
      <c r="Q158" s="193">
        <f>COUNTIF(SotY_2025[[#This Row],[H ]:[J ]],"x")</f>
        <v>2</v>
      </c>
      <c r="R15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her</v>
      </c>
      <c r="S158" s="191" t="s">
        <v>4191</v>
      </c>
      <c r="T158" s="190"/>
      <c r="U158" s="189" t="s">
        <v>4191</v>
      </c>
      <c r="V158" s="188"/>
      <c r="W158" s="198"/>
      <c r="X15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58" s="109">
        <f t="shared" si="6"/>
        <v>93</v>
      </c>
      <c r="AA158" s="59">
        <v>45937</v>
      </c>
      <c r="AB158" t="str">
        <v>currydestroyer27</v>
      </c>
      <c r="AC158" s="3">
        <v>2.2000000000000002</v>
      </c>
      <c r="AD158" s="3">
        <v>0.74833147735478833</v>
      </c>
      <c r="AE158" t="str">
        <v>Dj Got Us Fallin' In Love Again</v>
      </c>
      <c r="AF158" t="str">
        <v>Usher, Pitbull</v>
      </c>
      <c r="AG158" s="100">
        <f t="shared" si="7"/>
        <v>65</v>
      </c>
      <c r="AI158" s="114">
        <f>SotY_2025[[#This Row],[Max Seed]]/2 + 1</f>
        <v>129</v>
      </c>
      <c r="AJ158" s="105" t="str">
        <f ca="1">IF(SotY_2025[[#This Row],[Num]]&gt;=$A$1, "-", IF(SotY_2025[[#This Row],[Score 1]]&gt;=3, SotY_2025[[#This Row],[Song 2]], IF(SotY_2025[[#This Row],[Score 2]]&gt;=3, SotY_2025[[#This Row],[Song 1]], "TBD")))</f>
        <v>her</v>
      </c>
      <c r="AK158" s="115">
        <f ca="1">IFERROR(VLOOKUP(SotY_2025_Results[[#This Row],[Song Title]], $AE$2:$AG$200, 3, FALSE)-SotY_2025_Results[[#This Row],[Result]], "TBD")</f>
        <v>0</v>
      </c>
      <c r="AL158" s="112" t="str">
        <f ca="1">IF(SotY_2025_Results[[#This Row],[Diff]]&lt;0,"↓",IF(SotY_2025_Results[[#This Row],[Diff]]=0,"-","↑"))</f>
        <v>-</v>
      </c>
    </row>
    <row r="159" spans="1:38">
      <c r="A159" s="197" t="str">
        <f>_xlfn.CONCAT("Seed ", SotY_2025[[#This Row],[Top Seed]], " vs ", SotY_2025[[#This Row],[Low Seed]])</f>
        <v>Seed 99 vs 158</v>
      </c>
      <c r="B159" s="115">
        <v>157</v>
      </c>
      <c r="C159" s="115">
        <f>FLOOR(LOG(SotY_2025[[#This Row],[Num]], 2), 1)</f>
        <v>7</v>
      </c>
      <c r="D159" s="115">
        <f>2^(SotY_2025[[#This Row],[Round]]+1)</f>
        <v>256</v>
      </c>
      <c r="E159" s="115">
        <f>SotY_2025[[#This Row],[Max Seed]]-SotY_2025[[#This Row],[Num]]</f>
        <v>99</v>
      </c>
      <c r="F159" s="115">
        <f>SotY_2025[[#This Row],[Max Seed]]-SotY_2025[[#This Row],[Top Seed]]+1</f>
        <v>158</v>
      </c>
      <c r="G159" s="115" t="b">
        <f>IF(SotY_2025[[#This Row],[Round]]=$C$1, TRUE(), IF(SotY_2025[[#This Row],[Round]]=$B$1, SotY_2025[[#This Row],[Top Seed]]&lt;=2*SotY_2025[[#This Row],[Max Seed]]-$A$1, FALSE()))</f>
        <v>1</v>
      </c>
      <c r="H159" s="115" t="b">
        <f>IF(SotY_2025[[#This Row],[Round]]=$C$1, TRUE(), IF(SotY_2025[[#This Row],[Round]]=$B$1, SotY_2025[[#This Row],[Low Seed]]&lt;=2*SotY_2025[[#This Row],[Max Seed]]-$A$1, FALSE()))</f>
        <v>1</v>
      </c>
      <c r="I159" s="187"/>
      <c r="J159" s="188" t="s">
        <v>4191</v>
      </c>
      <c r="K159" s="189" t="s">
        <v>4191</v>
      </c>
      <c r="L159" s="190" t="s">
        <v>4191</v>
      </c>
      <c r="M159" s="191"/>
      <c r="N15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Tears On A Pretty Face</v>
      </c>
      <c r="O159" s="105">
        <f>COUNTIF(SotY_2025[[#This Row],[J]:[H]],"x")</f>
        <v>3</v>
      </c>
      <c r="P159" s="115" t="str">
        <f ca="1">IF(SotY_2025[[#This Row],[Num]]&gt;=$A$1, "-", IF(SotY_2025[[#This Row],[Score 1]]&gt;=3, SotY_2025[[#This Row],[Song 1]], IF(SotY_2025[[#This Row],[Score 2]]&gt;=3, SotY_2025[[#This Row],[Song 2]], "TBD")))</f>
        <v>Tears On A Pretty Face</v>
      </c>
      <c r="Q159" s="193">
        <f>COUNTIF(SotY_2025[[#This Row],[H ]:[J ]],"x")</f>
        <v>2</v>
      </c>
      <c r="R15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クラクラ</v>
      </c>
      <c r="S159" s="191" t="s">
        <v>4191</v>
      </c>
      <c r="T159" s="190"/>
      <c r="U159" s="189"/>
      <c r="V159" s="188"/>
      <c r="W159" s="198" t="s">
        <v>4191</v>
      </c>
      <c r="X15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59" s="109">
        <f t="shared" si="6"/>
        <v>172</v>
      </c>
      <c r="AA159" s="59">
        <v>45938</v>
      </c>
      <c r="AB159" t="str">
        <v>loganworsdell</v>
      </c>
      <c r="AC159" s="3">
        <v>2.4</v>
      </c>
      <c r="AD159" s="3">
        <v>1.4966629547095767</v>
      </c>
      <c r="AE159" t="str">
        <v>Flyers</v>
      </c>
      <c r="AF159" t="str">
        <v>BRADIO</v>
      </c>
      <c r="AG159" s="100">
        <f t="shared" si="7"/>
        <v>129</v>
      </c>
      <c r="AI159" s="114">
        <f>SotY_2025[[#This Row],[Max Seed]]/2 + 1</f>
        <v>129</v>
      </c>
      <c r="AJ159" s="105" t="str">
        <f ca="1">IF(SotY_2025[[#This Row],[Num]]&gt;=$A$1, "-", IF(SotY_2025[[#This Row],[Score 1]]&gt;=3, SotY_2025[[#This Row],[Song 2]], IF(SotY_2025[[#This Row],[Score 2]]&gt;=3, SotY_2025[[#This Row],[Song 1]], "TBD")))</f>
        <v>クラクラ</v>
      </c>
      <c r="AK159" s="115">
        <f ca="1">IFERROR(VLOOKUP(SotY_2025_Results[[#This Row],[Song Title]], $AE$2:$AG$200, 3, FALSE)-SotY_2025_Results[[#This Row],[Result]], "TBD")</f>
        <v>0</v>
      </c>
      <c r="AL159" s="112" t="str">
        <f ca="1">IF(SotY_2025_Results[[#This Row],[Diff]]&lt;0,"↓",IF(SotY_2025_Results[[#This Row],[Diff]]=0,"-","↑"))</f>
        <v>-</v>
      </c>
    </row>
    <row r="160" spans="1:38">
      <c r="A160" s="197" t="str">
        <f>_xlfn.CONCAT("Seed ", SotY_2025[[#This Row],[Top Seed]], " vs ", SotY_2025[[#This Row],[Low Seed]])</f>
        <v>Seed 98 vs 159</v>
      </c>
      <c r="B160" s="115">
        <v>158</v>
      </c>
      <c r="C160" s="115">
        <f>FLOOR(LOG(SotY_2025[[#This Row],[Num]], 2), 1)</f>
        <v>7</v>
      </c>
      <c r="D160" s="115">
        <f>2^(SotY_2025[[#This Row],[Round]]+1)</f>
        <v>256</v>
      </c>
      <c r="E160" s="115">
        <f>SotY_2025[[#This Row],[Max Seed]]-SotY_2025[[#This Row],[Num]]</f>
        <v>98</v>
      </c>
      <c r="F160" s="115">
        <f>SotY_2025[[#This Row],[Max Seed]]-SotY_2025[[#This Row],[Top Seed]]+1</f>
        <v>159</v>
      </c>
      <c r="G160" s="115" t="b">
        <f>IF(SotY_2025[[#This Row],[Round]]=$C$1, TRUE(), IF(SotY_2025[[#This Row],[Round]]=$B$1, SotY_2025[[#This Row],[Top Seed]]&lt;=2*SotY_2025[[#This Row],[Max Seed]]-$A$1, FALSE()))</f>
        <v>1</v>
      </c>
      <c r="H160" s="115" t="b">
        <f>IF(SotY_2025[[#This Row],[Round]]=$C$1, TRUE(), IF(SotY_2025[[#This Row],[Round]]=$B$1, SotY_2025[[#This Row],[Low Seed]]&lt;=2*SotY_2025[[#This Row],[Max Seed]]-$A$1, FALSE()))</f>
        <v>1</v>
      </c>
      <c r="I160" s="187" t="s">
        <v>4191</v>
      </c>
      <c r="J160" s="188" t="s">
        <v>4191</v>
      </c>
      <c r="K160" s="189" t="s">
        <v>4191</v>
      </c>
      <c r="L160" s="190" t="s">
        <v>4191</v>
      </c>
      <c r="M160" s="191"/>
      <c r="N16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el cielo</v>
      </c>
      <c r="O160" s="105">
        <f>COUNTIF(SotY_2025[[#This Row],[J]:[H]],"x")</f>
        <v>4</v>
      </c>
      <c r="P160" s="115" t="str">
        <f ca="1">IF(SotY_2025[[#This Row],[Num]]&gt;=$A$1, "-", IF(SotY_2025[[#This Row],[Score 1]]&gt;=3, SotY_2025[[#This Row],[Song 1]], IF(SotY_2025[[#This Row],[Score 2]]&gt;=3, SotY_2025[[#This Row],[Song 2]], "TBD")))</f>
        <v>el cielo</v>
      </c>
      <c r="Q160" s="193">
        <f>COUNTIF(SotY_2025[[#This Row],[H ]:[J ]],"x")</f>
        <v>1</v>
      </c>
      <c r="R16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BAILE INoLVIDABLE</v>
      </c>
      <c r="S160" s="191" t="s">
        <v>4191</v>
      </c>
      <c r="T160" s="190"/>
      <c r="U160" s="189"/>
      <c r="V160" s="188"/>
      <c r="W160" s="198"/>
      <c r="X16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60" s="109">
        <f t="shared" si="6"/>
        <v>189</v>
      </c>
      <c r="AA160" s="59">
        <v>45939</v>
      </c>
      <c r="AB160" t="str">
        <v>loganworsdell</v>
      </c>
      <c r="AC160" s="3">
        <v>2.6</v>
      </c>
      <c r="AD160" s="3">
        <v>1.2</v>
      </c>
      <c r="AE160" t="str">
        <v>Slowly</v>
      </c>
      <c r="AF160" t="str">
        <v>Giraffage, Matosic</v>
      </c>
      <c r="AG160" s="100">
        <f t="shared" si="7"/>
        <v>129</v>
      </c>
      <c r="AI160" s="114">
        <f>SotY_2025[[#This Row],[Max Seed]]/2 + 1</f>
        <v>129</v>
      </c>
      <c r="AJ160" s="105" t="str">
        <f ca="1">IF(SotY_2025[[#This Row],[Num]]&gt;=$A$1, "-", IF(SotY_2025[[#This Row],[Score 1]]&gt;=3, SotY_2025[[#This Row],[Song 2]], IF(SotY_2025[[#This Row],[Score 2]]&gt;=3, SotY_2025[[#This Row],[Song 1]], "TBD")))</f>
        <v>BAILE INoLVIDABLE</v>
      </c>
      <c r="AK160" s="115">
        <f ca="1">IFERROR(VLOOKUP(SotY_2025_Results[[#This Row],[Song Title]], $AE$2:$AG$200, 3, FALSE)-SotY_2025_Results[[#This Row],[Result]], "TBD")</f>
        <v>0</v>
      </c>
      <c r="AL160" s="112" t="str">
        <f ca="1">IF(SotY_2025_Results[[#This Row],[Diff]]&lt;0,"↓",IF(SotY_2025_Results[[#This Row],[Diff]]=0,"-","↑"))</f>
        <v>-</v>
      </c>
    </row>
    <row r="161" spans="1:38">
      <c r="A161" s="197" t="str">
        <f>_xlfn.CONCAT("Seed ", SotY_2025[[#This Row],[Top Seed]], " vs ", SotY_2025[[#This Row],[Low Seed]])</f>
        <v>Seed 97 vs 160</v>
      </c>
      <c r="B161" s="115">
        <v>159</v>
      </c>
      <c r="C161" s="115">
        <f>FLOOR(LOG(SotY_2025[[#This Row],[Num]], 2), 1)</f>
        <v>7</v>
      </c>
      <c r="D161" s="115">
        <f>2^(SotY_2025[[#This Row],[Round]]+1)</f>
        <v>256</v>
      </c>
      <c r="E161" s="115">
        <f>SotY_2025[[#This Row],[Max Seed]]-SotY_2025[[#This Row],[Num]]</f>
        <v>97</v>
      </c>
      <c r="F161" s="115">
        <f>SotY_2025[[#This Row],[Max Seed]]-SotY_2025[[#This Row],[Top Seed]]+1</f>
        <v>160</v>
      </c>
      <c r="G161" s="115" t="b">
        <f>IF(SotY_2025[[#This Row],[Round]]=$C$1, TRUE(), IF(SotY_2025[[#This Row],[Round]]=$B$1, SotY_2025[[#This Row],[Top Seed]]&lt;=2*SotY_2025[[#This Row],[Max Seed]]-$A$1, FALSE()))</f>
        <v>1</v>
      </c>
      <c r="H161" s="115" t="b">
        <f>IF(SotY_2025[[#This Row],[Round]]=$C$1, TRUE(), IF(SotY_2025[[#This Row],[Round]]=$B$1, SotY_2025[[#This Row],[Low Seed]]&lt;=2*SotY_2025[[#This Row],[Max Seed]]-$A$1, FALSE()))</f>
        <v>1</v>
      </c>
      <c r="I161" s="187"/>
      <c r="J161" s="188" t="s">
        <v>4191</v>
      </c>
      <c r="K161" s="189"/>
      <c r="L161" s="190" t="s">
        <v>4191</v>
      </c>
      <c r="M161" s="191" t="s">
        <v>4191</v>
      </c>
      <c r="N16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veil</v>
      </c>
      <c r="O161" s="105">
        <f>COUNTIF(SotY_2025[[#This Row],[J]:[H]],"x")</f>
        <v>3</v>
      </c>
      <c r="P161" s="115" t="str">
        <f ca="1">IF(SotY_2025[[#This Row],[Num]]&gt;=$A$1, "-", IF(SotY_2025[[#This Row],[Score 1]]&gt;=3, SotY_2025[[#This Row],[Song 1]], IF(SotY_2025[[#This Row],[Score 2]]&gt;=3, SotY_2025[[#This Row],[Song 2]], "TBD")))</f>
        <v>veil</v>
      </c>
      <c r="Q161" s="193">
        <f>COUNTIF(SotY_2025[[#This Row],[H ]:[J ]],"x")</f>
        <v>2</v>
      </c>
      <c r="R16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Right Round</v>
      </c>
      <c r="S161" s="191"/>
      <c r="T161" s="190"/>
      <c r="U161" s="189" t="s">
        <v>4191</v>
      </c>
      <c r="V161" s="188"/>
      <c r="W161" s="198" t="s">
        <v>4191</v>
      </c>
      <c r="X16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61" s="109">
        <f t="shared" si="6"/>
        <v>134</v>
      </c>
      <c r="AA161" s="59">
        <v>45943</v>
      </c>
      <c r="AB161" t="str">
        <v>danram</v>
      </c>
      <c r="AC161" s="3">
        <v>2.4</v>
      </c>
      <c r="AD161" s="3">
        <v>0.8</v>
      </c>
      <c r="AE161" t="str">
        <v>Stand By Me - Remastered</v>
      </c>
      <c r="AF161" t="str">
        <v>Oasis</v>
      </c>
      <c r="AG161" s="100">
        <f t="shared" si="7"/>
        <v>129</v>
      </c>
      <c r="AI161" s="114">
        <f>SotY_2025[[#This Row],[Max Seed]]/2 + 1</f>
        <v>129</v>
      </c>
      <c r="AJ161" s="105" t="str">
        <f ca="1">IF(SotY_2025[[#This Row],[Num]]&gt;=$A$1, "-", IF(SotY_2025[[#This Row],[Score 1]]&gt;=3, SotY_2025[[#This Row],[Song 2]], IF(SotY_2025[[#This Row],[Score 2]]&gt;=3, SotY_2025[[#This Row],[Song 1]], "TBD")))</f>
        <v>Right Round</v>
      </c>
      <c r="AK161" s="115">
        <f ca="1">IFERROR(VLOOKUP(SotY_2025_Results[[#This Row],[Song Title]], $AE$2:$AG$200, 3, FALSE)-SotY_2025_Results[[#This Row],[Result]], "TBD")</f>
        <v>0</v>
      </c>
      <c r="AL161" s="112" t="str">
        <f ca="1">IF(SotY_2025_Results[[#This Row],[Diff]]&lt;0,"↓",IF(SotY_2025_Results[[#This Row],[Diff]]=0,"-","↑"))</f>
        <v>-</v>
      </c>
    </row>
    <row r="162" spans="1:38">
      <c r="A162" s="197" t="str">
        <f>_xlfn.CONCAT("Seed ", SotY_2025[[#This Row],[Top Seed]], " vs ", SotY_2025[[#This Row],[Low Seed]])</f>
        <v>Seed 96 vs 161</v>
      </c>
      <c r="B162" s="115">
        <v>160</v>
      </c>
      <c r="C162" s="115">
        <f>FLOOR(LOG(SotY_2025[[#This Row],[Num]], 2), 1)</f>
        <v>7</v>
      </c>
      <c r="D162" s="115">
        <f>2^(SotY_2025[[#This Row],[Round]]+1)</f>
        <v>256</v>
      </c>
      <c r="E162" s="115">
        <f>SotY_2025[[#This Row],[Max Seed]]-SotY_2025[[#This Row],[Num]]</f>
        <v>96</v>
      </c>
      <c r="F162" s="115">
        <f>SotY_2025[[#This Row],[Max Seed]]-SotY_2025[[#This Row],[Top Seed]]+1</f>
        <v>161</v>
      </c>
      <c r="G162" s="115" t="b">
        <f>IF(SotY_2025[[#This Row],[Round]]=$C$1, TRUE(), IF(SotY_2025[[#This Row],[Round]]=$B$1, SotY_2025[[#This Row],[Top Seed]]&lt;=2*SotY_2025[[#This Row],[Max Seed]]-$A$1, FALSE()))</f>
        <v>1</v>
      </c>
      <c r="H162" s="115" t="b">
        <f>IF(SotY_2025[[#This Row],[Round]]=$C$1, TRUE(), IF(SotY_2025[[#This Row],[Round]]=$B$1, SotY_2025[[#This Row],[Low Seed]]&lt;=2*SotY_2025[[#This Row],[Max Seed]]-$A$1, FALSE()))</f>
        <v>1</v>
      </c>
      <c r="I162" s="187" t="s">
        <v>4191</v>
      </c>
      <c r="J162" s="188"/>
      <c r="K162" s="189"/>
      <c r="L162" s="190"/>
      <c r="M162" s="191" t="s">
        <v>4191</v>
      </c>
      <c r="N16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Greatness</v>
      </c>
      <c r="O162" s="105">
        <f>COUNTIF(SotY_2025[[#This Row],[J]:[H]],"x")</f>
        <v>2</v>
      </c>
      <c r="P162" s="115" t="str">
        <f ca="1">IF(SotY_2025[[#This Row],[Num]]&gt;=$A$1, "-", IF(SotY_2025[[#This Row],[Score 1]]&gt;=3, SotY_2025[[#This Row],[Song 1]], IF(SotY_2025[[#This Row],[Score 2]]&gt;=3, SotY_2025[[#This Row],[Song 2]], "TBD")))</f>
        <v>Favourite</v>
      </c>
      <c r="Q162" s="193">
        <f>COUNTIF(SotY_2025[[#This Row],[H ]:[J ]],"x")</f>
        <v>3</v>
      </c>
      <c r="R16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Favourite</v>
      </c>
      <c r="S162" s="191"/>
      <c r="T162" s="190" t="s">
        <v>4191</v>
      </c>
      <c r="U162" s="189" t="s">
        <v>4191</v>
      </c>
      <c r="V162" s="188" t="s">
        <v>4191</v>
      </c>
      <c r="W162" s="198"/>
      <c r="X16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62" s="109">
        <f t="shared" ref="Z162:Z193" si="8">IF(AC162&gt;0, COUNTIF(AC$2:AC$200, "&lt;"&amp;AC162) + COUNTIFS(AC$2:AC$200, AC162, AD$2:AD$200, "&lt;"&amp;AD162) + COUNTIFS(AC$2:AC$200, AC162, AD$2:AD$200, AD162, AA$2:AA$200, "&lt;"&amp;AA162) + 1, "TBD")</f>
        <v>8</v>
      </c>
      <c r="AA162" s="59">
        <v>45944</v>
      </c>
      <c r="AB162" t="str">
        <v>alappatjoe</v>
      </c>
      <c r="AC162" s="3">
        <v>1.4</v>
      </c>
      <c r="AD162" s="3">
        <v>0.8</v>
      </c>
      <c r="AE162" t="str">
        <v>Breathe Deeper</v>
      </c>
      <c r="AF162" t="str">
        <v>Tame Impala</v>
      </c>
      <c r="AG162" s="100">
        <f t="shared" si="7"/>
        <v>5</v>
      </c>
      <c r="AI162" s="114">
        <f>SotY_2025[[#This Row],[Max Seed]]/2 + 1</f>
        <v>129</v>
      </c>
      <c r="AJ162" s="105" t="str">
        <f ca="1">IF(SotY_2025[[#This Row],[Num]]&gt;=$A$1, "-", IF(SotY_2025[[#This Row],[Score 1]]&gt;=3, SotY_2025[[#This Row],[Song 2]], IF(SotY_2025[[#This Row],[Score 2]]&gt;=3, SotY_2025[[#This Row],[Song 1]], "TBD")))</f>
        <v>Greatness</v>
      </c>
      <c r="AK162" s="115">
        <f ca="1">IFERROR(VLOOKUP(SotY_2025_Results[[#This Row],[Song Title]], $AE$2:$AG$200, 3, FALSE)-SotY_2025_Results[[#This Row],[Result]], "TBD")</f>
        <v>-64</v>
      </c>
      <c r="AL162" s="112" t="str">
        <f ca="1">IF(SotY_2025_Results[[#This Row],[Diff]]&lt;0,"↓",IF(SotY_2025_Results[[#This Row],[Diff]]=0,"-","↑"))</f>
        <v>↓</v>
      </c>
    </row>
    <row r="163" spans="1:38">
      <c r="A163" s="197" t="str">
        <f>_xlfn.CONCAT("Seed ", SotY_2025[[#This Row],[Top Seed]], " vs ", SotY_2025[[#This Row],[Low Seed]])</f>
        <v>Seed 95 vs 162</v>
      </c>
      <c r="B163" s="115">
        <v>161</v>
      </c>
      <c r="C163" s="115">
        <f>FLOOR(LOG(SotY_2025[[#This Row],[Num]], 2), 1)</f>
        <v>7</v>
      </c>
      <c r="D163" s="115">
        <f>2^(SotY_2025[[#This Row],[Round]]+1)</f>
        <v>256</v>
      </c>
      <c r="E163" s="115">
        <f>SotY_2025[[#This Row],[Max Seed]]-SotY_2025[[#This Row],[Num]]</f>
        <v>95</v>
      </c>
      <c r="F163" s="115">
        <f>SotY_2025[[#This Row],[Max Seed]]-SotY_2025[[#This Row],[Top Seed]]+1</f>
        <v>162</v>
      </c>
      <c r="G163" s="115" t="b">
        <f>IF(SotY_2025[[#This Row],[Round]]=$C$1, TRUE(), IF(SotY_2025[[#This Row],[Round]]=$B$1, SotY_2025[[#This Row],[Top Seed]]&lt;=2*SotY_2025[[#This Row],[Max Seed]]-$A$1, FALSE()))</f>
        <v>1</v>
      </c>
      <c r="H163" s="115" t="b">
        <f>IF(SotY_2025[[#This Row],[Round]]=$C$1, TRUE(), IF(SotY_2025[[#This Row],[Round]]=$B$1, SotY_2025[[#This Row],[Low Seed]]&lt;=2*SotY_2025[[#This Row],[Max Seed]]-$A$1, FALSE()))</f>
        <v>1</v>
      </c>
      <c r="I163" s="187"/>
      <c r="J163" s="188" t="s">
        <v>4191</v>
      </c>
      <c r="K163" s="189"/>
      <c r="L163" s="190" t="s">
        <v>4191</v>
      </c>
      <c r="M163" s="191"/>
      <c r="N16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Somebody's Watching Me</v>
      </c>
      <c r="O163" s="105">
        <f>COUNTIF(SotY_2025[[#This Row],[J]:[H]],"x")</f>
        <v>2</v>
      </c>
      <c r="P163" s="115" t="str">
        <f ca="1">IF(SotY_2025[[#This Row],[Num]]&gt;=$A$1, "-", IF(SotY_2025[[#This Row],[Score 1]]&gt;=3, SotY_2025[[#This Row],[Song 1]], IF(SotY_2025[[#This Row],[Score 2]]&gt;=3, SotY_2025[[#This Row],[Song 2]], "TBD")))</f>
        <v>Like That</v>
      </c>
      <c r="Q163" s="193">
        <f>COUNTIF(SotY_2025[[#This Row],[H ]:[J ]],"x")</f>
        <v>3</v>
      </c>
      <c r="R16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Like That</v>
      </c>
      <c r="S163" s="191" t="s">
        <v>4191</v>
      </c>
      <c r="T163" s="190"/>
      <c r="U163" s="189" t="s">
        <v>4191</v>
      </c>
      <c r="V163" s="188"/>
      <c r="W163" s="198" t="s">
        <v>4191</v>
      </c>
      <c r="X16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63" s="109">
        <f t="shared" si="8"/>
        <v>121</v>
      </c>
      <c r="AA163" s="59">
        <v>45945</v>
      </c>
      <c r="AB163" t="str">
        <v>alappatjoe</v>
      </c>
      <c r="AC163" s="3">
        <v>2.2000000000000002</v>
      </c>
      <c r="AD163" s="3">
        <v>1.1661903789690602</v>
      </c>
      <c r="AE163" t="str">
        <v>Actor</v>
      </c>
      <c r="AF163" t="str">
        <v>Lilas</v>
      </c>
      <c r="AG163" s="100">
        <f t="shared" si="7"/>
        <v>65</v>
      </c>
      <c r="AI163" s="114">
        <f>SotY_2025[[#This Row],[Max Seed]]/2 + 1</f>
        <v>129</v>
      </c>
      <c r="AJ163" s="105" t="str">
        <f ca="1">IF(SotY_2025[[#This Row],[Num]]&gt;=$A$1, "-", IF(SotY_2025[[#This Row],[Score 1]]&gt;=3, SotY_2025[[#This Row],[Song 2]], IF(SotY_2025[[#This Row],[Score 2]]&gt;=3, SotY_2025[[#This Row],[Song 1]], "TBD")))</f>
        <v>Somebody's Watching Me</v>
      </c>
      <c r="AK163" s="115">
        <f ca="1">IFERROR(VLOOKUP(SotY_2025_Results[[#This Row],[Song Title]], $AE$2:$AG$200, 3, FALSE)-SotY_2025_Results[[#This Row],[Result]], "TBD")</f>
        <v>-64</v>
      </c>
      <c r="AL163" s="112" t="str">
        <f ca="1">IF(SotY_2025_Results[[#This Row],[Diff]]&lt;0,"↓",IF(SotY_2025_Results[[#This Row],[Diff]]=0,"-","↑"))</f>
        <v>↓</v>
      </c>
    </row>
    <row r="164" spans="1:38">
      <c r="A164" s="197" t="str">
        <f>_xlfn.CONCAT("Seed ", SotY_2025[[#This Row],[Top Seed]], " vs ", SotY_2025[[#This Row],[Low Seed]])</f>
        <v>Seed 94 vs 163</v>
      </c>
      <c r="B164" s="115">
        <v>162</v>
      </c>
      <c r="C164" s="115">
        <f>FLOOR(LOG(SotY_2025[[#This Row],[Num]], 2), 1)</f>
        <v>7</v>
      </c>
      <c r="D164" s="115">
        <f>2^(SotY_2025[[#This Row],[Round]]+1)</f>
        <v>256</v>
      </c>
      <c r="E164" s="115">
        <f>SotY_2025[[#This Row],[Max Seed]]-SotY_2025[[#This Row],[Num]]</f>
        <v>94</v>
      </c>
      <c r="F164" s="115">
        <f>SotY_2025[[#This Row],[Max Seed]]-SotY_2025[[#This Row],[Top Seed]]+1</f>
        <v>163</v>
      </c>
      <c r="G164" s="115" t="b">
        <f>IF(SotY_2025[[#This Row],[Round]]=$C$1, TRUE(), IF(SotY_2025[[#This Row],[Round]]=$B$1, SotY_2025[[#This Row],[Top Seed]]&lt;=2*SotY_2025[[#This Row],[Max Seed]]-$A$1, FALSE()))</f>
        <v>1</v>
      </c>
      <c r="H164" s="115" t="b">
        <f>IF(SotY_2025[[#This Row],[Round]]=$C$1, TRUE(), IF(SotY_2025[[#This Row],[Round]]=$B$1, SotY_2025[[#This Row],[Low Seed]]&lt;=2*SotY_2025[[#This Row],[Max Seed]]-$A$1, FALSE()))</f>
        <v>1</v>
      </c>
      <c r="I164" s="187" t="s">
        <v>4191</v>
      </c>
      <c r="J164" s="188"/>
      <c r="K164" s="189"/>
      <c r="L164" s="190" t="s">
        <v>4191</v>
      </c>
      <c r="M164" s="191"/>
      <c r="N16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Mockingbird</v>
      </c>
      <c r="O164" s="105">
        <f>COUNTIF(SotY_2025[[#This Row],[J]:[H]],"x")</f>
        <v>2</v>
      </c>
      <c r="P164" s="115" t="str">
        <f ca="1">IF(SotY_2025[[#This Row],[Num]]&gt;=$A$1, "-", IF(SotY_2025[[#This Row],[Score 1]]&gt;=3, SotY_2025[[#This Row],[Song 1]], IF(SotY_2025[[#This Row],[Score 2]]&gt;=3, SotY_2025[[#This Row],[Song 2]], "TBD")))</f>
        <v>Locked out of Heaven</v>
      </c>
      <c r="Q164" s="193">
        <f>COUNTIF(SotY_2025[[#This Row],[H ]:[J ]],"x")</f>
        <v>3</v>
      </c>
      <c r="R16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Locked out of Heaven</v>
      </c>
      <c r="S164" s="191" t="s">
        <v>4191</v>
      </c>
      <c r="T164" s="190"/>
      <c r="U164" s="189" t="s">
        <v>4191</v>
      </c>
      <c r="V164" s="188" t="s">
        <v>4191</v>
      </c>
      <c r="W164" s="198"/>
      <c r="X16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64" s="109">
        <f t="shared" si="8"/>
        <v>154</v>
      </c>
      <c r="AA164" s="59">
        <v>45946</v>
      </c>
      <c r="AB164" t="str">
        <v>samuelbattista</v>
      </c>
      <c r="AC164" s="3">
        <v>2.4</v>
      </c>
      <c r="AD164" s="3">
        <v>1.019803902718557</v>
      </c>
      <c r="AE164" t="str">
        <v>Jacob's Ladder</v>
      </c>
      <c r="AF164" t="str">
        <v>Rush</v>
      </c>
      <c r="AG164" s="100">
        <f t="shared" si="7"/>
        <v>129</v>
      </c>
      <c r="AI164" s="114">
        <f>SotY_2025[[#This Row],[Max Seed]]/2 + 1</f>
        <v>129</v>
      </c>
      <c r="AJ164" s="105" t="str">
        <f ca="1">IF(SotY_2025[[#This Row],[Num]]&gt;=$A$1, "-", IF(SotY_2025[[#This Row],[Score 1]]&gt;=3, SotY_2025[[#This Row],[Song 2]], IF(SotY_2025[[#This Row],[Score 2]]&gt;=3, SotY_2025[[#This Row],[Song 1]], "TBD")))</f>
        <v>Mockingbird</v>
      </c>
      <c r="AK164" s="115">
        <f ca="1">IFERROR(VLOOKUP(SotY_2025_Results[[#This Row],[Song Title]], $AE$2:$AG$200, 3, FALSE)-SotY_2025_Results[[#This Row],[Result]], "TBD")</f>
        <v>-64</v>
      </c>
      <c r="AL164" s="112" t="str">
        <f ca="1">IF(SotY_2025_Results[[#This Row],[Diff]]&lt;0,"↓",IF(SotY_2025_Results[[#This Row],[Diff]]=0,"-","↑"))</f>
        <v>↓</v>
      </c>
    </row>
    <row r="165" spans="1:38">
      <c r="A165" s="197" t="str">
        <f>_xlfn.CONCAT("Seed ", SotY_2025[[#This Row],[Top Seed]], " vs ", SotY_2025[[#This Row],[Low Seed]])</f>
        <v>Seed 93 vs 164</v>
      </c>
      <c r="B165" s="115">
        <v>163</v>
      </c>
      <c r="C165" s="115">
        <f>FLOOR(LOG(SotY_2025[[#This Row],[Num]], 2), 1)</f>
        <v>7</v>
      </c>
      <c r="D165" s="115">
        <f>2^(SotY_2025[[#This Row],[Round]]+1)</f>
        <v>256</v>
      </c>
      <c r="E165" s="115">
        <f>SotY_2025[[#This Row],[Max Seed]]-SotY_2025[[#This Row],[Num]]</f>
        <v>93</v>
      </c>
      <c r="F165" s="115">
        <f>SotY_2025[[#This Row],[Max Seed]]-SotY_2025[[#This Row],[Top Seed]]+1</f>
        <v>164</v>
      </c>
      <c r="G165" s="115" t="b">
        <f>IF(SotY_2025[[#This Row],[Round]]=$C$1, TRUE(), IF(SotY_2025[[#This Row],[Round]]=$B$1, SotY_2025[[#This Row],[Top Seed]]&lt;=2*SotY_2025[[#This Row],[Max Seed]]-$A$1, FALSE()))</f>
        <v>1</v>
      </c>
      <c r="H165" s="115" t="b">
        <f>IF(SotY_2025[[#This Row],[Round]]=$C$1, TRUE(), IF(SotY_2025[[#This Row],[Round]]=$B$1, SotY_2025[[#This Row],[Low Seed]]&lt;=2*SotY_2025[[#This Row],[Max Seed]]-$A$1, FALSE()))</f>
        <v>1</v>
      </c>
      <c r="I165" s="187"/>
      <c r="J165" s="188"/>
      <c r="K165" s="189" t="s">
        <v>4191</v>
      </c>
      <c r="L165" s="190" t="s">
        <v>4191</v>
      </c>
      <c r="M165" s="191" t="s">
        <v>4191</v>
      </c>
      <c r="N16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Dj Got Us Fallin' In Love Again</v>
      </c>
      <c r="O165" s="105">
        <f>COUNTIF(SotY_2025[[#This Row],[J]:[H]],"x")</f>
        <v>3</v>
      </c>
      <c r="P165" s="115" t="str">
        <f ca="1">IF(SotY_2025[[#This Row],[Num]]&gt;=$A$1, "-", IF(SotY_2025[[#This Row],[Score 1]]&gt;=3, SotY_2025[[#This Row],[Song 1]], IF(SotY_2025[[#This Row],[Score 2]]&gt;=3, SotY_2025[[#This Row],[Song 2]], "TBD")))</f>
        <v>Dj Got Us Fallin' In Love Again</v>
      </c>
      <c r="Q165" s="193">
        <f>COUNTIF(SotY_2025[[#This Row],[H ]:[J ]],"x")</f>
        <v>2</v>
      </c>
      <c r="R16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A Lonely Night</v>
      </c>
      <c r="S165" s="191"/>
      <c r="T165" s="190"/>
      <c r="U165" s="189"/>
      <c r="V165" s="188" t="s">
        <v>4191</v>
      </c>
      <c r="W165" s="198" t="s">
        <v>4191</v>
      </c>
      <c r="X16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65" s="109">
        <f t="shared" si="8"/>
        <v>39</v>
      </c>
      <c r="AA165" s="59">
        <v>45950</v>
      </c>
      <c r="AB165" t="str">
        <v>loganworsdell</v>
      </c>
      <c r="AC165" s="3">
        <v>1.8</v>
      </c>
      <c r="AD165" s="3">
        <v>1.1661903789690602</v>
      </c>
      <c r="AE165" t="str">
        <v>crossing field</v>
      </c>
      <c r="AF165" t="str">
        <v>LiSa</v>
      </c>
      <c r="AG165" s="100">
        <f t="shared" si="7"/>
        <v>33</v>
      </c>
      <c r="AI165" s="114">
        <f>SotY_2025[[#This Row],[Max Seed]]/2 + 1</f>
        <v>129</v>
      </c>
      <c r="AJ165" s="105" t="str">
        <f ca="1">IF(SotY_2025[[#This Row],[Num]]&gt;=$A$1, "-", IF(SotY_2025[[#This Row],[Score 1]]&gt;=3, SotY_2025[[#This Row],[Song 2]], IF(SotY_2025[[#This Row],[Score 2]]&gt;=3, SotY_2025[[#This Row],[Song 1]], "TBD")))</f>
        <v>A Lonely Night</v>
      </c>
      <c r="AK165" s="115">
        <f ca="1">IFERROR(VLOOKUP(SotY_2025_Results[[#This Row],[Song Title]], $AE$2:$AG$200, 3, FALSE)-SotY_2025_Results[[#This Row],[Result]], "TBD")</f>
        <v>0</v>
      </c>
      <c r="AL165" s="112" t="str">
        <f ca="1">IF(SotY_2025_Results[[#This Row],[Diff]]&lt;0,"↓",IF(SotY_2025_Results[[#This Row],[Diff]]=0,"-","↑"))</f>
        <v>-</v>
      </c>
    </row>
    <row r="166" spans="1:38">
      <c r="A166" s="197" t="str">
        <f>_xlfn.CONCAT("Seed ", SotY_2025[[#This Row],[Top Seed]], " vs ", SotY_2025[[#This Row],[Low Seed]])</f>
        <v>Seed 92 vs 165</v>
      </c>
      <c r="B166" s="115">
        <v>164</v>
      </c>
      <c r="C166" s="115">
        <f>FLOOR(LOG(SotY_2025[[#This Row],[Num]], 2), 1)</f>
        <v>7</v>
      </c>
      <c r="D166" s="115">
        <f>2^(SotY_2025[[#This Row],[Round]]+1)</f>
        <v>256</v>
      </c>
      <c r="E166" s="115">
        <f>SotY_2025[[#This Row],[Max Seed]]-SotY_2025[[#This Row],[Num]]</f>
        <v>92</v>
      </c>
      <c r="F166" s="115">
        <f>SotY_2025[[#This Row],[Max Seed]]-SotY_2025[[#This Row],[Top Seed]]+1</f>
        <v>165</v>
      </c>
      <c r="G166" s="115" t="b">
        <f>IF(SotY_2025[[#This Row],[Round]]=$C$1, TRUE(), IF(SotY_2025[[#This Row],[Round]]=$B$1, SotY_2025[[#This Row],[Top Seed]]&lt;=2*SotY_2025[[#This Row],[Max Seed]]-$A$1, FALSE()))</f>
        <v>1</v>
      </c>
      <c r="H166" s="115" t="b">
        <f>IF(SotY_2025[[#This Row],[Round]]=$C$1, TRUE(), IF(SotY_2025[[#This Row],[Round]]=$B$1, SotY_2025[[#This Row],[Low Seed]]&lt;=2*SotY_2025[[#This Row],[Max Seed]]-$A$1, FALSE()))</f>
        <v>1</v>
      </c>
      <c r="I166" s="187" t="s">
        <v>4191</v>
      </c>
      <c r="J166" s="188" t="s">
        <v>4191</v>
      </c>
      <c r="K166" s="189" t="s">
        <v>4191</v>
      </c>
      <c r="L166" s="190"/>
      <c r="M166" s="191"/>
      <c r="N16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Headlines</v>
      </c>
      <c r="O166" s="105">
        <f>COUNTIF(SotY_2025[[#This Row],[J]:[H]],"x")</f>
        <v>3</v>
      </c>
      <c r="P166" s="115" t="str">
        <f ca="1">IF(SotY_2025[[#This Row],[Num]]&gt;=$A$1, "-", IF(SotY_2025[[#This Row],[Score 1]]&gt;=3, SotY_2025[[#This Row],[Song 1]], IF(SotY_2025[[#This Row],[Score 2]]&gt;=3, SotY_2025[[#This Row],[Song 2]], "TBD")))</f>
        <v>Headlines</v>
      </c>
      <c r="Q166" s="193">
        <f>COUNTIF(SotY_2025[[#This Row],[H ]:[J ]],"x")</f>
        <v>2</v>
      </c>
      <c r="R16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The Void</v>
      </c>
      <c r="S166" s="191" t="s">
        <v>4191</v>
      </c>
      <c r="T166" s="190" t="s">
        <v>4191</v>
      </c>
      <c r="U166" s="189"/>
      <c r="V166" s="188"/>
      <c r="W166" s="198"/>
      <c r="X16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66" s="109">
        <f t="shared" si="8"/>
        <v>75</v>
      </c>
      <c r="AA166" s="59">
        <v>45951</v>
      </c>
      <c r="AB166" t="str">
        <v>samuelbattista</v>
      </c>
      <c r="AC166" s="3">
        <v>2</v>
      </c>
      <c r="AD166" s="3">
        <v>1.2649110640673518</v>
      </c>
      <c r="AE166" t="str">
        <v>Animal</v>
      </c>
      <c r="AF166" t="str">
        <v>Neon Trees</v>
      </c>
      <c r="AG166" s="100">
        <f t="shared" si="7"/>
        <v>65</v>
      </c>
      <c r="AI166" s="114">
        <f>SotY_2025[[#This Row],[Max Seed]]/2 + 1</f>
        <v>129</v>
      </c>
      <c r="AJ166" s="105" t="str">
        <f ca="1">IF(SotY_2025[[#This Row],[Num]]&gt;=$A$1, "-", IF(SotY_2025[[#This Row],[Score 1]]&gt;=3, SotY_2025[[#This Row],[Song 2]], IF(SotY_2025[[#This Row],[Score 2]]&gt;=3, SotY_2025[[#This Row],[Song 1]], "TBD")))</f>
        <v>The Void</v>
      </c>
      <c r="AK166" s="115">
        <f ca="1">IFERROR(VLOOKUP(SotY_2025_Results[[#This Row],[Song Title]], $AE$2:$AG$200, 3, FALSE)-SotY_2025_Results[[#This Row],[Result]], "TBD")</f>
        <v>0</v>
      </c>
      <c r="AL166" s="112" t="str">
        <f ca="1">IF(SotY_2025_Results[[#This Row],[Diff]]&lt;0,"↓",IF(SotY_2025_Results[[#This Row],[Diff]]=0,"-","↑"))</f>
        <v>-</v>
      </c>
    </row>
    <row r="167" spans="1:38">
      <c r="A167" s="197" t="str">
        <f>_xlfn.CONCAT("Seed ", SotY_2025[[#This Row],[Top Seed]], " vs ", SotY_2025[[#This Row],[Low Seed]])</f>
        <v>Seed 91 vs 166</v>
      </c>
      <c r="B167" s="115">
        <v>165</v>
      </c>
      <c r="C167" s="115">
        <f>FLOOR(LOG(SotY_2025[[#This Row],[Num]], 2), 1)</f>
        <v>7</v>
      </c>
      <c r="D167" s="115">
        <f>2^(SotY_2025[[#This Row],[Round]]+1)</f>
        <v>256</v>
      </c>
      <c r="E167" s="115">
        <f>SotY_2025[[#This Row],[Max Seed]]-SotY_2025[[#This Row],[Num]]</f>
        <v>91</v>
      </c>
      <c r="F167" s="115">
        <f>SotY_2025[[#This Row],[Max Seed]]-SotY_2025[[#This Row],[Top Seed]]+1</f>
        <v>166</v>
      </c>
      <c r="G167" s="115" t="b">
        <f>IF(SotY_2025[[#This Row],[Round]]=$C$1, TRUE(), IF(SotY_2025[[#This Row],[Round]]=$B$1, SotY_2025[[#This Row],[Top Seed]]&lt;=2*SotY_2025[[#This Row],[Max Seed]]-$A$1, FALSE()))</f>
        <v>1</v>
      </c>
      <c r="H167" s="115" t="b">
        <f>IF(SotY_2025[[#This Row],[Round]]=$C$1, TRUE(), IF(SotY_2025[[#This Row],[Round]]=$B$1, SotY_2025[[#This Row],[Low Seed]]&lt;=2*SotY_2025[[#This Row],[Max Seed]]-$A$1, FALSE()))</f>
        <v>1</v>
      </c>
      <c r="I167" s="187"/>
      <c r="J167" s="188"/>
      <c r="K167" s="189" t="s">
        <v>4191</v>
      </c>
      <c r="L167" s="190" t="s">
        <v>4191</v>
      </c>
      <c r="M167" s="191" t="s">
        <v>4191</v>
      </c>
      <c r="N16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Calling After Me</v>
      </c>
      <c r="O167" s="105">
        <f>COUNTIF(SotY_2025[[#This Row],[J]:[H]],"x")</f>
        <v>3</v>
      </c>
      <c r="P167" s="115" t="str">
        <f ca="1">IF(SotY_2025[[#This Row],[Num]]&gt;=$A$1, "-", IF(SotY_2025[[#This Row],[Score 1]]&gt;=3, SotY_2025[[#This Row],[Song 1]], IF(SotY_2025[[#This Row],[Score 2]]&gt;=3, SotY_2025[[#This Row],[Song 2]], "TBD")))</f>
        <v>Calling After Me</v>
      </c>
      <c r="Q167" s="193">
        <f>COUNTIF(SotY_2025[[#This Row],[H ]:[J ]],"x")</f>
        <v>2</v>
      </c>
      <c r="R16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+57</v>
      </c>
      <c r="S167" s="191"/>
      <c r="T167" s="190"/>
      <c r="U167" s="189"/>
      <c r="V167" s="188" t="s">
        <v>4191</v>
      </c>
      <c r="W167" s="198" t="s">
        <v>4191</v>
      </c>
      <c r="X16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67" s="109">
        <f t="shared" si="8"/>
        <v>17</v>
      </c>
      <c r="AA167" s="59">
        <v>45952</v>
      </c>
      <c r="AB167" t="str">
        <v>samuelbattista</v>
      </c>
      <c r="AC167" s="3">
        <v>1.6</v>
      </c>
      <c r="AD167" s="3">
        <v>0.8</v>
      </c>
      <c r="AE167" t="str">
        <v>can't slow down</v>
      </c>
      <c r="AF167" t="str">
        <v>almost Monday</v>
      </c>
      <c r="AG167" s="100">
        <f t="shared" si="7"/>
        <v>17</v>
      </c>
      <c r="AI167" s="114">
        <f>SotY_2025[[#This Row],[Max Seed]]/2 + 1</f>
        <v>129</v>
      </c>
      <c r="AJ167" s="105" t="str">
        <f ca="1">IF(SotY_2025[[#This Row],[Num]]&gt;=$A$1, "-", IF(SotY_2025[[#This Row],[Score 1]]&gt;=3, SotY_2025[[#This Row],[Song 2]], IF(SotY_2025[[#This Row],[Score 2]]&gt;=3, SotY_2025[[#This Row],[Song 1]], "TBD")))</f>
        <v>+57</v>
      </c>
      <c r="AK167" s="115">
        <f ca="1">IFERROR(VLOOKUP(SotY_2025_Results[[#This Row],[Song Title]], $AE$2:$AG$200, 3, FALSE)-SotY_2025_Results[[#This Row],[Result]], "TBD")</f>
        <v>0</v>
      </c>
      <c r="AL167" s="112" t="str">
        <f ca="1">IF(SotY_2025_Results[[#This Row],[Diff]]&lt;0,"↓",IF(SotY_2025_Results[[#This Row],[Diff]]=0,"-","↑"))</f>
        <v>-</v>
      </c>
    </row>
    <row r="168" spans="1:38">
      <c r="A168" s="197" t="str">
        <f>_xlfn.CONCAT("Seed ", SotY_2025[[#This Row],[Top Seed]], " vs ", SotY_2025[[#This Row],[Low Seed]])</f>
        <v>Seed 90 vs 167</v>
      </c>
      <c r="B168" s="115">
        <v>166</v>
      </c>
      <c r="C168" s="115">
        <f>FLOOR(LOG(SotY_2025[[#This Row],[Num]], 2), 1)</f>
        <v>7</v>
      </c>
      <c r="D168" s="115">
        <f>2^(SotY_2025[[#This Row],[Round]]+1)</f>
        <v>256</v>
      </c>
      <c r="E168" s="115">
        <f>SotY_2025[[#This Row],[Max Seed]]-SotY_2025[[#This Row],[Num]]</f>
        <v>90</v>
      </c>
      <c r="F168" s="115">
        <f>SotY_2025[[#This Row],[Max Seed]]-SotY_2025[[#This Row],[Top Seed]]+1</f>
        <v>167</v>
      </c>
      <c r="G168" s="115" t="b">
        <f>IF(SotY_2025[[#This Row],[Round]]=$C$1, TRUE(), IF(SotY_2025[[#This Row],[Round]]=$B$1, SotY_2025[[#This Row],[Top Seed]]&lt;=2*SotY_2025[[#This Row],[Max Seed]]-$A$1, FALSE()))</f>
        <v>1</v>
      </c>
      <c r="H168" s="115" t="b">
        <f>IF(SotY_2025[[#This Row],[Round]]=$C$1, TRUE(), IF(SotY_2025[[#This Row],[Round]]=$B$1, SotY_2025[[#This Row],[Low Seed]]&lt;=2*SotY_2025[[#This Row],[Max Seed]]-$A$1, FALSE()))</f>
        <v>1</v>
      </c>
      <c r="I168" s="187" t="s">
        <v>4191</v>
      </c>
      <c r="J168" s="188" t="s">
        <v>4191</v>
      </c>
      <c r="K168" s="189"/>
      <c r="L168" s="190"/>
      <c r="M168" s="191" t="s">
        <v>4191</v>
      </c>
      <c r="N16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Ensalada</v>
      </c>
      <c r="O168" s="105">
        <f>COUNTIF(SotY_2025[[#This Row],[J]:[H]],"x")</f>
        <v>3</v>
      </c>
      <c r="P168" s="115" t="str">
        <f ca="1">IF(SotY_2025[[#This Row],[Num]]&gt;=$A$1, "-", IF(SotY_2025[[#This Row],[Score 1]]&gt;=3, SotY_2025[[#This Row],[Song 1]], IF(SotY_2025[[#This Row],[Score 2]]&gt;=3, SotY_2025[[#This Row],[Song 2]], "TBD")))</f>
        <v>Ensalada</v>
      </c>
      <c r="Q168" s="193">
        <f>COUNTIF(SotY_2025[[#This Row],[H ]:[J ]],"x")</f>
        <v>2</v>
      </c>
      <c r="R16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burbank house</v>
      </c>
      <c r="S168" s="191"/>
      <c r="T168" s="190" t="s">
        <v>4191</v>
      </c>
      <c r="U168" s="189" t="s">
        <v>4191</v>
      </c>
      <c r="V168" s="188"/>
      <c r="W168" s="198"/>
      <c r="X16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68" s="109">
        <f t="shared" si="8"/>
        <v>94</v>
      </c>
      <c r="AA168" s="59">
        <v>45953</v>
      </c>
      <c r="AB168" t="str">
        <v>alappatjoe</v>
      </c>
      <c r="AC168" s="3">
        <v>2.2000000000000002</v>
      </c>
      <c r="AD168" s="3">
        <v>0.74833147735478833</v>
      </c>
      <c r="AE168" t="str">
        <v>Mockingbird</v>
      </c>
      <c r="AF168" t="str">
        <v>Eminem</v>
      </c>
      <c r="AG168" s="100">
        <f t="shared" si="7"/>
        <v>65</v>
      </c>
      <c r="AI168" s="114">
        <f>SotY_2025[[#This Row],[Max Seed]]/2 + 1</f>
        <v>129</v>
      </c>
      <c r="AJ168" s="105" t="str">
        <f ca="1">IF(SotY_2025[[#This Row],[Num]]&gt;=$A$1, "-", IF(SotY_2025[[#This Row],[Score 1]]&gt;=3, SotY_2025[[#This Row],[Song 2]], IF(SotY_2025[[#This Row],[Score 2]]&gt;=3, SotY_2025[[#This Row],[Song 1]], "TBD")))</f>
        <v>burbank house</v>
      </c>
      <c r="AK168" s="115">
        <f ca="1">IFERROR(VLOOKUP(SotY_2025_Results[[#This Row],[Song Title]], $AE$2:$AG$200, 3, FALSE)-SotY_2025_Results[[#This Row],[Result]], "TBD")</f>
        <v>0</v>
      </c>
      <c r="AL168" s="112" t="str">
        <f ca="1">IF(SotY_2025_Results[[#This Row],[Diff]]&lt;0,"↓",IF(SotY_2025_Results[[#This Row],[Diff]]=0,"-","↑"))</f>
        <v>-</v>
      </c>
    </row>
    <row r="169" spans="1:38">
      <c r="A169" s="197" t="str">
        <f>_xlfn.CONCAT("Seed ", SotY_2025[[#This Row],[Top Seed]], " vs ", SotY_2025[[#This Row],[Low Seed]])</f>
        <v>Seed 89 vs 168</v>
      </c>
      <c r="B169" s="115">
        <v>167</v>
      </c>
      <c r="C169" s="115">
        <f>FLOOR(LOG(SotY_2025[[#This Row],[Num]], 2), 1)</f>
        <v>7</v>
      </c>
      <c r="D169" s="115">
        <f>2^(SotY_2025[[#This Row],[Round]]+1)</f>
        <v>256</v>
      </c>
      <c r="E169" s="115">
        <f>SotY_2025[[#This Row],[Max Seed]]-SotY_2025[[#This Row],[Num]]</f>
        <v>89</v>
      </c>
      <c r="F169" s="115">
        <f>SotY_2025[[#This Row],[Max Seed]]-SotY_2025[[#This Row],[Top Seed]]+1</f>
        <v>168</v>
      </c>
      <c r="G169" s="115" t="b">
        <f>IF(SotY_2025[[#This Row],[Round]]=$C$1, TRUE(), IF(SotY_2025[[#This Row],[Round]]=$B$1, SotY_2025[[#This Row],[Top Seed]]&lt;=2*SotY_2025[[#This Row],[Max Seed]]-$A$1, FALSE()))</f>
        <v>1</v>
      </c>
      <c r="H169" s="115" t="b">
        <f>IF(SotY_2025[[#This Row],[Round]]=$C$1, TRUE(), IF(SotY_2025[[#This Row],[Round]]=$B$1, SotY_2025[[#This Row],[Low Seed]]&lt;=2*SotY_2025[[#This Row],[Max Seed]]-$A$1, FALSE()))</f>
        <v>1</v>
      </c>
      <c r="I169" s="187"/>
      <c r="J169" s="188"/>
      <c r="K169" s="189"/>
      <c r="L169" s="190"/>
      <c r="M169" s="191"/>
      <c r="N16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Helicopter</v>
      </c>
      <c r="O169" s="105">
        <f>COUNTIF(SotY_2025[[#This Row],[J]:[H]],"x")</f>
        <v>0</v>
      </c>
      <c r="P169" s="115" t="str">
        <f ca="1">IF(SotY_2025[[#This Row],[Num]]&gt;=$A$1, "-", IF(SotY_2025[[#This Row],[Score 1]]&gt;=3, SotY_2025[[#This Row],[Song 1]], IF(SotY_2025[[#This Row],[Score 2]]&gt;=3, SotY_2025[[#This Row],[Song 2]], "TBD")))</f>
        <v>Take Me Out</v>
      </c>
      <c r="Q169" s="193">
        <f>COUNTIF(SotY_2025[[#This Row],[H ]:[J ]],"x")</f>
        <v>5</v>
      </c>
      <c r="R16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Take Me Out</v>
      </c>
      <c r="S169" s="191" t="s">
        <v>4191</v>
      </c>
      <c r="T169" s="190" t="s">
        <v>4191</v>
      </c>
      <c r="U169" s="189" t="s">
        <v>4191</v>
      </c>
      <c r="V169" s="188" t="s">
        <v>4191</v>
      </c>
      <c r="W169" s="198" t="s">
        <v>4191</v>
      </c>
      <c r="X16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69" s="109">
        <f t="shared" si="8"/>
        <v>107</v>
      </c>
      <c r="AA169" s="59">
        <v>45957</v>
      </c>
      <c r="AB169" t="str">
        <v>danram</v>
      </c>
      <c r="AC169" s="3">
        <v>2.2000000000000002</v>
      </c>
      <c r="AD169" s="3">
        <v>0.9797958971132712</v>
      </c>
      <c r="AE169" t="str">
        <v>Friday I'm in Love</v>
      </c>
      <c r="AF169" t="str">
        <v>The Cure</v>
      </c>
      <c r="AG169" s="100">
        <f t="shared" si="7"/>
        <v>65</v>
      </c>
      <c r="AI169" s="114">
        <f>SotY_2025[[#This Row],[Max Seed]]/2 + 1</f>
        <v>129</v>
      </c>
      <c r="AJ169" s="105" t="str">
        <f ca="1">IF(SotY_2025[[#This Row],[Num]]&gt;=$A$1, "-", IF(SotY_2025[[#This Row],[Score 1]]&gt;=3, SotY_2025[[#This Row],[Song 2]], IF(SotY_2025[[#This Row],[Score 2]]&gt;=3, SotY_2025[[#This Row],[Song 1]], "TBD")))</f>
        <v>Helicopter</v>
      </c>
      <c r="AK169" s="115">
        <f ca="1">IFERROR(VLOOKUP(SotY_2025_Results[[#This Row],[Song Title]], $AE$2:$AG$200, 3, FALSE)-SotY_2025_Results[[#This Row],[Result]], "TBD")</f>
        <v>-64</v>
      </c>
      <c r="AL169" s="112" t="str">
        <f ca="1">IF(SotY_2025_Results[[#This Row],[Diff]]&lt;0,"↓",IF(SotY_2025_Results[[#This Row],[Diff]]=0,"-","↑"))</f>
        <v>↓</v>
      </c>
    </row>
    <row r="170" spans="1:38">
      <c r="A170" s="197" t="str">
        <f>_xlfn.CONCAT("Seed ", SotY_2025[[#This Row],[Top Seed]], " vs ", SotY_2025[[#This Row],[Low Seed]])</f>
        <v>Seed 88 vs 169</v>
      </c>
      <c r="B170" s="115">
        <v>168</v>
      </c>
      <c r="C170" s="115">
        <f>FLOOR(LOG(SotY_2025[[#This Row],[Num]], 2), 1)</f>
        <v>7</v>
      </c>
      <c r="D170" s="115">
        <f>2^(SotY_2025[[#This Row],[Round]]+1)</f>
        <v>256</v>
      </c>
      <c r="E170" s="115">
        <f>SotY_2025[[#This Row],[Max Seed]]-SotY_2025[[#This Row],[Num]]</f>
        <v>88</v>
      </c>
      <c r="F170" s="115">
        <f>SotY_2025[[#This Row],[Max Seed]]-SotY_2025[[#This Row],[Top Seed]]+1</f>
        <v>169</v>
      </c>
      <c r="G170" s="115" t="b">
        <f>IF(SotY_2025[[#This Row],[Round]]=$C$1, TRUE(), IF(SotY_2025[[#This Row],[Round]]=$B$1, SotY_2025[[#This Row],[Top Seed]]&lt;=2*SotY_2025[[#This Row],[Max Seed]]-$A$1, FALSE()))</f>
        <v>1</v>
      </c>
      <c r="H170" s="115" t="b">
        <f>IF(SotY_2025[[#This Row],[Round]]=$C$1, TRUE(), IF(SotY_2025[[#This Row],[Round]]=$B$1, SotY_2025[[#This Row],[Low Seed]]&lt;=2*SotY_2025[[#This Row],[Max Seed]]-$A$1, FALSE()))</f>
        <v>1</v>
      </c>
      <c r="I170" s="187" t="s">
        <v>4191</v>
      </c>
      <c r="J170" s="188"/>
      <c r="K170" s="189" t="s">
        <v>4191</v>
      </c>
      <c r="L170" s="190"/>
      <c r="M170" s="191" t="s">
        <v>4191</v>
      </c>
      <c r="N17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Whateverrrr</v>
      </c>
      <c r="O170" s="105">
        <f>COUNTIF(SotY_2025[[#This Row],[J]:[H]],"x")</f>
        <v>3</v>
      </c>
      <c r="P170" s="115" t="str">
        <f ca="1">IF(SotY_2025[[#This Row],[Num]]&gt;=$A$1, "-", IF(SotY_2025[[#This Row],[Score 1]]&gt;=3, SotY_2025[[#This Row],[Song 1]], IF(SotY_2025[[#This Row],[Score 2]]&gt;=3, SotY_2025[[#This Row],[Song 2]], "TBD")))</f>
        <v>Whateverrrr</v>
      </c>
      <c r="Q170" s="193">
        <f>COUNTIF(SotY_2025[[#This Row],[H ]:[J ]],"x")</f>
        <v>2</v>
      </c>
      <c r="R17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Tom Sawyer</v>
      </c>
      <c r="S170" s="191"/>
      <c r="T170" s="190" t="s">
        <v>4191</v>
      </c>
      <c r="U170" s="189"/>
      <c r="V170" s="188" t="s">
        <v>4191</v>
      </c>
      <c r="W170" s="198"/>
      <c r="X17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70" s="109">
        <f t="shared" si="8"/>
        <v>31</v>
      </c>
      <c r="AA170" s="59">
        <v>45958</v>
      </c>
      <c r="AB170" t="str">
        <v>samuelbattista</v>
      </c>
      <c r="AC170" s="3">
        <v>1.8</v>
      </c>
      <c r="AD170" s="3">
        <v>0.74833147735478833</v>
      </c>
      <c r="AE170" t="str">
        <v>300 dreams</v>
      </c>
      <c r="AF170" t="str">
        <v>After</v>
      </c>
      <c r="AG170" s="100">
        <f t="shared" si="7"/>
        <v>17</v>
      </c>
      <c r="AI170" s="114">
        <f>SotY_2025[[#This Row],[Max Seed]]/2 + 1</f>
        <v>129</v>
      </c>
      <c r="AJ170" s="105" t="str">
        <f ca="1">IF(SotY_2025[[#This Row],[Num]]&gt;=$A$1, "-", IF(SotY_2025[[#This Row],[Score 1]]&gt;=3, SotY_2025[[#This Row],[Song 2]], IF(SotY_2025[[#This Row],[Score 2]]&gt;=3, SotY_2025[[#This Row],[Song 1]], "TBD")))</f>
        <v>Tom Sawyer</v>
      </c>
      <c r="AK170" s="115">
        <f ca="1">IFERROR(VLOOKUP(SotY_2025_Results[[#This Row],[Song Title]], $AE$2:$AG$200, 3, FALSE)-SotY_2025_Results[[#This Row],[Result]], "TBD")</f>
        <v>0</v>
      </c>
      <c r="AL170" s="112" t="str">
        <f ca="1">IF(SotY_2025_Results[[#This Row],[Diff]]&lt;0,"↓",IF(SotY_2025_Results[[#This Row],[Diff]]=0,"-","↑"))</f>
        <v>-</v>
      </c>
    </row>
    <row r="171" spans="1:38">
      <c r="A171" s="197" t="str">
        <f>_xlfn.CONCAT("Seed ", SotY_2025[[#This Row],[Top Seed]], " vs ", SotY_2025[[#This Row],[Low Seed]])</f>
        <v>Seed 87 vs 170</v>
      </c>
      <c r="B171" s="115">
        <v>169</v>
      </c>
      <c r="C171" s="115">
        <f>FLOOR(LOG(SotY_2025[[#This Row],[Num]], 2), 1)</f>
        <v>7</v>
      </c>
      <c r="D171" s="115">
        <f>2^(SotY_2025[[#This Row],[Round]]+1)</f>
        <v>256</v>
      </c>
      <c r="E171" s="115">
        <f>SotY_2025[[#This Row],[Max Seed]]-SotY_2025[[#This Row],[Num]]</f>
        <v>87</v>
      </c>
      <c r="F171" s="115">
        <f>SotY_2025[[#This Row],[Max Seed]]-SotY_2025[[#This Row],[Top Seed]]+1</f>
        <v>170</v>
      </c>
      <c r="G171" s="115" t="b">
        <f>IF(SotY_2025[[#This Row],[Round]]=$C$1, TRUE(), IF(SotY_2025[[#This Row],[Round]]=$B$1, SotY_2025[[#This Row],[Top Seed]]&lt;=2*SotY_2025[[#This Row],[Max Seed]]-$A$1, FALSE()))</f>
        <v>1</v>
      </c>
      <c r="H171" s="115" t="b">
        <f>IF(SotY_2025[[#This Row],[Round]]=$C$1, TRUE(), IF(SotY_2025[[#This Row],[Round]]=$B$1, SotY_2025[[#This Row],[Low Seed]]&lt;=2*SotY_2025[[#This Row],[Max Seed]]-$A$1, FALSE()))</f>
        <v>1</v>
      </c>
      <c r="I171" s="187"/>
      <c r="J171" s="188" t="s">
        <v>4191</v>
      </c>
      <c r="K171" s="189" t="s">
        <v>4191</v>
      </c>
      <c r="L171" s="190" t="s">
        <v>4191</v>
      </c>
      <c r="M171" s="191" t="s">
        <v>4191</v>
      </c>
      <c r="N17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So Good</v>
      </c>
      <c r="O171" s="105">
        <f>COUNTIF(SotY_2025[[#This Row],[J]:[H]],"x")</f>
        <v>4</v>
      </c>
      <c r="P171" s="115" t="str">
        <f ca="1">IF(SotY_2025[[#This Row],[Num]]&gt;=$A$1, "-", IF(SotY_2025[[#This Row],[Score 1]]&gt;=3, SotY_2025[[#This Row],[Song 1]], IF(SotY_2025[[#This Row],[Score 2]]&gt;=3, SotY_2025[[#This Row],[Song 2]], "TBD")))</f>
        <v>So Good</v>
      </c>
      <c r="Q171" s="193">
        <f>COUNTIF(SotY_2025[[#This Row],[H ]:[J ]],"x")</f>
        <v>1</v>
      </c>
      <c r="R17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Isis</v>
      </c>
      <c r="S171" s="191"/>
      <c r="T171" s="190"/>
      <c r="U171" s="189"/>
      <c r="V171" s="188"/>
      <c r="W171" s="198" t="s">
        <v>4191</v>
      </c>
      <c r="X17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71" s="109">
        <f t="shared" si="8"/>
        <v>108</v>
      </c>
      <c r="AA171" s="59">
        <v>45959</v>
      </c>
      <c r="AB171" t="str">
        <v>danram</v>
      </c>
      <c r="AC171" s="3">
        <v>2.2000000000000002</v>
      </c>
      <c r="AD171" s="3">
        <v>0.9797958971132712</v>
      </c>
      <c r="AE171" t="str">
        <v>Bound 2</v>
      </c>
      <c r="AF171" t="str">
        <v>Kanye West</v>
      </c>
      <c r="AG171" s="100">
        <f t="shared" si="7"/>
        <v>65</v>
      </c>
      <c r="AI171" s="114">
        <f>SotY_2025[[#This Row],[Max Seed]]/2 + 1</f>
        <v>129</v>
      </c>
      <c r="AJ171" s="105" t="str">
        <f ca="1">IF(SotY_2025[[#This Row],[Num]]&gt;=$A$1, "-", IF(SotY_2025[[#This Row],[Score 1]]&gt;=3, SotY_2025[[#This Row],[Song 2]], IF(SotY_2025[[#This Row],[Score 2]]&gt;=3, SotY_2025[[#This Row],[Song 1]], "TBD")))</f>
        <v>Isis</v>
      </c>
      <c r="AK171" s="115">
        <f ca="1">IFERROR(VLOOKUP(SotY_2025_Results[[#This Row],[Song Title]], $AE$2:$AG$200, 3, FALSE)-SotY_2025_Results[[#This Row],[Result]], "TBD")</f>
        <v>0</v>
      </c>
      <c r="AL171" s="112" t="str">
        <f ca="1">IF(SotY_2025_Results[[#This Row],[Diff]]&lt;0,"↓",IF(SotY_2025_Results[[#This Row],[Diff]]=0,"-","↑"))</f>
        <v>-</v>
      </c>
    </row>
    <row r="172" spans="1:38">
      <c r="A172" s="197" t="str">
        <f>_xlfn.CONCAT("Seed ", SotY_2025[[#This Row],[Top Seed]], " vs ", SotY_2025[[#This Row],[Low Seed]])</f>
        <v>Seed 86 vs 171</v>
      </c>
      <c r="B172" s="115">
        <v>170</v>
      </c>
      <c r="C172" s="115">
        <f>FLOOR(LOG(SotY_2025[[#This Row],[Num]], 2), 1)</f>
        <v>7</v>
      </c>
      <c r="D172" s="115">
        <f>2^(SotY_2025[[#This Row],[Round]]+1)</f>
        <v>256</v>
      </c>
      <c r="E172" s="115">
        <f>SotY_2025[[#This Row],[Max Seed]]-SotY_2025[[#This Row],[Num]]</f>
        <v>86</v>
      </c>
      <c r="F172" s="115">
        <f>SotY_2025[[#This Row],[Max Seed]]-SotY_2025[[#This Row],[Top Seed]]+1</f>
        <v>171</v>
      </c>
      <c r="G172" s="115" t="b">
        <f>IF(SotY_2025[[#This Row],[Round]]=$C$1, TRUE(), IF(SotY_2025[[#This Row],[Round]]=$B$1, SotY_2025[[#This Row],[Top Seed]]&lt;=2*SotY_2025[[#This Row],[Max Seed]]-$A$1, FALSE()))</f>
        <v>1</v>
      </c>
      <c r="H172" s="115" t="b">
        <f>IF(SotY_2025[[#This Row],[Round]]=$C$1, TRUE(), IF(SotY_2025[[#This Row],[Round]]=$B$1, SotY_2025[[#This Row],[Low Seed]]&lt;=2*SotY_2025[[#This Row],[Max Seed]]-$A$1, FALSE()))</f>
        <v>1</v>
      </c>
      <c r="I172" s="187"/>
      <c r="J172" s="188"/>
      <c r="K172" s="189" t="s">
        <v>4191</v>
      </c>
      <c r="L172" s="190"/>
      <c r="M172" s="191"/>
      <c r="N17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venus fly trap</v>
      </c>
      <c r="O172" s="105">
        <f>COUNTIF(SotY_2025[[#This Row],[J]:[H]],"x")</f>
        <v>1</v>
      </c>
      <c r="P172" s="115" t="str">
        <f ca="1">IF(SotY_2025[[#This Row],[Num]]&gt;=$A$1, "-", IF(SotY_2025[[#This Row],[Score 1]]&gt;=3, SotY_2025[[#This Row],[Song 1]], IF(SotY_2025[[#This Row],[Score 2]]&gt;=3, SotY_2025[[#This Row],[Song 2]], "TBD")))</f>
        <v>SEE U DANCE</v>
      </c>
      <c r="Q172" s="193">
        <f>COUNTIF(SotY_2025[[#This Row],[H ]:[J ]],"x")</f>
        <v>4</v>
      </c>
      <c r="R17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SEE U DANCE</v>
      </c>
      <c r="S172" s="191" t="s">
        <v>4191</v>
      </c>
      <c r="T172" s="190" t="s">
        <v>4191</v>
      </c>
      <c r="U172" s="189"/>
      <c r="V172" s="188" t="s">
        <v>4191</v>
      </c>
      <c r="W172" s="198" t="s">
        <v>4191</v>
      </c>
      <c r="X17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72" s="109">
        <f t="shared" si="8"/>
        <v>95</v>
      </c>
      <c r="AA172" s="59">
        <v>45960</v>
      </c>
      <c r="AB172" t="str">
        <v>danram</v>
      </c>
      <c r="AC172" s="3">
        <v>2.2000000000000002</v>
      </c>
      <c r="AD172" s="3">
        <v>0.74833147735478833</v>
      </c>
      <c r="AE172" t="str">
        <v>Somebody's Watching Me</v>
      </c>
      <c r="AF172" t="str">
        <v>Rockwell</v>
      </c>
      <c r="AG172" s="100">
        <f t="shared" si="7"/>
        <v>65</v>
      </c>
      <c r="AI172" s="114">
        <f>SotY_2025[[#This Row],[Max Seed]]/2 + 1</f>
        <v>129</v>
      </c>
      <c r="AJ172" s="105" t="str">
        <f ca="1">IF(SotY_2025[[#This Row],[Num]]&gt;=$A$1, "-", IF(SotY_2025[[#This Row],[Score 1]]&gt;=3, SotY_2025[[#This Row],[Song 2]], IF(SotY_2025[[#This Row],[Score 2]]&gt;=3, SotY_2025[[#This Row],[Song 1]], "TBD")))</f>
        <v>venus fly trap</v>
      </c>
      <c r="AK172" s="115">
        <f ca="1">IFERROR(VLOOKUP(SotY_2025_Results[[#This Row],[Song Title]], $AE$2:$AG$200, 3, FALSE)-SotY_2025_Results[[#This Row],[Result]], "TBD")</f>
        <v>-64</v>
      </c>
      <c r="AL172" s="112" t="str">
        <f ca="1">IF(SotY_2025_Results[[#This Row],[Diff]]&lt;0,"↓",IF(SotY_2025_Results[[#This Row],[Diff]]=0,"-","↑"))</f>
        <v>↓</v>
      </c>
    </row>
    <row r="173" spans="1:38">
      <c r="A173" s="197" t="str">
        <f>_xlfn.CONCAT("Seed ", SotY_2025[[#This Row],[Top Seed]], " vs ", SotY_2025[[#This Row],[Low Seed]])</f>
        <v>Seed 85 vs 172</v>
      </c>
      <c r="B173" s="115">
        <v>171</v>
      </c>
      <c r="C173" s="115">
        <f>FLOOR(LOG(SotY_2025[[#This Row],[Num]], 2), 1)</f>
        <v>7</v>
      </c>
      <c r="D173" s="115">
        <f>2^(SotY_2025[[#This Row],[Round]]+1)</f>
        <v>256</v>
      </c>
      <c r="E173" s="115">
        <f>SotY_2025[[#This Row],[Max Seed]]-SotY_2025[[#This Row],[Num]]</f>
        <v>85</v>
      </c>
      <c r="F173" s="115">
        <f>SotY_2025[[#This Row],[Max Seed]]-SotY_2025[[#This Row],[Top Seed]]+1</f>
        <v>172</v>
      </c>
      <c r="G173" s="115" t="b">
        <f>IF(SotY_2025[[#This Row],[Round]]=$C$1, TRUE(), IF(SotY_2025[[#This Row],[Round]]=$B$1, SotY_2025[[#This Row],[Top Seed]]&lt;=2*SotY_2025[[#This Row],[Max Seed]]-$A$1, FALSE()))</f>
        <v>1</v>
      </c>
      <c r="H173" s="115" t="b">
        <f>IF(SotY_2025[[#This Row],[Round]]=$C$1, TRUE(), IF(SotY_2025[[#This Row],[Round]]=$B$1, SotY_2025[[#This Row],[Low Seed]]&lt;=2*SotY_2025[[#This Row],[Max Seed]]-$A$1, FALSE()))</f>
        <v>1</v>
      </c>
      <c r="I173" s="187" t="s">
        <v>4191</v>
      </c>
      <c r="J173" s="188" t="s">
        <v>4191</v>
      </c>
      <c r="K173" s="189"/>
      <c r="L173" s="190"/>
      <c r="M173" s="191"/>
      <c r="N17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National Park</v>
      </c>
      <c r="O173" s="105">
        <f>COUNTIF(SotY_2025[[#This Row],[J]:[H]],"x")</f>
        <v>2</v>
      </c>
      <c r="P173" s="115" t="str">
        <f ca="1">IF(SotY_2025[[#This Row],[Num]]&gt;=$A$1, "-", IF(SotY_2025[[#This Row],[Score 1]]&gt;=3, SotY_2025[[#This Row],[Song 1]], IF(SotY_2025[[#This Row],[Score 2]]&gt;=3, SotY_2025[[#This Row],[Song 2]], "TBD")))</f>
        <v>Flyers</v>
      </c>
      <c r="Q173" s="193">
        <f>COUNTIF(SotY_2025[[#This Row],[H ]:[J ]],"x")</f>
        <v>3</v>
      </c>
      <c r="R17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Flyers</v>
      </c>
      <c r="S173" s="191" t="s">
        <v>4191</v>
      </c>
      <c r="T173" s="190" t="s">
        <v>4191</v>
      </c>
      <c r="U173" s="189" t="s">
        <v>4191</v>
      </c>
      <c r="V173" s="188"/>
      <c r="W173" s="198"/>
      <c r="X17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73" s="109">
        <f t="shared" si="8"/>
        <v>173</v>
      </c>
      <c r="AA173" s="59">
        <v>45964</v>
      </c>
      <c r="AB173" t="str">
        <v>currydestroyer27</v>
      </c>
      <c r="AC173" s="3">
        <v>2.4</v>
      </c>
      <c r="AD173" s="3">
        <v>1.4966629547095767</v>
      </c>
      <c r="AE173" t="str">
        <v>IRIS OUT</v>
      </c>
      <c r="AF173" t="str">
        <v>Kenshi Yonezu</v>
      </c>
      <c r="AG173" s="100">
        <f t="shared" si="7"/>
        <v>129</v>
      </c>
      <c r="AI173" s="114">
        <f>SotY_2025[[#This Row],[Max Seed]]/2 + 1</f>
        <v>129</v>
      </c>
      <c r="AJ173" s="105" t="str">
        <f ca="1">IF(SotY_2025[[#This Row],[Num]]&gt;=$A$1, "-", IF(SotY_2025[[#This Row],[Score 1]]&gt;=3, SotY_2025[[#This Row],[Song 2]], IF(SotY_2025[[#This Row],[Score 2]]&gt;=3, SotY_2025[[#This Row],[Song 1]], "TBD")))</f>
        <v>National Park</v>
      </c>
      <c r="AK173" s="115">
        <f ca="1">IFERROR(VLOOKUP(SotY_2025_Results[[#This Row],[Song Title]], $AE$2:$AG$200, 3, FALSE)-SotY_2025_Results[[#This Row],[Result]], "TBD")</f>
        <v>-64</v>
      </c>
      <c r="AL173" s="112" t="str">
        <f ca="1">IF(SotY_2025_Results[[#This Row],[Diff]]&lt;0,"↓",IF(SotY_2025_Results[[#This Row],[Diff]]=0,"-","↑"))</f>
        <v>↓</v>
      </c>
    </row>
    <row r="174" spans="1:38">
      <c r="A174" s="197" t="str">
        <f>_xlfn.CONCAT("Seed ", SotY_2025[[#This Row],[Top Seed]], " vs ", SotY_2025[[#This Row],[Low Seed]])</f>
        <v>Seed 84 vs 173</v>
      </c>
      <c r="B174" s="115">
        <v>172</v>
      </c>
      <c r="C174" s="115">
        <f>FLOOR(LOG(SotY_2025[[#This Row],[Num]], 2), 1)</f>
        <v>7</v>
      </c>
      <c r="D174" s="115">
        <f>2^(SotY_2025[[#This Row],[Round]]+1)</f>
        <v>256</v>
      </c>
      <c r="E174" s="115">
        <f>SotY_2025[[#This Row],[Max Seed]]-SotY_2025[[#This Row],[Num]]</f>
        <v>84</v>
      </c>
      <c r="F174" s="115">
        <f>SotY_2025[[#This Row],[Max Seed]]-SotY_2025[[#This Row],[Top Seed]]+1</f>
        <v>173</v>
      </c>
      <c r="G174" s="115" t="b">
        <f>IF(SotY_2025[[#This Row],[Round]]=$C$1, TRUE(), IF(SotY_2025[[#This Row],[Round]]=$B$1, SotY_2025[[#This Row],[Top Seed]]&lt;=2*SotY_2025[[#This Row],[Max Seed]]-$A$1, FALSE()))</f>
        <v>1</v>
      </c>
      <c r="H174" s="115" t="b">
        <f>IF(SotY_2025[[#This Row],[Round]]=$C$1, TRUE(), IF(SotY_2025[[#This Row],[Round]]=$B$1, SotY_2025[[#This Row],[Low Seed]]&lt;=2*SotY_2025[[#This Row],[Max Seed]]-$A$1, FALSE()))</f>
        <v>1</v>
      </c>
      <c r="I174" s="187"/>
      <c r="J174" s="188"/>
      <c r="K174" s="189"/>
      <c r="L174" s="190"/>
      <c r="M174" s="191"/>
      <c r="N17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 xml:space="preserve">where's the confetti </v>
      </c>
      <c r="O174" s="105">
        <f>COUNTIF(SotY_2025[[#This Row],[J]:[H]],"x")</f>
        <v>0</v>
      </c>
      <c r="P174" s="115" t="str">
        <f ca="1">IF(SotY_2025[[#This Row],[Num]]&gt;=$A$1, "-", IF(SotY_2025[[#This Row],[Score 1]]&gt;=3, SotY_2025[[#This Row],[Song 1]], IF(SotY_2025[[#This Row],[Score 2]]&gt;=3, SotY_2025[[#This Row],[Song 2]], "TBD")))</f>
        <v>IRIS OUT</v>
      </c>
      <c r="Q174" s="193">
        <f>COUNTIF(SotY_2025[[#This Row],[H ]:[J ]],"x")</f>
        <v>5</v>
      </c>
      <c r="R17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IRIS OUT</v>
      </c>
      <c r="S174" s="191" t="s">
        <v>4191</v>
      </c>
      <c r="T174" s="190" t="s">
        <v>4191</v>
      </c>
      <c r="U174" s="189" t="s">
        <v>4191</v>
      </c>
      <c r="V174" s="188" t="s">
        <v>4191</v>
      </c>
      <c r="W174" s="198" t="s">
        <v>4191</v>
      </c>
      <c r="X17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74" s="109">
        <f t="shared" si="8"/>
        <v>194</v>
      </c>
      <c r="AA174" s="59">
        <v>45965</v>
      </c>
      <c r="AB174" t="str">
        <v>alappatjoe</v>
      </c>
      <c r="AC174" s="3">
        <v>2.6</v>
      </c>
      <c r="AD174" s="3">
        <v>1.3564659966250536</v>
      </c>
      <c r="AE174" t="str">
        <v>Star</v>
      </c>
      <c r="AF174" t="str">
        <v>LOONA</v>
      </c>
      <c r="AG174" s="100">
        <f t="shared" si="7"/>
        <v>129</v>
      </c>
      <c r="AI174" s="114">
        <f>SotY_2025[[#This Row],[Max Seed]]/2 + 1</f>
        <v>129</v>
      </c>
      <c r="AJ174" s="105" t="str">
        <f ca="1">IF(SotY_2025[[#This Row],[Num]]&gt;=$A$1, "-", IF(SotY_2025[[#This Row],[Score 1]]&gt;=3, SotY_2025[[#This Row],[Song 2]], IF(SotY_2025[[#This Row],[Score 2]]&gt;=3, SotY_2025[[#This Row],[Song 1]], "TBD")))</f>
        <v xml:space="preserve">where's the confetti </v>
      </c>
      <c r="AK174" s="115">
        <f ca="1">IFERROR(VLOOKUP(SotY_2025_Results[[#This Row],[Song Title]], $AE$2:$AG$200, 3, FALSE)-SotY_2025_Results[[#This Row],[Result]], "TBD")</f>
        <v>-64</v>
      </c>
      <c r="AL174" s="112" t="str">
        <f ca="1">IF(SotY_2025_Results[[#This Row],[Diff]]&lt;0,"↓",IF(SotY_2025_Results[[#This Row],[Diff]]=0,"-","↑"))</f>
        <v>↓</v>
      </c>
    </row>
    <row r="175" spans="1:38">
      <c r="A175" s="197" t="str">
        <f>_xlfn.CONCAT("Seed ", SotY_2025[[#This Row],[Top Seed]], " vs ", SotY_2025[[#This Row],[Low Seed]])</f>
        <v>Seed 83 vs 174</v>
      </c>
      <c r="B175" s="115">
        <v>173</v>
      </c>
      <c r="C175" s="115">
        <f>FLOOR(LOG(SotY_2025[[#This Row],[Num]], 2), 1)</f>
        <v>7</v>
      </c>
      <c r="D175" s="115">
        <f>2^(SotY_2025[[#This Row],[Round]]+1)</f>
        <v>256</v>
      </c>
      <c r="E175" s="115">
        <f>SotY_2025[[#This Row],[Max Seed]]-SotY_2025[[#This Row],[Num]]</f>
        <v>83</v>
      </c>
      <c r="F175" s="115">
        <f>SotY_2025[[#This Row],[Max Seed]]-SotY_2025[[#This Row],[Top Seed]]+1</f>
        <v>174</v>
      </c>
      <c r="G175" s="115" t="b">
        <f>IF(SotY_2025[[#This Row],[Round]]=$C$1, TRUE(), IF(SotY_2025[[#This Row],[Round]]=$B$1, SotY_2025[[#This Row],[Top Seed]]&lt;=2*SotY_2025[[#This Row],[Max Seed]]-$A$1, FALSE()))</f>
        <v>1</v>
      </c>
      <c r="H175" s="115" t="b">
        <f>IF(SotY_2025[[#This Row],[Round]]=$C$1, TRUE(), IF(SotY_2025[[#This Row],[Round]]=$B$1, SotY_2025[[#This Row],[Low Seed]]&lt;=2*SotY_2025[[#This Row],[Max Seed]]-$A$1, FALSE()))</f>
        <v>1</v>
      </c>
      <c r="I175" s="187"/>
      <c r="J175" s="188" t="s">
        <v>4191</v>
      </c>
      <c r="K175" s="189" t="s">
        <v>4191</v>
      </c>
      <c r="L175" s="190" t="s">
        <v>4191</v>
      </c>
      <c r="M175" s="191" t="s">
        <v>4191</v>
      </c>
      <c r="N17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Danza Kuduro</v>
      </c>
      <c r="O175" s="105">
        <f>COUNTIF(SotY_2025[[#This Row],[J]:[H]],"x")</f>
        <v>4</v>
      </c>
      <c r="P175" s="115" t="str">
        <f ca="1">IF(SotY_2025[[#This Row],[Num]]&gt;=$A$1, "-", IF(SotY_2025[[#This Row],[Score 1]]&gt;=3, SotY_2025[[#This Row],[Song 1]], IF(SotY_2025[[#This Row],[Score 2]]&gt;=3, SotY_2025[[#This Row],[Song 2]], "TBD")))</f>
        <v>Danza Kuduro</v>
      </c>
      <c r="Q175" s="193">
        <f>COUNTIF(SotY_2025[[#This Row],[H ]:[J ]],"x")</f>
        <v>1</v>
      </c>
      <c r="R17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Addicted to You</v>
      </c>
      <c r="S175" s="191"/>
      <c r="T175" s="190"/>
      <c r="U175" s="189"/>
      <c r="V175" s="188"/>
      <c r="W175" s="198" t="s">
        <v>4191</v>
      </c>
      <c r="X17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75" s="109">
        <f t="shared" si="8"/>
        <v>76</v>
      </c>
      <c r="AA175" s="59">
        <v>45966</v>
      </c>
      <c r="AB175" t="str">
        <v>alappatjoe</v>
      </c>
      <c r="AC175" s="3">
        <v>2</v>
      </c>
      <c r="AD175" s="3">
        <v>1.2649110640673518</v>
      </c>
      <c r="AE175" t="str">
        <v>Three Man Weave</v>
      </c>
      <c r="AF175" t="str">
        <v>Injury Reserve</v>
      </c>
      <c r="AG175" s="100">
        <f t="shared" si="7"/>
        <v>65</v>
      </c>
      <c r="AI175" s="114">
        <f>SotY_2025[[#This Row],[Max Seed]]/2 + 1</f>
        <v>129</v>
      </c>
      <c r="AJ175" s="105" t="str">
        <f ca="1">IF(SotY_2025[[#This Row],[Num]]&gt;=$A$1, "-", IF(SotY_2025[[#This Row],[Score 1]]&gt;=3, SotY_2025[[#This Row],[Song 2]], IF(SotY_2025[[#This Row],[Score 2]]&gt;=3, SotY_2025[[#This Row],[Song 1]], "TBD")))</f>
        <v>Addicted to You</v>
      </c>
      <c r="AK175" s="115">
        <f ca="1">IFERROR(VLOOKUP(SotY_2025_Results[[#This Row],[Song Title]], $AE$2:$AG$200, 3, FALSE)-SotY_2025_Results[[#This Row],[Result]], "TBD")</f>
        <v>0</v>
      </c>
      <c r="AL175" s="112" t="str">
        <f ca="1">IF(SotY_2025_Results[[#This Row],[Diff]]&lt;0,"↓",IF(SotY_2025_Results[[#This Row],[Diff]]=0,"-","↑"))</f>
        <v>-</v>
      </c>
    </row>
    <row r="176" spans="1:38">
      <c r="A176" s="197" t="str">
        <f>_xlfn.CONCAT("Seed ", SotY_2025[[#This Row],[Top Seed]], " vs ", SotY_2025[[#This Row],[Low Seed]])</f>
        <v>Seed 82 vs 175</v>
      </c>
      <c r="B176" s="115">
        <v>174</v>
      </c>
      <c r="C176" s="115">
        <f>FLOOR(LOG(SotY_2025[[#This Row],[Num]], 2), 1)</f>
        <v>7</v>
      </c>
      <c r="D176" s="115">
        <f>2^(SotY_2025[[#This Row],[Round]]+1)</f>
        <v>256</v>
      </c>
      <c r="E176" s="115">
        <f>SotY_2025[[#This Row],[Max Seed]]-SotY_2025[[#This Row],[Num]]</f>
        <v>82</v>
      </c>
      <c r="F176" s="115">
        <f>SotY_2025[[#This Row],[Max Seed]]-SotY_2025[[#This Row],[Top Seed]]+1</f>
        <v>175</v>
      </c>
      <c r="G176" s="115" t="b">
        <f>IF(SotY_2025[[#This Row],[Round]]=$C$1, TRUE(), IF(SotY_2025[[#This Row],[Round]]=$B$1, SotY_2025[[#This Row],[Top Seed]]&lt;=2*SotY_2025[[#This Row],[Max Seed]]-$A$1, FALSE()))</f>
        <v>1</v>
      </c>
      <c r="H176" s="115" t="b">
        <f>IF(SotY_2025[[#This Row],[Round]]=$C$1, TRUE(), IF(SotY_2025[[#This Row],[Round]]=$B$1, SotY_2025[[#This Row],[Low Seed]]&lt;=2*SotY_2025[[#This Row],[Max Seed]]-$A$1, FALSE()))</f>
        <v>1</v>
      </c>
      <c r="I176" s="187" t="s">
        <v>4191</v>
      </c>
      <c r="J176" s="188"/>
      <c r="K176" s="189"/>
      <c r="L176" s="190"/>
      <c r="M176" s="191"/>
      <c r="N17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Fantasy</v>
      </c>
      <c r="O176" s="105">
        <f>COUNTIF(SotY_2025[[#This Row],[J]:[H]],"x")</f>
        <v>1</v>
      </c>
      <c r="P176" s="115" t="str">
        <f ca="1">IF(SotY_2025[[#This Row],[Num]]&gt;=$A$1, "-", IF(SotY_2025[[#This Row],[Score 1]]&gt;=3, SotY_2025[[#This Row],[Song 1]], IF(SotY_2025[[#This Row],[Score 2]]&gt;=3, SotY_2025[[#This Row],[Song 2]], "TBD")))</f>
        <v>Today</v>
      </c>
      <c r="Q176" s="193">
        <f>COUNTIF(SotY_2025[[#This Row],[H ]:[J ]],"x")</f>
        <v>4</v>
      </c>
      <c r="R17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Today</v>
      </c>
      <c r="S176" s="191" t="s">
        <v>4191</v>
      </c>
      <c r="T176" s="190" t="s">
        <v>4191</v>
      </c>
      <c r="U176" s="189" t="s">
        <v>4191</v>
      </c>
      <c r="V176" s="188" t="s">
        <v>4191</v>
      </c>
      <c r="W176" s="198"/>
      <c r="X17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76" s="109">
        <f t="shared" si="8"/>
        <v>3</v>
      </c>
      <c r="AA176" s="59">
        <v>45967</v>
      </c>
      <c r="AB176" t="str">
        <v>samuelbattista</v>
      </c>
      <c r="AC176" s="3">
        <v>1.2</v>
      </c>
      <c r="AD176" s="3">
        <v>0.4</v>
      </c>
      <c r="AE176" t="str">
        <v>Money for Nothing</v>
      </c>
      <c r="AF176" t="str">
        <v>Dire Straits</v>
      </c>
      <c r="AG176" s="100">
        <f t="shared" si="7"/>
        <v>3</v>
      </c>
      <c r="AI176" s="114">
        <f>SotY_2025[[#This Row],[Max Seed]]/2 + 1</f>
        <v>129</v>
      </c>
      <c r="AJ176" s="105" t="str">
        <f ca="1">IF(SotY_2025[[#This Row],[Num]]&gt;=$A$1, "-", IF(SotY_2025[[#This Row],[Score 1]]&gt;=3, SotY_2025[[#This Row],[Song 2]], IF(SotY_2025[[#This Row],[Score 2]]&gt;=3, SotY_2025[[#This Row],[Song 1]], "TBD")))</f>
        <v>Fantasy</v>
      </c>
      <c r="AK176" s="115">
        <f ca="1">IFERROR(VLOOKUP(SotY_2025_Results[[#This Row],[Song Title]], $AE$2:$AG$200, 3, FALSE)-SotY_2025_Results[[#This Row],[Result]], "TBD")</f>
        <v>-64</v>
      </c>
      <c r="AL176" s="112" t="str">
        <f ca="1">IF(SotY_2025_Results[[#This Row],[Diff]]&lt;0,"↓",IF(SotY_2025_Results[[#This Row],[Diff]]=0,"-","↑"))</f>
        <v>↓</v>
      </c>
    </row>
    <row r="177" spans="1:38">
      <c r="A177" s="197" t="str">
        <f>_xlfn.CONCAT("Seed ", SotY_2025[[#This Row],[Top Seed]], " vs ", SotY_2025[[#This Row],[Low Seed]])</f>
        <v>Seed 81 vs 176</v>
      </c>
      <c r="B177" s="115">
        <v>175</v>
      </c>
      <c r="C177" s="115">
        <f>FLOOR(LOG(SotY_2025[[#This Row],[Num]], 2), 1)</f>
        <v>7</v>
      </c>
      <c r="D177" s="115">
        <f>2^(SotY_2025[[#This Row],[Round]]+1)</f>
        <v>256</v>
      </c>
      <c r="E177" s="115">
        <f>SotY_2025[[#This Row],[Max Seed]]-SotY_2025[[#This Row],[Num]]</f>
        <v>81</v>
      </c>
      <c r="F177" s="115">
        <f>SotY_2025[[#This Row],[Max Seed]]-SotY_2025[[#This Row],[Top Seed]]+1</f>
        <v>176</v>
      </c>
      <c r="G177" s="115" t="b">
        <f>IF(SotY_2025[[#This Row],[Round]]=$C$1, TRUE(), IF(SotY_2025[[#This Row],[Round]]=$B$1, SotY_2025[[#This Row],[Top Seed]]&lt;=2*SotY_2025[[#This Row],[Max Seed]]-$A$1, FALSE()))</f>
        <v>1</v>
      </c>
      <c r="H177" s="115" t="b">
        <f>IF(SotY_2025[[#This Row],[Round]]=$C$1, TRUE(), IF(SotY_2025[[#This Row],[Round]]=$B$1, SotY_2025[[#This Row],[Low Seed]]&lt;=2*SotY_2025[[#This Row],[Max Seed]]-$A$1, FALSE()))</f>
        <v>1</v>
      </c>
      <c r="I177" s="187"/>
      <c r="J177" s="188"/>
      <c r="K177" s="189" t="s">
        <v>4191</v>
      </c>
      <c r="L177" s="190"/>
      <c r="M177" s="191"/>
      <c r="N17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Stay Right Here</v>
      </c>
      <c r="O177" s="105">
        <f>COUNTIF(SotY_2025[[#This Row],[J]:[H]],"x")</f>
        <v>1</v>
      </c>
      <c r="P177" s="115" t="str">
        <f ca="1">IF(SotY_2025[[#This Row],[Num]]&gt;=$A$1, "-", IF(SotY_2025[[#This Row],[Score 1]]&gt;=3, SotY_2025[[#This Row],[Song 1]], IF(SotY_2025[[#This Row],[Score 2]]&gt;=3, SotY_2025[[#This Row],[Song 2]], "TBD")))</f>
        <v>OVR</v>
      </c>
      <c r="Q177" s="193">
        <f>COUNTIF(SotY_2025[[#This Row],[H ]:[J ]],"x")</f>
        <v>4</v>
      </c>
      <c r="R17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OVR</v>
      </c>
      <c r="S177" s="191" t="s">
        <v>4191</v>
      </c>
      <c r="T177" s="190" t="s">
        <v>4191</v>
      </c>
      <c r="U177" s="189"/>
      <c r="V177" s="188" t="s">
        <v>4191</v>
      </c>
      <c r="W177" s="198" t="s">
        <v>4191</v>
      </c>
      <c r="X17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77" s="109">
        <f t="shared" si="8"/>
        <v>135</v>
      </c>
      <c r="AA177" s="59">
        <v>45971</v>
      </c>
      <c r="AB177" t="str">
        <v>samuelbattista</v>
      </c>
      <c r="AC177" s="3">
        <v>2.4</v>
      </c>
      <c r="AD177" s="3">
        <v>0.8</v>
      </c>
      <c r="AE177" t="str">
        <v>Rodeo Clown</v>
      </c>
      <c r="AF177" t="str">
        <v>flipturn</v>
      </c>
      <c r="AG177" s="100">
        <f t="shared" si="7"/>
        <v>129</v>
      </c>
      <c r="AI177" s="114">
        <f>SotY_2025[[#This Row],[Max Seed]]/2 + 1</f>
        <v>129</v>
      </c>
      <c r="AJ177" s="105" t="str">
        <f ca="1">IF(SotY_2025[[#This Row],[Num]]&gt;=$A$1, "-", IF(SotY_2025[[#This Row],[Score 1]]&gt;=3, SotY_2025[[#This Row],[Song 2]], IF(SotY_2025[[#This Row],[Score 2]]&gt;=3, SotY_2025[[#This Row],[Song 1]], "TBD")))</f>
        <v>Stay Right Here</v>
      </c>
      <c r="AK177" s="115">
        <f ca="1">IFERROR(VLOOKUP(SotY_2025_Results[[#This Row],[Song Title]], $AE$2:$AG$200, 3, FALSE)-SotY_2025_Results[[#This Row],[Result]], "TBD")</f>
        <v>-64</v>
      </c>
      <c r="AL177" s="112" t="str">
        <f ca="1">IF(SotY_2025_Results[[#This Row],[Diff]]&lt;0,"↓",IF(SotY_2025_Results[[#This Row],[Diff]]=0,"-","↑"))</f>
        <v>↓</v>
      </c>
    </row>
    <row r="178" spans="1:38">
      <c r="A178" s="197" t="str">
        <f>_xlfn.CONCAT("Seed ", SotY_2025[[#This Row],[Top Seed]], " vs ", SotY_2025[[#This Row],[Low Seed]])</f>
        <v>Seed 80 vs 177</v>
      </c>
      <c r="B178" s="115">
        <v>176</v>
      </c>
      <c r="C178" s="115">
        <f>FLOOR(LOG(SotY_2025[[#This Row],[Num]], 2), 1)</f>
        <v>7</v>
      </c>
      <c r="D178" s="115">
        <f>2^(SotY_2025[[#This Row],[Round]]+1)</f>
        <v>256</v>
      </c>
      <c r="E178" s="115">
        <f>SotY_2025[[#This Row],[Max Seed]]-SotY_2025[[#This Row],[Num]]</f>
        <v>80</v>
      </c>
      <c r="F178" s="115">
        <f>SotY_2025[[#This Row],[Max Seed]]-SotY_2025[[#This Row],[Top Seed]]+1</f>
        <v>177</v>
      </c>
      <c r="G178" s="115" t="b">
        <f>IF(SotY_2025[[#This Row],[Round]]=$C$1, TRUE(), IF(SotY_2025[[#This Row],[Round]]=$B$1, SotY_2025[[#This Row],[Top Seed]]&lt;=2*SotY_2025[[#This Row],[Max Seed]]-$A$1, FALSE()))</f>
        <v>1</v>
      </c>
      <c r="H178" s="115" t="b">
        <f>IF(SotY_2025[[#This Row],[Round]]=$C$1, TRUE(), IF(SotY_2025[[#This Row],[Round]]=$B$1, SotY_2025[[#This Row],[Low Seed]]&lt;=2*SotY_2025[[#This Row],[Max Seed]]-$A$1, FALSE()))</f>
        <v>1</v>
      </c>
      <c r="I178" s="187" t="s">
        <v>4191</v>
      </c>
      <c r="J178" s="188" t="s">
        <v>4191</v>
      </c>
      <c r="K178" s="189" t="s">
        <v>4191</v>
      </c>
      <c r="L178" s="190"/>
      <c r="M178" s="191" t="s">
        <v>4191</v>
      </c>
      <c r="N17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CRAZY</v>
      </c>
      <c r="O178" s="105">
        <f>COUNTIF(SotY_2025[[#This Row],[J]:[H]],"x")</f>
        <v>4</v>
      </c>
      <c r="P178" s="115" t="str">
        <f ca="1">IF(SotY_2025[[#This Row],[Num]]&gt;=$A$1, "-", IF(SotY_2025[[#This Row],[Score 1]]&gt;=3, SotY_2025[[#This Row],[Song 1]], IF(SotY_2025[[#This Row],[Score 2]]&gt;=3, SotY_2025[[#This Row],[Song 2]], "TBD")))</f>
        <v>CRAZY</v>
      </c>
      <c r="Q178" s="193">
        <f>COUNTIF(SotY_2025[[#This Row],[H ]:[J ]],"x")</f>
        <v>1</v>
      </c>
      <c r="R17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Fire Escape</v>
      </c>
      <c r="S178" s="191"/>
      <c r="T178" s="190" t="s">
        <v>4191</v>
      </c>
      <c r="U178" s="189"/>
      <c r="V178" s="188"/>
      <c r="W178" s="198"/>
      <c r="X17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78" s="109">
        <f t="shared" si="8"/>
        <v>60</v>
      </c>
      <c r="AA178" s="59">
        <v>45972</v>
      </c>
      <c r="AB178" t="str">
        <v>alappatjoe</v>
      </c>
      <c r="AC178" s="3">
        <v>2</v>
      </c>
      <c r="AD178" s="3">
        <v>0.89442719099991586</v>
      </c>
      <c r="AE178" t="str">
        <v>Mona Lisa</v>
      </c>
      <c r="AF178" t="str">
        <v>lucasp007</v>
      </c>
      <c r="AG178" s="100">
        <f t="shared" si="7"/>
        <v>33</v>
      </c>
      <c r="AI178" s="114">
        <f>SotY_2025[[#This Row],[Max Seed]]/2 + 1</f>
        <v>129</v>
      </c>
      <c r="AJ178" s="105" t="str">
        <f ca="1">IF(SotY_2025[[#This Row],[Num]]&gt;=$A$1, "-", IF(SotY_2025[[#This Row],[Score 1]]&gt;=3, SotY_2025[[#This Row],[Song 2]], IF(SotY_2025[[#This Row],[Score 2]]&gt;=3, SotY_2025[[#This Row],[Song 1]], "TBD")))</f>
        <v>Fire Escape</v>
      </c>
      <c r="AK178" s="115">
        <f ca="1">IFERROR(VLOOKUP(SotY_2025_Results[[#This Row],[Song Title]], $AE$2:$AG$200, 3, FALSE)-SotY_2025_Results[[#This Row],[Result]], "TBD")</f>
        <v>0</v>
      </c>
      <c r="AL178" s="112" t="str">
        <f ca="1">IF(SotY_2025_Results[[#This Row],[Diff]]&lt;0,"↓",IF(SotY_2025_Results[[#This Row],[Diff]]=0,"-","↑"))</f>
        <v>-</v>
      </c>
    </row>
    <row r="179" spans="1:38">
      <c r="A179" s="197" t="str">
        <f>_xlfn.CONCAT("Seed ", SotY_2025[[#This Row],[Top Seed]], " vs ", SotY_2025[[#This Row],[Low Seed]])</f>
        <v>Seed 79 vs 178</v>
      </c>
      <c r="B179" s="115">
        <v>177</v>
      </c>
      <c r="C179" s="115">
        <f>FLOOR(LOG(SotY_2025[[#This Row],[Num]], 2), 1)</f>
        <v>7</v>
      </c>
      <c r="D179" s="115">
        <f>2^(SotY_2025[[#This Row],[Round]]+1)</f>
        <v>256</v>
      </c>
      <c r="E179" s="115">
        <f>SotY_2025[[#This Row],[Max Seed]]-SotY_2025[[#This Row],[Num]]</f>
        <v>79</v>
      </c>
      <c r="F179" s="115">
        <f>SotY_2025[[#This Row],[Max Seed]]-SotY_2025[[#This Row],[Top Seed]]+1</f>
        <v>178</v>
      </c>
      <c r="G179" s="115" t="b">
        <f>IF(SotY_2025[[#This Row],[Round]]=$C$1, TRUE(), IF(SotY_2025[[#This Row],[Round]]=$B$1, SotY_2025[[#This Row],[Top Seed]]&lt;=2*SotY_2025[[#This Row],[Max Seed]]-$A$1, FALSE()))</f>
        <v>1</v>
      </c>
      <c r="H179" s="115" t="b">
        <f>IF(SotY_2025[[#This Row],[Round]]=$C$1, TRUE(), IF(SotY_2025[[#This Row],[Round]]=$B$1, SotY_2025[[#This Row],[Low Seed]]&lt;=2*SotY_2025[[#This Row],[Max Seed]]-$A$1, FALSE()))</f>
        <v>1</v>
      </c>
      <c r="I179" s="187"/>
      <c r="J179" s="188"/>
      <c r="K179" s="189" t="s">
        <v>4191</v>
      </c>
      <c r="L179" s="190"/>
      <c r="M179" s="191"/>
      <c r="N17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Rat A Tat</v>
      </c>
      <c r="O179" s="105">
        <f>COUNTIF(SotY_2025[[#This Row],[J]:[H]],"x")</f>
        <v>1</v>
      </c>
      <c r="P179" s="115" t="str">
        <f ca="1">IF(SotY_2025[[#This Row],[Num]]&gt;=$A$1, "-", IF(SotY_2025[[#This Row],[Score 1]]&gt;=3, SotY_2025[[#This Row],[Song 1]], IF(SotY_2025[[#This Row],[Score 2]]&gt;=3, SotY_2025[[#This Row],[Song 2]], "TBD")))</f>
        <v>selfdestruct</v>
      </c>
      <c r="Q179" s="193">
        <f>COUNTIF(SotY_2025[[#This Row],[H ]:[J ]],"x")</f>
        <v>4</v>
      </c>
      <c r="R17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selfdestruct</v>
      </c>
      <c r="S179" s="191" t="s">
        <v>4191</v>
      </c>
      <c r="T179" s="190" t="s">
        <v>4191</v>
      </c>
      <c r="U179" s="189"/>
      <c r="V179" s="188" t="s">
        <v>4191</v>
      </c>
      <c r="W179" s="198" t="s">
        <v>4191</v>
      </c>
      <c r="X17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79" s="109">
        <f t="shared" si="8"/>
        <v>155</v>
      </c>
      <c r="AA179" s="59">
        <v>45973</v>
      </c>
      <c r="AB179" t="str">
        <v>currydestroyer27</v>
      </c>
      <c r="AC179" s="3">
        <v>2.4</v>
      </c>
      <c r="AD179" s="3">
        <v>1.019803902718557</v>
      </c>
      <c r="AE179" t="str">
        <v>Nope your too late I already died</v>
      </c>
      <c r="AF179" t="str">
        <v>wifiskeleton, i wanna be a jack-o-lantern</v>
      </c>
      <c r="AG179" s="100">
        <f t="shared" si="7"/>
        <v>129</v>
      </c>
      <c r="AI179" s="114">
        <f>SotY_2025[[#This Row],[Max Seed]]/2 + 1</f>
        <v>129</v>
      </c>
      <c r="AJ179" s="105" t="str">
        <f ca="1">IF(SotY_2025[[#This Row],[Num]]&gt;=$A$1, "-", IF(SotY_2025[[#This Row],[Score 1]]&gt;=3, SotY_2025[[#This Row],[Song 2]], IF(SotY_2025[[#This Row],[Score 2]]&gt;=3, SotY_2025[[#This Row],[Song 1]], "TBD")))</f>
        <v>Rat A Tat</v>
      </c>
      <c r="AK179" s="115">
        <f ca="1">IFERROR(VLOOKUP(SotY_2025_Results[[#This Row],[Song Title]], $AE$2:$AG$200, 3, FALSE)-SotY_2025_Results[[#This Row],[Result]], "TBD")</f>
        <v>-64</v>
      </c>
      <c r="AL179" s="112" t="str">
        <f ca="1">IF(SotY_2025_Results[[#This Row],[Diff]]&lt;0,"↓",IF(SotY_2025_Results[[#This Row],[Diff]]=0,"-","↑"))</f>
        <v>↓</v>
      </c>
    </row>
    <row r="180" spans="1:38">
      <c r="A180" s="197" t="str">
        <f>_xlfn.CONCAT("Seed ", SotY_2025[[#This Row],[Top Seed]], " vs ", SotY_2025[[#This Row],[Low Seed]])</f>
        <v>Seed 78 vs 179</v>
      </c>
      <c r="B180" s="115">
        <v>178</v>
      </c>
      <c r="C180" s="115">
        <f>FLOOR(LOG(SotY_2025[[#This Row],[Num]], 2), 1)</f>
        <v>7</v>
      </c>
      <c r="D180" s="115">
        <f>2^(SotY_2025[[#This Row],[Round]]+1)</f>
        <v>256</v>
      </c>
      <c r="E180" s="115">
        <f>SotY_2025[[#This Row],[Max Seed]]-SotY_2025[[#This Row],[Num]]</f>
        <v>78</v>
      </c>
      <c r="F180" s="115">
        <f>SotY_2025[[#This Row],[Max Seed]]-SotY_2025[[#This Row],[Top Seed]]+1</f>
        <v>179</v>
      </c>
      <c r="G180" s="115" t="b">
        <f>IF(SotY_2025[[#This Row],[Round]]=$C$1, TRUE(), IF(SotY_2025[[#This Row],[Round]]=$B$1, SotY_2025[[#This Row],[Top Seed]]&lt;=2*SotY_2025[[#This Row],[Max Seed]]-$A$1, FALSE()))</f>
        <v>1</v>
      </c>
      <c r="H180" s="115" t="b">
        <f>IF(SotY_2025[[#This Row],[Round]]=$C$1, TRUE(), IF(SotY_2025[[#This Row],[Round]]=$B$1, SotY_2025[[#This Row],[Low Seed]]&lt;=2*SotY_2025[[#This Row],[Max Seed]]-$A$1, FALSE()))</f>
        <v>1</v>
      </c>
      <c r="I180" s="187" t="s">
        <v>4191</v>
      </c>
      <c r="J180" s="188" t="s">
        <v>4191</v>
      </c>
      <c r="K180" s="189"/>
      <c r="L180" s="190" t="s">
        <v>4191</v>
      </c>
      <c r="M180" s="191" t="s">
        <v>4191</v>
      </c>
      <c r="N18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(Don't Fear) The Reaper</v>
      </c>
      <c r="O180" s="105">
        <f>COUNTIF(SotY_2025[[#This Row],[J]:[H]],"x")</f>
        <v>4</v>
      </c>
      <c r="P180" s="115" t="str">
        <f ca="1">IF(SotY_2025[[#This Row],[Num]]&gt;=$A$1, "-", IF(SotY_2025[[#This Row],[Score 1]]&gt;=3, SotY_2025[[#This Row],[Song 1]], IF(SotY_2025[[#This Row],[Score 2]]&gt;=3, SotY_2025[[#This Row],[Song 2]], "TBD")))</f>
        <v>(Don't Fear) The Reaper</v>
      </c>
      <c r="Q180" s="193">
        <f>COUNTIF(SotY_2025[[#This Row],[H ]:[J ]],"x")</f>
        <v>1</v>
      </c>
      <c r="R18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Clocks</v>
      </c>
      <c r="S180" s="191"/>
      <c r="T180" s="190"/>
      <c r="U180" s="189" t="s">
        <v>4191</v>
      </c>
      <c r="V180" s="188"/>
      <c r="W180" s="198"/>
      <c r="X18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80" s="109">
        <f t="shared" si="8"/>
        <v>166</v>
      </c>
      <c r="AA180" s="59">
        <v>45974</v>
      </c>
      <c r="AB180" t="str">
        <v>alappatjoe</v>
      </c>
      <c r="AC180" s="3">
        <v>2.4</v>
      </c>
      <c r="AD180" s="3">
        <v>1.3564659966250536</v>
      </c>
      <c r="AE180" t="str">
        <v>+57</v>
      </c>
      <c r="AF180" t="str">
        <v>KAROL G, Feid, DFZM, Ovy On the Drums, J Balvin, Maluma, Ryan Castro, Blessd</v>
      </c>
      <c r="AG180" s="100">
        <f t="shared" si="7"/>
        <v>129</v>
      </c>
      <c r="AI180" s="114">
        <f>SotY_2025[[#This Row],[Max Seed]]/2 + 1</f>
        <v>129</v>
      </c>
      <c r="AJ180" s="105" t="str">
        <f ca="1">IF(SotY_2025[[#This Row],[Num]]&gt;=$A$1, "-", IF(SotY_2025[[#This Row],[Score 1]]&gt;=3, SotY_2025[[#This Row],[Song 2]], IF(SotY_2025[[#This Row],[Score 2]]&gt;=3, SotY_2025[[#This Row],[Song 1]], "TBD")))</f>
        <v>Clocks</v>
      </c>
      <c r="AK180" s="115">
        <f ca="1">IFERROR(VLOOKUP(SotY_2025_Results[[#This Row],[Song Title]], $AE$2:$AG$200, 3, FALSE)-SotY_2025_Results[[#This Row],[Result]], "TBD")</f>
        <v>0</v>
      </c>
      <c r="AL180" s="112" t="str">
        <f ca="1">IF(SotY_2025_Results[[#This Row],[Diff]]&lt;0,"↓",IF(SotY_2025_Results[[#This Row],[Diff]]=0,"-","↑"))</f>
        <v>-</v>
      </c>
    </row>
    <row r="181" spans="1:38">
      <c r="A181" s="197" t="str">
        <f>_xlfn.CONCAT("Seed ", SotY_2025[[#This Row],[Top Seed]], " vs ", SotY_2025[[#This Row],[Low Seed]])</f>
        <v>Seed 77 vs 180</v>
      </c>
      <c r="B181" s="115">
        <v>179</v>
      </c>
      <c r="C181" s="115">
        <f>FLOOR(LOG(SotY_2025[[#This Row],[Num]], 2), 1)</f>
        <v>7</v>
      </c>
      <c r="D181" s="115">
        <f>2^(SotY_2025[[#This Row],[Round]]+1)</f>
        <v>256</v>
      </c>
      <c r="E181" s="115">
        <f>SotY_2025[[#This Row],[Max Seed]]-SotY_2025[[#This Row],[Num]]</f>
        <v>77</v>
      </c>
      <c r="F181" s="115">
        <f>SotY_2025[[#This Row],[Max Seed]]-SotY_2025[[#This Row],[Top Seed]]+1</f>
        <v>180</v>
      </c>
      <c r="G181" s="115" t="b">
        <f>IF(SotY_2025[[#This Row],[Round]]=$C$1, TRUE(), IF(SotY_2025[[#This Row],[Round]]=$B$1, SotY_2025[[#This Row],[Top Seed]]&lt;=2*SotY_2025[[#This Row],[Max Seed]]-$A$1, FALSE()))</f>
        <v>1</v>
      </c>
      <c r="H181" s="115" t="b">
        <f>IF(SotY_2025[[#This Row],[Round]]=$C$1, TRUE(), IF(SotY_2025[[#This Row],[Round]]=$B$1, SotY_2025[[#This Row],[Low Seed]]&lt;=2*SotY_2025[[#This Row],[Max Seed]]-$A$1, FALSE()))</f>
        <v>1</v>
      </c>
      <c r="I181" s="187"/>
      <c r="J181" s="188" t="s">
        <v>4191</v>
      </c>
      <c r="K181" s="189"/>
      <c r="L181" s="190"/>
      <c r="M181" s="191" t="s">
        <v>4191</v>
      </c>
      <c r="N18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DIE TRYING</v>
      </c>
      <c r="O181" s="105">
        <f>COUNTIF(SotY_2025[[#This Row],[J]:[H]],"x")</f>
        <v>2</v>
      </c>
      <c r="P181" s="115" t="str">
        <f ca="1">IF(SotY_2025[[#This Row],[Num]]&gt;=$A$1, "-", IF(SotY_2025[[#This Row],[Score 1]]&gt;=3, SotY_2025[[#This Row],[Song 1]], IF(SotY_2025[[#This Row],[Score 2]]&gt;=3, SotY_2025[[#This Row],[Song 2]], "TBD")))</f>
        <v>Your Direction</v>
      </c>
      <c r="Q181" s="193">
        <f>COUNTIF(SotY_2025[[#This Row],[H ]:[J ]],"x")</f>
        <v>3</v>
      </c>
      <c r="R18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Your Direction</v>
      </c>
      <c r="S181" s="191"/>
      <c r="T181" s="190" t="s">
        <v>4191</v>
      </c>
      <c r="U181" s="189" t="s">
        <v>4191</v>
      </c>
      <c r="V181" s="188"/>
      <c r="W181" s="198" t="s">
        <v>4191</v>
      </c>
      <c r="X18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81" s="109">
        <f t="shared" si="8"/>
        <v>174</v>
      </c>
      <c r="AA181" s="59">
        <v>45978</v>
      </c>
      <c r="AB181" t="str">
        <v>currydestroyer27</v>
      </c>
      <c r="AC181" s="3">
        <v>2.4</v>
      </c>
      <c r="AD181" s="3">
        <v>1.4966629547095767</v>
      </c>
      <c r="AE181" t="str">
        <v>Addicted to You</v>
      </c>
      <c r="AF181" t="str">
        <v>Shakira</v>
      </c>
      <c r="AG181" s="100">
        <f t="shared" si="7"/>
        <v>129</v>
      </c>
      <c r="AI181" s="114">
        <f>SotY_2025[[#This Row],[Max Seed]]/2 + 1</f>
        <v>129</v>
      </c>
      <c r="AJ181" s="105" t="str">
        <f ca="1">IF(SotY_2025[[#This Row],[Num]]&gt;=$A$1, "-", IF(SotY_2025[[#This Row],[Score 1]]&gt;=3, SotY_2025[[#This Row],[Song 2]], IF(SotY_2025[[#This Row],[Score 2]]&gt;=3, SotY_2025[[#This Row],[Song 1]], "TBD")))</f>
        <v>DIE TRYING</v>
      </c>
      <c r="AK181" s="115">
        <f ca="1">IFERROR(VLOOKUP(SotY_2025_Results[[#This Row],[Song Title]], $AE$2:$AG$200, 3, FALSE)-SotY_2025_Results[[#This Row],[Result]], "TBD")</f>
        <v>-64</v>
      </c>
      <c r="AL181" s="112" t="str">
        <f ca="1">IF(SotY_2025_Results[[#This Row],[Diff]]&lt;0,"↓",IF(SotY_2025_Results[[#This Row],[Diff]]=0,"-","↑"))</f>
        <v>↓</v>
      </c>
    </row>
    <row r="182" spans="1:38">
      <c r="A182" s="197" t="str">
        <f>_xlfn.CONCAT("Seed ", SotY_2025[[#This Row],[Top Seed]], " vs ", SotY_2025[[#This Row],[Low Seed]])</f>
        <v>Seed 76 vs 181</v>
      </c>
      <c r="B182" s="115">
        <v>180</v>
      </c>
      <c r="C182" s="115">
        <f>FLOOR(LOG(SotY_2025[[#This Row],[Num]], 2), 1)</f>
        <v>7</v>
      </c>
      <c r="D182" s="115">
        <f>2^(SotY_2025[[#This Row],[Round]]+1)</f>
        <v>256</v>
      </c>
      <c r="E182" s="115">
        <f>SotY_2025[[#This Row],[Max Seed]]-SotY_2025[[#This Row],[Num]]</f>
        <v>76</v>
      </c>
      <c r="F182" s="115">
        <f>SotY_2025[[#This Row],[Max Seed]]-SotY_2025[[#This Row],[Top Seed]]+1</f>
        <v>181</v>
      </c>
      <c r="G182" s="115" t="b">
        <f>IF(SotY_2025[[#This Row],[Round]]=$C$1, TRUE(), IF(SotY_2025[[#This Row],[Round]]=$B$1, SotY_2025[[#This Row],[Top Seed]]&lt;=2*SotY_2025[[#This Row],[Max Seed]]-$A$1, FALSE()))</f>
        <v>1</v>
      </c>
      <c r="H182" s="115" t="b">
        <f>IF(SotY_2025[[#This Row],[Round]]=$C$1, TRUE(), IF(SotY_2025[[#This Row],[Round]]=$B$1, SotY_2025[[#This Row],[Low Seed]]&lt;=2*SotY_2025[[#This Row],[Max Seed]]-$A$1, FALSE()))</f>
        <v>1</v>
      </c>
      <c r="I182" s="187" t="s">
        <v>4191</v>
      </c>
      <c r="J182" s="188"/>
      <c r="K182" s="189" t="s">
        <v>4191</v>
      </c>
      <c r="L182" s="190" t="s">
        <v>4191</v>
      </c>
      <c r="M182" s="191"/>
      <c r="N18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Three Man Weave</v>
      </c>
      <c r="O182" s="105">
        <f>COUNTIF(SotY_2025[[#This Row],[J]:[H]],"x")</f>
        <v>3</v>
      </c>
      <c r="P182" s="115" t="str">
        <f ca="1">IF(SotY_2025[[#This Row],[Num]]&gt;=$A$1, "-", IF(SotY_2025[[#This Row],[Score 1]]&gt;=3, SotY_2025[[#This Row],[Song 1]], IF(SotY_2025[[#This Row],[Score 2]]&gt;=3, SotY_2025[[#This Row],[Song 2]], "TBD")))</f>
        <v>Three Man Weave</v>
      </c>
      <c r="Q182" s="193">
        <f>COUNTIF(SotY_2025[[#This Row],[H ]:[J ]],"x")</f>
        <v>2</v>
      </c>
      <c r="R18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Open Arms (Feat. Travis Scott)</v>
      </c>
      <c r="S182" s="191" t="s">
        <v>4191</v>
      </c>
      <c r="T182" s="190"/>
      <c r="U182" s="189"/>
      <c r="V182" s="188" t="s">
        <v>4191</v>
      </c>
      <c r="W182" s="198"/>
      <c r="X18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82" s="109">
        <f t="shared" si="8"/>
        <v>156</v>
      </c>
      <c r="AA182" s="59">
        <v>45979</v>
      </c>
      <c r="AB182" t="str">
        <v>danram</v>
      </c>
      <c r="AC182" s="3">
        <v>2.4</v>
      </c>
      <c r="AD182" s="3">
        <v>1.019803902718557</v>
      </c>
      <c r="AE182" t="str">
        <v>Wednesday Morning Bonk (It's 9aM)</v>
      </c>
      <c r="AF182" t="str">
        <v>Megabonk</v>
      </c>
      <c r="AG182" s="100">
        <f t="shared" si="7"/>
        <v>129</v>
      </c>
      <c r="AI182" s="114">
        <f>SotY_2025[[#This Row],[Max Seed]]/2 + 1</f>
        <v>129</v>
      </c>
      <c r="AJ182" s="105" t="str">
        <f ca="1">IF(SotY_2025[[#This Row],[Num]]&gt;=$A$1, "-", IF(SotY_2025[[#This Row],[Score 1]]&gt;=3, SotY_2025[[#This Row],[Song 2]], IF(SotY_2025[[#This Row],[Score 2]]&gt;=3, SotY_2025[[#This Row],[Song 1]], "TBD")))</f>
        <v>Open Arms (Feat. Travis Scott)</v>
      </c>
      <c r="AK182" s="115">
        <f ca="1">IFERROR(VLOOKUP(SotY_2025_Results[[#This Row],[Song Title]], $AE$2:$AG$200, 3, FALSE)-SotY_2025_Results[[#This Row],[Result]], "TBD")</f>
        <v>0</v>
      </c>
      <c r="AL182" s="112" t="str">
        <f ca="1">IF(SotY_2025_Results[[#This Row],[Diff]]&lt;0,"↓",IF(SotY_2025_Results[[#This Row],[Diff]]=0,"-","↑"))</f>
        <v>-</v>
      </c>
    </row>
    <row r="183" spans="1:38">
      <c r="A183" s="197" t="str">
        <f>_xlfn.CONCAT("Seed ", SotY_2025[[#This Row],[Top Seed]], " vs ", SotY_2025[[#This Row],[Low Seed]])</f>
        <v>Seed 75 vs 182</v>
      </c>
      <c r="B183" s="115">
        <v>181</v>
      </c>
      <c r="C183" s="115">
        <f>FLOOR(LOG(SotY_2025[[#This Row],[Num]], 2), 1)</f>
        <v>7</v>
      </c>
      <c r="D183" s="115">
        <f>2^(SotY_2025[[#This Row],[Round]]+1)</f>
        <v>256</v>
      </c>
      <c r="E183" s="115">
        <f>SotY_2025[[#This Row],[Max Seed]]-SotY_2025[[#This Row],[Num]]</f>
        <v>75</v>
      </c>
      <c r="F183" s="115">
        <f>SotY_2025[[#This Row],[Max Seed]]-SotY_2025[[#This Row],[Top Seed]]+1</f>
        <v>182</v>
      </c>
      <c r="G183" s="115" t="b">
        <f>IF(SotY_2025[[#This Row],[Round]]=$C$1, TRUE(), IF(SotY_2025[[#This Row],[Round]]=$B$1, SotY_2025[[#This Row],[Top Seed]]&lt;=2*SotY_2025[[#This Row],[Max Seed]]-$A$1, FALSE()))</f>
        <v>1</v>
      </c>
      <c r="H183" s="115" t="b">
        <f>IF(SotY_2025[[#This Row],[Round]]=$C$1, TRUE(), IF(SotY_2025[[#This Row],[Round]]=$B$1, SotY_2025[[#This Row],[Low Seed]]&lt;=2*SotY_2025[[#This Row],[Max Seed]]-$A$1, FALSE()))</f>
        <v>1</v>
      </c>
      <c r="I183" s="187" t="s">
        <v>4191</v>
      </c>
      <c r="J183" s="188" t="s">
        <v>4191</v>
      </c>
      <c r="K183" s="189" t="s">
        <v>4191</v>
      </c>
      <c r="L183" s="190" t="s">
        <v>4191</v>
      </c>
      <c r="M183" s="191"/>
      <c r="N18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Animal</v>
      </c>
      <c r="O183" s="105">
        <f>COUNTIF(SotY_2025[[#This Row],[J]:[H]],"x")</f>
        <v>4</v>
      </c>
      <c r="P183" s="115" t="str">
        <f ca="1">IF(SotY_2025[[#This Row],[Num]]&gt;=$A$1, "-", IF(SotY_2025[[#This Row],[Score 1]]&gt;=3, SotY_2025[[#This Row],[Song 1]], IF(SotY_2025[[#This Row],[Score 2]]&gt;=3, SotY_2025[[#This Row],[Song 2]], "TBD")))</f>
        <v>Animal</v>
      </c>
      <c r="Q183" s="193">
        <f>COUNTIF(SotY_2025[[#This Row],[H ]:[J ]],"x")</f>
        <v>1</v>
      </c>
      <c r="R18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Headstrong</v>
      </c>
      <c r="S183" s="191" t="s">
        <v>4191</v>
      </c>
      <c r="T183" s="190"/>
      <c r="U183" s="189"/>
      <c r="V183" s="188"/>
      <c r="W183" s="198"/>
      <c r="X18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83" s="109">
        <f t="shared" si="8"/>
        <v>32</v>
      </c>
      <c r="AA183" s="59">
        <v>45980</v>
      </c>
      <c r="AB183" t="str">
        <v>samuelbattista</v>
      </c>
      <c r="AC183" s="3">
        <v>1.8</v>
      </c>
      <c r="AD183" s="3">
        <v>0.74833147735478833</v>
      </c>
      <c r="AE183" t="str">
        <v>The Sound of Muzak</v>
      </c>
      <c r="AF183" t="str">
        <v>Porcupine Tree</v>
      </c>
      <c r="AG183" s="100">
        <f t="shared" si="7"/>
        <v>17</v>
      </c>
      <c r="AI183" s="114">
        <f>SotY_2025[[#This Row],[Max Seed]]/2 + 1</f>
        <v>129</v>
      </c>
      <c r="AJ183" s="105" t="str">
        <f ca="1">IF(SotY_2025[[#This Row],[Num]]&gt;=$A$1, "-", IF(SotY_2025[[#This Row],[Score 1]]&gt;=3, SotY_2025[[#This Row],[Song 2]], IF(SotY_2025[[#This Row],[Score 2]]&gt;=3, SotY_2025[[#This Row],[Song 1]], "TBD")))</f>
        <v>Headstrong</v>
      </c>
      <c r="AK183" s="115">
        <f ca="1">IFERROR(VLOOKUP(SotY_2025_Results[[#This Row],[Song Title]], $AE$2:$AG$200, 3, FALSE)-SotY_2025_Results[[#This Row],[Result]], "TBD")</f>
        <v>0</v>
      </c>
      <c r="AL183" s="112" t="str">
        <f ca="1">IF(SotY_2025_Results[[#This Row],[Diff]]&lt;0,"↓",IF(SotY_2025_Results[[#This Row],[Diff]]=0,"-","↑"))</f>
        <v>-</v>
      </c>
    </row>
    <row r="184" spans="1:38">
      <c r="A184" s="197" t="str">
        <f>_xlfn.CONCAT("Seed ", SotY_2025[[#This Row],[Top Seed]], " vs ", SotY_2025[[#This Row],[Low Seed]])</f>
        <v>Seed 74 vs 183</v>
      </c>
      <c r="B184" s="115">
        <v>182</v>
      </c>
      <c r="C184" s="115">
        <f>FLOOR(LOG(SotY_2025[[#This Row],[Num]], 2), 1)</f>
        <v>7</v>
      </c>
      <c r="D184" s="115">
        <f>2^(SotY_2025[[#This Row],[Round]]+1)</f>
        <v>256</v>
      </c>
      <c r="E184" s="115">
        <f>SotY_2025[[#This Row],[Max Seed]]-SotY_2025[[#This Row],[Num]]</f>
        <v>74</v>
      </c>
      <c r="F184" s="115">
        <f>SotY_2025[[#This Row],[Max Seed]]-SotY_2025[[#This Row],[Top Seed]]+1</f>
        <v>183</v>
      </c>
      <c r="G184" s="115" t="b">
        <f>IF(SotY_2025[[#This Row],[Round]]=$C$1, TRUE(), IF(SotY_2025[[#This Row],[Round]]=$B$1, SotY_2025[[#This Row],[Top Seed]]&lt;=2*SotY_2025[[#This Row],[Max Seed]]-$A$1, FALSE()))</f>
        <v>1</v>
      </c>
      <c r="H184" s="115" t="b">
        <f>IF(SotY_2025[[#This Row],[Round]]=$C$1, TRUE(), IF(SotY_2025[[#This Row],[Round]]=$B$1, SotY_2025[[#This Row],[Low Seed]]&lt;=2*SotY_2025[[#This Row],[Max Seed]]-$A$1, FALSE()))</f>
        <v>1</v>
      </c>
      <c r="I184" s="187" t="s">
        <v>4191</v>
      </c>
      <c r="J184" s="188"/>
      <c r="K184" s="189"/>
      <c r="L184" s="190"/>
      <c r="M184" s="191"/>
      <c r="N18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Numb Little Bug</v>
      </c>
      <c r="O184" s="105">
        <f>COUNTIF(SotY_2025[[#This Row],[J]:[H]],"x")</f>
        <v>1</v>
      </c>
      <c r="P184" s="115" t="str">
        <f ca="1">IF(SotY_2025[[#This Row],[Num]]&gt;=$A$1, "-", IF(SotY_2025[[#This Row],[Score 1]]&gt;=3, SotY_2025[[#This Row],[Song 1]], IF(SotY_2025[[#This Row],[Score 2]]&gt;=3, SotY_2025[[#This Row],[Song 2]], "TBD")))</f>
        <v>on one tonight</v>
      </c>
      <c r="Q184" s="193">
        <f>COUNTIF(SotY_2025[[#This Row],[H ]:[J ]],"x")</f>
        <v>4</v>
      </c>
      <c r="R184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on one tonight</v>
      </c>
      <c r="S184" s="191" t="s">
        <v>4191</v>
      </c>
      <c r="T184" s="190" t="s">
        <v>4191</v>
      </c>
      <c r="U184" s="189" t="s">
        <v>4191</v>
      </c>
      <c r="V184" s="188" t="s">
        <v>4191</v>
      </c>
      <c r="W184" s="198"/>
      <c r="X18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84" s="109">
        <f t="shared" si="8"/>
        <v>96</v>
      </c>
      <c r="AA184" s="59">
        <v>45981</v>
      </c>
      <c r="AB184" t="str">
        <v>danram</v>
      </c>
      <c r="AC184" s="3">
        <v>2.2000000000000002</v>
      </c>
      <c r="AD184" s="3">
        <v>0.74833147735478833</v>
      </c>
      <c r="AE184" t="str">
        <v>Greatness</v>
      </c>
      <c r="AF184" t="str">
        <v>Quavo</v>
      </c>
      <c r="AG184" s="100">
        <f t="shared" si="7"/>
        <v>65</v>
      </c>
      <c r="AI184" s="114">
        <f>SotY_2025[[#This Row],[Max Seed]]/2 + 1</f>
        <v>129</v>
      </c>
      <c r="AJ184" s="105" t="str">
        <f ca="1">IF(SotY_2025[[#This Row],[Num]]&gt;=$A$1, "-", IF(SotY_2025[[#This Row],[Score 1]]&gt;=3, SotY_2025[[#This Row],[Song 2]], IF(SotY_2025[[#This Row],[Score 2]]&gt;=3, SotY_2025[[#This Row],[Song 1]], "TBD")))</f>
        <v>Numb Little Bug</v>
      </c>
      <c r="AK184" s="115">
        <f ca="1">IFERROR(VLOOKUP(SotY_2025_Results[[#This Row],[Song Title]], $AE$2:$AG$200, 3, FALSE)-SotY_2025_Results[[#This Row],[Result]], "TBD")</f>
        <v>-64</v>
      </c>
      <c r="AL184" s="112" t="str">
        <f ca="1">IF(SotY_2025_Results[[#This Row],[Diff]]&lt;0,"↓",IF(SotY_2025_Results[[#This Row],[Diff]]=0,"-","↑"))</f>
        <v>↓</v>
      </c>
    </row>
    <row r="185" spans="1:38">
      <c r="A185" s="197" t="str">
        <f>_xlfn.CONCAT("Seed ", SotY_2025[[#This Row],[Top Seed]], " vs ", SotY_2025[[#This Row],[Low Seed]])</f>
        <v>Seed 73 vs 184</v>
      </c>
      <c r="B185" s="115">
        <v>183</v>
      </c>
      <c r="C185" s="115">
        <f>FLOOR(LOG(SotY_2025[[#This Row],[Num]], 2), 1)</f>
        <v>7</v>
      </c>
      <c r="D185" s="115">
        <f>2^(SotY_2025[[#This Row],[Round]]+1)</f>
        <v>256</v>
      </c>
      <c r="E185" s="115">
        <f>SotY_2025[[#This Row],[Max Seed]]-SotY_2025[[#This Row],[Num]]</f>
        <v>73</v>
      </c>
      <c r="F185" s="115">
        <f>SotY_2025[[#This Row],[Max Seed]]-SotY_2025[[#This Row],[Top Seed]]+1</f>
        <v>184</v>
      </c>
      <c r="G185" s="115" t="b">
        <f>IF(SotY_2025[[#This Row],[Round]]=$C$1, TRUE(), IF(SotY_2025[[#This Row],[Round]]=$B$1, SotY_2025[[#This Row],[Top Seed]]&lt;=2*SotY_2025[[#This Row],[Max Seed]]-$A$1, FALSE()))</f>
        <v>1</v>
      </c>
      <c r="H185" s="115" t="b">
        <f>IF(SotY_2025[[#This Row],[Round]]=$C$1, TRUE(), IF(SotY_2025[[#This Row],[Round]]=$B$1, SotY_2025[[#This Row],[Low Seed]]&lt;=2*SotY_2025[[#This Row],[Max Seed]]-$A$1, FALSE()))</f>
        <v>1</v>
      </c>
      <c r="I185" s="187" t="s">
        <v>4191</v>
      </c>
      <c r="J185" s="188" t="s">
        <v>4191</v>
      </c>
      <c r="K185" s="189" t="s">
        <v>4191</v>
      </c>
      <c r="L185" s="190" t="s">
        <v>4191</v>
      </c>
      <c r="M185" s="191"/>
      <c r="N18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the boy is mine</v>
      </c>
      <c r="O185" s="105">
        <f>COUNTIF(SotY_2025[[#This Row],[J]:[H]],"x")</f>
        <v>4</v>
      </c>
      <c r="P185" s="115" t="str">
        <f ca="1">IF(SotY_2025[[#This Row],[Num]]&gt;=$A$1, "-", IF(SotY_2025[[#This Row],[Score 1]]&gt;=3, SotY_2025[[#This Row],[Song 1]], IF(SotY_2025[[#This Row],[Score 2]]&gt;=3, SotY_2025[[#This Row],[Song 2]], "TBD")))</f>
        <v>the boy is mine</v>
      </c>
      <c r="Q185" s="193">
        <f>COUNTIF(SotY_2025[[#This Row],[H ]:[J ]],"x")</f>
        <v>1</v>
      </c>
      <c r="R18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千本桜</v>
      </c>
      <c r="S185" s="191" t="s">
        <v>4191</v>
      </c>
      <c r="T185" s="190"/>
      <c r="U185" s="189"/>
      <c r="V185" s="188"/>
      <c r="W185" s="198"/>
      <c r="X18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85" s="109">
        <f t="shared" si="8"/>
        <v>48</v>
      </c>
      <c r="AA185" s="59">
        <v>45985</v>
      </c>
      <c r="AB185" t="str">
        <v>currydestroyer27</v>
      </c>
      <c r="AC185" s="3">
        <v>2</v>
      </c>
      <c r="AD185" s="3">
        <v>0.63245553203367588</v>
      </c>
      <c r="AE185" t="str">
        <v>You Say Run</v>
      </c>
      <c r="AF185" t="str">
        <v>Yuki Hayashi</v>
      </c>
      <c r="AG185" s="100">
        <f t="shared" si="7"/>
        <v>33</v>
      </c>
      <c r="AI185" s="114">
        <f>SotY_2025[[#This Row],[Max Seed]]/2 + 1</f>
        <v>129</v>
      </c>
      <c r="AJ185" s="105" t="str">
        <f ca="1">IF(SotY_2025[[#This Row],[Num]]&gt;=$A$1, "-", IF(SotY_2025[[#This Row],[Score 1]]&gt;=3, SotY_2025[[#This Row],[Song 2]], IF(SotY_2025[[#This Row],[Score 2]]&gt;=3, SotY_2025[[#This Row],[Song 1]], "TBD")))</f>
        <v>千本桜</v>
      </c>
      <c r="AK185" s="115">
        <f ca="1">IFERROR(VLOOKUP(SotY_2025_Results[[#This Row],[Song Title]], $AE$2:$AG$200, 3, FALSE)-SotY_2025_Results[[#This Row],[Result]], "TBD")</f>
        <v>0</v>
      </c>
      <c r="AL185" s="112" t="str">
        <f ca="1">IF(SotY_2025_Results[[#This Row],[Diff]]&lt;0,"↓",IF(SotY_2025_Results[[#This Row],[Diff]]=0,"-","↑"))</f>
        <v>-</v>
      </c>
    </row>
    <row r="186" spans="1:38">
      <c r="A186" s="197" t="str">
        <f>_xlfn.CONCAT("Seed ", SotY_2025[[#This Row],[Top Seed]], " vs ", SotY_2025[[#This Row],[Low Seed]])</f>
        <v>Seed 72 vs 185</v>
      </c>
      <c r="B186" s="115">
        <v>184</v>
      </c>
      <c r="C186" s="115">
        <f>FLOOR(LOG(SotY_2025[[#This Row],[Num]], 2), 1)</f>
        <v>7</v>
      </c>
      <c r="D186" s="115">
        <f>2^(SotY_2025[[#This Row],[Round]]+1)</f>
        <v>256</v>
      </c>
      <c r="E186" s="115">
        <f>SotY_2025[[#This Row],[Max Seed]]-SotY_2025[[#This Row],[Num]]</f>
        <v>72</v>
      </c>
      <c r="F186" s="115">
        <f>SotY_2025[[#This Row],[Max Seed]]-SotY_2025[[#This Row],[Top Seed]]+1</f>
        <v>185</v>
      </c>
      <c r="G186" s="115" t="b">
        <f>IF(SotY_2025[[#This Row],[Round]]=$C$1, TRUE(), IF(SotY_2025[[#This Row],[Round]]=$B$1, SotY_2025[[#This Row],[Top Seed]]&lt;=2*SotY_2025[[#This Row],[Max Seed]]-$A$1, FALSE()))</f>
        <v>1</v>
      </c>
      <c r="H186" s="115" t="b">
        <f>IF(SotY_2025[[#This Row],[Round]]=$C$1, TRUE(), IF(SotY_2025[[#This Row],[Round]]=$B$1, SotY_2025[[#This Row],[Low Seed]]&lt;=2*SotY_2025[[#This Row],[Max Seed]]-$A$1, FALSE()))</f>
        <v>1</v>
      </c>
      <c r="I186" s="187"/>
      <c r="J186" s="188"/>
      <c r="K186" s="189" t="s">
        <v>4191</v>
      </c>
      <c r="L186" s="190" t="s">
        <v>4191</v>
      </c>
      <c r="M186" s="191" t="s">
        <v>4191</v>
      </c>
      <c r="N18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Smells Like Teen Spirit</v>
      </c>
      <c r="O186" s="105">
        <f>COUNTIF(SotY_2025[[#This Row],[J]:[H]],"x")</f>
        <v>3</v>
      </c>
      <c r="P186" s="115" t="str">
        <f ca="1">IF(SotY_2025[[#This Row],[Num]]&gt;=$A$1, "-", IF(SotY_2025[[#This Row],[Score 1]]&gt;=3, SotY_2025[[#This Row],[Song 1]], IF(SotY_2025[[#This Row],[Score 2]]&gt;=3, SotY_2025[[#This Row],[Song 2]], "TBD")))</f>
        <v>Smells Like Teen Spirit</v>
      </c>
      <c r="Q186" s="193">
        <f>COUNTIF(SotY_2025[[#This Row],[H ]:[J ]],"x")</f>
        <v>2</v>
      </c>
      <c r="R18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Survivor</v>
      </c>
      <c r="S186" s="191"/>
      <c r="T186" s="190"/>
      <c r="U186" s="189"/>
      <c r="V186" s="188" t="s">
        <v>4191</v>
      </c>
      <c r="W186" s="198" t="s">
        <v>4191</v>
      </c>
      <c r="X18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86" s="109">
        <f t="shared" si="8"/>
        <v>175</v>
      </c>
      <c r="AA186" s="59">
        <v>45986</v>
      </c>
      <c r="AB186" t="str">
        <v>samuelbattista</v>
      </c>
      <c r="AC186" s="3">
        <v>2.4</v>
      </c>
      <c r="AD186" s="3">
        <v>1.4966629547095767</v>
      </c>
      <c r="AE186" t="str">
        <v>Today</v>
      </c>
      <c r="AF186" t="str">
        <v>The Smashing Pumpkins</v>
      </c>
      <c r="AG186" s="100">
        <f t="shared" si="7"/>
        <v>129</v>
      </c>
      <c r="AI186" s="114">
        <f>SotY_2025[[#This Row],[Max Seed]]/2 + 1</f>
        <v>129</v>
      </c>
      <c r="AJ186" s="105" t="str">
        <f ca="1">IF(SotY_2025[[#This Row],[Num]]&gt;=$A$1, "-", IF(SotY_2025[[#This Row],[Score 1]]&gt;=3, SotY_2025[[#This Row],[Song 2]], IF(SotY_2025[[#This Row],[Score 2]]&gt;=3, SotY_2025[[#This Row],[Song 1]], "TBD")))</f>
        <v>Survivor</v>
      </c>
      <c r="AK186" s="115">
        <f ca="1">IFERROR(VLOOKUP(SotY_2025_Results[[#This Row],[Song Title]], $AE$2:$AG$200, 3, FALSE)-SotY_2025_Results[[#This Row],[Result]], "TBD")</f>
        <v>0</v>
      </c>
      <c r="AL186" s="112" t="str">
        <f ca="1">IF(SotY_2025_Results[[#This Row],[Diff]]&lt;0,"↓",IF(SotY_2025_Results[[#This Row],[Diff]]=0,"-","↑"))</f>
        <v>-</v>
      </c>
    </row>
    <row r="187" spans="1:38">
      <c r="A187" s="197" t="str">
        <f>_xlfn.CONCAT("Seed ", SotY_2025[[#This Row],[Top Seed]], " vs ", SotY_2025[[#This Row],[Low Seed]])</f>
        <v>Seed 71 vs 186</v>
      </c>
      <c r="B187" s="115">
        <v>185</v>
      </c>
      <c r="C187" s="115">
        <f>FLOOR(LOG(SotY_2025[[#This Row],[Num]], 2), 1)</f>
        <v>7</v>
      </c>
      <c r="D187" s="115">
        <f>2^(SotY_2025[[#This Row],[Round]]+1)</f>
        <v>256</v>
      </c>
      <c r="E187" s="115">
        <f>SotY_2025[[#This Row],[Max Seed]]-SotY_2025[[#This Row],[Num]]</f>
        <v>71</v>
      </c>
      <c r="F187" s="115">
        <f>SotY_2025[[#This Row],[Max Seed]]-SotY_2025[[#This Row],[Top Seed]]+1</f>
        <v>186</v>
      </c>
      <c r="G187" s="115" t="b">
        <f>IF(SotY_2025[[#This Row],[Round]]=$C$1, TRUE(), IF(SotY_2025[[#This Row],[Round]]=$B$1, SotY_2025[[#This Row],[Top Seed]]&lt;=2*SotY_2025[[#This Row],[Max Seed]]-$A$1, FALSE()))</f>
        <v>1</v>
      </c>
      <c r="H187" s="115" t="b">
        <f>IF(SotY_2025[[#This Row],[Round]]=$C$1, TRUE(), IF(SotY_2025[[#This Row],[Round]]=$B$1, SotY_2025[[#This Row],[Low Seed]]&lt;=2*SotY_2025[[#This Row],[Max Seed]]-$A$1, FALSE()))</f>
        <v>1</v>
      </c>
      <c r="I187" s="187"/>
      <c r="J187" s="188"/>
      <c r="K187" s="189" t="s">
        <v>4191</v>
      </c>
      <c r="L187" s="190" t="s">
        <v>4191</v>
      </c>
      <c r="M187" s="191" t="s">
        <v>4191</v>
      </c>
      <c r="N18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bitter</v>
      </c>
      <c r="O187" s="105">
        <f>COUNTIF(SotY_2025[[#This Row],[J]:[H]],"x")</f>
        <v>3</v>
      </c>
      <c r="P187" s="115" t="str">
        <f ca="1">IF(SotY_2025[[#This Row],[Num]]&gt;=$A$1, "-", IF(SotY_2025[[#This Row],[Score 1]]&gt;=3, SotY_2025[[#This Row],[Song 1]], IF(SotY_2025[[#This Row],[Score 2]]&gt;=3, SotY_2025[[#This Row],[Song 2]], "TBD")))</f>
        <v>bitter</v>
      </c>
      <c r="Q187" s="193">
        <f>COUNTIF(SotY_2025[[#This Row],[H ]:[J ]],"x")</f>
        <v>2</v>
      </c>
      <c r="R18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Corazón Tatuado</v>
      </c>
      <c r="S187" s="191"/>
      <c r="T187" s="190"/>
      <c r="U187" s="189"/>
      <c r="V187" s="188" t="s">
        <v>4191</v>
      </c>
      <c r="W187" s="198" t="s">
        <v>4191</v>
      </c>
      <c r="X18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87" s="109">
        <f t="shared" si="8"/>
        <v>61</v>
      </c>
      <c r="AA187" s="59">
        <v>45987</v>
      </c>
      <c r="AB187" t="str">
        <v>alappatjoe</v>
      </c>
      <c r="AC187" s="3">
        <v>2</v>
      </c>
      <c r="AD187" s="3">
        <v>0.89442719099991586</v>
      </c>
      <c r="AE187" t="str">
        <v>hair down</v>
      </c>
      <c r="AF187" t="str">
        <v>thủy</v>
      </c>
      <c r="AG187" s="100">
        <f t="shared" si="7"/>
        <v>33</v>
      </c>
      <c r="AI187" s="114">
        <f>SotY_2025[[#This Row],[Max Seed]]/2 + 1</f>
        <v>129</v>
      </c>
      <c r="AJ187" s="105" t="str">
        <f ca="1">IF(SotY_2025[[#This Row],[Num]]&gt;=$A$1, "-", IF(SotY_2025[[#This Row],[Score 1]]&gt;=3, SotY_2025[[#This Row],[Song 2]], IF(SotY_2025[[#This Row],[Score 2]]&gt;=3, SotY_2025[[#This Row],[Song 1]], "TBD")))</f>
        <v>Corazón Tatuado</v>
      </c>
      <c r="AK187" s="115">
        <f ca="1">IFERROR(VLOOKUP(SotY_2025_Results[[#This Row],[Song Title]], $AE$2:$AG$200, 3, FALSE)-SotY_2025_Results[[#This Row],[Result]], "TBD")</f>
        <v>0</v>
      </c>
      <c r="AL187" s="112" t="str">
        <f ca="1">IF(SotY_2025_Results[[#This Row],[Diff]]&lt;0,"↓",IF(SotY_2025_Results[[#This Row],[Diff]]=0,"-","↑"))</f>
        <v>-</v>
      </c>
    </row>
    <row r="188" spans="1:38">
      <c r="A188" s="197" t="str">
        <f>_xlfn.CONCAT("Seed ", SotY_2025[[#This Row],[Top Seed]], " vs ", SotY_2025[[#This Row],[Low Seed]])</f>
        <v>Seed 70 vs 187</v>
      </c>
      <c r="B188" s="115">
        <v>186</v>
      </c>
      <c r="C188" s="115">
        <f>FLOOR(LOG(SotY_2025[[#This Row],[Num]], 2), 1)</f>
        <v>7</v>
      </c>
      <c r="D188" s="115">
        <f>2^(SotY_2025[[#This Row],[Round]]+1)</f>
        <v>256</v>
      </c>
      <c r="E188" s="115">
        <f>SotY_2025[[#This Row],[Max Seed]]-SotY_2025[[#This Row],[Num]]</f>
        <v>70</v>
      </c>
      <c r="F188" s="115">
        <f>SotY_2025[[#This Row],[Max Seed]]-SotY_2025[[#This Row],[Top Seed]]+1</f>
        <v>187</v>
      </c>
      <c r="G188" s="115" t="b">
        <f>IF(SotY_2025[[#This Row],[Round]]=$C$1, TRUE(), IF(SotY_2025[[#This Row],[Round]]=$B$1, SotY_2025[[#This Row],[Top Seed]]&lt;=2*SotY_2025[[#This Row],[Max Seed]]-$A$1, FALSE()))</f>
        <v>1</v>
      </c>
      <c r="H188" s="115" t="b">
        <f>IF(SotY_2025[[#This Row],[Round]]=$C$1, TRUE(), IF(SotY_2025[[#This Row],[Round]]=$B$1, SotY_2025[[#This Row],[Low Seed]]&lt;=2*SotY_2025[[#This Row],[Max Seed]]-$A$1, FALSE()))</f>
        <v>1</v>
      </c>
      <c r="I188" s="187"/>
      <c r="J188" s="188"/>
      <c r="K188" s="189"/>
      <c r="L188" s="190"/>
      <c r="M188" s="191"/>
      <c r="N18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Nights</v>
      </c>
      <c r="O188" s="105">
        <f>COUNTIF(SotY_2025[[#This Row],[J]:[H]],"x")</f>
        <v>0</v>
      </c>
      <c r="P188" s="115" t="str">
        <f ca="1">IF(SotY_2025[[#This Row],[Num]]&gt;=$A$1, "-", IF(SotY_2025[[#This Row],[Score 1]]&gt;=3, SotY_2025[[#This Row],[Song 1]], IF(SotY_2025[[#This Row],[Score 2]]&gt;=3, SotY_2025[[#This Row],[Song 2]], "TBD")))</f>
        <v>Kizukeyo Baby</v>
      </c>
      <c r="Q188" s="193">
        <f>COUNTIF(SotY_2025[[#This Row],[H ]:[J ]],"x")</f>
        <v>5</v>
      </c>
      <c r="R18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Kizukeyo Baby</v>
      </c>
      <c r="S188" s="191" t="s">
        <v>4191</v>
      </c>
      <c r="T188" s="190" t="s">
        <v>4191</v>
      </c>
      <c r="U188" s="189" t="s">
        <v>4191</v>
      </c>
      <c r="V188" s="188" t="s">
        <v>4191</v>
      </c>
      <c r="W188" s="198" t="s">
        <v>4191</v>
      </c>
      <c r="X18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88" s="109">
        <f t="shared" si="8"/>
        <v>185</v>
      </c>
      <c r="AA188" s="59">
        <v>45988</v>
      </c>
      <c r="AB188" t="str">
        <v>danram</v>
      </c>
      <c r="AC188" s="3">
        <v>2.6</v>
      </c>
      <c r="AD188" s="3">
        <v>1.019803902718557</v>
      </c>
      <c r="AE188" t="str">
        <v>Survivor</v>
      </c>
      <c r="AF188" t="str">
        <v>Destiny's Child</v>
      </c>
      <c r="AG188" s="100">
        <f t="shared" si="7"/>
        <v>129</v>
      </c>
      <c r="AI188" s="114">
        <f>SotY_2025[[#This Row],[Max Seed]]/2 + 1</f>
        <v>129</v>
      </c>
      <c r="AJ188" s="105" t="str">
        <f ca="1">IF(SotY_2025[[#This Row],[Num]]&gt;=$A$1, "-", IF(SotY_2025[[#This Row],[Score 1]]&gt;=3, SotY_2025[[#This Row],[Song 2]], IF(SotY_2025[[#This Row],[Score 2]]&gt;=3, SotY_2025[[#This Row],[Song 1]], "TBD")))</f>
        <v>Nights</v>
      </c>
      <c r="AK188" s="115">
        <f ca="1">IFERROR(VLOOKUP(SotY_2025_Results[[#This Row],[Song Title]], $AE$2:$AG$200, 3, FALSE)-SotY_2025_Results[[#This Row],[Result]], "TBD")</f>
        <v>-64</v>
      </c>
      <c r="AL188" s="112" t="str">
        <f ca="1">IF(SotY_2025_Results[[#This Row],[Diff]]&lt;0,"↓",IF(SotY_2025_Results[[#This Row],[Diff]]=0,"-","↑"))</f>
        <v>↓</v>
      </c>
    </row>
    <row r="189" spans="1:38">
      <c r="A189" s="197" t="str">
        <f>_xlfn.CONCAT("Seed ", SotY_2025[[#This Row],[Top Seed]], " vs ", SotY_2025[[#This Row],[Low Seed]])</f>
        <v>Seed 69 vs 188</v>
      </c>
      <c r="B189" s="115">
        <v>187</v>
      </c>
      <c r="C189" s="115">
        <f>FLOOR(LOG(SotY_2025[[#This Row],[Num]], 2), 1)</f>
        <v>7</v>
      </c>
      <c r="D189" s="115">
        <f>2^(SotY_2025[[#This Row],[Round]]+1)</f>
        <v>256</v>
      </c>
      <c r="E189" s="115">
        <f>SotY_2025[[#This Row],[Max Seed]]-SotY_2025[[#This Row],[Num]]</f>
        <v>69</v>
      </c>
      <c r="F189" s="115">
        <f>SotY_2025[[#This Row],[Max Seed]]-SotY_2025[[#This Row],[Top Seed]]+1</f>
        <v>188</v>
      </c>
      <c r="G189" s="115" t="b">
        <f>IF(SotY_2025[[#This Row],[Round]]=$C$1, TRUE(), IF(SotY_2025[[#This Row],[Round]]=$B$1, SotY_2025[[#This Row],[Top Seed]]&lt;=2*SotY_2025[[#This Row],[Max Seed]]-$A$1, FALSE()))</f>
        <v>1</v>
      </c>
      <c r="H189" s="115" t="b">
        <f>IF(SotY_2025[[#This Row],[Round]]=$C$1, TRUE(), IF(SotY_2025[[#This Row],[Round]]=$B$1, SotY_2025[[#This Row],[Low Seed]]&lt;=2*SotY_2025[[#This Row],[Max Seed]]-$A$1, FALSE()))</f>
        <v>1</v>
      </c>
      <c r="I189" s="187"/>
      <c r="J189" s="188"/>
      <c r="K189" s="189" t="s">
        <v>4191</v>
      </c>
      <c r="L189" s="190"/>
      <c r="M189" s="191"/>
      <c r="N18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God Save The Girl</v>
      </c>
      <c r="O189" s="105">
        <f>COUNTIF(SotY_2025[[#This Row],[J]:[H]],"x")</f>
        <v>1</v>
      </c>
      <c r="P189" s="115" t="str">
        <f ca="1">IF(SotY_2025[[#This Row],[Num]]&gt;=$A$1, "-", IF(SotY_2025[[#This Row],[Score 1]]&gt;=3, SotY_2025[[#This Row],[Song 1]], IF(SotY_2025[[#This Row],[Score 2]]&gt;=3, SotY_2025[[#This Row],[Song 2]], "TBD")))</f>
        <v>I Can't Win</v>
      </c>
      <c r="Q189" s="193">
        <f>COUNTIF(SotY_2025[[#This Row],[H ]:[J ]],"x")</f>
        <v>4</v>
      </c>
      <c r="R18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I Can't Win</v>
      </c>
      <c r="S189" s="191" t="s">
        <v>4191</v>
      </c>
      <c r="T189" s="190" t="s">
        <v>4191</v>
      </c>
      <c r="U189" s="189"/>
      <c r="V189" s="188" t="s">
        <v>4191</v>
      </c>
      <c r="W189" s="198" t="s">
        <v>4191</v>
      </c>
      <c r="X18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89" s="109">
        <f t="shared" si="8"/>
        <v>7</v>
      </c>
      <c r="AA189" s="59">
        <v>45992</v>
      </c>
      <c r="AB189" t="str">
        <v>currydestroyer27</v>
      </c>
      <c r="AC189" s="3">
        <v>1.4</v>
      </c>
      <c r="AD189" s="3">
        <v>0.4898979485566356</v>
      </c>
      <c r="AE189" t="str">
        <v>Dark Necessities</v>
      </c>
      <c r="AF189" t="str">
        <v>Red Hot Chili Peppers</v>
      </c>
      <c r="AG189" s="100">
        <f t="shared" si="7"/>
        <v>5</v>
      </c>
      <c r="AI189" s="114">
        <f>SotY_2025[[#This Row],[Max Seed]]/2 + 1</f>
        <v>129</v>
      </c>
      <c r="AJ189" s="105" t="str">
        <f ca="1">IF(SotY_2025[[#This Row],[Num]]&gt;=$A$1, "-", IF(SotY_2025[[#This Row],[Score 1]]&gt;=3, SotY_2025[[#This Row],[Song 2]], IF(SotY_2025[[#This Row],[Score 2]]&gt;=3, SotY_2025[[#This Row],[Song 1]], "TBD")))</f>
        <v>God Save The Girl</v>
      </c>
      <c r="AK189" s="115">
        <f ca="1">IFERROR(VLOOKUP(SotY_2025_Results[[#This Row],[Song Title]], $AE$2:$AG$200, 3, FALSE)-SotY_2025_Results[[#This Row],[Result]], "TBD")</f>
        <v>-64</v>
      </c>
      <c r="AL189" s="112" t="str">
        <f ca="1">IF(SotY_2025_Results[[#This Row],[Diff]]&lt;0,"↓",IF(SotY_2025_Results[[#This Row],[Diff]]=0,"-","↑"))</f>
        <v>↓</v>
      </c>
    </row>
    <row r="190" spans="1:38">
      <c r="A190" s="197" t="str">
        <f>_xlfn.CONCAT("Seed ", SotY_2025[[#This Row],[Top Seed]], " vs ", SotY_2025[[#This Row],[Low Seed]])</f>
        <v>Seed 68 vs 189</v>
      </c>
      <c r="B190" s="115">
        <v>188</v>
      </c>
      <c r="C190" s="115">
        <f>FLOOR(LOG(SotY_2025[[#This Row],[Num]], 2), 1)</f>
        <v>7</v>
      </c>
      <c r="D190" s="115">
        <f>2^(SotY_2025[[#This Row],[Round]]+1)</f>
        <v>256</v>
      </c>
      <c r="E190" s="115">
        <f>SotY_2025[[#This Row],[Max Seed]]-SotY_2025[[#This Row],[Num]]</f>
        <v>68</v>
      </c>
      <c r="F190" s="115">
        <f>SotY_2025[[#This Row],[Max Seed]]-SotY_2025[[#This Row],[Top Seed]]+1</f>
        <v>189</v>
      </c>
      <c r="G190" s="115" t="b">
        <f>IF(SotY_2025[[#This Row],[Round]]=$C$1, TRUE(), IF(SotY_2025[[#This Row],[Round]]=$B$1, SotY_2025[[#This Row],[Top Seed]]&lt;=2*SotY_2025[[#This Row],[Max Seed]]-$A$1, FALSE()))</f>
        <v>1</v>
      </c>
      <c r="H190" s="115" t="b">
        <f>IF(SotY_2025[[#This Row],[Round]]=$C$1, TRUE(), IF(SotY_2025[[#This Row],[Round]]=$B$1, SotY_2025[[#This Row],[Low Seed]]&lt;=2*SotY_2025[[#This Row],[Max Seed]]-$A$1, FALSE()))</f>
        <v>1</v>
      </c>
      <c r="I190" s="187"/>
      <c r="J190" s="188"/>
      <c r="K190" s="189"/>
      <c r="L190" s="190" t="s">
        <v>4191</v>
      </c>
      <c r="M190" s="191"/>
      <c r="N19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100 Horses</v>
      </c>
      <c r="O190" s="105">
        <f>COUNTIF(SotY_2025[[#This Row],[J]:[H]],"x")</f>
        <v>1</v>
      </c>
      <c r="P190" s="115" t="str">
        <f ca="1">IF(SotY_2025[[#This Row],[Num]]&gt;=$A$1, "-", IF(SotY_2025[[#This Row],[Score 1]]&gt;=3, SotY_2025[[#This Row],[Song 1]], IF(SotY_2025[[#This Row],[Score 2]]&gt;=3, SotY_2025[[#This Row],[Song 2]], "TBD")))</f>
        <v>Slowly</v>
      </c>
      <c r="Q190" s="193">
        <f>COUNTIF(SotY_2025[[#This Row],[H ]:[J ]],"x")</f>
        <v>4</v>
      </c>
      <c r="R19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Slowly</v>
      </c>
      <c r="S190" s="191" t="s">
        <v>4191</v>
      </c>
      <c r="T190" s="190"/>
      <c r="U190" s="189" t="s">
        <v>4191</v>
      </c>
      <c r="V190" s="188" t="s">
        <v>4191</v>
      </c>
      <c r="W190" s="198" t="s">
        <v>4191</v>
      </c>
      <c r="X19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90" s="109">
        <f t="shared" si="8"/>
        <v>62</v>
      </c>
      <c r="AA190" s="59">
        <v>45993</v>
      </c>
      <c r="AB190" t="str">
        <v>danram</v>
      </c>
      <c r="AC190" s="3">
        <v>2</v>
      </c>
      <c r="AD190" s="3">
        <v>0.89442719099991586</v>
      </c>
      <c r="AE190" t="str">
        <v>Selfish</v>
      </c>
      <c r="AF190" t="str">
        <v>PnB Rock</v>
      </c>
      <c r="AG190" s="100">
        <f t="shared" si="7"/>
        <v>33</v>
      </c>
      <c r="AI190" s="114">
        <f>SotY_2025[[#This Row],[Max Seed]]/2 + 1</f>
        <v>129</v>
      </c>
      <c r="AJ190" s="105" t="str">
        <f ca="1">IF(SotY_2025[[#This Row],[Num]]&gt;=$A$1, "-", IF(SotY_2025[[#This Row],[Score 1]]&gt;=3, SotY_2025[[#This Row],[Song 2]], IF(SotY_2025[[#This Row],[Score 2]]&gt;=3, SotY_2025[[#This Row],[Song 1]], "TBD")))</f>
        <v>100 Horses</v>
      </c>
      <c r="AK190" s="115">
        <f ca="1">IFERROR(VLOOKUP(SotY_2025_Results[[#This Row],[Song Title]], $AE$2:$AG$200, 3, FALSE)-SotY_2025_Results[[#This Row],[Result]], "TBD")</f>
        <v>-64</v>
      </c>
      <c r="AL190" s="112" t="str">
        <f ca="1">IF(SotY_2025_Results[[#This Row],[Diff]]&lt;0,"↓",IF(SotY_2025_Results[[#This Row],[Diff]]=0,"-","↑"))</f>
        <v>↓</v>
      </c>
    </row>
    <row r="191" spans="1:38">
      <c r="A191" s="197" t="str">
        <f>_xlfn.CONCAT("Seed ", SotY_2025[[#This Row],[Top Seed]], " vs ", SotY_2025[[#This Row],[Low Seed]])</f>
        <v>Seed 67 vs 190</v>
      </c>
      <c r="B191" s="115">
        <v>189</v>
      </c>
      <c r="C191" s="115">
        <f>FLOOR(LOG(SotY_2025[[#This Row],[Num]], 2), 1)</f>
        <v>7</v>
      </c>
      <c r="D191" s="115">
        <f>2^(SotY_2025[[#This Row],[Round]]+1)</f>
        <v>256</v>
      </c>
      <c r="E191" s="115">
        <f>SotY_2025[[#This Row],[Max Seed]]-SotY_2025[[#This Row],[Num]]</f>
        <v>67</v>
      </c>
      <c r="F191" s="115">
        <f>SotY_2025[[#This Row],[Max Seed]]-SotY_2025[[#This Row],[Top Seed]]+1</f>
        <v>190</v>
      </c>
      <c r="G191" s="115" t="b">
        <f>IF(SotY_2025[[#This Row],[Round]]=$C$1, TRUE(), IF(SotY_2025[[#This Row],[Round]]=$B$1, SotY_2025[[#This Row],[Top Seed]]&lt;=2*SotY_2025[[#This Row],[Max Seed]]-$A$1, FALSE()))</f>
        <v>1</v>
      </c>
      <c r="H191" s="115" t="b">
        <f>IF(SotY_2025[[#This Row],[Round]]=$C$1, TRUE(), IF(SotY_2025[[#This Row],[Round]]=$B$1, SotY_2025[[#This Row],[Low Seed]]&lt;=2*SotY_2025[[#This Row],[Max Seed]]-$A$1, FALSE()))</f>
        <v>1</v>
      </c>
      <c r="I191" s="187"/>
      <c r="J191" s="188"/>
      <c r="K191" s="189"/>
      <c r="L191" s="190"/>
      <c r="M191" s="191"/>
      <c r="N191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Wake Me up When September Ends</v>
      </c>
      <c r="O191" s="105">
        <f>COUNTIF(SotY_2025[[#This Row],[J]:[H]],"x")</f>
        <v>0</v>
      </c>
      <c r="P191" s="115" t="str">
        <f ca="1">IF(SotY_2025[[#This Row],[Num]]&gt;=$A$1, "-", IF(SotY_2025[[#This Row],[Score 1]]&gt;=3, SotY_2025[[#This Row],[Song 1]], IF(SotY_2025[[#This Row],[Score 2]]&gt;=3, SotY_2025[[#This Row],[Song 2]], "TBD")))</f>
        <v>Lithium</v>
      </c>
      <c r="Q191" s="193">
        <f>COUNTIF(SotY_2025[[#This Row],[H ]:[J ]],"x")</f>
        <v>5</v>
      </c>
      <c r="R191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Lithium</v>
      </c>
      <c r="S191" s="191" t="s">
        <v>4191</v>
      </c>
      <c r="T191" s="190" t="s">
        <v>4191</v>
      </c>
      <c r="U191" s="189" t="s">
        <v>4191</v>
      </c>
      <c r="V191" s="188" t="s">
        <v>4191</v>
      </c>
      <c r="W191" s="198" t="s">
        <v>4191</v>
      </c>
      <c r="X191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91" s="109">
        <f t="shared" si="8"/>
        <v>14</v>
      </c>
      <c r="AA191" s="59">
        <v>45994</v>
      </c>
      <c r="AB191" t="str">
        <v>alappatjoe</v>
      </c>
      <c r="AC191" s="3">
        <v>1.6</v>
      </c>
      <c r="AD191" s="3">
        <v>0.4898979485566356</v>
      </c>
      <c r="AE191" t="str">
        <v>nah</v>
      </c>
      <c r="AF191" t="str">
        <v>Khalid</v>
      </c>
      <c r="AG191" s="100">
        <f t="shared" si="7"/>
        <v>9</v>
      </c>
      <c r="AI191" s="114">
        <f>SotY_2025[[#This Row],[Max Seed]]/2 + 1</f>
        <v>129</v>
      </c>
      <c r="AJ191" s="105" t="str">
        <f ca="1">IF(SotY_2025[[#This Row],[Num]]&gt;=$A$1, "-", IF(SotY_2025[[#This Row],[Score 1]]&gt;=3, SotY_2025[[#This Row],[Song 2]], IF(SotY_2025[[#This Row],[Score 2]]&gt;=3, SotY_2025[[#This Row],[Song 1]], "TBD")))</f>
        <v>Wake Me up When September Ends</v>
      </c>
      <c r="AK191" s="115">
        <f ca="1">IFERROR(VLOOKUP(SotY_2025_Results[[#This Row],[Song Title]], $AE$2:$AG$200, 3, FALSE)-SotY_2025_Results[[#This Row],[Result]], "TBD")</f>
        <v>-64</v>
      </c>
      <c r="AL191" s="112" t="str">
        <f ca="1">IF(SotY_2025_Results[[#This Row],[Diff]]&lt;0,"↓",IF(SotY_2025_Results[[#This Row],[Diff]]=0,"-","↑"))</f>
        <v>↓</v>
      </c>
    </row>
    <row r="192" spans="1:38">
      <c r="A192" s="197" t="str">
        <f>_xlfn.CONCAT("Seed ", SotY_2025[[#This Row],[Top Seed]], " vs ", SotY_2025[[#This Row],[Low Seed]])</f>
        <v>Seed 66 vs 191</v>
      </c>
      <c r="B192" s="115">
        <v>190</v>
      </c>
      <c r="C192" s="115">
        <f>FLOOR(LOG(SotY_2025[[#This Row],[Num]], 2), 1)</f>
        <v>7</v>
      </c>
      <c r="D192" s="115">
        <f>2^(SotY_2025[[#This Row],[Round]]+1)</f>
        <v>256</v>
      </c>
      <c r="E192" s="115">
        <f>SotY_2025[[#This Row],[Max Seed]]-SotY_2025[[#This Row],[Num]]</f>
        <v>66</v>
      </c>
      <c r="F192" s="115">
        <f>SotY_2025[[#This Row],[Max Seed]]-SotY_2025[[#This Row],[Top Seed]]+1</f>
        <v>191</v>
      </c>
      <c r="G192" s="115" t="b">
        <f>IF(SotY_2025[[#This Row],[Round]]=$C$1, TRUE(), IF(SotY_2025[[#This Row],[Round]]=$B$1, SotY_2025[[#This Row],[Top Seed]]&lt;=2*SotY_2025[[#This Row],[Max Seed]]-$A$1, FALSE()))</f>
        <v>1</v>
      </c>
      <c r="H192" s="115" t="b">
        <f>IF(SotY_2025[[#This Row],[Round]]=$C$1, TRUE(), IF(SotY_2025[[#This Row],[Round]]=$B$1, SotY_2025[[#This Row],[Low Seed]]&lt;=2*SotY_2025[[#This Row],[Max Seed]]-$A$1, FALSE()))</f>
        <v>1</v>
      </c>
      <c r="I192" s="187" t="s">
        <v>4191</v>
      </c>
      <c r="J192" s="188"/>
      <c r="K192" s="189"/>
      <c r="L192" s="190"/>
      <c r="M192" s="191"/>
      <c r="N192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Face to Face</v>
      </c>
      <c r="O192" s="105">
        <f>COUNTIF(SotY_2025[[#This Row],[J]:[H]],"x")</f>
        <v>1</v>
      </c>
      <c r="P192" s="115" t="str">
        <f ca="1">IF(SotY_2025[[#This Row],[Num]]&gt;=$A$1, "-", IF(SotY_2025[[#This Row],[Score 1]]&gt;=3, SotY_2025[[#This Row],[Song 1]], IF(SotY_2025[[#This Row],[Score 2]]&gt;=3, SotY_2025[[#This Row],[Song 2]], "TBD")))</f>
        <v>Long Beach</v>
      </c>
      <c r="Q192" s="193">
        <f>COUNTIF(SotY_2025[[#This Row],[H ]:[J ]],"x")</f>
        <v>4</v>
      </c>
      <c r="R192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Long Beach</v>
      </c>
      <c r="S192" s="191" t="s">
        <v>4191</v>
      </c>
      <c r="T192" s="190" t="s">
        <v>4191</v>
      </c>
      <c r="U192" s="189" t="s">
        <v>4191</v>
      </c>
      <c r="V192" s="188" t="s">
        <v>4191</v>
      </c>
      <c r="W192" s="198"/>
      <c r="X192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92" s="109">
        <f t="shared" si="8"/>
        <v>68</v>
      </c>
      <c r="AA192" s="59">
        <v>45995</v>
      </c>
      <c r="AB192" t="str">
        <v>samuelbattista</v>
      </c>
      <c r="AC192" s="3">
        <v>2</v>
      </c>
      <c r="AD192" s="3">
        <v>1.0954451150103321</v>
      </c>
      <c r="AE192" t="str">
        <v>100 Horses</v>
      </c>
      <c r="AF192" t="str">
        <v>Geese</v>
      </c>
      <c r="AG192" s="100">
        <f t="shared" si="7"/>
        <v>65</v>
      </c>
      <c r="AI192" s="114">
        <f>SotY_2025[[#This Row],[Max Seed]]/2 + 1</f>
        <v>129</v>
      </c>
      <c r="AJ192" s="105" t="str">
        <f ca="1">IF(SotY_2025[[#This Row],[Num]]&gt;=$A$1, "-", IF(SotY_2025[[#This Row],[Score 1]]&gt;=3, SotY_2025[[#This Row],[Song 2]], IF(SotY_2025[[#This Row],[Score 2]]&gt;=3, SotY_2025[[#This Row],[Song 1]], "TBD")))</f>
        <v>Face to Face</v>
      </c>
      <c r="AK192" s="115">
        <f ca="1">IFERROR(VLOOKUP(SotY_2025_Results[[#This Row],[Song Title]], $AE$2:$AG$200, 3, FALSE)-SotY_2025_Results[[#This Row],[Result]], "TBD")</f>
        <v>-64</v>
      </c>
      <c r="AL192" s="112" t="str">
        <f ca="1">IF(SotY_2025_Results[[#This Row],[Diff]]&lt;0,"↓",IF(SotY_2025_Results[[#This Row],[Diff]]=0,"-","↑"))</f>
        <v>↓</v>
      </c>
    </row>
    <row r="193" spans="1:38">
      <c r="A193" s="197" t="str">
        <f>_xlfn.CONCAT("Seed ", SotY_2025[[#This Row],[Top Seed]], " vs ", SotY_2025[[#This Row],[Low Seed]])</f>
        <v>Seed 65 vs 192</v>
      </c>
      <c r="B193" s="115">
        <v>191</v>
      </c>
      <c r="C193" s="115">
        <f>FLOOR(LOG(SotY_2025[[#This Row],[Num]], 2), 1)</f>
        <v>7</v>
      </c>
      <c r="D193" s="115">
        <f>2^(SotY_2025[[#This Row],[Round]]+1)</f>
        <v>256</v>
      </c>
      <c r="E193" s="115">
        <f>SotY_2025[[#This Row],[Max Seed]]-SotY_2025[[#This Row],[Num]]</f>
        <v>65</v>
      </c>
      <c r="F193" s="115">
        <f>SotY_2025[[#This Row],[Max Seed]]-SotY_2025[[#This Row],[Top Seed]]+1</f>
        <v>192</v>
      </c>
      <c r="G193" s="115" t="b">
        <f>IF(SotY_2025[[#This Row],[Round]]=$C$1, TRUE(), IF(SotY_2025[[#This Row],[Round]]=$B$1, SotY_2025[[#This Row],[Top Seed]]&lt;=2*SotY_2025[[#This Row],[Max Seed]]-$A$1, FALSE()))</f>
        <v>1</v>
      </c>
      <c r="H193" s="115" t="b">
        <f>IF(SotY_2025[[#This Row],[Round]]=$C$1, TRUE(), IF(SotY_2025[[#This Row],[Round]]=$B$1, SotY_2025[[#This Row],[Low Seed]]&lt;=2*SotY_2025[[#This Row],[Max Seed]]-$A$1, FALSE()))</f>
        <v>1</v>
      </c>
      <c r="I193" s="187" t="s">
        <v>4191</v>
      </c>
      <c r="J193" s="188" t="s">
        <v>4191</v>
      </c>
      <c r="K193" s="189" t="s">
        <v>4191</v>
      </c>
      <c r="L193" s="190" t="s">
        <v>4191</v>
      </c>
      <c r="M193" s="191"/>
      <c r="N193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Flagpole Sitta</v>
      </c>
      <c r="O193" s="105">
        <f>COUNTIF(SotY_2025[[#This Row],[J]:[H]],"x")</f>
        <v>4</v>
      </c>
      <c r="P193" s="115" t="str">
        <f ca="1">IF(SotY_2025[[#This Row],[Num]]&gt;=$A$1, "-", IF(SotY_2025[[#This Row],[Score 1]]&gt;=3, SotY_2025[[#This Row],[Song 1]], IF(SotY_2025[[#This Row],[Score 2]]&gt;=3, SotY_2025[[#This Row],[Song 2]], "TBD")))</f>
        <v>Flagpole Sitta</v>
      </c>
      <c r="Q193" s="193">
        <f>COUNTIF(SotY_2025[[#This Row],[H ]:[J ]],"x")</f>
        <v>1</v>
      </c>
      <c r="R193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Last Memory</v>
      </c>
      <c r="S193" s="191" t="s">
        <v>4191</v>
      </c>
      <c r="T193" s="190"/>
      <c r="U193" s="189"/>
      <c r="V193" s="188"/>
      <c r="W193" s="198"/>
      <c r="X193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93" s="109">
        <f t="shared" si="8"/>
        <v>36</v>
      </c>
      <c r="AA193" s="59">
        <v>45999</v>
      </c>
      <c r="AB193" t="str">
        <v>samuelbattista</v>
      </c>
      <c r="AC193" s="3">
        <v>1.8</v>
      </c>
      <c r="AD193" s="3">
        <v>0.9797958971132712</v>
      </c>
      <c r="AE193">
        <v>1979</v>
      </c>
      <c r="AF193" t="str">
        <v>The Smashing Pumpkins</v>
      </c>
      <c r="AG193" s="100">
        <f t="shared" si="7"/>
        <v>33</v>
      </c>
      <c r="AI193" s="114">
        <f>SotY_2025[[#This Row],[Max Seed]]/2 + 1</f>
        <v>129</v>
      </c>
      <c r="AJ193" s="105" t="str">
        <f ca="1">IF(SotY_2025[[#This Row],[Num]]&gt;=$A$1, "-", IF(SotY_2025[[#This Row],[Score 1]]&gt;=3, SotY_2025[[#This Row],[Song 2]], IF(SotY_2025[[#This Row],[Score 2]]&gt;=3, SotY_2025[[#This Row],[Song 1]], "TBD")))</f>
        <v>Last Memory</v>
      </c>
      <c r="AK193" s="115">
        <f ca="1">IFERROR(VLOOKUP(SotY_2025_Results[[#This Row],[Song Title]], $AE$2:$AG$200, 3, FALSE)-SotY_2025_Results[[#This Row],[Result]], "TBD")</f>
        <v>0</v>
      </c>
      <c r="AL193" s="112" t="str">
        <f ca="1">IF(SotY_2025_Results[[#This Row],[Diff]]&lt;0,"↓",IF(SotY_2025_Results[[#This Row],[Diff]]=0,"-","↑"))</f>
        <v>-</v>
      </c>
    </row>
    <row r="194" spans="1:38">
      <c r="A194" s="197" t="str">
        <f>_xlfn.CONCAT("Seed ", SotY_2025[[#This Row],[Top Seed]], " vs ", SotY_2025[[#This Row],[Low Seed]])</f>
        <v>Seed 64 vs 193</v>
      </c>
      <c r="B194" s="115">
        <v>192</v>
      </c>
      <c r="C194" s="115">
        <f>FLOOR(LOG(SotY_2025[[#This Row],[Num]], 2), 1)</f>
        <v>7</v>
      </c>
      <c r="D194" s="115">
        <f>2^(SotY_2025[[#This Row],[Round]]+1)</f>
        <v>256</v>
      </c>
      <c r="E194" s="115">
        <f>SotY_2025[[#This Row],[Max Seed]]-SotY_2025[[#This Row],[Num]]</f>
        <v>64</v>
      </c>
      <c r="F194" s="115">
        <f>SotY_2025[[#This Row],[Max Seed]]-SotY_2025[[#This Row],[Top Seed]]+1</f>
        <v>193</v>
      </c>
      <c r="G194" s="115" t="b">
        <f>IF(SotY_2025[[#This Row],[Round]]=$C$1, TRUE(), IF(SotY_2025[[#This Row],[Round]]=$B$1, SotY_2025[[#This Row],[Top Seed]]&lt;=2*SotY_2025[[#This Row],[Max Seed]]-$A$1, FALSE()))</f>
        <v>1</v>
      </c>
      <c r="H194" s="115" t="b">
        <f>IF(SotY_2025[[#This Row],[Round]]=$C$1, TRUE(), IF(SotY_2025[[#This Row],[Round]]=$B$1, SotY_2025[[#This Row],[Low Seed]]&lt;=2*SotY_2025[[#This Row],[Max Seed]]-$A$1, FALSE()))</f>
        <v>1</v>
      </c>
      <c r="I194" s="187" t="s">
        <v>4191</v>
      </c>
      <c r="J194" s="188"/>
      <c r="K194" s="189" t="s">
        <v>4191</v>
      </c>
      <c r="L194" s="190"/>
      <c r="M194" s="191" t="s">
        <v>4191</v>
      </c>
      <c r="N194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Ain't It Fun</v>
      </c>
      <c r="O194" s="105">
        <f>COUNTIF(SotY_2025[[#This Row],[J]:[H]],"x")</f>
        <v>3</v>
      </c>
      <c r="P194" s="115" t="str">
        <f ca="1">IF(SotY_2025[[#This Row],[Num]]&gt;=$A$1, "-", IF(SotY_2025[[#This Row],[Score 1]]&gt;=3, SotY_2025[[#This Row],[Song 1]], IF(SotY_2025[[#This Row],[Score 2]]&gt;=3, SotY_2025[[#This Row],[Song 2]], "TBD")))</f>
        <v>Ain't It Fun</v>
      </c>
      <c r="Q194" s="193">
        <f>COUNTIF(SotY_2025[[#This Row],[H ]:[J ]],"x")</f>
        <v>2</v>
      </c>
      <c r="R194" s="105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1985</v>
      </c>
      <c r="S194" s="191"/>
      <c r="T194" s="190" t="s">
        <v>4191</v>
      </c>
      <c r="U194" s="189"/>
      <c r="V194" s="188" t="s">
        <v>4191</v>
      </c>
      <c r="W194" s="198"/>
      <c r="X194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94" s="109">
        <f t="shared" ref="Z194:Z200" si="9">IF(AC194&gt;0, COUNTIF(AC$2:AC$200, "&lt;"&amp;AC194) + COUNTIFS(AC$2:AC$200, AC194, AD$2:AD$200, "&lt;"&amp;AD194) + COUNTIFS(AC$2:AC$200, AC194, AD$2:AD$200, AD194, AA$2:AA$200, "&lt;"&amp;AA194) + 1, "TBD")</f>
        <v>157</v>
      </c>
      <c r="AA194" s="59">
        <v>46000</v>
      </c>
      <c r="AB194" t="str">
        <v>currydestroyer27</v>
      </c>
      <c r="AC194" s="3">
        <v>2.4</v>
      </c>
      <c r="AD194" s="3">
        <v>1.019803902718557</v>
      </c>
      <c r="AE194" t="str">
        <v>her</v>
      </c>
      <c r="AF194" t="str">
        <v>JVKE, Annika Wells</v>
      </c>
      <c r="AG194" s="100">
        <f t="shared" si="7"/>
        <v>129</v>
      </c>
      <c r="AI194" s="114">
        <f>SotY_2025[[#This Row],[Max Seed]]/2 + 1</f>
        <v>129</v>
      </c>
      <c r="AJ194" s="105">
        <f ca="1">IF(SotY_2025[[#This Row],[Num]]&gt;=$A$1, "-", IF(SotY_2025[[#This Row],[Score 1]]&gt;=3, SotY_2025[[#This Row],[Song 2]], IF(SotY_2025[[#This Row],[Score 2]]&gt;=3, SotY_2025[[#This Row],[Song 1]], "TBD")))</f>
        <v>1985</v>
      </c>
      <c r="AK194" s="115">
        <f ca="1">IFERROR(VLOOKUP(SotY_2025_Results[[#This Row],[Song Title]], $AE$2:$AG$200, 3, FALSE)-SotY_2025_Results[[#This Row],[Result]], "TBD")</f>
        <v>0</v>
      </c>
      <c r="AL194" s="112" t="str">
        <f ca="1">IF(SotY_2025_Results[[#This Row],[Diff]]&lt;0,"↓",IF(SotY_2025_Results[[#This Row],[Diff]]=0,"-","↑"))</f>
        <v>-</v>
      </c>
    </row>
    <row r="195" spans="1:38">
      <c r="A195" s="197" t="str">
        <f>_xlfn.CONCAT("Seed ", SotY_2025[[#This Row],[Top Seed]], " vs ", SotY_2025[[#This Row],[Low Seed]])</f>
        <v>Seed 63 vs 194</v>
      </c>
      <c r="B195" s="115">
        <v>193</v>
      </c>
      <c r="C195" s="115">
        <f>FLOOR(LOG(SotY_2025[[#This Row],[Num]], 2), 1)</f>
        <v>7</v>
      </c>
      <c r="D195" s="115">
        <f>2^(SotY_2025[[#This Row],[Round]]+1)</f>
        <v>256</v>
      </c>
      <c r="E195" s="115">
        <f>SotY_2025[[#This Row],[Max Seed]]-SotY_2025[[#This Row],[Num]]</f>
        <v>63</v>
      </c>
      <c r="F195" s="115">
        <f>SotY_2025[[#This Row],[Max Seed]]-SotY_2025[[#This Row],[Top Seed]]+1</f>
        <v>194</v>
      </c>
      <c r="G195" s="115" t="b">
        <f>IF(SotY_2025[[#This Row],[Round]]=$C$1, TRUE(), IF(SotY_2025[[#This Row],[Round]]=$B$1, SotY_2025[[#This Row],[Top Seed]]&lt;=2*SotY_2025[[#This Row],[Max Seed]]-$A$1, FALSE()))</f>
        <v>1</v>
      </c>
      <c r="H195" s="115" t="b">
        <f>IF(SotY_2025[[#This Row],[Round]]=$C$1, TRUE(), IF(SotY_2025[[#This Row],[Round]]=$B$1, SotY_2025[[#This Row],[Low Seed]]&lt;=2*SotY_2025[[#This Row],[Max Seed]]-$A$1, FALSE()))</f>
        <v>1</v>
      </c>
      <c r="I195" s="187" t="s">
        <v>4191</v>
      </c>
      <c r="J195" s="188" t="s">
        <v>4191</v>
      </c>
      <c r="K195" s="189"/>
      <c r="L195" s="190" t="s">
        <v>4191</v>
      </c>
      <c r="M195" s="191" t="s">
        <v>4191</v>
      </c>
      <c r="N195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SOUVENIR</v>
      </c>
      <c r="O195" s="105">
        <f>COUNTIF(SotY_2025[[#This Row],[J]:[H]],"x")</f>
        <v>4</v>
      </c>
      <c r="P195" s="115" t="str">
        <f ca="1">IF(SotY_2025[[#This Row],[Num]]&gt;=$A$1, "-", IF(SotY_2025[[#This Row],[Score 1]]&gt;=3, SotY_2025[[#This Row],[Song 1]], IF(SotY_2025[[#This Row],[Score 2]]&gt;=3, SotY_2025[[#This Row],[Song 2]], "TBD")))</f>
        <v>SOUVENIR</v>
      </c>
      <c r="Q195" s="193">
        <f>COUNTIF(SotY_2025[[#This Row],[H ]:[J ]],"x")</f>
        <v>1</v>
      </c>
      <c r="R195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Star</v>
      </c>
      <c r="S195" s="191"/>
      <c r="T195" s="190"/>
      <c r="U195" s="189" t="s">
        <v>4191</v>
      </c>
      <c r="V195" s="188"/>
      <c r="W195" s="198"/>
      <c r="X195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95" s="109">
        <f t="shared" si="9"/>
        <v>136</v>
      </c>
      <c r="AA195" s="59">
        <v>46001</v>
      </c>
      <c r="AB195" t="str">
        <v>loganworsdell</v>
      </c>
      <c r="AC195" s="3">
        <v>2.4</v>
      </c>
      <c r="AD195" s="3">
        <v>0.8</v>
      </c>
      <c r="AE195" t="str">
        <v>PASAJERO</v>
      </c>
      <c r="AF195" t="str">
        <v>Mora</v>
      </c>
      <c r="AG195" s="100">
        <f t="shared" ref="AG195:AG200" si="10">IFERROR(IF(Z195&gt;1, 2^(FLOOR(LOG(Z195-1,2),1))+1, 1), "TBD")</f>
        <v>129</v>
      </c>
      <c r="AI195" s="114">
        <f>SotY_2025[[#This Row],[Max Seed]]/2 + 1</f>
        <v>129</v>
      </c>
      <c r="AJ195" s="105" t="str">
        <f ca="1">IF(SotY_2025[[#This Row],[Num]]&gt;=$A$1, "-", IF(SotY_2025[[#This Row],[Score 1]]&gt;=3, SotY_2025[[#This Row],[Song 2]], IF(SotY_2025[[#This Row],[Score 2]]&gt;=3, SotY_2025[[#This Row],[Song 1]], "TBD")))</f>
        <v>Star</v>
      </c>
      <c r="AK195" s="115">
        <f ca="1">IFERROR(VLOOKUP(SotY_2025_Results[[#This Row],[Song Title]], $AE$2:$AG$200, 3, FALSE)-SotY_2025_Results[[#This Row],[Result]], "TBD")</f>
        <v>0</v>
      </c>
      <c r="AL195" s="112" t="str">
        <f ca="1">IF(SotY_2025_Results[[#This Row],[Diff]]&lt;0,"↓",IF(SotY_2025_Results[[#This Row],[Diff]]=0,"-","↑"))</f>
        <v>-</v>
      </c>
    </row>
    <row r="196" spans="1:38">
      <c r="A196" s="197" t="str">
        <f>_xlfn.CONCAT("Seed ", SotY_2025[[#This Row],[Top Seed]], " vs ", SotY_2025[[#This Row],[Low Seed]])</f>
        <v>Seed 62 vs 195</v>
      </c>
      <c r="B196" s="115">
        <v>194</v>
      </c>
      <c r="C196" s="115">
        <f>FLOOR(LOG(SotY_2025[[#This Row],[Num]], 2), 1)</f>
        <v>7</v>
      </c>
      <c r="D196" s="115">
        <f>2^(SotY_2025[[#This Row],[Round]]+1)</f>
        <v>256</v>
      </c>
      <c r="E196" s="115">
        <f>SotY_2025[[#This Row],[Max Seed]]-SotY_2025[[#This Row],[Num]]</f>
        <v>62</v>
      </c>
      <c r="F196" s="115">
        <f>SotY_2025[[#This Row],[Max Seed]]-SotY_2025[[#This Row],[Top Seed]]+1</f>
        <v>195</v>
      </c>
      <c r="G196" s="115" t="b">
        <f>IF(SotY_2025[[#This Row],[Round]]=$C$1, TRUE(), IF(SotY_2025[[#This Row],[Round]]=$B$1, SotY_2025[[#This Row],[Top Seed]]&lt;=2*SotY_2025[[#This Row],[Max Seed]]-$A$1, FALSE()))</f>
        <v>1</v>
      </c>
      <c r="H196" s="115" t="b">
        <f>IF(SotY_2025[[#This Row],[Round]]=$C$1, TRUE(), IF(SotY_2025[[#This Row],[Round]]=$B$1, SotY_2025[[#This Row],[Low Seed]]&lt;=2*SotY_2025[[#This Row],[Max Seed]]-$A$1, FALSE()))</f>
        <v>1</v>
      </c>
      <c r="I196" s="187" t="s">
        <v>4191</v>
      </c>
      <c r="J196" s="188" t="s">
        <v>4191</v>
      </c>
      <c r="K196" s="189" t="s">
        <v>4191</v>
      </c>
      <c r="L196" s="190"/>
      <c r="M196" s="191"/>
      <c r="N196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Selfish</v>
      </c>
      <c r="O196" s="105">
        <f>COUNTIF(SotY_2025[[#This Row],[J]:[H]],"x")</f>
        <v>3</v>
      </c>
      <c r="P196" s="115" t="str">
        <f ca="1">IF(SotY_2025[[#This Row],[Num]]&gt;=$A$1, "-", IF(SotY_2025[[#This Row],[Score 1]]&gt;=3, SotY_2025[[#This Row],[Song 1]], IF(SotY_2025[[#This Row],[Score 2]]&gt;=3, SotY_2025[[#This Row],[Song 2]], "TBD")))</f>
        <v>Selfish</v>
      </c>
      <c r="Q196" s="193">
        <f>COUNTIF(SotY_2025[[#This Row],[H ]:[J ]],"x")</f>
        <v>2</v>
      </c>
      <c r="R196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Note to Self</v>
      </c>
      <c r="S196" s="191" t="s">
        <v>4191</v>
      </c>
      <c r="T196" s="190" t="s">
        <v>4191</v>
      </c>
      <c r="U196" s="189"/>
      <c r="V196" s="188"/>
      <c r="W196" s="198"/>
      <c r="X196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96" s="109">
        <f t="shared" si="9"/>
        <v>9</v>
      </c>
      <c r="AA196" s="59">
        <v>46002</v>
      </c>
      <c r="AB196" t="str">
        <v>loganworsdell</v>
      </c>
      <c r="AC196" s="3">
        <v>1.4</v>
      </c>
      <c r="AD196" s="3">
        <v>0.8</v>
      </c>
      <c r="AE196" t="str">
        <v>I Hope</v>
      </c>
      <c r="AF196" t="str">
        <v>Jay Lewis, Gorilla Mode Dezz, Mista Cain</v>
      </c>
      <c r="AG196" s="100">
        <f t="shared" si="10"/>
        <v>9</v>
      </c>
      <c r="AI196" s="114">
        <f>SotY_2025[[#This Row],[Max Seed]]/2 + 1</f>
        <v>129</v>
      </c>
      <c r="AJ196" s="105" t="str">
        <f ca="1">IF(SotY_2025[[#This Row],[Num]]&gt;=$A$1, "-", IF(SotY_2025[[#This Row],[Score 1]]&gt;=3, SotY_2025[[#This Row],[Song 2]], IF(SotY_2025[[#This Row],[Score 2]]&gt;=3, SotY_2025[[#This Row],[Song 1]], "TBD")))</f>
        <v>Note to Self</v>
      </c>
      <c r="AK196" s="115">
        <f ca="1">IFERROR(VLOOKUP(SotY_2025_Results[[#This Row],[Song Title]], $AE$2:$AG$200, 3, FALSE)-SotY_2025_Results[[#This Row],[Result]], "TBD")</f>
        <v>0</v>
      </c>
      <c r="AL196" s="112" t="str">
        <f ca="1">IF(SotY_2025_Results[[#This Row],[Diff]]&lt;0,"↓",IF(SotY_2025_Results[[#This Row],[Diff]]=0,"-","↑"))</f>
        <v>-</v>
      </c>
    </row>
    <row r="197" spans="1:38">
      <c r="A197" s="197" t="str">
        <f>_xlfn.CONCAT("Seed ", SotY_2025[[#This Row],[Top Seed]], " vs ", SotY_2025[[#This Row],[Low Seed]])</f>
        <v>Seed 61 vs 196</v>
      </c>
      <c r="B197" s="115">
        <v>195</v>
      </c>
      <c r="C197" s="115">
        <f>FLOOR(LOG(SotY_2025[[#This Row],[Num]], 2), 1)</f>
        <v>7</v>
      </c>
      <c r="D197" s="115">
        <f>2^(SotY_2025[[#This Row],[Round]]+1)</f>
        <v>256</v>
      </c>
      <c r="E197" s="115">
        <f>SotY_2025[[#This Row],[Max Seed]]-SotY_2025[[#This Row],[Num]]</f>
        <v>61</v>
      </c>
      <c r="F197" s="115">
        <f>SotY_2025[[#This Row],[Max Seed]]-SotY_2025[[#This Row],[Top Seed]]+1</f>
        <v>196</v>
      </c>
      <c r="G197" s="115" t="b">
        <f>IF(SotY_2025[[#This Row],[Round]]=$C$1, TRUE(), IF(SotY_2025[[#This Row],[Round]]=$B$1, SotY_2025[[#This Row],[Top Seed]]&lt;=2*SotY_2025[[#This Row],[Max Seed]]-$A$1, FALSE()))</f>
        <v>1</v>
      </c>
      <c r="H197" s="115" t="b">
        <f>IF(SotY_2025[[#This Row],[Round]]=$C$1, TRUE(), IF(SotY_2025[[#This Row],[Round]]=$B$1, SotY_2025[[#This Row],[Low Seed]]&lt;=2*SotY_2025[[#This Row],[Max Seed]]-$A$1, FALSE()))</f>
        <v>1</v>
      </c>
      <c r="I197" s="187" t="s">
        <v>4191</v>
      </c>
      <c r="J197" s="188"/>
      <c r="K197" s="189"/>
      <c r="L197" s="190"/>
      <c r="M197" s="191"/>
      <c r="N197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hair down</v>
      </c>
      <c r="O197" s="105">
        <f>COUNTIF(SotY_2025[[#This Row],[J]:[H]],"x")</f>
        <v>1</v>
      </c>
      <c r="P197" s="115" t="str">
        <f ca="1">IF(SotY_2025[[#This Row],[Num]]&gt;=$A$1, "-", IF(SotY_2025[[#This Row],[Score 1]]&gt;=3, SotY_2025[[#This Row],[Song 1]], IF(SotY_2025[[#This Row],[Score 2]]&gt;=3, SotY_2025[[#This Row],[Song 2]], "TBD")))</f>
        <v>The Less I Know The Better</v>
      </c>
      <c r="Q197" s="193">
        <f>COUNTIF(SotY_2025[[#This Row],[H ]:[J ]],"x")</f>
        <v>4</v>
      </c>
      <c r="R197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The Less I Know The Better</v>
      </c>
      <c r="S197" s="191" t="s">
        <v>4191</v>
      </c>
      <c r="T197" s="190" t="s">
        <v>4191</v>
      </c>
      <c r="U197" s="189" t="s">
        <v>4191</v>
      </c>
      <c r="V197" s="188" t="s">
        <v>4191</v>
      </c>
      <c r="W197" s="198"/>
      <c r="X197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97" s="109">
        <f t="shared" si="9"/>
        <v>97</v>
      </c>
      <c r="AA197" s="59">
        <v>46006</v>
      </c>
      <c r="AB197" t="str">
        <v>currydestroyer27</v>
      </c>
      <c r="AC197" s="3">
        <v>2.2000000000000002</v>
      </c>
      <c r="AD197" s="3">
        <v>0.74833147735478833</v>
      </c>
      <c r="AE197" t="str">
        <v>veil</v>
      </c>
      <c r="AF197" t="str">
        <v>須田景凪</v>
      </c>
      <c r="AG197" s="100">
        <f t="shared" si="10"/>
        <v>65</v>
      </c>
      <c r="AI197" s="114">
        <f>SotY_2025[[#This Row],[Max Seed]]/2 + 1</f>
        <v>129</v>
      </c>
      <c r="AJ197" s="105" t="str">
        <f ca="1">IF(SotY_2025[[#This Row],[Num]]&gt;=$A$1, "-", IF(SotY_2025[[#This Row],[Score 1]]&gt;=3, SotY_2025[[#This Row],[Song 2]], IF(SotY_2025[[#This Row],[Score 2]]&gt;=3, SotY_2025[[#This Row],[Song 1]], "TBD")))</f>
        <v>hair down</v>
      </c>
      <c r="AK197" s="115">
        <f ca="1">IFERROR(VLOOKUP(SotY_2025_Results[[#This Row],[Song Title]], $AE$2:$AG$200, 3, FALSE)-SotY_2025_Results[[#This Row],[Result]], "TBD")</f>
        <v>-96</v>
      </c>
      <c r="AL197" s="112" t="str">
        <f ca="1">IF(SotY_2025_Results[[#This Row],[Diff]]&lt;0,"↓",IF(SotY_2025_Results[[#This Row],[Diff]]=0,"-","↑"))</f>
        <v>↓</v>
      </c>
    </row>
    <row r="198" spans="1:38">
      <c r="A198" s="197" t="str">
        <f>_xlfn.CONCAT("Seed ", SotY_2025[[#This Row],[Top Seed]], " vs ", SotY_2025[[#This Row],[Low Seed]])</f>
        <v>Seed 60 vs 197</v>
      </c>
      <c r="B198" s="115">
        <v>196</v>
      </c>
      <c r="C198" s="115">
        <f>FLOOR(LOG(SotY_2025[[#This Row],[Num]], 2), 1)</f>
        <v>7</v>
      </c>
      <c r="D198" s="115">
        <f>2^(SotY_2025[[#This Row],[Round]]+1)</f>
        <v>256</v>
      </c>
      <c r="E198" s="115">
        <f>SotY_2025[[#This Row],[Max Seed]]-SotY_2025[[#This Row],[Num]]</f>
        <v>60</v>
      </c>
      <c r="F198" s="115">
        <f>SotY_2025[[#This Row],[Max Seed]]-SotY_2025[[#This Row],[Top Seed]]+1</f>
        <v>197</v>
      </c>
      <c r="G198" s="115" t="b">
        <f>IF(SotY_2025[[#This Row],[Round]]=$C$1, TRUE(), IF(SotY_2025[[#This Row],[Round]]=$B$1, SotY_2025[[#This Row],[Top Seed]]&lt;=2*SotY_2025[[#This Row],[Max Seed]]-$A$1, FALSE()))</f>
        <v>1</v>
      </c>
      <c r="H198" s="115" t="b">
        <f>IF(SotY_2025[[#This Row],[Round]]=$C$1, TRUE(), IF(SotY_2025[[#This Row],[Round]]=$B$1, SotY_2025[[#This Row],[Low Seed]]&lt;=2*SotY_2025[[#This Row],[Max Seed]]-$A$1, FALSE()))</f>
        <v>1</v>
      </c>
      <c r="I198" s="187" t="s">
        <v>4191</v>
      </c>
      <c r="J198" s="188"/>
      <c r="K198" s="189"/>
      <c r="L198" s="190"/>
      <c r="M198" s="191"/>
      <c r="N198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Mona Lisa</v>
      </c>
      <c r="O198" s="105">
        <f>COUNTIF(SotY_2025[[#This Row],[J]:[H]],"x")</f>
        <v>1</v>
      </c>
      <c r="P198" s="115" t="str">
        <f ca="1">IF(SotY_2025[[#This Row],[Num]]&gt;=$A$1, "-", IF(SotY_2025[[#This Row],[Score 1]]&gt;=3, SotY_2025[[#This Row],[Song 1]], IF(SotY_2025[[#This Row],[Score 2]]&gt;=3, SotY_2025[[#This Row],[Song 2]], "TBD")))</f>
        <v>Setting Sun</v>
      </c>
      <c r="Q198" s="193">
        <f>COUNTIF(SotY_2025[[#This Row],[H ]:[J ]],"x")</f>
        <v>4</v>
      </c>
      <c r="R198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Setting Sun</v>
      </c>
      <c r="S198" s="191" t="s">
        <v>4191</v>
      </c>
      <c r="T198" s="190" t="s">
        <v>4191</v>
      </c>
      <c r="U198" s="189" t="s">
        <v>4191</v>
      </c>
      <c r="V198" s="188" t="s">
        <v>4191</v>
      </c>
      <c r="W198" s="198"/>
      <c r="X198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98" s="109">
        <f t="shared" si="9"/>
        <v>69</v>
      </c>
      <c r="AA198" s="59">
        <v>46007</v>
      </c>
      <c r="AB198" t="str">
        <v>loganworsdell</v>
      </c>
      <c r="AC198" s="3">
        <v>2</v>
      </c>
      <c r="AD198" s="3">
        <v>1.0954451150103321</v>
      </c>
      <c r="AE198" t="str">
        <v>God Save The Girl</v>
      </c>
      <c r="AF198" t="str">
        <v>Riovaz</v>
      </c>
      <c r="AG198" s="100">
        <f t="shared" si="10"/>
        <v>65</v>
      </c>
      <c r="AI198" s="114">
        <f>SotY_2025[[#This Row],[Max Seed]]/2 + 1</f>
        <v>129</v>
      </c>
      <c r="AJ198" s="105" t="str">
        <f ca="1">IF(SotY_2025[[#This Row],[Num]]&gt;=$A$1, "-", IF(SotY_2025[[#This Row],[Score 1]]&gt;=3, SotY_2025[[#This Row],[Song 2]], IF(SotY_2025[[#This Row],[Score 2]]&gt;=3, SotY_2025[[#This Row],[Song 1]], "TBD")))</f>
        <v>Mona Lisa</v>
      </c>
      <c r="AK198" s="115">
        <f ca="1">IFERROR(VLOOKUP(SotY_2025_Results[[#This Row],[Song Title]], $AE$2:$AG$200, 3, FALSE)-SotY_2025_Results[[#This Row],[Result]], "TBD")</f>
        <v>-96</v>
      </c>
      <c r="AL198" s="112" t="str">
        <f ca="1">IF(SotY_2025_Results[[#This Row],[Diff]]&lt;0,"↓",IF(SotY_2025_Results[[#This Row],[Diff]]=0,"-","↑"))</f>
        <v>↓</v>
      </c>
    </row>
    <row r="199" spans="1:38">
      <c r="A199" s="197" t="str">
        <f>_xlfn.CONCAT("Seed ", SotY_2025[[#This Row],[Top Seed]], " vs ", SotY_2025[[#This Row],[Low Seed]])</f>
        <v>Seed 59 vs 198</v>
      </c>
      <c r="B199" s="115">
        <v>197</v>
      </c>
      <c r="C199" s="115">
        <f>FLOOR(LOG(SotY_2025[[#This Row],[Num]], 2), 1)</f>
        <v>7</v>
      </c>
      <c r="D199" s="115">
        <f>2^(SotY_2025[[#This Row],[Round]]+1)</f>
        <v>256</v>
      </c>
      <c r="E199" s="115">
        <f>SotY_2025[[#This Row],[Max Seed]]-SotY_2025[[#This Row],[Num]]</f>
        <v>59</v>
      </c>
      <c r="F199" s="115">
        <f>SotY_2025[[#This Row],[Max Seed]]-SotY_2025[[#This Row],[Top Seed]]+1</f>
        <v>198</v>
      </c>
      <c r="G199" s="115" t="b">
        <f>IF(SotY_2025[[#This Row],[Round]]=$C$1, TRUE(), IF(SotY_2025[[#This Row],[Round]]=$B$1, SotY_2025[[#This Row],[Top Seed]]&lt;=2*SotY_2025[[#This Row],[Max Seed]]-$A$1, FALSE()))</f>
        <v>1</v>
      </c>
      <c r="H199" s="115" t="b">
        <f>IF(SotY_2025[[#This Row],[Round]]=$C$1, TRUE(), IF(SotY_2025[[#This Row],[Round]]=$B$1, SotY_2025[[#This Row],[Low Seed]]&lt;=2*SotY_2025[[#This Row],[Max Seed]]-$A$1, FALSE()))</f>
        <v>1</v>
      </c>
      <c r="I199" s="187"/>
      <c r="J199" s="188" t="s">
        <v>4191</v>
      </c>
      <c r="K199" s="189" t="s">
        <v>4191</v>
      </c>
      <c r="L199" s="190"/>
      <c r="M199" s="191" t="s">
        <v>4191</v>
      </c>
      <c r="N199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don't wanna break up again</v>
      </c>
      <c r="O199" s="105">
        <f>COUNTIF(SotY_2025[[#This Row],[J]:[H]],"x")</f>
        <v>3</v>
      </c>
      <c r="P199" s="115" t="str">
        <f ca="1">IF(SotY_2025[[#This Row],[Num]]&gt;=$A$1, "-", IF(SotY_2025[[#This Row],[Score 1]]&gt;=3, SotY_2025[[#This Row],[Song 1]], IF(SotY_2025[[#This Row],[Score 2]]&gt;=3, SotY_2025[[#This Row],[Song 2]], "TBD")))</f>
        <v>don't wanna break up again</v>
      </c>
      <c r="Q199" s="193">
        <f>COUNTIF(SotY_2025[[#This Row],[H ]:[J ]],"x")</f>
        <v>2</v>
      </c>
      <c r="R199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Kid Charlemagne</v>
      </c>
      <c r="S199" s="191"/>
      <c r="T199" s="190" t="s">
        <v>4191</v>
      </c>
      <c r="U199" s="189"/>
      <c r="V199" s="188"/>
      <c r="W199" s="198" t="s">
        <v>4191</v>
      </c>
      <c r="X199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199" s="109">
        <f t="shared" si="9"/>
        <v>125</v>
      </c>
      <c r="AA199" s="59">
        <v>46008</v>
      </c>
      <c r="AB199" t="str">
        <v>currydestroyer27</v>
      </c>
      <c r="AC199" s="3">
        <v>2.2000000000000002</v>
      </c>
      <c r="AD199" s="3">
        <v>1.4696938456699069</v>
      </c>
      <c r="AE199" t="str">
        <v>Trunks</v>
      </c>
      <c r="AF199" t="str">
        <v>A$AP Rocky</v>
      </c>
      <c r="AG199" s="100">
        <f t="shared" si="10"/>
        <v>65</v>
      </c>
      <c r="AI199" s="114">
        <f>SotY_2025[[#This Row],[Max Seed]]/2 + 1</f>
        <v>129</v>
      </c>
      <c r="AJ199" s="105" t="str">
        <f ca="1">IF(SotY_2025[[#This Row],[Num]]&gt;=$A$1, "-", IF(SotY_2025[[#This Row],[Score 1]]&gt;=3, SotY_2025[[#This Row],[Song 2]], IF(SotY_2025[[#This Row],[Score 2]]&gt;=3, SotY_2025[[#This Row],[Song 1]], "TBD")))</f>
        <v>Kid Charlemagne</v>
      </c>
      <c r="AK199" s="115">
        <f ca="1">IFERROR(VLOOKUP(SotY_2025_Results[[#This Row],[Song Title]], $AE$2:$AG$200, 3, FALSE)-SotY_2025_Results[[#This Row],[Result]], "TBD")</f>
        <v>0</v>
      </c>
      <c r="AL199" s="112" t="str">
        <f ca="1">IF(SotY_2025_Results[[#This Row],[Diff]]&lt;0,"↓",IF(SotY_2025_Results[[#This Row],[Diff]]=0,"-","↑"))</f>
        <v>-</v>
      </c>
    </row>
    <row r="200" spans="1:38">
      <c r="A200" s="197" t="str">
        <f>_xlfn.CONCAT("Seed ", SotY_2025[[#This Row],[Top Seed]], " vs ", SotY_2025[[#This Row],[Low Seed]])</f>
        <v>Seed 58 vs 199</v>
      </c>
      <c r="B200" s="115">
        <v>198</v>
      </c>
      <c r="C200" s="115">
        <f>FLOOR(LOG(SotY_2025[[#This Row],[Num]], 2), 1)</f>
        <v>7</v>
      </c>
      <c r="D200" s="115">
        <f>2^(SotY_2025[[#This Row],[Round]]+1)</f>
        <v>256</v>
      </c>
      <c r="E200" s="115">
        <f>SotY_2025[[#This Row],[Max Seed]]-SotY_2025[[#This Row],[Num]]</f>
        <v>58</v>
      </c>
      <c r="F200" s="115">
        <f>SotY_2025[[#This Row],[Max Seed]]-SotY_2025[[#This Row],[Top Seed]]+1</f>
        <v>199</v>
      </c>
      <c r="G200" s="115" t="b">
        <f>IF(SotY_2025[[#This Row],[Round]]=$C$1, TRUE(), IF(SotY_2025[[#This Row],[Round]]=$B$1, SotY_2025[[#This Row],[Top Seed]]&lt;=2*SotY_2025[[#This Row],[Max Seed]]-$A$1, FALSE()))</f>
        <v>1</v>
      </c>
      <c r="H200" s="115" t="b">
        <f>IF(SotY_2025[[#This Row],[Round]]=$C$1, TRUE(), IF(SotY_2025[[#This Row],[Round]]=$B$1, SotY_2025[[#This Row],[Low Seed]]&lt;=2*SotY_2025[[#This Row],[Max Seed]]-$A$1, FALSE()))</f>
        <v>1</v>
      </c>
      <c r="I200" s="187" t="s">
        <v>4191</v>
      </c>
      <c r="J200" s="188"/>
      <c r="K200" s="189" t="s">
        <v>4191</v>
      </c>
      <c r="L200" s="190"/>
      <c r="M200" s="191" t="s">
        <v>4191</v>
      </c>
      <c r="N200" s="192" t="str">
        <f ca="1">IF(SotY_2025[[#This Row],[Num]]&gt;=$A$1, "-", IF(SotY_2025[[#This Row],[Initial 1]], VLOOKUP(SotY_2025[[#This Row],[Top Seed]], $Z$2:$AE$200, 6, FALSE), OFFSET(SotY_2025[[#This Row],[Winner]], SotY_2025[[#This Row],[Max Seed]], 0)))</f>
        <v>i</v>
      </c>
      <c r="O200" s="105">
        <f>COUNTIF(SotY_2025[[#This Row],[J]:[H]],"x")</f>
        <v>3</v>
      </c>
      <c r="P200" s="115" t="str">
        <f ca="1">IF(SotY_2025[[#This Row],[Num]]&gt;=$A$1, "-", IF(SotY_2025[[#This Row],[Score 1]]&gt;=3, SotY_2025[[#This Row],[Song 1]], IF(SotY_2025[[#This Row],[Score 2]]&gt;=3, SotY_2025[[#This Row],[Song 2]], "TBD")))</f>
        <v>i</v>
      </c>
      <c r="Q200" s="193">
        <f>COUNTIF(SotY_2025[[#This Row],[H ]:[J ]],"x")</f>
        <v>2</v>
      </c>
      <c r="R200" s="105" t="str">
        <f ca="1">IF(SotY_2025[[#This Row],[Num]]&gt;=$A$1, "-", IF(SotY_2025[[#This Row],[Initial 2]], VLOOKUP(SotY_2025[[#This Row],[Low Seed]], $Z$2:$AE$200, 6, FALSE), OFFSET(SotY_2025[[#This Row],[Winner]], 2*(SotY_2025[[#This Row],[Max Seed]]-SotY_2025[[#This Row],[Low Seed]])+1, 0)))</f>
        <v>I Get Around</v>
      </c>
      <c r="S200" s="191"/>
      <c r="T200" s="190" t="s">
        <v>4191</v>
      </c>
      <c r="U200" s="189"/>
      <c r="V200" s="188" t="s">
        <v>4191</v>
      </c>
      <c r="W200" s="198"/>
      <c r="X200" s="115" t="str">
        <f ca="1">IF(OR(SotY_2025[[#This Row],[Song 1]]="TBD", SotY_2025[[#This Row],[Song 2]]="TBD"), "TBD", _xlfn.CONCAT(IF(_xlfn.XOR(ISBLANK(SotY_2025[[#This Row],[J]]), ISBLANK(SotY_2025[[#This Row],[J ]])), "", "J "), IF(_xlfn.XOR(ISBLANK(SotY_2025[[#This Row],[D]]), ISBLANK(SotY_2025[[#This Row],[D ]])), "", "D "), IF(_xlfn.XOR(ISBLANK(SotY_2025[[#This Row],[L]]), ISBLANK(SotY_2025[[#This Row],[L ]])), "", "L "), IF(_xlfn.XOR(ISBLANK(SotY_2025[[#This Row],[S]]), ISBLANK(SotY_2025[[#This Row],[S ]])), "", "S "), IF(_xlfn.XOR(ISBLANK(SotY_2025[[#This Row],[H]]), ISBLANK(SotY_2025[[#This Row],[H ]])), "", "H ")))</f>
        <v/>
      </c>
      <c r="Z200" s="109">
        <f t="shared" si="9"/>
        <v>49</v>
      </c>
      <c r="AA200" s="59">
        <v>46009</v>
      </c>
      <c r="AB200" t="str">
        <v>currydestroyer27</v>
      </c>
      <c r="AC200" s="3">
        <v>2</v>
      </c>
      <c r="AD200" s="3">
        <v>0.63245553203367588</v>
      </c>
      <c r="AE200" t="str">
        <v>Carol of the Bells</v>
      </c>
      <c r="AF200" t="str">
        <v>Cathedral Choir</v>
      </c>
      <c r="AG200" s="100">
        <f t="shared" si="10"/>
        <v>33</v>
      </c>
      <c r="AI200" s="114">
        <f>SotY_2025[[#This Row],[Max Seed]]/2 + 1</f>
        <v>129</v>
      </c>
      <c r="AJ200" s="105" t="str">
        <f ca="1">IF(SotY_2025[[#This Row],[Num]]&gt;=$A$1, "-", IF(SotY_2025[[#This Row],[Score 1]]&gt;=3, SotY_2025[[#This Row],[Song 2]], IF(SotY_2025[[#This Row],[Score 2]]&gt;=3, SotY_2025[[#This Row],[Song 1]], "TBD")))</f>
        <v>I Get Around</v>
      </c>
      <c r="AK200" s="115">
        <f ca="1">IFERROR(VLOOKUP(SotY_2025_Results[[#This Row],[Song Title]], $AE$2:$AG$200, 3, FALSE)-SotY_2025_Results[[#This Row],[Result]], "TBD")</f>
        <v>0</v>
      </c>
      <c r="AL200" s="112" t="str">
        <f ca="1">IF(SotY_2025_Results[[#This Row],[Diff]]&lt;0,"↓",IF(SotY_2025_Results[[#This Row],[Diff]]=0,"-","↑"))</f>
        <v>-</v>
      </c>
    </row>
  </sheetData>
  <autoFilter ref="Z1:AG200" xr:uid="{FF5C380F-F236-4CEA-ABA3-BF47B622926A}"/>
  <mergeCells count="1">
    <mergeCell ref="I1:W1"/>
  </mergeCells>
  <conditionalFormatting sqref="AK2:AK200">
    <cfRule type="cellIs" dxfId="69" priority="7" operator="equal">
      <formula>0</formula>
    </cfRule>
    <cfRule type="cellIs" dxfId="68" priority="8" operator="greaterThan">
      <formula>0</formula>
    </cfRule>
    <cfRule type="cellIs" dxfId="67" priority="17" operator="lessThan">
      <formula>0</formula>
    </cfRule>
  </conditionalFormatting>
  <conditionalFormatting sqref="AL1:AL1048576">
    <cfRule type="cellIs" dxfId="66" priority="14" operator="equal">
      <formula>"↓"</formula>
    </cfRule>
    <cfRule type="cellIs" dxfId="65" priority="15" operator="equal">
      <formula>"↑"</formula>
    </cfRule>
    <cfRule type="cellIs" dxfId="64" priority="16" operator="equal">
      <formula>"-"</formula>
    </cfRule>
  </conditionalFormatting>
  <dataValidations count="1">
    <dataValidation allowBlank="1" showInputMessage="1" showErrorMessage="1" sqref="I3:M200 S3:X200" xr:uid="{1C3BAD11-5F52-4C27-BEF4-1E4E25A7E833}"/>
  </dataValidations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79" id="{C15D472A-F61A-4A1A-AA5E-5945510E7939}">
            <xm:f>INDEX($AB$2:$AB$200, MATCH(N1, $AE$2:$AE$200,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2580" id="{A31E7B4A-85FF-4164-9B99-3F5C99AFF7F6}">
            <xm:f>INDEX($AB$2:$AB$200, MATCH(N1, $AE$2:$AE$200, 0), 1)=Leaderboard!$B$4</xm:f>
            <x14:dxf>
              <fill>
                <patternFill patternType="solid">
                  <bgColor rgb="FFDDEBF7"/>
                </patternFill>
              </fill>
            </x14:dxf>
          </x14:cfRule>
          <x14:cfRule type="expression" priority="2581" id="{EF18F262-0580-4F9D-A01E-E02C62EC2619}">
            <xm:f>INDEX($AB$2:$AB$200, MATCH(N1, $AE$2:$AE$200, 0), 1)=Leaderboard!$B$5</xm:f>
            <x14:dxf>
              <fill>
                <patternFill patternType="solid">
                  <bgColor rgb="FFFFF2CC"/>
                </patternFill>
              </fill>
            </x14:dxf>
          </x14:cfRule>
          <x14:cfRule type="expression" priority="2582" id="{AECD3181-45C2-4C49-8E4F-D8CFB180AAD7}">
            <xm:f>INDEX($AB$2:$AB$200, MATCH(N1, $AE$2:$AE$200, 0), 1)=Leaderboard!$B$6</xm:f>
            <x14:dxf>
              <fill>
                <patternFill patternType="solid">
                  <bgColor rgb="FFEDEDED"/>
                </patternFill>
              </fill>
            </x14:dxf>
          </x14:cfRule>
          <x14:cfRule type="expression" priority="2583" id="{FFFA2671-A318-480B-991E-4E69B3001AC3}">
            <xm:f>INDEX($AB$2:$AB$200, MATCH(N1, $AE$2:$AE$200, 0), 1)=Leaderboard!$B$7</xm:f>
            <x14:dxf>
              <fill>
                <patternFill patternType="solid">
                  <bgColor rgb="FFFCE4D6"/>
                </patternFill>
              </fill>
            </x14:dxf>
          </x14:cfRule>
          <xm:sqref>N1:R1048576</xm:sqref>
        </x14:conditionalFormatting>
        <x14:conditionalFormatting xmlns:xm="http://schemas.microsoft.com/office/excel/2006/main">
          <x14:cfRule type="expression" priority="21" id="{F14CE4AE-773B-4007-AE60-3E32587A02B4}">
            <xm:f>$AB3=Leaderboard!$B$6</xm:f>
            <x14:dxf>
              <fill>
                <patternFill patternType="solid">
                  <bgColor theme="6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m:sqref>Z3:Z200 AG3:AG200</xm:sqref>
        </x14:conditionalFormatting>
        <x14:conditionalFormatting xmlns:xm="http://schemas.microsoft.com/office/excel/2006/main">
          <x14:cfRule type="expression" priority="1" id="{45A07DF1-CB46-4530-AE65-A2F200C0B861}">
            <xm:f>$AB1=Leaderboard!$B$3</xm:f>
            <x14:dxf>
              <fill>
                <patternFill patternType="solid">
                  <bgColor rgb="FFE2EFDA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18" id="{A0D5518B-004A-4D00-8FBB-954B16CEDD35}">
            <xm:f>$AB1=Leaderboard!$B$4</xm:f>
            <x14:dxf>
              <fill>
                <patternFill patternType="solid">
                  <bgColor theme="8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19" id="{F4CFEE8C-9924-4C35-927B-AF3BF681F9B9}">
            <xm:f>$AB1=Leaderboard!$B$5</xm:f>
            <x14:dxf>
              <fill>
                <patternFill patternType="solid">
                  <bgColor theme="7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20" id="{D14E4B38-B29E-4404-965F-BC901728C976}">
            <xm:f>$AB1=Leaderboard!$B$6</xm:f>
            <x14:dxf>
              <fill>
                <patternFill patternType="solid">
                  <bgColor theme="6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14:cfRule type="expression" priority="22" id="{76D8FCF1-2740-47D0-87FA-D5E49D7BF8C3}">
            <xm:f>$AB1=Leaderboard!$B$7</xm:f>
            <x14:dxf>
              <fill>
                <patternFill patternType="solid">
                  <bgColor theme="5" tint="0.79998168889431442"/>
                </patternFill>
              </fill>
              <border>
                <bottom style="thin">
                  <color rgb="FF000000"/>
                </bottom>
              </border>
            </x14:dxf>
          </x14:cfRule>
          <xm:sqref>Z1:AG200</xm:sqref>
        </x14:conditionalFormatting>
        <x14:conditionalFormatting xmlns:xm="http://schemas.microsoft.com/office/excel/2006/main">
          <x14:cfRule type="expression" priority="2601" id="{D2007D74-7981-4449-B06D-24A28C2AEC42}">
            <xm:f>INDEX($AB$2:$AB$200, MATCH($AJ2, $AE$2:$AE$200, 0), 1)=Leaderboard!$B$3</xm:f>
            <x14:dxf>
              <fill>
                <patternFill patternType="solid">
                  <bgColor rgb="FFE2EFDA"/>
                </patternFill>
              </fill>
            </x14:dxf>
          </x14:cfRule>
          <x14:cfRule type="expression" priority="2602" id="{3AD04D19-17D2-4D5E-AE2F-11BC08DEE912}">
            <xm:f>INDEX($AB$2:$AB$200, MATCH($AJ2, $AE$2:$AE$200, 0), 1)=Leaderboard!$B$4</xm:f>
            <x14:dxf>
              <fill>
                <patternFill patternType="solid">
                  <bgColor theme="8" tint="0.79998168889431442"/>
                </patternFill>
              </fill>
            </x14:dxf>
          </x14:cfRule>
          <x14:cfRule type="expression" priority="2603" id="{40FEEC44-A56C-4486-860B-294A0EFDE9FB}">
            <xm:f>INDEX($AB$2:$AB$200, MATCH($AJ2, $AE$2:$AE$200, 0), 1)=Leaderboard!$B$5</xm:f>
            <x14:dxf>
              <fill>
                <patternFill patternType="solid">
                  <bgColor theme="7" tint="0.79998168889431442"/>
                </patternFill>
              </fill>
            </x14:dxf>
          </x14:cfRule>
          <x14:cfRule type="expression" priority="2604" id="{D2DCF6C1-5A4C-4B44-A329-AD5208B3742B}">
            <xm:f>INDEX($AB$2:$AB$200, MATCH($AJ2, $AE$2:$AE$200, 0), 1)=Leaderboard!$B$6</xm:f>
            <x14:dxf>
              <fill>
                <patternFill patternType="solid">
                  <bgColor theme="6" tint="0.79998168889431442"/>
                </patternFill>
              </fill>
            </x14:dxf>
          </x14:cfRule>
          <x14:cfRule type="expression" priority="2605" id="{445BC305-4949-4843-AB44-57C8E1981B31}">
            <xm:f>INDEX($AB$2:$AB$200, MATCH($AJ2, $AE$2:$AE$200, 0), 1)=Leaderboard!$B$7</xm:f>
            <x14:dxf>
              <fill>
                <patternFill patternType="solid">
                  <bgColor theme="5" tint="0.79998168889431442"/>
                </patternFill>
              </fill>
            </x14:dxf>
          </x14:cfRule>
          <xm:sqref>AI2:AJ200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B9C7-BD50-4BA7-BCD3-941A8AD27985}">
  <sheetPr codeName="Sheet11"/>
  <dimension ref="A1:V22"/>
  <sheetViews>
    <sheetView workbookViewId="0">
      <pane ySplit="1" topLeftCell="A2" activePane="bottomLeft" state="frozen"/>
      <selection pane="bottomLeft" activeCell="D8" sqref="D8"/>
    </sheetView>
  </sheetViews>
  <sheetFormatPr defaultRowHeight="15"/>
  <cols>
    <col min="1" max="1" width="16.140625" bestFit="1" customWidth="1"/>
    <col min="2" max="2" width="12.85546875" bestFit="1" customWidth="1"/>
    <col min="3" max="3" width="20.7109375" bestFit="1" customWidth="1"/>
    <col min="4" max="4" width="18" bestFit="1" customWidth="1"/>
    <col min="5" max="5" width="24" bestFit="1" customWidth="1"/>
    <col min="6" max="6" width="24.5703125" bestFit="1" customWidth="1"/>
    <col min="7" max="7" width="26.5703125" bestFit="1" customWidth="1"/>
    <col min="8" max="8" width="18.5703125" bestFit="1" customWidth="1"/>
    <col min="9" max="9" width="21.5703125" bestFit="1" customWidth="1"/>
    <col min="10" max="10" width="14.85546875" bestFit="1" customWidth="1"/>
    <col min="11" max="11" width="17.7109375" customWidth="1"/>
    <col min="12" max="12" width="21.7109375" bestFit="1" customWidth="1"/>
    <col min="13" max="13" width="23.5703125" bestFit="1" customWidth="1"/>
    <col min="14" max="14" width="20.7109375" customWidth="1"/>
    <col min="15" max="15" width="23.5703125" bestFit="1" customWidth="1"/>
    <col min="16" max="16" width="17.7109375" customWidth="1"/>
    <col min="17" max="17" width="21.5703125" bestFit="1" customWidth="1"/>
    <col min="18" max="18" width="17.7109375" bestFit="1" customWidth="1"/>
    <col min="19" max="19" width="21.28515625" bestFit="1" customWidth="1"/>
    <col min="20" max="20" width="20.7109375" bestFit="1" customWidth="1"/>
    <col min="21" max="21" width="17.7109375" bestFit="1" customWidth="1"/>
    <col min="22" max="22" width="20.7109375" bestFit="1" customWidth="1"/>
    <col min="23" max="23" width="21.5703125" bestFit="1" customWidth="1"/>
    <col min="24" max="24" width="14.85546875" bestFit="1" customWidth="1"/>
    <col min="25" max="25" width="17.7109375" bestFit="1" customWidth="1"/>
    <col min="26" max="26" width="23.5703125" bestFit="1" customWidth="1"/>
    <col min="27" max="27" width="20.7109375" bestFit="1" customWidth="1"/>
    <col min="28" max="28" width="21.5703125" bestFit="1" customWidth="1"/>
    <col min="29" max="29" width="14.85546875" bestFit="1" customWidth="1"/>
    <col min="30" max="30" width="17.7109375" bestFit="1" customWidth="1"/>
    <col min="31" max="31" width="23.5703125" bestFit="1" customWidth="1"/>
    <col min="32" max="32" width="20.7109375" bestFit="1" customWidth="1"/>
    <col min="33" max="33" width="21.5703125" bestFit="1" customWidth="1"/>
    <col min="34" max="34" width="14.85546875" bestFit="1" customWidth="1"/>
    <col min="35" max="35" width="17.7109375" bestFit="1" customWidth="1"/>
    <col min="36" max="36" width="28.85546875" bestFit="1" customWidth="1"/>
    <col min="37" max="37" width="26" bestFit="1" customWidth="1"/>
    <col min="38" max="38" width="26.7109375" bestFit="1" customWidth="1"/>
    <col min="39" max="39" width="20.140625" bestFit="1" customWidth="1"/>
    <col min="40" max="40" width="22.85546875" bestFit="1" customWidth="1"/>
  </cols>
  <sheetData>
    <row r="1" spans="1:22">
      <c r="A1" s="103" t="s">
        <v>43</v>
      </c>
      <c r="B1" s="103" t="s">
        <v>44</v>
      </c>
      <c r="C1" t="s">
        <v>4438</v>
      </c>
      <c r="D1" t="s">
        <v>4439</v>
      </c>
      <c r="E1" t="s">
        <v>4440</v>
      </c>
      <c r="F1" t="s">
        <v>4441</v>
      </c>
      <c r="G1" t="s">
        <v>4442</v>
      </c>
      <c r="H1" t="s">
        <v>4443</v>
      </c>
      <c r="J1" s="97" t="s">
        <v>43</v>
      </c>
      <c r="K1" s="97" t="s">
        <v>1988</v>
      </c>
      <c r="L1" s="97" t="s">
        <v>144</v>
      </c>
      <c r="M1" s="97" t="s">
        <v>58</v>
      </c>
      <c r="N1" s="97" t="s">
        <v>293</v>
      </c>
      <c r="O1" s="97" t="s">
        <v>76</v>
      </c>
      <c r="P1" s="97" t="s">
        <v>176</v>
      </c>
      <c r="Q1" s="97" t="s">
        <v>72</v>
      </c>
      <c r="R1" s="97" t="s">
        <v>51</v>
      </c>
      <c r="S1" s="97" t="s">
        <v>87</v>
      </c>
      <c r="T1" s="97" t="s">
        <v>69</v>
      </c>
      <c r="U1" s="97" t="s">
        <v>120</v>
      </c>
      <c r="V1" s="97" t="s">
        <v>170</v>
      </c>
    </row>
    <row r="2" spans="1:22">
      <c r="A2" t="s">
        <v>144</v>
      </c>
      <c r="C2">
        <v>4.5</v>
      </c>
      <c r="D2">
        <v>3.5</v>
      </c>
      <c r="E2">
        <v>3.5</v>
      </c>
      <c r="F2">
        <v>1</v>
      </c>
      <c r="G2">
        <v>4</v>
      </c>
      <c r="H2">
        <v>3.3</v>
      </c>
      <c r="J2" t="s">
        <v>4444</v>
      </c>
      <c r="L2" t="s">
        <v>145</v>
      </c>
      <c r="M2" t="s">
        <v>141</v>
      </c>
      <c r="N2" t="s">
        <v>293</v>
      </c>
      <c r="O2" t="s">
        <v>309</v>
      </c>
      <c r="P2" t="s">
        <v>177</v>
      </c>
      <c r="Q2" t="s">
        <v>301</v>
      </c>
      <c r="R2" t="s">
        <v>80</v>
      </c>
      <c r="S2" t="s">
        <v>167</v>
      </c>
      <c r="T2" t="s">
        <v>233</v>
      </c>
      <c r="U2" t="s">
        <v>125</v>
      </c>
      <c r="V2" t="s">
        <v>181</v>
      </c>
    </row>
    <row r="3" spans="1:22">
      <c r="A3" t="s">
        <v>58</v>
      </c>
      <c r="C3">
        <v>4.666666666666667</v>
      </c>
      <c r="D3">
        <v>2.6666666666666665</v>
      </c>
      <c r="E3">
        <v>2.6666666666666665</v>
      </c>
      <c r="F3">
        <v>3.5</v>
      </c>
      <c r="G3">
        <v>3.1666666666666665</v>
      </c>
      <c r="H3">
        <v>3.3333333333333335</v>
      </c>
      <c r="M3" t="s">
        <v>59</v>
      </c>
      <c r="O3" t="s">
        <v>253</v>
      </c>
      <c r="P3" t="s">
        <v>214</v>
      </c>
      <c r="Q3" t="s">
        <v>73</v>
      </c>
      <c r="R3" t="s">
        <v>312</v>
      </c>
      <c r="S3" t="s">
        <v>306</v>
      </c>
      <c r="T3" t="s">
        <v>298</v>
      </c>
      <c r="U3" t="s">
        <v>224</v>
      </c>
      <c r="V3" t="s">
        <v>338</v>
      </c>
    </row>
    <row r="4" spans="1:22">
      <c r="A4" t="s">
        <v>293</v>
      </c>
      <c r="C4">
        <v>3.3333333333333335</v>
      </c>
      <c r="D4">
        <v>1.6666666666666667</v>
      </c>
      <c r="E4">
        <v>2.6666666666666665</v>
      </c>
      <c r="F4">
        <v>4.666666666666667</v>
      </c>
      <c r="G4">
        <v>1.3333333333333333</v>
      </c>
      <c r="H4">
        <v>2.7333333333333329</v>
      </c>
      <c r="M4" t="s">
        <v>65</v>
      </c>
      <c r="O4" t="s">
        <v>135</v>
      </c>
      <c r="Q4" t="s">
        <v>157</v>
      </c>
      <c r="R4" t="s">
        <v>245</v>
      </c>
      <c r="S4" t="s">
        <v>315</v>
      </c>
      <c r="T4" t="s">
        <v>290</v>
      </c>
      <c r="U4" t="s">
        <v>268</v>
      </c>
      <c r="V4" t="s">
        <v>171</v>
      </c>
    </row>
    <row r="5" spans="1:22">
      <c r="A5" t="s">
        <v>76</v>
      </c>
      <c r="C5">
        <v>2.1904761904761907</v>
      </c>
      <c r="D5">
        <v>3.3333333333333335</v>
      </c>
      <c r="E5">
        <v>3.4761904761904763</v>
      </c>
      <c r="F5">
        <v>3.4761904761904763</v>
      </c>
      <c r="G5">
        <v>2.6666666666666665</v>
      </c>
      <c r="H5">
        <v>3.028571428571428</v>
      </c>
      <c r="M5" t="s">
        <v>219</v>
      </c>
      <c r="O5" t="s">
        <v>268</v>
      </c>
      <c r="R5" t="s">
        <v>52</v>
      </c>
      <c r="S5" t="s">
        <v>88</v>
      </c>
      <c r="T5" t="s">
        <v>69</v>
      </c>
      <c r="U5" t="s">
        <v>128</v>
      </c>
      <c r="V5" t="s">
        <v>226</v>
      </c>
    </row>
    <row r="6" spans="1:22">
      <c r="A6" t="s">
        <v>176</v>
      </c>
      <c r="C6">
        <v>1</v>
      </c>
      <c r="D6">
        <v>2.5</v>
      </c>
      <c r="E6">
        <v>4</v>
      </c>
      <c r="F6">
        <v>2</v>
      </c>
      <c r="G6">
        <v>3.75</v>
      </c>
      <c r="H6">
        <v>2.65</v>
      </c>
      <c r="M6" t="s">
        <v>115</v>
      </c>
      <c r="O6" t="s">
        <v>277</v>
      </c>
      <c r="R6" t="s">
        <v>357</v>
      </c>
      <c r="S6" t="s">
        <v>209</v>
      </c>
      <c r="T6" t="s">
        <v>274</v>
      </c>
      <c r="U6" t="s">
        <v>285</v>
      </c>
    </row>
    <row r="7" spans="1:22">
      <c r="A7" t="s">
        <v>72</v>
      </c>
      <c r="C7">
        <v>4.2857142857142856</v>
      </c>
      <c r="D7">
        <v>3.2857142857142856</v>
      </c>
      <c r="E7">
        <v>2.4285714285714284</v>
      </c>
      <c r="F7">
        <v>1.2857142857142858</v>
      </c>
      <c r="G7">
        <v>3.4285714285714284</v>
      </c>
      <c r="H7">
        <v>2.9428571428571426</v>
      </c>
      <c r="O7" t="s">
        <v>77</v>
      </c>
      <c r="R7" t="s">
        <v>184</v>
      </c>
      <c r="S7" t="s">
        <v>105</v>
      </c>
      <c r="T7" t="s">
        <v>317</v>
      </c>
      <c r="U7" t="s">
        <v>242</v>
      </c>
    </row>
    <row r="8" spans="1:22">
      <c r="A8" t="s">
        <v>170</v>
      </c>
      <c r="C8">
        <v>2.875</v>
      </c>
      <c r="D8">
        <v>3.125</v>
      </c>
      <c r="E8">
        <v>2.625</v>
      </c>
      <c r="F8">
        <v>2.875</v>
      </c>
      <c r="G8">
        <v>3.125</v>
      </c>
      <c r="H8">
        <v>2.9249999999999998</v>
      </c>
      <c r="O8" t="s">
        <v>99</v>
      </c>
      <c r="R8" t="s">
        <v>341</v>
      </c>
      <c r="S8" t="s">
        <v>102</v>
      </c>
      <c r="U8" t="s">
        <v>112</v>
      </c>
    </row>
    <row r="9" spans="1:22">
      <c r="A9" t="s">
        <v>51</v>
      </c>
      <c r="C9">
        <v>2.8</v>
      </c>
      <c r="D9">
        <v>3.0222222222222221</v>
      </c>
      <c r="E9">
        <v>2.9555555555555557</v>
      </c>
      <c r="F9">
        <v>3.0222222222222221</v>
      </c>
      <c r="G9">
        <v>2.7777777777777777</v>
      </c>
      <c r="H9">
        <v>2.9155555555555561</v>
      </c>
      <c r="O9" t="s">
        <v>162</v>
      </c>
      <c r="R9" t="s">
        <v>348</v>
      </c>
      <c r="U9" t="s">
        <v>203</v>
      </c>
    </row>
    <row r="10" spans="1:22">
      <c r="A10" t="s">
        <v>87</v>
      </c>
      <c r="C10">
        <v>2.6153846153846154</v>
      </c>
      <c r="D10">
        <v>2.6923076923076925</v>
      </c>
      <c r="E10">
        <v>3</v>
      </c>
      <c r="F10">
        <v>2.6923076923076925</v>
      </c>
      <c r="G10">
        <v>3.5384615384615383</v>
      </c>
      <c r="H10">
        <v>2.9076923076923076</v>
      </c>
      <c r="O10" t="s">
        <v>96</v>
      </c>
      <c r="R10" t="s">
        <v>91</v>
      </c>
      <c r="U10" t="s">
        <v>322</v>
      </c>
    </row>
    <row r="11" spans="1:22">
      <c r="A11" t="s">
        <v>69</v>
      </c>
      <c r="C11">
        <v>3.3809523809523809</v>
      </c>
      <c r="D11">
        <v>3.3333333333333335</v>
      </c>
      <c r="E11">
        <v>3</v>
      </c>
      <c r="F11">
        <v>3.5714285714285716</v>
      </c>
      <c r="G11">
        <v>3.1428571428571428</v>
      </c>
      <c r="H11">
        <v>3.2857142857142856</v>
      </c>
      <c r="O11" t="s">
        <v>138</v>
      </c>
      <c r="R11" t="s">
        <v>62</v>
      </c>
      <c r="U11" t="s">
        <v>157</v>
      </c>
    </row>
    <row r="12" spans="1:22">
      <c r="A12" t="s">
        <v>120</v>
      </c>
      <c r="C12">
        <v>3.25</v>
      </c>
      <c r="D12">
        <v>2.95</v>
      </c>
      <c r="E12">
        <v>3.05</v>
      </c>
      <c r="F12">
        <v>3.1</v>
      </c>
      <c r="G12">
        <v>2.9</v>
      </c>
      <c r="H12">
        <v>3.0499999999999994</v>
      </c>
      <c r="O12" t="s">
        <v>230</v>
      </c>
      <c r="R12" t="s">
        <v>206</v>
      </c>
      <c r="U12" t="s">
        <v>152</v>
      </c>
    </row>
    <row r="13" spans="1:22">
      <c r="A13" t="s">
        <v>4445</v>
      </c>
      <c r="C13">
        <v>3.1333333333333333</v>
      </c>
      <c r="D13">
        <v>2.8</v>
      </c>
      <c r="E13">
        <v>2.8666666666666667</v>
      </c>
      <c r="F13">
        <v>2.7333333333333334</v>
      </c>
      <c r="G13">
        <v>3.1333333333333333</v>
      </c>
      <c r="H13">
        <v>2.9333333333333331</v>
      </c>
      <c r="O13" t="s">
        <v>351</v>
      </c>
      <c r="R13" t="s">
        <v>261</v>
      </c>
      <c r="U13" t="s">
        <v>120</v>
      </c>
    </row>
    <row r="14" spans="1:22">
      <c r="A14" t="s">
        <v>4446</v>
      </c>
      <c r="C14">
        <v>3</v>
      </c>
      <c r="D14">
        <v>3</v>
      </c>
      <c r="E14">
        <v>3</v>
      </c>
      <c r="F14">
        <v>3</v>
      </c>
      <c r="G14">
        <v>3</v>
      </c>
      <c r="H14">
        <v>3.0000000000000004</v>
      </c>
      <c r="R14" t="s">
        <v>99</v>
      </c>
    </row>
    <row r="15" spans="1:22">
      <c r="R15" t="s">
        <v>335</v>
      </c>
    </row>
    <row r="16" spans="1:22">
      <c r="R16" t="s">
        <v>271</v>
      </c>
    </row>
    <row r="17" spans="18:18">
      <c r="R17" t="s">
        <v>51</v>
      </c>
    </row>
    <row r="18" spans="18:18">
      <c r="R18" t="s">
        <v>258</v>
      </c>
    </row>
    <row r="19" spans="18:18">
      <c r="R19" t="s">
        <v>196</v>
      </c>
    </row>
    <row r="20" spans="18:18">
      <c r="R20" t="s">
        <v>248</v>
      </c>
    </row>
    <row r="21" spans="18:18">
      <c r="R21" t="s">
        <v>329</v>
      </c>
    </row>
    <row r="22" spans="18:18">
      <c r="R22" t="s">
        <v>55</v>
      </c>
    </row>
  </sheetData>
  <conditionalFormatting sqref="C1:H1 C29:H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D4C9-51C8-4B25-BA86-6358A3364A8F}">
  <sheetPr codeName="Sheet12"/>
  <dimension ref="A1:N36"/>
  <sheetViews>
    <sheetView topLeftCell="G1" workbookViewId="0">
      <selection activeCell="E14" sqref="E14"/>
    </sheetView>
  </sheetViews>
  <sheetFormatPr defaultRowHeight="15"/>
  <cols>
    <col min="1" max="1" width="13.42578125" style="59" bestFit="1" customWidth="1"/>
    <col min="2" max="7" width="16.140625" style="3" bestFit="1" customWidth="1"/>
    <col min="8" max="8" width="11.28515625" style="3" bestFit="1" customWidth="1"/>
    <col min="9" max="9" width="11.7109375" customWidth="1"/>
    <col min="10" max="10" width="17.7109375" bestFit="1" customWidth="1"/>
    <col min="11" max="11" width="20.85546875" bestFit="1" customWidth="1"/>
    <col min="12" max="12" width="17.7109375" bestFit="1" customWidth="1"/>
    <col min="13" max="13" width="20.85546875" bestFit="1" customWidth="1"/>
    <col min="14" max="14" width="17.7109375" bestFit="1" customWidth="1"/>
    <col min="15" max="15" width="26.140625" bestFit="1" customWidth="1"/>
    <col min="16" max="16" width="22.85546875" bestFit="1" customWidth="1"/>
    <col min="17" max="17" width="11.85546875" bestFit="1" customWidth="1"/>
    <col min="18" max="18" width="16.42578125" bestFit="1" customWidth="1"/>
  </cols>
  <sheetData>
    <row r="1" spans="1:14">
      <c r="A1"/>
      <c r="B1"/>
      <c r="C1"/>
      <c r="D1"/>
      <c r="E1"/>
      <c r="F1"/>
      <c r="G1"/>
      <c r="H1"/>
      <c r="I1" s="355" t="s">
        <v>4447</v>
      </c>
      <c r="J1" s="356"/>
      <c r="K1" s="356"/>
      <c r="L1" s="356"/>
      <c r="M1" s="356"/>
      <c r="N1" s="356"/>
    </row>
    <row r="2" spans="1:14">
      <c r="A2"/>
      <c r="B2"/>
      <c r="C2"/>
      <c r="D2"/>
      <c r="E2"/>
      <c r="F2"/>
      <c r="G2"/>
      <c r="H2"/>
      <c r="I2" s="98"/>
      <c r="J2" s="98" t="s">
        <v>37</v>
      </c>
      <c r="K2" s="98" t="s">
        <v>41</v>
      </c>
      <c r="L2" s="98" t="s">
        <v>38</v>
      </c>
      <c r="M2" s="98" t="s">
        <v>39</v>
      </c>
      <c r="N2" s="98" t="s">
        <v>40</v>
      </c>
    </row>
    <row r="3" spans="1:14" ht="45">
      <c r="A3" s="116" t="s">
        <v>4448</v>
      </c>
      <c r="B3" s="111" t="s">
        <v>32</v>
      </c>
      <c r="C3" s="112"/>
      <c r="D3" s="113"/>
      <c r="E3" s="113"/>
      <c r="F3" s="113"/>
      <c r="G3" s="113"/>
      <c r="H3" s="114"/>
      <c r="I3" s="99" t="str">
        <f>A3</f>
        <v>Sum of Average Score</v>
      </c>
      <c r="J3" t="e">
        <f>AVERAGE(B$3:B3)</f>
        <v>#DIV/0!</v>
      </c>
      <c r="K3" t="e">
        <f>AVERAGE(C$3:C3)</f>
        <v>#DIV/0!</v>
      </c>
      <c r="L3" t="e">
        <f>AVERAGE(D$3:D3)</f>
        <v>#DIV/0!</v>
      </c>
      <c r="M3" t="e">
        <f>AVERAGE(E$3:E3)</f>
        <v>#DIV/0!</v>
      </c>
      <c r="N3" t="e">
        <f>AVERAGE(F$3:F3)</f>
        <v>#DIV/0!</v>
      </c>
    </row>
    <row r="4" spans="1:14">
      <c r="A4" s="104" t="s">
        <v>4449</v>
      </c>
      <c r="B4" s="112" t="s">
        <v>37</v>
      </c>
      <c r="C4" s="113" t="s">
        <v>41</v>
      </c>
      <c r="D4" s="113" t="s">
        <v>38</v>
      </c>
      <c r="E4" s="113" t="s">
        <v>39</v>
      </c>
      <c r="F4" s="113" t="s">
        <v>40</v>
      </c>
      <c r="G4" s="114" t="s">
        <v>4445</v>
      </c>
      <c r="H4" s="115" t="s">
        <v>4446</v>
      </c>
      <c r="I4" s="99" t="str">
        <f t="shared" ref="I4:I22" si="0">A4</f>
        <v>Date (copy)</v>
      </c>
      <c r="J4" t="e">
        <f>AVERAGE(B$3:B4)</f>
        <v>#DIV/0!</v>
      </c>
      <c r="K4" t="e">
        <f>AVERAGE(C$3:C4)</f>
        <v>#DIV/0!</v>
      </c>
      <c r="L4" t="e">
        <f>AVERAGE(D$3:D4)</f>
        <v>#DIV/0!</v>
      </c>
      <c r="M4" t="e">
        <f>AVERAGE(E$3:E4)</f>
        <v>#DIV/0!</v>
      </c>
      <c r="N4" t="e">
        <f>AVERAGE(F$3:F4)</f>
        <v>#DIV/0!</v>
      </c>
    </row>
    <row r="5" spans="1:14">
      <c r="A5" s="216">
        <v>45455</v>
      </c>
      <c r="B5" s="106">
        <v>2.8</v>
      </c>
      <c r="C5" s="107">
        <v>4</v>
      </c>
      <c r="D5" s="107">
        <v>2.2000000000000002</v>
      </c>
      <c r="E5" s="107">
        <v>3.2</v>
      </c>
      <c r="F5" s="107">
        <v>2.8</v>
      </c>
      <c r="G5" s="107"/>
      <c r="H5" s="108">
        <v>15</v>
      </c>
      <c r="I5" s="99">
        <f t="shared" si="0"/>
        <v>45455</v>
      </c>
      <c r="J5">
        <f>AVERAGE(B$3:B5)</f>
        <v>2.8</v>
      </c>
      <c r="K5">
        <f>AVERAGE(C$3:C5)</f>
        <v>4</v>
      </c>
      <c r="L5">
        <f>AVERAGE(D$3:D5)</f>
        <v>2.2000000000000002</v>
      </c>
      <c r="M5">
        <f>AVERAGE(E$3:E5)</f>
        <v>3.2</v>
      </c>
      <c r="N5">
        <f>AVERAGE(F$3:F5)</f>
        <v>2.8</v>
      </c>
    </row>
    <row r="6" spans="1:14">
      <c r="A6" s="216">
        <v>45456</v>
      </c>
      <c r="B6" s="109">
        <v>2.2000000000000002</v>
      </c>
      <c r="C6" s="3">
        <v>3.4</v>
      </c>
      <c r="D6" s="3">
        <v>4.5999999999999996</v>
      </c>
      <c r="E6" s="3">
        <v>2.2000000000000002</v>
      </c>
      <c r="F6" s="3">
        <v>2.6</v>
      </c>
      <c r="H6" s="100">
        <v>14.999999999999998</v>
      </c>
      <c r="I6" s="99">
        <f t="shared" si="0"/>
        <v>45456</v>
      </c>
      <c r="J6">
        <f>AVERAGE(B$3:B6)</f>
        <v>2.5</v>
      </c>
      <c r="K6">
        <f>AVERAGE(C$3:C6)</f>
        <v>3.7</v>
      </c>
      <c r="L6">
        <f>AVERAGE(D$3:D6)</f>
        <v>3.4</v>
      </c>
      <c r="M6">
        <f>AVERAGE(E$3:E6)</f>
        <v>2.7</v>
      </c>
      <c r="N6">
        <f>AVERAGE(F$3:F6)</f>
        <v>2.7</v>
      </c>
    </row>
    <row r="7" spans="1:14">
      <c r="A7" s="216">
        <v>45460</v>
      </c>
      <c r="B7" s="109">
        <v>4</v>
      </c>
      <c r="C7" s="3">
        <v>2.8</v>
      </c>
      <c r="D7" s="3">
        <v>2.2000000000000002</v>
      </c>
      <c r="E7" s="3">
        <v>3.4</v>
      </c>
      <c r="F7" s="3">
        <v>2.6</v>
      </c>
      <c r="H7" s="100">
        <v>15</v>
      </c>
      <c r="I7" s="99">
        <f t="shared" si="0"/>
        <v>45460</v>
      </c>
      <c r="J7">
        <f>AVERAGE(B$3:B7)</f>
        <v>3</v>
      </c>
      <c r="K7">
        <f>AVERAGE(C$3:C7)</f>
        <v>3.4</v>
      </c>
      <c r="L7">
        <f>AVERAGE(D$3:D7)</f>
        <v>3</v>
      </c>
      <c r="M7">
        <f>AVERAGE(E$3:E7)</f>
        <v>2.9333333333333336</v>
      </c>
      <c r="N7">
        <f>AVERAGE(F$3:F7)</f>
        <v>2.6666666666666665</v>
      </c>
    </row>
    <row r="8" spans="1:14">
      <c r="A8" s="216">
        <v>45461</v>
      </c>
      <c r="B8" s="109">
        <v>3.4</v>
      </c>
      <c r="C8" s="3">
        <v>4.5999999999999996</v>
      </c>
      <c r="D8" s="3">
        <v>3.2</v>
      </c>
      <c r="E8" s="3">
        <v>1.8</v>
      </c>
      <c r="F8" s="3">
        <v>2</v>
      </c>
      <c r="H8" s="100">
        <v>15</v>
      </c>
      <c r="I8" s="99">
        <f t="shared" si="0"/>
        <v>45461</v>
      </c>
      <c r="J8">
        <f>AVERAGE(B$3:B8)</f>
        <v>3.1</v>
      </c>
      <c r="K8">
        <f>AVERAGE(C$3:C8)</f>
        <v>3.6999999999999997</v>
      </c>
      <c r="L8">
        <f>AVERAGE(D$3:D8)</f>
        <v>3.05</v>
      </c>
      <c r="M8">
        <f>AVERAGE(E$3:E8)</f>
        <v>2.6500000000000004</v>
      </c>
      <c r="N8">
        <f>AVERAGE(F$3:F8)</f>
        <v>2.5</v>
      </c>
    </row>
    <row r="9" spans="1:14">
      <c r="A9" s="216">
        <v>45462</v>
      </c>
      <c r="B9" s="109">
        <v>3</v>
      </c>
      <c r="C9" s="3">
        <v>1.4</v>
      </c>
      <c r="D9" s="3">
        <v>4.2</v>
      </c>
      <c r="E9" s="3">
        <v>4</v>
      </c>
      <c r="F9" s="3">
        <v>2.4</v>
      </c>
      <c r="H9" s="100">
        <v>15.000000000000002</v>
      </c>
      <c r="I9" s="99">
        <f t="shared" si="0"/>
        <v>45462</v>
      </c>
      <c r="J9">
        <f>AVERAGE(B$3:B9)</f>
        <v>3.08</v>
      </c>
      <c r="K9">
        <f>AVERAGE(C$3:C9)</f>
        <v>3.2399999999999998</v>
      </c>
      <c r="L9">
        <f>AVERAGE(D$3:D9)</f>
        <v>3.28</v>
      </c>
      <c r="M9">
        <f>AVERAGE(E$3:E9)</f>
        <v>2.9200000000000004</v>
      </c>
      <c r="N9">
        <f>AVERAGE(F$3:F9)</f>
        <v>2.48</v>
      </c>
    </row>
    <row r="10" spans="1:14">
      <c r="A10" s="216">
        <v>45463</v>
      </c>
      <c r="B10" s="109">
        <v>1.8</v>
      </c>
      <c r="C10" s="3">
        <v>3.6</v>
      </c>
      <c r="D10" s="3">
        <v>3.4</v>
      </c>
      <c r="E10" s="3">
        <v>3.8</v>
      </c>
      <c r="F10" s="3">
        <v>2.4</v>
      </c>
      <c r="H10" s="100">
        <v>15.000000000000002</v>
      </c>
      <c r="I10" s="99">
        <f t="shared" si="0"/>
        <v>45463</v>
      </c>
      <c r="J10">
        <f>AVERAGE(B$3:B10)</f>
        <v>2.8666666666666667</v>
      </c>
      <c r="K10">
        <f>AVERAGE(C$3:C10)</f>
        <v>3.3000000000000003</v>
      </c>
      <c r="L10">
        <f>AVERAGE(D$3:D10)</f>
        <v>3.2999999999999994</v>
      </c>
      <c r="M10">
        <f>AVERAGE(E$3:E10)</f>
        <v>3.0666666666666669</v>
      </c>
      <c r="N10">
        <f>AVERAGE(F$3:F10)</f>
        <v>2.4666666666666668</v>
      </c>
    </row>
    <row r="11" spans="1:14">
      <c r="A11" s="216">
        <v>45467</v>
      </c>
      <c r="B11" s="109">
        <v>3.8</v>
      </c>
      <c r="C11" s="3">
        <v>3.4</v>
      </c>
      <c r="D11" s="3">
        <v>2.6</v>
      </c>
      <c r="E11" s="3">
        <v>2.2000000000000002</v>
      </c>
      <c r="F11" s="3">
        <v>3</v>
      </c>
      <c r="H11" s="100">
        <v>15</v>
      </c>
      <c r="I11" s="99">
        <f t="shared" si="0"/>
        <v>45467</v>
      </c>
      <c r="J11">
        <f>AVERAGE(B$3:B11)</f>
        <v>3</v>
      </c>
      <c r="K11">
        <f>AVERAGE(C$3:C11)</f>
        <v>3.3142857142857141</v>
      </c>
      <c r="L11">
        <f>AVERAGE(D$3:D11)</f>
        <v>3.1999999999999997</v>
      </c>
      <c r="M11">
        <f>AVERAGE(E$3:E11)</f>
        <v>2.9428571428571431</v>
      </c>
      <c r="N11">
        <f>AVERAGE(F$3:F11)</f>
        <v>2.5428571428571431</v>
      </c>
    </row>
    <row r="12" spans="1:14">
      <c r="A12" s="216">
        <v>45468</v>
      </c>
      <c r="B12" s="109">
        <v>3.4</v>
      </c>
      <c r="C12" s="3">
        <v>2.6</v>
      </c>
      <c r="D12" s="3">
        <v>3</v>
      </c>
      <c r="E12" s="3">
        <v>3</v>
      </c>
      <c r="F12" s="3">
        <v>3</v>
      </c>
      <c r="H12" s="100">
        <v>15</v>
      </c>
      <c r="I12" s="99">
        <f t="shared" si="0"/>
        <v>45468</v>
      </c>
      <c r="J12">
        <f>AVERAGE(B$3:B12)</f>
        <v>3.05</v>
      </c>
      <c r="K12">
        <f>AVERAGE(C$3:C12)</f>
        <v>3.2250000000000001</v>
      </c>
      <c r="L12">
        <f>AVERAGE(D$3:D12)</f>
        <v>3.1749999999999998</v>
      </c>
      <c r="M12">
        <f>AVERAGE(E$3:E12)</f>
        <v>2.95</v>
      </c>
      <c r="N12">
        <f>AVERAGE(F$3:F12)</f>
        <v>2.6</v>
      </c>
    </row>
    <row r="13" spans="1:14">
      <c r="A13" s="216">
        <v>45469</v>
      </c>
      <c r="B13" s="109">
        <v>3.4</v>
      </c>
      <c r="C13" s="3">
        <v>2.6</v>
      </c>
      <c r="D13" s="3">
        <v>4.8</v>
      </c>
      <c r="E13" s="3">
        <v>2</v>
      </c>
      <c r="F13" s="3">
        <v>2.2000000000000002</v>
      </c>
      <c r="H13" s="100">
        <v>15</v>
      </c>
      <c r="I13" s="99">
        <f t="shared" si="0"/>
        <v>45469</v>
      </c>
      <c r="J13">
        <f>AVERAGE(B$3:B13)</f>
        <v>3.0888888888888886</v>
      </c>
      <c r="K13">
        <f>AVERAGE(C$3:C13)</f>
        <v>3.1555555555555559</v>
      </c>
      <c r="L13">
        <f>AVERAGE(D$3:D13)</f>
        <v>3.3555555555555556</v>
      </c>
      <c r="M13">
        <f>AVERAGE(E$3:E13)</f>
        <v>2.8444444444444446</v>
      </c>
      <c r="N13">
        <f>AVERAGE(F$3:F13)</f>
        <v>2.5555555555555554</v>
      </c>
    </row>
    <row r="14" spans="1:14">
      <c r="A14" s="216">
        <v>45470</v>
      </c>
      <c r="B14" s="109">
        <v>2.8</v>
      </c>
      <c r="C14" s="3">
        <v>2.8</v>
      </c>
      <c r="D14" s="3">
        <v>2.6</v>
      </c>
      <c r="E14" s="3">
        <v>4.2</v>
      </c>
      <c r="F14" s="3">
        <v>2.6</v>
      </c>
      <c r="H14" s="100">
        <v>14.999999999999998</v>
      </c>
      <c r="I14" s="99">
        <f t="shared" si="0"/>
        <v>45470</v>
      </c>
      <c r="J14">
        <f>AVERAGE(B$3:B14)</f>
        <v>3.0599999999999996</v>
      </c>
      <c r="K14">
        <f>AVERAGE(C$3:C14)</f>
        <v>3.12</v>
      </c>
      <c r="L14">
        <f>AVERAGE(D$3:D14)</f>
        <v>3.28</v>
      </c>
      <c r="M14">
        <f>AVERAGE(E$3:E14)</f>
        <v>2.98</v>
      </c>
      <c r="N14">
        <f>AVERAGE(F$3:F14)</f>
        <v>2.56</v>
      </c>
    </row>
    <row r="15" spans="1:14">
      <c r="A15" s="216">
        <v>45474</v>
      </c>
      <c r="B15" s="109">
        <v>2.6</v>
      </c>
      <c r="C15" s="3">
        <v>2.8</v>
      </c>
      <c r="D15" s="3">
        <v>3.2</v>
      </c>
      <c r="E15" s="3">
        <v>3.6</v>
      </c>
      <c r="F15" s="3">
        <v>2.8</v>
      </c>
      <c r="H15" s="100">
        <v>15</v>
      </c>
      <c r="I15" s="99">
        <f t="shared" si="0"/>
        <v>45474</v>
      </c>
      <c r="J15">
        <f>AVERAGE(B$3:B15)</f>
        <v>3.0181818181818176</v>
      </c>
      <c r="K15">
        <f>AVERAGE(C$3:C15)</f>
        <v>3.0909090909090908</v>
      </c>
      <c r="L15">
        <f>AVERAGE(D$3:D15)</f>
        <v>3.2727272727272729</v>
      </c>
      <c r="M15">
        <f>AVERAGE(E$3:E15)</f>
        <v>3.0363636363636362</v>
      </c>
      <c r="N15">
        <f>AVERAGE(F$3:F15)</f>
        <v>2.581818181818182</v>
      </c>
    </row>
    <row r="16" spans="1:14">
      <c r="A16" s="216">
        <v>45475</v>
      </c>
      <c r="B16" s="109">
        <v>3.8</v>
      </c>
      <c r="C16" s="3">
        <v>3.2</v>
      </c>
      <c r="D16" s="3">
        <v>2.2000000000000002</v>
      </c>
      <c r="E16" s="3">
        <v>2.6</v>
      </c>
      <c r="F16" s="3">
        <v>3.2</v>
      </c>
      <c r="H16" s="100">
        <v>15</v>
      </c>
      <c r="I16" s="99">
        <f t="shared" si="0"/>
        <v>45475</v>
      </c>
      <c r="J16">
        <f>AVERAGE(B$3:B16)</f>
        <v>3.0833333333333326</v>
      </c>
      <c r="K16">
        <f>AVERAGE(C$3:C16)</f>
        <v>3.1</v>
      </c>
      <c r="L16">
        <f>AVERAGE(D$3:D16)</f>
        <v>3.1833333333333336</v>
      </c>
      <c r="M16">
        <f>AVERAGE(E$3:E16)</f>
        <v>3</v>
      </c>
      <c r="N16">
        <f>AVERAGE(F$3:F16)</f>
        <v>2.6333333333333333</v>
      </c>
    </row>
    <row r="17" spans="1:14">
      <c r="A17" s="216">
        <v>45476</v>
      </c>
      <c r="B17" s="109">
        <v>1.4</v>
      </c>
      <c r="C17" s="3">
        <v>2.8</v>
      </c>
      <c r="D17" s="3">
        <v>4.4000000000000004</v>
      </c>
      <c r="E17" s="3">
        <v>4.2</v>
      </c>
      <c r="F17" s="3">
        <v>2.2000000000000002</v>
      </c>
      <c r="H17" s="100">
        <v>15</v>
      </c>
      <c r="I17" s="99">
        <f t="shared" si="0"/>
        <v>45476</v>
      </c>
      <c r="J17">
        <f>AVERAGE(B$3:B17)</f>
        <v>2.9538461538461531</v>
      </c>
      <c r="K17">
        <f>AVERAGE(C$3:C17)</f>
        <v>3.0769230769230771</v>
      </c>
      <c r="L17">
        <f>AVERAGE(D$3:D17)</f>
        <v>3.2769230769230768</v>
      </c>
      <c r="M17">
        <f>AVERAGE(E$3:E17)</f>
        <v>3.0923076923076924</v>
      </c>
      <c r="N17">
        <f>AVERAGE(F$3:F17)</f>
        <v>2.6000000000000005</v>
      </c>
    </row>
    <row r="18" spans="1:14">
      <c r="A18" s="216">
        <v>45477</v>
      </c>
      <c r="B18" s="109">
        <v>3.8</v>
      </c>
      <c r="C18" s="3">
        <v>2.8</v>
      </c>
      <c r="D18" s="3">
        <v>3.6</v>
      </c>
      <c r="E18" s="3">
        <v>2.4</v>
      </c>
      <c r="F18" s="3">
        <v>2.4</v>
      </c>
      <c r="H18" s="100">
        <v>15</v>
      </c>
      <c r="I18" s="99">
        <f t="shared" si="0"/>
        <v>45477</v>
      </c>
      <c r="J18">
        <f>AVERAGE(B$3:B18)</f>
        <v>3.0142857142857133</v>
      </c>
      <c r="K18">
        <f>AVERAGE(C$3:C18)</f>
        <v>3.0571428571428569</v>
      </c>
      <c r="L18">
        <f>AVERAGE(D$3:D18)</f>
        <v>3.3000000000000003</v>
      </c>
      <c r="M18">
        <f>AVERAGE(E$3:E18)</f>
        <v>3.0428571428571431</v>
      </c>
      <c r="N18">
        <f>AVERAGE(F$3:F18)</f>
        <v>2.5857142857142859</v>
      </c>
    </row>
    <row r="19" spans="1:14">
      <c r="A19" s="216">
        <v>45481</v>
      </c>
      <c r="B19" s="109">
        <v>2.6</v>
      </c>
      <c r="C19" s="3">
        <v>2</v>
      </c>
      <c r="D19" s="3">
        <v>4</v>
      </c>
      <c r="E19" s="3">
        <v>2.6</v>
      </c>
      <c r="F19" s="3">
        <v>3.8</v>
      </c>
      <c r="H19" s="100">
        <v>15</v>
      </c>
      <c r="I19" s="99">
        <f t="shared" si="0"/>
        <v>45481</v>
      </c>
      <c r="J19">
        <f>AVERAGE(B$3:B19)</f>
        <v>2.9866666666666659</v>
      </c>
      <c r="K19">
        <f>AVERAGE(C$3:C19)</f>
        <v>2.9866666666666664</v>
      </c>
      <c r="L19">
        <f>AVERAGE(D$3:D19)</f>
        <v>3.3466666666666667</v>
      </c>
      <c r="M19">
        <f>AVERAGE(E$3:E19)</f>
        <v>3.0133333333333336</v>
      </c>
      <c r="N19">
        <f>AVERAGE(F$3:F19)</f>
        <v>2.6666666666666665</v>
      </c>
    </row>
    <row r="20" spans="1:14">
      <c r="A20" s="216">
        <v>45482</v>
      </c>
      <c r="B20" s="109">
        <v>3.8</v>
      </c>
      <c r="C20" s="3">
        <v>2.8</v>
      </c>
      <c r="D20" s="3">
        <v>2.8</v>
      </c>
      <c r="E20" s="3">
        <v>2.4</v>
      </c>
      <c r="F20" s="3">
        <v>3.2</v>
      </c>
      <c r="H20" s="100">
        <v>15</v>
      </c>
      <c r="I20" s="99">
        <f t="shared" si="0"/>
        <v>45482</v>
      </c>
      <c r="J20">
        <f>AVERAGE(B$3:B20)</f>
        <v>3.0374999999999992</v>
      </c>
      <c r="K20">
        <f>AVERAGE(C$3:C20)</f>
        <v>2.9749999999999996</v>
      </c>
      <c r="L20">
        <f>AVERAGE(D$3:D20)</f>
        <v>3.3125</v>
      </c>
      <c r="M20">
        <f>AVERAGE(E$3:E20)</f>
        <v>2.9750000000000001</v>
      </c>
      <c r="N20">
        <f>AVERAGE(F$3:F20)</f>
        <v>2.7</v>
      </c>
    </row>
    <row r="21" spans="1:14">
      <c r="A21" s="216">
        <v>45483</v>
      </c>
      <c r="B21" s="109">
        <v>3.4</v>
      </c>
      <c r="C21" s="3">
        <v>1.8</v>
      </c>
      <c r="D21" s="3">
        <v>2.4</v>
      </c>
      <c r="E21" s="3">
        <v>3.8</v>
      </c>
      <c r="F21" s="3">
        <v>3.6</v>
      </c>
      <c r="H21" s="100">
        <v>14.999999999999998</v>
      </c>
      <c r="I21" s="99">
        <f t="shared" si="0"/>
        <v>45483</v>
      </c>
      <c r="J21">
        <f>AVERAGE(B$3:B21)</f>
        <v>3.0588235294117641</v>
      </c>
      <c r="K21">
        <f>AVERAGE(C$3:C21)</f>
        <v>2.9058823529411759</v>
      </c>
      <c r="L21">
        <f>AVERAGE(D$3:D21)</f>
        <v>3.2588235294117647</v>
      </c>
      <c r="M21">
        <f>AVERAGE(E$3:E21)</f>
        <v>3.0235294117647058</v>
      </c>
      <c r="N21">
        <f>AVERAGE(F$3:F21)</f>
        <v>2.7529411764705887</v>
      </c>
    </row>
    <row r="22" spans="1:14">
      <c r="A22" s="216">
        <v>45484</v>
      </c>
      <c r="B22" s="109">
        <v>3</v>
      </c>
      <c r="C22" s="3">
        <v>3.4</v>
      </c>
      <c r="D22" s="3">
        <v>3</v>
      </c>
      <c r="E22" s="3">
        <v>3.4</v>
      </c>
      <c r="F22" s="3">
        <v>2.2000000000000002</v>
      </c>
      <c r="H22" s="100">
        <v>15</v>
      </c>
      <c r="I22" s="99">
        <f t="shared" si="0"/>
        <v>45484</v>
      </c>
      <c r="J22">
        <f>AVERAGE(B$3:B22)</f>
        <v>3.0555555555555549</v>
      </c>
      <c r="K22">
        <f>AVERAGE(C$3:C22)</f>
        <v>2.9333333333333327</v>
      </c>
      <c r="L22">
        <f>AVERAGE(D$3:D22)</f>
        <v>3.2444444444444445</v>
      </c>
      <c r="M22">
        <f>AVERAGE(E$3:E22)</f>
        <v>3.0444444444444443</v>
      </c>
      <c r="N22">
        <f>AVERAGE(F$3:F22)</f>
        <v>2.7222222222222228</v>
      </c>
    </row>
    <row r="23" spans="1:14">
      <c r="A23" s="216">
        <v>45488</v>
      </c>
      <c r="B23" s="109">
        <v>2.6</v>
      </c>
      <c r="C23" s="3">
        <v>1.8</v>
      </c>
      <c r="D23" s="3">
        <v>3.6</v>
      </c>
      <c r="E23" s="3">
        <v>3.2</v>
      </c>
      <c r="F23" s="3">
        <v>3.8</v>
      </c>
      <c r="H23" s="100">
        <v>15</v>
      </c>
      <c r="I23" s="99">
        <f t="shared" ref="I23:I30" si="1">A23</f>
        <v>45488</v>
      </c>
      <c r="J23">
        <f>AVERAGE(B$3:B23)</f>
        <v>3.0315789473684203</v>
      </c>
      <c r="K23">
        <f>AVERAGE(C$3:C23)</f>
        <v>2.873684210526315</v>
      </c>
      <c r="L23">
        <f>AVERAGE(D$3:D23)</f>
        <v>3.263157894736842</v>
      </c>
      <c r="M23">
        <f>AVERAGE(E$3:E23)</f>
        <v>3.0526315789473686</v>
      </c>
      <c r="N23">
        <f>AVERAGE(F$3:F23)</f>
        <v>2.7789473684210528</v>
      </c>
    </row>
    <row r="24" spans="1:14">
      <c r="A24" s="289" t="s">
        <v>4445</v>
      </c>
      <c r="B24" s="109"/>
      <c r="H24" s="100"/>
      <c r="I24" s="99" t="str">
        <f t="shared" si="1"/>
        <v>(blank)</v>
      </c>
      <c r="J24">
        <f>AVERAGE(B$3:B24)</f>
        <v>3.0315789473684203</v>
      </c>
      <c r="K24">
        <f>AVERAGE(C$3:C24)</f>
        <v>2.873684210526315</v>
      </c>
      <c r="L24">
        <f>AVERAGE(D$3:D24)</f>
        <v>3.263157894736842</v>
      </c>
      <c r="M24">
        <f>AVERAGE(E$3:E24)</f>
        <v>3.0526315789473686</v>
      </c>
      <c r="N24">
        <f>AVERAGE(F$3:F24)</f>
        <v>2.7789473684210528</v>
      </c>
    </row>
    <row r="25" spans="1:14">
      <c r="A25" s="216">
        <v>45489</v>
      </c>
      <c r="B25" s="109">
        <v>3.2</v>
      </c>
      <c r="C25" s="3">
        <v>2.8</v>
      </c>
      <c r="D25" s="3">
        <v>3.4</v>
      </c>
      <c r="E25" s="3">
        <v>1.4</v>
      </c>
      <c r="F25" s="3">
        <v>4.2</v>
      </c>
      <c r="H25" s="100">
        <v>15</v>
      </c>
      <c r="I25" s="99">
        <f t="shared" si="1"/>
        <v>45489</v>
      </c>
      <c r="J25">
        <f>AVERAGE(B$3:B25)</f>
        <v>3.0399999999999996</v>
      </c>
      <c r="K25">
        <f>AVERAGE(C$3:C25)</f>
        <v>2.8699999999999992</v>
      </c>
      <c r="L25">
        <f>AVERAGE(D$3:D25)</f>
        <v>3.2700000000000005</v>
      </c>
      <c r="M25">
        <f>AVERAGE(E$3:E25)</f>
        <v>2.9699999999999998</v>
      </c>
      <c r="N25">
        <f>AVERAGE(F$3:F25)</f>
        <v>2.8500000000000005</v>
      </c>
    </row>
    <row r="26" spans="1:14">
      <c r="A26" s="216">
        <v>45490</v>
      </c>
      <c r="B26" s="109">
        <v>3</v>
      </c>
      <c r="C26" s="3">
        <v>3.6</v>
      </c>
      <c r="D26" s="3">
        <v>2.6</v>
      </c>
      <c r="E26" s="3">
        <v>2.8</v>
      </c>
      <c r="F26" s="3">
        <v>3</v>
      </c>
      <c r="H26" s="100">
        <v>15</v>
      </c>
      <c r="I26" s="99">
        <f t="shared" si="1"/>
        <v>45490</v>
      </c>
      <c r="J26">
        <f>AVERAGE(B$3:B26)</f>
        <v>3.0380952380952375</v>
      </c>
      <c r="K26">
        <f>AVERAGE(C$3:C26)</f>
        <v>2.9047619047619042</v>
      </c>
      <c r="L26">
        <f>AVERAGE(D$3:D26)</f>
        <v>3.2380952380952381</v>
      </c>
      <c r="M26">
        <f>AVERAGE(E$3:E26)</f>
        <v>2.9619047619047616</v>
      </c>
      <c r="N26">
        <f>AVERAGE(F$3:F26)</f>
        <v>2.8571428571428577</v>
      </c>
    </row>
    <row r="27" spans="1:14">
      <c r="A27" s="216">
        <v>45491</v>
      </c>
      <c r="B27" s="109">
        <v>4.2</v>
      </c>
      <c r="C27" s="3">
        <v>3.8</v>
      </c>
      <c r="D27" s="3">
        <v>2.2000000000000002</v>
      </c>
      <c r="E27" s="3">
        <v>2.4</v>
      </c>
      <c r="F27" s="3">
        <v>2.4</v>
      </c>
      <c r="H27" s="100">
        <v>15</v>
      </c>
      <c r="I27" s="99">
        <f t="shared" si="1"/>
        <v>45491</v>
      </c>
      <c r="J27">
        <f>AVERAGE(B$3:B27)</f>
        <v>3.0909090909090904</v>
      </c>
      <c r="K27">
        <f>AVERAGE(C$3:C27)</f>
        <v>2.9454545454545449</v>
      </c>
      <c r="L27">
        <f>AVERAGE(D$3:D27)</f>
        <v>3.1909090909090909</v>
      </c>
      <c r="M27">
        <f>AVERAGE(E$3:E27)</f>
        <v>2.9363636363636361</v>
      </c>
      <c r="N27">
        <f>AVERAGE(F$3:F27)</f>
        <v>2.8363636363636364</v>
      </c>
    </row>
    <row r="28" spans="1:14">
      <c r="A28" s="216">
        <v>45495</v>
      </c>
      <c r="B28" s="109">
        <v>3.2</v>
      </c>
      <c r="C28" s="3">
        <v>2.8</v>
      </c>
      <c r="D28" s="3">
        <v>2.6</v>
      </c>
      <c r="E28" s="3">
        <v>2.4</v>
      </c>
      <c r="F28" s="3">
        <v>4</v>
      </c>
      <c r="H28" s="100">
        <v>15</v>
      </c>
      <c r="I28" s="99">
        <f t="shared" si="1"/>
        <v>45495</v>
      </c>
      <c r="J28">
        <f>AVERAGE(B$3:B28)</f>
        <v>3.0956521739130429</v>
      </c>
      <c r="K28">
        <f>AVERAGE(C$3:C28)</f>
        <v>2.9391304347826077</v>
      </c>
      <c r="L28">
        <f>AVERAGE(D$3:D28)</f>
        <v>3.1652173913043478</v>
      </c>
      <c r="M28">
        <f>AVERAGE(E$3:E28)</f>
        <v>2.9130434782608696</v>
      </c>
      <c r="N28">
        <f>AVERAGE(F$3:F28)</f>
        <v>2.8869565217391306</v>
      </c>
    </row>
    <row r="29" spans="1:14">
      <c r="A29" s="216">
        <v>45496</v>
      </c>
      <c r="B29" s="109">
        <v>2.6</v>
      </c>
      <c r="C29" s="3">
        <v>2</v>
      </c>
      <c r="D29" s="3">
        <v>2.8</v>
      </c>
      <c r="E29" s="3">
        <v>3.6</v>
      </c>
      <c r="F29" s="3">
        <v>4</v>
      </c>
      <c r="H29" s="100">
        <v>15</v>
      </c>
      <c r="I29" s="99">
        <f t="shared" si="1"/>
        <v>45496</v>
      </c>
      <c r="J29">
        <f>AVERAGE(B$3:B29)</f>
        <v>3.0749999999999993</v>
      </c>
      <c r="K29">
        <f>AVERAGE(C$3:C29)</f>
        <v>2.899999999999999</v>
      </c>
      <c r="L29">
        <f>AVERAGE(D$3:D29)</f>
        <v>3.15</v>
      </c>
      <c r="M29">
        <f>AVERAGE(E$3:E29)</f>
        <v>2.9416666666666664</v>
      </c>
      <c r="N29">
        <f>AVERAGE(F$3:F29)</f>
        <v>2.9333333333333336</v>
      </c>
    </row>
    <row r="30" spans="1:14">
      <c r="A30" s="216">
        <v>45497</v>
      </c>
      <c r="B30" s="109">
        <v>3.2</v>
      </c>
      <c r="C30" s="3">
        <v>3.2</v>
      </c>
      <c r="D30" s="3">
        <v>2.6</v>
      </c>
      <c r="E30" s="3">
        <v>3.6</v>
      </c>
      <c r="F30" s="3">
        <v>2.4</v>
      </c>
      <c r="H30" s="100">
        <v>15</v>
      </c>
      <c r="I30" s="99">
        <f t="shared" si="1"/>
        <v>45497</v>
      </c>
      <c r="J30">
        <f>AVERAGE(B$3:B30)</f>
        <v>3.0799999999999996</v>
      </c>
      <c r="K30">
        <f>AVERAGE(C$3:C30)</f>
        <v>2.9119999999999995</v>
      </c>
      <c r="L30">
        <f>AVERAGE(D$3:D30)</f>
        <v>3.1279999999999997</v>
      </c>
      <c r="M30">
        <f>AVERAGE(E$3:E30)</f>
        <v>2.9679999999999995</v>
      </c>
      <c r="N30">
        <f>AVERAGE(F$3:F30)</f>
        <v>2.9120000000000004</v>
      </c>
    </row>
    <row r="31" spans="1:14">
      <c r="A31" s="216">
        <v>45498</v>
      </c>
      <c r="B31" s="109">
        <v>2.8</v>
      </c>
      <c r="C31" s="3">
        <v>2.2000000000000002</v>
      </c>
      <c r="D31" s="3">
        <v>2.2000000000000002</v>
      </c>
      <c r="E31" s="3">
        <v>3.6</v>
      </c>
      <c r="F31" s="3">
        <v>4.2</v>
      </c>
      <c r="H31" s="100">
        <v>15</v>
      </c>
      <c r="I31" s="99">
        <f>A31</f>
        <v>45498</v>
      </c>
      <c r="J31">
        <f>AVERAGE(B$3:B31)</f>
        <v>3.0692307692307685</v>
      </c>
      <c r="K31">
        <f>AVERAGE(C$3:C31)</f>
        <v>2.8846153846153841</v>
      </c>
      <c r="L31">
        <f>AVERAGE(D$3:D31)</f>
        <v>3.092307692307692</v>
      </c>
      <c r="M31">
        <f>AVERAGE(E$3:E31)</f>
        <v>2.9923076923076914</v>
      </c>
      <c r="N31">
        <f>AVERAGE(F$3:F31)</f>
        <v>2.9615384615384621</v>
      </c>
    </row>
    <row r="32" spans="1:14">
      <c r="A32" s="216">
        <v>45502</v>
      </c>
      <c r="B32" s="109">
        <v>3.8</v>
      </c>
      <c r="C32" s="3">
        <v>3</v>
      </c>
      <c r="D32" s="3">
        <v>3.8</v>
      </c>
      <c r="E32" s="3">
        <v>1.6</v>
      </c>
      <c r="F32" s="3">
        <v>2.8</v>
      </c>
      <c r="H32" s="100">
        <v>15</v>
      </c>
      <c r="I32" s="99"/>
    </row>
    <row r="33" spans="1:8">
      <c r="A33" s="216">
        <v>45503</v>
      </c>
      <c r="B33" s="109">
        <v>3.6</v>
      </c>
      <c r="C33" s="3">
        <v>3.8</v>
      </c>
      <c r="D33" s="3">
        <v>3.6</v>
      </c>
      <c r="E33" s="3">
        <v>1.8</v>
      </c>
      <c r="F33" s="3">
        <v>2.2000000000000002</v>
      </c>
      <c r="H33" s="100">
        <v>15</v>
      </c>
    </row>
    <row r="34" spans="1:8">
      <c r="A34" s="216">
        <v>45504</v>
      </c>
      <c r="B34" s="109">
        <v>2.4</v>
      </c>
      <c r="C34" s="3">
        <v>4</v>
      </c>
      <c r="D34" s="3">
        <v>2.8</v>
      </c>
      <c r="E34" s="3">
        <v>2.6</v>
      </c>
      <c r="F34" s="3">
        <v>3.2</v>
      </c>
      <c r="H34" s="100">
        <v>15</v>
      </c>
    </row>
    <row r="35" spans="1:8">
      <c r="A35" s="216">
        <v>45505</v>
      </c>
      <c r="B35" s="109"/>
      <c r="H35" s="100"/>
    </row>
    <row r="36" spans="1:8">
      <c r="A36" s="105" t="s">
        <v>4446</v>
      </c>
      <c r="B36" s="110">
        <v>89.59999999999998</v>
      </c>
      <c r="C36" s="101">
        <v>85.799999999999983</v>
      </c>
      <c r="D36" s="101">
        <v>90.59999999999998</v>
      </c>
      <c r="E36" s="101">
        <v>83.799999999999969</v>
      </c>
      <c r="F36" s="101">
        <v>85.200000000000017</v>
      </c>
      <c r="G36" s="101"/>
      <c r="H36" s="102">
        <v>435</v>
      </c>
    </row>
  </sheetData>
  <mergeCells count="1">
    <mergeCell ref="I1:N1"/>
  </mergeCell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BE9E-7DB2-4F72-9ACE-172A0D7D4854}">
  <sheetPr codeName="Sheet13"/>
  <dimension ref="A1:S7"/>
  <sheetViews>
    <sheetView topLeftCell="A2" workbookViewId="0">
      <selection activeCell="A4" sqref="A4"/>
    </sheetView>
  </sheetViews>
  <sheetFormatPr defaultRowHeight="15"/>
  <cols>
    <col min="1" max="1" width="31.7109375" bestFit="1" customWidth="1"/>
    <col min="2" max="2" width="10.42578125" style="3" bestFit="1" customWidth="1"/>
    <col min="3" max="3" width="7.7109375" style="3" bestFit="1" customWidth="1"/>
    <col min="4" max="4" width="13.7109375" style="3" bestFit="1" customWidth="1"/>
    <col min="5" max="5" width="14.28515625" style="3" bestFit="1" customWidth="1"/>
    <col min="6" max="6" width="16.140625" style="3" bestFit="1" customWidth="1"/>
    <col min="7" max="7" width="9.140625" style="3"/>
    <col min="10" max="10" width="14.5703125" bestFit="1" customWidth="1"/>
  </cols>
  <sheetData>
    <row r="1" spans="1:19">
      <c r="A1" s="296" t="s">
        <v>36</v>
      </c>
      <c r="B1" s="28" t="str">
        <f>Rankings!$J$1</f>
        <v>alappatjoe</v>
      </c>
      <c r="C1" s="31" t="str">
        <f>Rankings!$K$1</f>
        <v>danram</v>
      </c>
      <c r="D1" s="33" t="str">
        <f>Rankings!$L$1</f>
        <v>loganworsdell</v>
      </c>
      <c r="E1" s="35" t="str">
        <f>Rankings!$M$1</f>
        <v>samuelbattista</v>
      </c>
      <c r="F1" s="37" t="str">
        <f>Rankings!$N$1</f>
        <v>currydestroyer27</v>
      </c>
      <c r="G1" s="126" t="s">
        <v>4450</v>
      </c>
      <c r="J1" s="357" t="str">
        <f>Rankings!$J$1</f>
        <v>alappatjoe</v>
      </c>
      <c r="K1" s="358"/>
      <c r="L1" s="359" t="str">
        <f>Rankings!$K$1</f>
        <v>danram</v>
      </c>
      <c r="M1" s="360"/>
      <c r="N1" s="361" t="str">
        <f>Rankings!$L$1</f>
        <v>loganworsdell</v>
      </c>
      <c r="O1" s="362"/>
      <c r="P1" s="363" t="str">
        <f>Rankings!$M$1</f>
        <v>samuelbattista</v>
      </c>
      <c r="Q1" s="364"/>
      <c r="R1" s="365" t="str">
        <f>Rankings!$N$1</f>
        <v>currydestroyer27</v>
      </c>
      <c r="S1" s="366"/>
    </row>
    <row r="2" spans="1:19" ht="409.5">
      <c r="A2" s="297" t="s">
        <v>4451</v>
      </c>
      <c r="I2" s="296"/>
      <c r="J2" s="296" t="s">
        <v>36</v>
      </c>
      <c r="K2" s="296" t="s">
        <v>4452</v>
      </c>
      <c r="L2" s="296" t="s">
        <v>36</v>
      </c>
      <c r="M2" s="296" t="s">
        <v>4452</v>
      </c>
      <c r="N2" s="296" t="s">
        <v>36</v>
      </c>
      <c r="O2" s="296" t="s">
        <v>4452</v>
      </c>
      <c r="P2" s="296" t="s">
        <v>36</v>
      </c>
      <c r="Q2" s="296" t="s">
        <v>4452</v>
      </c>
      <c r="R2" s="296" t="s">
        <v>36</v>
      </c>
      <c r="S2" s="296" t="s">
        <v>4452</v>
      </c>
    </row>
    <row r="3" spans="1:19" ht="409.5">
      <c r="A3" s="297" t="s">
        <v>4453</v>
      </c>
      <c r="I3" s="296" t="s">
        <v>4454</v>
      </c>
      <c r="J3" t="e" cm="1">
        <f t="array" ref="J3">INDEX($A:$A, MATCH(1, (B:B=LARGE(B:B, ROWS(J$2:J2)))*(COUNTIF(J$2:J2, $A:$A)=0), 0))</f>
        <v>#N/A</v>
      </c>
      <c r="K3" t="e">
        <f>LARGE(B:B, ROW($I3))</f>
        <v>#NUM!</v>
      </c>
    </row>
    <row r="4" spans="1:19">
      <c r="I4" s="296" t="s">
        <v>4455</v>
      </c>
      <c r="J4" t="e" cm="1">
        <f t="array" ref="J4">INDEX($A:$A, MATCH(1, (B:B=LARGE(B:B, ROWS(J$2:J3)))*(COUNTIF(J$2:J3, $A:$A)=0), 0))</f>
        <v>#N/A</v>
      </c>
      <c r="K4" t="e">
        <f t="shared" ref="K4:K7" si="0">LARGE($B:$B, ROW(I4))</f>
        <v>#NUM!</v>
      </c>
    </row>
    <row r="5" spans="1:19">
      <c r="I5" s="296" t="s">
        <v>4456</v>
      </c>
      <c r="J5" t="e" cm="1">
        <f t="array" ref="J5">INDEX($A:$A, MATCH(1, (B:B=LARGE(B:B, ROWS(J$2:J4)))*(COUNTIF(J$2:J4, $A:$A)=0), 0))</f>
        <v>#N/A</v>
      </c>
      <c r="K5" t="e">
        <f t="shared" si="0"/>
        <v>#NUM!</v>
      </c>
    </row>
    <row r="6" spans="1:19">
      <c r="I6" s="296" t="s">
        <v>4457</v>
      </c>
      <c r="J6" t="e" cm="1">
        <f t="array" ref="J6">INDEX($A:$A, MATCH(1, (B:B=LARGE(B:B, ROWS(J$2:J5)))*(COUNTIF(J$2:J5, $A:$A)=0), 0))</f>
        <v>#N/A</v>
      </c>
      <c r="K6" t="e">
        <f t="shared" si="0"/>
        <v>#NUM!</v>
      </c>
    </row>
    <row r="7" spans="1:19">
      <c r="I7" s="296" t="s">
        <v>4458</v>
      </c>
      <c r="J7" t="e" cm="1">
        <f t="array" ref="J7">INDEX($A:$A, MATCH(1, (B:B=LARGE(B:B, ROWS(J$2:J6)))*(COUNTIF(J$2:J6, $A:$A)=0), 0))</f>
        <v>#N/A</v>
      </c>
      <c r="K7" t="e">
        <f t="shared" si="0"/>
        <v>#NUM!</v>
      </c>
    </row>
  </sheetData>
  <mergeCells count="5">
    <mergeCell ref="J1:K1"/>
    <mergeCell ref="L1:M1"/>
    <mergeCell ref="N1:O1"/>
    <mergeCell ref="P1:Q1"/>
    <mergeCell ref="R1:S1"/>
  </mergeCells>
  <phoneticPr fontId="1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AA8934A7-23AA-4C79-AF37-3F6E9ECFFB9E}">
  <ds:schemaRefs>
    <ds:schemaRef ds:uri="http://gemini/pivotcustomization/FormulaBarState"/>
  </ds:schemaRefs>
</ds:datastoreItem>
</file>

<file path=customXml/itemProps2.xml><?xml version="1.0" encoding="utf-8"?>
<ds:datastoreItem xmlns:ds="http://schemas.openxmlformats.org/officeDocument/2006/customXml" ds:itemID="{7747F545-D478-4500-83D7-F0169B5B54FF}">
  <ds:schemaRefs>
    <ds:schemaRef ds:uri="http://gemini/pivotcustomization/TableWidget"/>
  </ds:schemaRefs>
</ds:datastoreItem>
</file>

<file path=customXml/itemProps3.xml><?xml version="1.0" encoding="utf-8"?>
<ds:datastoreItem xmlns:ds="http://schemas.openxmlformats.org/officeDocument/2006/customXml" ds:itemID="{7477135A-FD57-4DB2-B495-CE9F85D3E6B0}">
  <ds:schemaRefs>
    <ds:schemaRef ds:uri="http://gemini/pivotcustomization/ShowImplicitMeasures"/>
  </ds:schemaRefs>
</ds:datastoreItem>
</file>

<file path=customXml/itemProps4.xml><?xml version="1.0" encoding="utf-8"?>
<ds:datastoreItem xmlns:ds="http://schemas.openxmlformats.org/officeDocument/2006/customXml" ds:itemID="{BBFB2903-E1D3-4720-AB22-26348746C5E0}">
  <ds:schemaRefs>
    <ds:schemaRef ds:uri="http://gemini/pivotcustomization/LinkedTableUpdateMode"/>
  </ds:schemaRefs>
</ds:datastoreItem>
</file>

<file path=customXml/itemProps5.xml><?xml version="1.0" encoding="utf-8"?>
<ds:datastoreItem xmlns:ds="http://schemas.openxmlformats.org/officeDocument/2006/customXml" ds:itemID="{8A3E6096-BF70-4265-8110-4008A5680225}">
  <ds:schemaRefs>
    <ds:schemaRef ds:uri="http://gemini/pivotcustomization/IsSandboxEmbedded"/>
  </ds:schemaRefs>
</ds:datastoreItem>
</file>

<file path=customXml/itemProps6.xml><?xml version="1.0" encoding="utf-8"?>
<ds:datastoreItem xmlns:ds="http://schemas.openxmlformats.org/officeDocument/2006/customXml" ds:itemID="{03AA8C90-4405-4BF5-A8F3-A45BF7AA4B37}">
  <ds:schemaRefs>
    <ds:schemaRef ds:uri="http://gemini/pivotcustomization/Diagrams"/>
  </ds:schemaRefs>
</ds:datastoreItem>
</file>

<file path=customXml/itemProps7.xml><?xml version="1.0" encoding="utf-8"?>
<ds:datastoreItem xmlns:ds="http://schemas.openxmlformats.org/officeDocument/2006/customXml" ds:itemID="{7E5BE60F-D05B-4275-8E0E-5CB0AD448816}">
  <ds:schemaRefs>
    <ds:schemaRef ds:uri="http://gemini/pivotcustomization/TableXML_Data"/>
  </ds:schemaRefs>
</ds:datastoreItem>
</file>

<file path=customXml/itemProps8.xml><?xml version="1.0" encoding="utf-8"?>
<ds:datastoreItem xmlns:ds="http://schemas.openxmlformats.org/officeDocument/2006/customXml" ds:itemID="{863E982D-5B5E-42ED-BD90-D00C37757C46}">
  <ds:schemaRefs>
    <ds:schemaRef ds:uri="http://gemini/pivotcustomization/RelationshipAutoDetectionEnabled"/>
  </ds:schemaRefs>
</ds:datastoreItem>
</file>

<file path=customXml/itemProps9.xml><?xml version="1.0" encoding="utf-8"?>
<ds:datastoreItem xmlns:ds="http://schemas.openxmlformats.org/officeDocument/2006/customXml" ds:itemID="{3CB516F8-37A9-4B98-98F2-B3F6CF8A3CA0}">
  <ds:schemaRefs>
    <ds:schemaRef ds:uri="http://gemini/pivotcustomization/ManualCalcMode"/>
  </ds:schemaRefs>
</ds:datastoreItem>
</file>

<file path=customXml/itemProps10.xml><?xml version="1.0" encoding="utf-8"?>
<ds:datastoreItem xmlns:ds="http://schemas.openxmlformats.org/officeDocument/2006/customXml" ds:itemID="{7C153EDE-8147-4212-8F5C-F79A39373979}">
  <ds:schemaRefs>
    <ds:schemaRef ds:uri="http://gemini/pivotcustomization/MeasureGridState"/>
  </ds:schemaRefs>
</ds:datastoreItem>
</file>

<file path=customXml/itemProps11.xml><?xml version="1.0" encoding="utf-8"?>
<ds:datastoreItem xmlns:ds="http://schemas.openxmlformats.org/officeDocument/2006/customXml" ds:itemID="{6BF1F612-60B1-4787-9010-C5980C413DDF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D398D8E1-2B0F-4A72-8C58-461999C8126E}">
  <ds:schemaRefs>
    <ds:schemaRef ds:uri="http://gemini/pivotcustomization/ClientWindowXML"/>
  </ds:schemaRefs>
</ds:datastoreItem>
</file>

<file path=customXml/itemProps13.xml><?xml version="1.0" encoding="utf-8"?>
<ds:datastoreItem xmlns:ds="http://schemas.openxmlformats.org/officeDocument/2006/customXml" ds:itemID="{A62C6E16-118F-41BF-BB74-3237117526B6}">
  <ds:schemaRefs>
    <ds:schemaRef ds:uri="http://gemini/pivotcustomization/ShowHidden"/>
  </ds:schemaRefs>
</ds:datastoreItem>
</file>

<file path=customXml/itemProps14.xml><?xml version="1.0" encoding="utf-8"?>
<ds:datastoreItem xmlns:ds="http://schemas.openxmlformats.org/officeDocument/2006/customXml" ds:itemID="{796F2C3C-7C69-4827-BE33-27E6355B0C46}">
  <ds:schemaRefs>
    <ds:schemaRef ds:uri="http://gemini/pivotcustomization/ErrorCache"/>
  </ds:schemaRefs>
</ds:datastoreItem>
</file>

<file path=customXml/itemProps15.xml><?xml version="1.0" encoding="utf-8"?>
<ds:datastoreItem xmlns:ds="http://schemas.openxmlformats.org/officeDocument/2006/customXml" ds:itemID="{474CD1FC-D3AC-40CE-8968-F7BCB103DEF6}">
  <ds:schemaRefs>
    <ds:schemaRef ds:uri="http://gemini/pivotcustomization/TableXML_Range"/>
  </ds:schemaRefs>
</ds:datastoreItem>
</file>

<file path=customXml/itemProps16.xml><?xml version="1.0" encoding="utf-8"?>
<ds:datastoreItem xmlns:ds="http://schemas.openxmlformats.org/officeDocument/2006/customXml" ds:itemID="{D98724D4-F72A-4737-9892-093B5F6B7059}">
  <ds:schemaRefs>
    <ds:schemaRef ds:uri="http://gemini/pivotcustomization/PowerPivotVersion"/>
  </ds:schemaRefs>
</ds:datastoreItem>
</file>

<file path=customXml/itemProps17.xml><?xml version="1.0" encoding="utf-8"?>
<ds:datastoreItem xmlns:ds="http://schemas.openxmlformats.org/officeDocument/2006/customXml" ds:itemID="{99EBDE1C-6FCC-43E2-89DE-9690947EE5EB}">
  <ds:schemaRefs>
    <ds:schemaRef ds:uri="http://gemini/pivotcustomization/SandboxNonEmpt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Da Rules</vt:lpstr>
      <vt:lpstr>Rankings</vt:lpstr>
      <vt:lpstr>Leaderboard</vt:lpstr>
      <vt:lpstr>2026 Song of the Month</vt:lpstr>
      <vt:lpstr>Theme Thursday</vt:lpstr>
      <vt:lpstr>Mario Party</vt:lpstr>
      <vt:lpstr>2024 Song of the Year</vt:lpstr>
      <vt:lpstr>2024 Song of the Month</vt:lpstr>
      <vt:lpstr>2025 Song of the Month</vt:lpstr>
      <vt:lpstr>2025 Song of the Year</vt:lpstr>
      <vt:lpstr>Genres</vt:lpstr>
      <vt:lpstr>Graphs</vt:lpstr>
      <vt:lpstr>Artists</vt:lpstr>
      <vt:lpstr>Classical</vt:lpstr>
      <vt:lpstr>Country</vt:lpstr>
      <vt:lpstr>Electronic</vt:lpstr>
      <vt:lpstr>Hip_Hop</vt:lpstr>
      <vt:lpstr>International</vt:lpstr>
      <vt:lpstr>Jazz</vt:lpstr>
      <vt:lpstr>Metal</vt:lpstr>
      <vt:lpstr>Other</vt:lpstr>
      <vt:lpstr>Parent_Genre</vt:lpstr>
      <vt:lpstr>Pop</vt:lpstr>
      <vt:lpstr>R_B</vt:lpstr>
      <vt:lpstr>Rap</vt:lpstr>
      <vt:lpstr>Rock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Worsdell, Logan T (US)</dc:creator>
  <cp:keywords/>
  <dc:description/>
  <cp:lastModifiedBy>Ramirez, Daniel A (US)</cp:lastModifiedBy>
  <cp:revision/>
  <dcterms:created xsi:type="dcterms:W3CDTF">2024-06-13T19:50:41Z</dcterms:created>
  <dcterms:modified xsi:type="dcterms:W3CDTF">2026-08-27T21:17:00Z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2bc7c3-f152-4da1-98bd-f7a1bebdf752_Enabled">
    <vt:lpwstr>true</vt:lpwstr>
  </property>
  <property fmtid="{D5CDD505-2E9C-101B-9397-08002B2CF9AE}" pid="3" name="MSIP_Label_502bc7c3-f152-4da1-98bd-f7a1bebdf752_SetDate">
    <vt:lpwstr>2024-06-13T21:02:25Z</vt:lpwstr>
  </property>
  <property fmtid="{D5CDD505-2E9C-101B-9397-08002B2CF9AE}" pid="4" name="MSIP_Label_502bc7c3-f152-4da1-98bd-f7a1bebdf752_Method">
    <vt:lpwstr>Privileged</vt:lpwstr>
  </property>
  <property fmtid="{D5CDD505-2E9C-101B-9397-08002B2CF9AE}" pid="5" name="MSIP_Label_502bc7c3-f152-4da1-98bd-f7a1bebdf752_Name">
    <vt:lpwstr>Unrestricted</vt:lpwstr>
  </property>
  <property fmtid="{D5CDD505-2E9C-101B-9397-08002B2CF9AE}" pid="6" name="MSIP_Label_502bc7c3-f152-4da1-98bd-f7a1bebdf752_SiteId">
    <vt:lpwstr>b18f006c-b0fc-467d-b23a-a35b5695b5dc</vt:lpwstr>
  </property>
  <property fmtid="{D5CDD505-2E9C-101B-9397-08002B2CF9AE}" pid="7" name="MSIP_Label_502bc7c3-f152-4da1-98bd-f7a1bebdf752_ActionId">
    <vt:lpwstr>df1d82a8-767e-4123-8fce-49d872f88228</vt:lpwstr>
  </property>
  <property fmtid="{D5CDD505-2E9C-101B-9397-08002B2CF9AE}" pid="8" name="MSIP_Label_502bc7c3-f152-4da1-98bd-f7a1bebdf752_ContentBits">
    <vt:lpwstr>0</vt:lpwstr>
  </property>
</Properties>
</file>